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tiaanvanwyk/Documents/Personal Projects/brothers_baking/data_sources/"/>
    </mc:Choice>
  </mc:AlternateContent>
  <xr:revisionPtr revIDLastSave="0" documentId="13_ncr:1_{088CD486-0659-7349-B72C-C1B37DB2CD06}" xr6:coauthVersionLast="47" xr6:coauthVersionMax="47" xr10:uidLastSave="{00000000-0000-0000-0000-000000000000}"/>
  <bookViews>
    <workbookView xWindow="0" yWindow="720" windowWidth="29400" windowHeight="18400" tabRatio="595" activeTab="6" xr2:uid="{00000000-000D-0000-FFFF-FFFF00000000}"/>
  </bookViews>
  <sheets>
    <sheet name="DAILY WEEKLY EXPENSES" sheetId="1" r:id="rId1"/>
    <sheet name="MONTHLY EXPENSES" sheetId="29" r:id="rId2"/>
    <sheet name="DAILY WEEKLY EXPENSES STOCK" sheetId="2" r:id="rId3"/>
    <sheet name="MONTHLY STOCK" sheetId="30" r:id="rId4"/>
    <sheet name="EXPENSE DAILY" sheetId="18" r:id="rId5"/>
    <sheet name="DAILY INCOME EXPENSE" sheetId="15" r:id="rId6"/>
    <sheet name="WEEKLY DELIVEIES &amp; RETURN" sheetId="22" r:id="rId7"/>
    <sheet name="DAILY PLANNING" sheetId="5" r:id="rId8"/>
    <sheet name="WEEKLY AMOUNTS" sheetId="7" r:id="rId9"/>
    <sheet name="PRODUCTION BATCHES" sheetId="8" r:id="rId10"/>
    <sheet name="PETTYCASH" sheetId="26" r:id="rId11"/>
    <sheet name="WAGES PAID" sheetId="13" r:id="rId12"/>
    <sheet name="Template deliveries" sheetId="19" r:id="rId13"/>
    <sheet name="PLANNING" sheetId="33" r:id="rId14"/>
    <sheet name="banking details" sheetId="24" r:id="rId15"/>
    <sheet name="CAKE COSTING" sheetId="14" r:id="rId16"/>
    <sheet name="STOCK CONTROL LIST" sheetId="9" r:id="rId17"/>
  </sheets>
  <definedNames>
    <definedName name="_xlnm.Print_Area" localSheetId="14">'banking details'!$B$2:$E$17</definedName>
    <definedName name="_xlnm.Print_Area" localSheetId="15">'CAKE COSTING'!$A$103:$I$134</definedName>
    <definedName name="_xlnm.Print_Area" localSheetId="5">'DAILY INCOME EXPENSE'!$G$2:$K$42</definedName>
    <definedName name="_xlnm.Print_Area" localSheetId="7">'DAILY PLANNING'!$C$4360:$L$4402</definedName>
    <definedName name="_xlnm.Print_Area" localSheetId="0">'DAILY WEEKLY EXPENSES'!#REF!</definedName>
    <definedName name="_xlnm.Print_Area" localSheetId="2">'DAILY WEEKLY EXPENSES STOCK'!#REF!</definedName>
    <definedName name="_xlnm.Print_Area" localSheetId="4">'EXPENSE DAILY'!$A$1193:$D$1200</definedName>
    <definedName name="_xlnm.Print_Area" localSheetId="10">PETTYCASH!$A$2652:$G$2675</definedName>
    <definedName name="_xlnm.Print_Area" localSheetId="13">PLANNING!$AC$1:$AE$15</definedName>
    <definedName name="_xlnm.Print_Area" localSheetId="9">'PRODUCTION BATCHES'!$B$775:$O$816</definedName>
    <definedName name="_xlnm.Print_Area" localSheetId="16">'STOCK CONTROL LIST'!$B$2:$I$57</definedName>
    <definedName name="_xlnm.Print_Area" localSheetId="12">'Template deliveries'!$A$2:$J$46</definedName>
    <definedName name="_xlnm.Print_Area" localSheetId="11">'WAGES PAID'!$B$299:$O$304</definedName>
    <definedName name="_xlnm.Print_Area" localSheetId="8">'WEEKLY AMOUNTS'!$B$83:$E$101</definedName>
    <definedName name="_xlnm.Print_Area" localSheetId="6">'WEEKLY DELIVEIES &amp; RETURN'!$B$471:$I$498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3" i="22" l="1"/>
  <c r="B293" i="22"/>
  <c r="B193" i="22"/>
  <c r="B93" i="22"/>
  <c r="N300" i="13"/>
  <c r="N304" i="13" s="1"/>
  <c r="N294" i="13"/>
  <c r="N292" i="13"/>
  <c r="N291" i="13"/>
  <c r="N296" i="13"/>
  <c r="N293" i="13"/>
  <c r="F291" i="13"/>
  <c r="N295" i="13"/>
  <c r="Q22" i="15"/>
  <c r="P22" i="15"/>
  <c r="AV663" i="2"/>
  <c r="T89" i="2"/>
  <c r="E10" i="15"/>
  <c r="D10" i="15"/>
  <c r="E21" i="15"/>
  <c r="D21" i="15"/>
  <c r="AV262" i="2"/>
  <c r="E34" i="15"/>
  <c r="D34" i="15"/>
  <c r="Q30" i="15"/>
  <c r="P30" i="15"/>
  <c r="C166" i="18"/>
  <c r="B166" i="18"/>
  <c r="D20" i="15"/>
  <c r="W36" i="15"/>
  <c r="V36" i="15"/>
  <c r="AV1038" i="2"/>
  <c r="W4" i="15"/>
  <c r="V4" i="15"/>
  <c r="Q9" i="15"/>
  <c r="P9" i="15"/>
  <c r="W6" i="15"/>
  <c r="V6" i="15"/>
  <c r="E26" i="15"/>
  <c r="D26" i="15"/>
  <c r="T208" i="2"/>
  <c r="Q15" i="15"/>
  <c r="P15" i="15"/>
  <c r="W18" i="15"/>
  <c r="V18" i="15"/>
  <c r="AV852" i="2"/>
  <c r="W12" i="15"/>
  <c r="V12" i="15"/>
  <c r="J8" i="15"/>
  <c r="B347" i="18"/>
  <c r="T328" i="2"/>
  <c r="J366" i="7"/>
  <c r="J274" i="7"/>
  <c r="J86" i="7"/>
  <c r="J34" i="7"/>
  <c r="I254" i="7"/>
  <c r="I94" i="7"/>
  <c r="I7" i="15"/>
  <c r="I14" i="15"/>
  <c r="I25" i="15"/>
  <c r="I33" i="15"/>
  <c r="O7" i="15"/>
  <c r="O15" i="15"/>
  <c r="O23" i="15"/>
  <c r="O31" i="15"/>
  <c r="U4" i="15"/>
  <c r="U12" i="15"/>
  <c r="U20" i="15"/>
  <c r="U22" i="15"/>
  <c r="U28" i="15"/>
  <c r="U36" i="15"/>
  <c r="I15" i="15"/>
  <c r="M146" i="7"/>
  <c r="M166" i="7"/>
  <c r="M226" i="7"/>
  <c r="M290" i="7"/>
  <c r="M310" i="7"/>
  <c r="M350" i="7"/>
  <c r="I8" i="15"/>
  <c r="I10" i="15"/>
  <c r="I20" i="15"/>
  <c r="I16" i="15"/>
  <c r="I18" i="15"/>
  <c r="I22" i="15"/>
  <c r="I24" i="15"/>
  <c r="I26" i="15"/>
  <c r="I34" i="15"/>
  <c r="I30" i="15"/>
  <c r="I32" i="15"/>
  <c r="O6" i="15"/>
  <c r="O8" i="15"/>
  <c r="O10" i="15"/>
  <c r="O13" i="15"/>
  <c r="O14" i="15"/>
  <c r="O16" i="15"/>
  <c r="O18" i="15"/>
  <c r="O22" i="15"/>
  <c r="O24" i="15"/>
  <c r="O26" i="15"/>
  <c r="O30" i="15"/>
  <c r="O32" i="15"/>
  <c r="O34" i="15"/>
  <c r="O37" i="15"/>
  <c r="O38" i="15"/>
  <c r="U5" i="15"/>
  <c r="U7" i="15"/>
  <c r="U9" i="15"/>
  <c r="U10" i="15"/>
  <c r="U13" i="15"/>
  <c r="U15" i="15"/>
  <c r="U18" i="15"/>
  <c r="U21" i="15"/>
  <c r="U26" i="15"/>
  <c r="U29" i="15"/>
  <c r="U31" i="15"/>
  <c r="U34" i="15"/>
  <c r="U37" i="15"/>
  <c r="AA5" i="15"/>
  <c r="AA6" i="15"/>
  <c r="O25" i="15"/>
  <c r="AA4" i="15"/>
  <c r="I6" i="15"/>
  <c r="L170" i="7"/>
  <c r="U23" i="15"/>
  <c r="K126" i="7"/>
  <c r="J330" i="7"/>
  <c r="D2675" i="26"/>
  <c r="F2674" i="26"/>
  <c r="F2662" i="26"/>
  <c r="M3954" i="8"/>
  <c r="L3954" i="8"/>
  <c r="K3954" i="8"/>
  <c r="J3954" i="8"/>
  <c r="I3954" i="8"/>
  <c r="H3954" i="8"/>
  <c r="G3954" i="8"/>
  <c r="F3954" i="8"/>
  <c r="E3955" i="8" s="1"/>
  <c r="B3916" i="8"/>
  <c r="M3911" i="8"/>
  <c r="L3911" i="8"/>
  <c r="K3911" i="8"/>
  <c r="J3911" i="8"/>
  <c r="I3911" i="8"/>
  <c r="H3911" i="8"/>
  <c r="G3911" i="8"/>
  <c r="F3911" i="8"/>
  <c r="B3873" i="8"/>
  <c r="J4400" i="5"/>
  <c r="I4400" i="5"/>
  <c r="H4400" i="5"/>
  <c r="G4400" i="5"/>
  <c r="F4400" i="5"/>
  <c r="K4398" i="5"/>
  <c r="K4397" i="5"/>
  <c r="L4396" i="5"/>
  <c r="K4396" i="5"/>
  <c r="E4396" i="5"/>
  <c r="K4395" i="5"/>
  <c r="L4395" i="5" s="1"/>
  <c r="E4395" i="5"/>
  <c r="K4394" i="5"/>
  <c r="L4394" i="5" s="1"/>
  <c r="E4394" i="5"/>
  <c r="K4393" i="5"/>
  <c r="L4393" i="5" s="1"/>
  <c r="E4393" i="5"/>
  <c r="K4392" i="5"/>
  <c r="L4392" i="5" s="1"/>
  <c r="E4392" i="5"/>
  <c r="K4391" i="5"/>
  <c r="L4391" i="5" s="1"/>
  <c r="E4391" i="5"/>
  <c r="K4390" i="5"/>
  <c r="L4390" i="5" s="1"/>
  <c r="E4390" i="5"/>
  <c r="K4389" i="5"/>
  <c r="L4389" i="5" s="1"/>
  <c r="K4388" i="5"/>
  <c r="L4388" i="5" s="1"/>
  <c r="E4388" i="5"/>
  <c r="K4387" i="5"/>
  <c r="L4387" i="5" s="1"/>
  <c r="E4387" i="5"/>
  <c r="K4386" i="5"/>
  <c r="L4386" i="5" s="1"/>
  <c r="K4385" i="5"/>
  <c r="L4385" i="5" s="1"/>
  <c r="E4385" i="5"/>
  <c r="K4384" i="5"/>
  <c r="L4384" i="5" s="1"/>
  <c r="E4384" i="5"/>
  <c r="K4383" i="5"/>
  <c r="L4383" i="5" s="1"/>
  <c r="K4382" i="5"/>
  <c r="L4382" i="5" s="1"/>
  <c r="E4382" i="5"/>
  <c r="K4381" i="5"/>
  <c r="L4381" i="5" s="1"/>
  <c r="E4381" i="5"/>
  <c r="K4380" i="5"/>
  <c r="L4380" i="5" s="1"/>
  <c r="E4380" i="5"/>
  <c r="K4379" i="5"/>
  <c r="L4379" i="5" s="1"/>
  <c r="K4378" i="5"/>
  <c r="L4378" i="5" s="1"/>
  <c r="E4378" i="5"/>
  <c r="K4377" i="5"/>
  <c r="L4377" i="5" s="1"/>
  <c r="E4377" i="5"/>
  <c r="L4376" i="5"/>
  <c r="K4376" i="5"/>
  <c r="E4376" i="5"/>
  <c r="K4375" i="5"/>
  <c r="L4375" i="5" s="1"/>
  <c r="E4375" i="5"/>
  <c r="K4374" i="5"/>
  <c r="L4374" i="5" s="1"/>
  <c r="E4374" i="5"/>
  <c r="J4371" i="5"/>
  <c r="J4401" i="5" s="1"/>
  <c r="I4371" i="5"/>
  <c r="H4371" i="5"/>
  <c r="G4371" i="5"/>
  <c r="F4371" i="5"/>
  <c r="F4401" i="5" s="1"/>
  <c r="K4370" i="5"/>
  <c r="K4369" i="5"/>
  <c r="K4368" i="5"/>
  <c r="K4367" i="5"/>
  <c r="K4366" i="5"/>
  <c r="J4356" i="5"/>
  <c r="I4356" i="5"/>
  <c r="H4356" i="5"/>
  <c r="G4356" i="5"/>
  <c r="F4356" i="5"/>
  <c r="K4354" i="5"/>
  <c r="K4353" i="5"/>
  <c r="K4352" i="5"/>
  <c r="L4352" i="5" s="1"/>
  <c r="E4352" i="5"/>
  <c r="K4351" i="5"/>
  <c r="L4351" i="5" s="1"/>
  <c r="E4351" i="5"/>
  <c r="K4350" i="5"/>
  <c r="L4350" i="5" s="1"/>
  <c r="E4350" i="5"/>
  <c r="K4349" i="5"/>
  <c r="L4349" i="5" s="1"/>
  <c r="E4349" i="5"/>
  <c r="K4348" i="5"/>
  <c r="L4348" i="5" s="1"/>
  <c r="E4348" i="5"/>
  <c r="K4347" i="5"/>
  <c r="L4347" i="5" s="1"/>
  <c r="E4347" i="5"/>
  <c r="K4346" i="5"/>
  <c r="L4346" i="5" s="1"/>
  <c r="E4346" i="5"/>
  <c r="K4345" i="5"/>
  <c r="L4345" i="5" s="1"/>
  <c r="K4344" i="5"/>
  <c r="L4344" i="5" s="1"/>
  <c r="E4344" i="5"/>
  <c r="K4343" i="5"/>
  <c r="L4343" i="5" s="1"/>
  <c r="E4343" i="5"/>
  <c r="K4342" i="5"/>
  <c r="L4342" i="5" s="1"/>
  <c r="K4341" i="5"/>
  <c r="L4341" i="5" s="1"/>
  <c r="E4341" i="5"/>
  <c r="L4340" i="5"/>
  <c r="K4340" i="5"/>
  <c r="E4340" i="5"/>
  <c r="K4339" i="5"/>
  <c r="L4339" i="5" s="1"/>
  <c r="K4338" i="5"/>
  <c r="L4338" i="5" s="1"/>
  <c r="E4338" i="5"/>
  <c r="K4337" i="5"/>
  <c r="L4337" i="5" s="1"/>
  <c r="E4337" i="5"/>
  <c r="K4336" i="5"/>
  <c r="L4336" i="5" s="1"/>
  <c r="E4336" i="5"/>
  <c r="K4335" i="5"/>
  <c r="L4335" i="5" s="1"/>
  <c r="K4334" i="5"/>
  <c r="L4334" i="5" s="1"/>
  <c r="E4334" i="5"/>
  <c r="K4333" i="5"/>
  <c r="L4333" i="5" s="1"/>
  <c r="E4333" i="5"/>
  <c r="K4332" i="5"/>
  <c r="L4332" i="5" s="1"/>
  <c r="E4332" i="5"/>
  <c r="K4331" i="5"/>
  <c r="L4331" i="5" s="1"/>
  <c r="E4331" i="5"/>
  <c r="K4330" i="5"/>
  <c r="L4330" i="5" s="1"/>
  <c r="E4330" i="5"/>
  <c r="J4327" i="5"/>
  <c r="J4357" i="5" s="1"/>
  <c r="I4327" i="5"/>
  <c r="I4357" i="5" s="1"/>
  <c r="H4327" i="5"/>
  <c r="G4327" i="5"/>
  <c r="F4327" i="5"/>
  <c r="K4326" i="5"/>
  <c r="K4325" i="5"/>
  <c r="K4324" i="5"/>
  <c r="K4323" i="5"/>
  <c r="K4322" i="5"/>
  <c r="J4312" i="5"/>
  <c r="I4312" i="5"/>
  <c r="H4312" i="5"/>
  <c r="G4312" i="5"/>
  <c r="F4312" i="5"/>
  <c r="K4310" i="5"/>
  <c r="K4309" i="5"/>
  <c r="K4308" i="5"/>
  <c r="L4308" i="5" s="1"/>
  <c r="E4308" i="5"/>
  <c r="K4307" i="5"/>
  <c r="L4307" i="5" s="1"/>
  <c r="E4307" i="5"/>
  <c r="L4306" i="5"/>
  <c r="K4306" i="5"/>
  <c r="E4306" i="5"/>
  <c r="K4305" i="5"/>
  <c r="L4305" i="5" s="1"/>
  <c r="E4305" i="5"/>
  <c r="K4304" i="5"/>
  <c r="L4304" i="5" s="1"/>
  <c r="E4304" i="5"/>
  <c r="K4303" i="5"/>
  <c r="L4303" i="5" s="1"/>
  <c r="E4303" i="5"/>
  <c r="K4302" i="5"/>
  <c r="L4302" i="5" s="1"/>
  <c r="E4302" i="5"/>
  <c r="K4301" i="5"/>
  <c r="L4301" i="5" s="1"/>
  <c r="K4300" i="5"/>
  <c r="L4300" i="5" s="1"/>
  <c r="E4300" i="5"/>
  <c r="K4299" i="5"/>
  <c r="L4299" i="5" s="1"/>
  <c r="E4299" i="5"/>
  <c r="K4298" i="5"/>
  <c r="L4298" i="5" s="1"/>
  <c r="K4297" i="5"/>
  <c r="L4297" i="5" s="1"/>
  <c r="E4297" i="5"/>
  <c r="K4296" i="5"/>
  <c r="L4296" i="5" s="1"/>
  <c r="E4296" i="5"/>
  <c r="K4295" i="5"/>
  <c r="L4295" i="5" s="1"/>
  <c r="K4294" i="5"/>
  <c r="L4294" i="5" s="1"/>
  <c r="E4294" i="5"/>
  <c r="K4293" i="5"/>
  <c r="L4293" i="5" s="1"/>
  <c r="E4293" i="5"/>
  <c r="K4292" i="5"/>
  <c r="L4292" i="5" s="1"/>
  <c r="E4292" i="5"/>
  <c r="K4291" i="5"/>
  <c r="L4291" i="5" s="1"/>
  <c r="K4290" i="5"/>
  <c r="L4290" i="5" s="1"/>
  <c r="E4290" i="5"/>
  <c r="K4289" i="5"/>
  <c r="L4289" i="5" s="1"/>
  <c r="E4289" i="5"/>
  <c r="K4288" i="5"/>
  <c r="L4288" i="5" s="1"/>
  <c r="E4288" i="5"/>
  <c r="K4287" i="5"/>
  <c r="L4287" i="5" s="1"/>
  <c r="E4287" i="5"/>
  <c r="L4286" i="5"/>
  <c r="K4286" i="5"/>
  <c r="E4286" i="5"/>
  <c r="J4283" i="5"/>
  <c r="I4283" i="5"/>
  <c r="H4283" i="5"/>
  <c r="G4283" i="5"/>
  <c r="F4283" i="5"/>
  <c r="F4313" i="5" s="1"/>
  <c r="K4282" i="5"/>
  <c r="K4281" i="5"/>
  <c r="K4280" i="5"/>
  <c r="K4279" i="5"/>
  <c r="K4278" i="5"/>
  <c r="C1200" i="18"/>
  <c r="B1200" i="18"/>
  <c r="C1191" i="18"/>
  <c r="B1191" i="18"/>
  <c r="C1185" i="18"/>
  <c r="B1185" i="18"/>
  <c r="G902" i="1"/>
  <c r="F4357" i="5" l="1"/>
  <c r="N297" i="13"/>
  <c r="E3912" i="8"/>
  <c r="H4401" i="5"/>
  <c r="I4401" i="5"/>
  <c r="E4400" i="5"/>
  <c r="G4401" i="5"/>
  <c r="K4401" i="5" s="1"/>
  <c r="K4400" i="5"/>
  <c r="K4371" i="5"/>
  <c r="L4400" i="5"/>
  <c r="H4357" i="5"/>
  <c r="G4357" i="5"/>
  <c r="K4357" i="5" s="1"/>
  <c r="E4356" i="5"/>
  <c r="K4356" i="5"/>
  <c r="K4327" i="5"/>
  <c r="J4313" i="5"/>
  <c r="I4313" i="5"/>
  <c r="L4356" i="5"/>
  <c r="H4313" i="5"/>
  <c r="K4283" i="5"/>
  <c r="E4312" i="5"/>
  <c r="G4313" i="5"/>
  <c r="K4313" i="5" s="1"/>
  <c r="K4312" i="5"/>
  <c r="L4312" i="5"/>
  <c r="D2650" i="26"/>
  <c r="F2649" i="26"/>
  <c r="F2637" i="26"/>
  <c r="M3868" i="8"/>
  <c r="L3868" i="8"/>
  <c r="K3868" i="8"/>
  <c r="J3868" i="8"/>
  <c r="I3868" i="8"/>
  <c r="H3868" i="8"/>
  <c r="G3868" i="8"/>
  <c r="F3868" i="8"/>
  <c r="B3830" i="8"/>
  <c r="J4235" i="5"/>
  <c r="G4235" i="5"/>
  <c r="F4235" i="5"/>
  <c r="K4235" i="5" s="1"/>
  <c r="J4268" i="5"/>
  <c r="I4268" i="5"/>
  <c r="H4268" i="5"/>
  <c r="G4268" i="5"/>
  <c r="F4268" i="5"/>
  <c r="K4266" i="5"/>
  <c r="K4265" i="5"/>
  <c r="K4264" i="5"/>
  <c r="L4264" i="5" s="1"/>
  <c r="E4264" i="5"/>
  <c r="K4263" i="5"/>
  <c r="L4263" i="5" s="1"/>
  <c r="E4263" i="5"/>
  <c r="K4262" i="5"/>
  <c r="L4262" i="5" s="1"/>
  <c r="E4262" i="5"/>
  <c r="K4261" i="5"/>
  <c r="L4261" i="5" s="1"/>
  <c r="E4261" i="5"/>
  <c r="K4260" i="5"/>
  <c r="L4260" i="5" s="1"/>
  <c r="E4260" i="5"/>
  <c r="K4259" i="5"/>
  <c r="L4259" i="5" s="1"/>
  <c r="E4259" i="5"/>
  <c r="K4258" i="5"/>
  <c r="L4258" i="5" s="1"/>
  <c r="E4258" i="5"/>
  <c r="K4257" i="5"/>
  <c r="L4257" i="5" s="1"/>
  <c r="K4256" i="5"/>
  <c r="L4256" i="5" s="1"/>
  <c r="E4256" i="5"/>
  <c r="K4255" i="5"/>
  <c r="L4255" i="5" s="1"/>
  <c r="E4255" i="5"/>
  <c r="K4254" i="5"/>
  <c r="L4254" i="5" s="1"/>
  <c r="K4253" i="5"/>
  <c r="L4253" i="5" s="1"/>
  <c r="E4253" i="5"/>
  <c r="K4252" i="5"/>
  <c r="L4252" i="5" s="1"/>
  <c r="E4252" i="5"/>
  <c r="K4251" i="5"/>
  <c r="L4251" i="5" s="1"/>
  <c r="K4250" i="5"/>
  <c r="L4250" i="5" s="1"/>
  <c r="E4250" i="5"/>
  <c r="K4249" i="5"/>
  <c r="L4249" i="5" s="1"/>
  <c r="E4249" i="5"/>
  <c r="K4248" i="5"/>
  <c r="L4248" i="5" s="1"/>
  <c r="E4248" i="5"/>
  <c r="K4247" i="5"/>
  <c r="L4247" i="5" s="1"/>
  <c r="L4246" i="5"/>
  <c r="K4246" i="5"/>
  <c r="E4246" i="5"/>
  <c r="K4245" i="5"/>
  <c r="L4245" i="5" s="1"/>
  <c r="E4245" i="5"/>
  <c r="K4244" i="5"/>
  <c r="L4244" i="5" s="1"/>
  <c r="E4244" i="5"/>
  <c r="K4243" i="5"/>
  <c r="L4243" i="5" s="1"/>
  <c r="E4243" i="5"/>
  <c r="K4242" i="5"/>
  <c r="L4242" i="5" s="1"/>
  <c r="E4242" i="5"/>
  <c r="J4239" i="5"/>
  <c r="I4239" i="5"/>
  <c r="H4239" i="5"/>
  <c r="H4269" i="5" s="1"/>
  <c r="G4239" i="5"/>
  <c r="K4238" i="5"/>
  <c r="K4237" i="5"/>
  <c r="K4236" i="5"/>
  <c r="K4234" i="5"/>
  <c r="C1175" i="18"/>
  <c r="B1175" i="18"/>
  <c r="BF1090" i="2"/>
  <c r="AN1090" i="2"/>
  <c r="AD1090" i="2"/>
  <c r="X1090" i="2"/>
  <c r="P1090" i="2"/>
  <c r="N1090" i="2"/>
  <c r="L1090" i="2"/>
  <c r="J1090" i="2"/>
  <c r="H1090" i="2"/>
  <c r="C1090" i="2"/>
  <c r="BF1194" i="2"/>
  <c r="BE1194" i="2"/>
  <c r="BD1194" i="2"/>
  <c r="BC1194" i="2"/>
  <c r="BB1194" i="2"/>
  <c r="BA1194" i="2"/>
  <c r="AZ1194" i="2"/>
  <c r="AY1194" i="2"/>
  <c r="AX1194" i="2"/>
  <c r="AW1194" i="2"/>
  <c r="AV1194" i="2"/>
  <c r="AU1194" i="2"/>
  <c r="AT1194" i="2"/>
  <c r="AS1194" i="2"/>
  <c r="AR1194" i="2"/>
  <c r="AQ1194" i="2"/>
  <c r="AP1194" i="2"/>
  <c r="AO1194" i="2"/>
  <c r="AN1194" i="2"/>
  <c r="AM1194" i="2"/>
  <c r="AL1194" i="2"/>
  <c r="AK1194" i="2"/>
  <c r="AJ1194" i="2"/>
  <c r="AI1194" i="2"/>
  <c r="AH1194" i="2"/>
  <c r="AG1194" i="2"/>
  <c r="AF1194" i="2"/>
  <c r="AE1194" i="2"/>
  <c r="AD1194" i="2"/>
  <c r="AC1194" i="2"/>
  <c r="AB1194" i="2"/>
  <c r="AA1194" i="2"/>
  <c r="Z1194" i="2"/>
  <c r="Y1194" i="2"/>
  <c r="X1194" i="2"/>
  <c r="W1194" i="2"/>
  <c r="V1194" i="2"/>
  <c r="U1194" i="2"/>
  <c r="T1194" i="2"/>
  <c r="S1194" i="2"/>
  <c r="R1194" i="2"/>
  <c r="Q1194" i="2"/>
  <c r="P1194" i="2"/>
  <c r="O1194" i="2"/>
  <c r="N1194" i="2"/>
  <c r="M1194" i="2"/>
  <c r="L1194" i="2"/>
  <c r="K1194" i="2"/>
  <c r="J1194" i="2"/>
  <c r="I1194" i="2"/>
  <c r="H1194" i="2"/>
  <c r="G1194" i="2"/>
  <c r="C1193" i="2"/>
  <c r="C1195" i="2" s="1"/>
  <c r="C1185" i="2"/>
  <c r="C1176" i="2"/>
  <c r="C1169" i="2"/>
  <c r="C1164" i="2"/>
  <c r="C1161" i="2"/>
  <c r="C1151" i="2"/>
  <c r="L1141" i="2"/>
  <c r="AI1141" i="2" s="1"/>
  <c r="AW1141" i="2" s="1"/>
  <c r="AW1198" i="2" s="1"/>
  <c r="AL1198" i="2" s="1"/>
  <c r="L1198" i="2" s="1"/>
  <c r="C1198" i="2" s="1"/>
  <c r="L897" i="1"/>
  <c r="W991" i="1"/>
  <c r="V991" i="1"/>
  <c r="U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E988" i="1"/>
  <c r="D988" i="1"/>
  <c r="Z985" i="1"/>
  <c r="Y985" i="1"/>
  <c r="E984" i="1"/>
  <c r="D984" i="1"/>
  <c r="Z978" i="1"/>
  <c r="Y978" i="1"/>
  <c r="E977" i="1"/>
  <c r="D977" i="1"/>
  <c r="Z973" i="1"/>
  <c r="Y973" i="1"/>
  <c r="E972" i="1"/>
  <c r="D972" i="1"/>
  <c r="Z965" i="1"/>
  <c r="Y965" i="1"/>
  <c r="E964" i="1"/>
  <c r="D964" i="1"/>
  <c r="Z958" i="1"/>
  <c r="Y958" i="1"/>
  <c r="E957" i="1"/>
  <c r="D957" i="1"/>
  <c r="Z952" i="1"/>
  <c r="Y952" i="1"/>
  <c r="E951" i="1"/>
  <c r="D951" i="1"/>
  <c r="Z947" i="1"/>
  <c r="Y947" i="1"/>
  <c r="M945" i="1"/>
  <c r="V945" i="1" s="1"/>
  <c r="V993" i="1" s="1"/>
  <c r="M993" i="1" s="1"/>
  <c r="E993" i="1" s="1"/>
  <c r="F4239" i="5" l="1"/>
  <c r="Y991" i="1"/>
  <c r="E3869" i="8"/>
  <c r="K4402" i="5"/>
  <c r="K4358" i="5"/>
  <c r="K4314" i="5"/>
  <c r="J4269" i="5"/>
  <c r="I4269" i="5"/>
  <c r="F4269" i="5"/>
  <c r="K4239" i="5"/>
  <c r="G4269" i="5"/>
  <c r="E4268" i="5"/>
  <c r="K4268" i="5"/>
  <c r="L4268" i="5"/>
  <c r="D423" i="22"/>
  <c r="D424" i="22" s="1"/>
  <c r="H496" i="22"/>
  <c r="G496" i="22"/>
  <c r="F496" i="22"/>
  <c r="E496" i="22"/>
  <c r="D496" i="22"/>
  <c r="I495" i="22"/>
  <c r="H494" i="22"/>
  <c r="H497" i="22" s="1"/>
  <c r="G494" i="22"/>
  <c r="F494" i="22"/>
  <c r="E494" i="22"/>
  <c r="D494" i="22"/>
  <c r="I493" i="22"/>
  <c r="H489" i="22"/>
  <c r="G489" i="22"/>
  <c r="F489" i="22"/>
  <c r="F490" i="22" s="1"/>
  <c r="E489" i="22"/>
  <c r="D489" i="22"/>
  <c r="I488" i="22"/>
  <c r="H487" i="22"/>
  <c r="G487" i="22"/>
  <c r="F487" i="22"/>
  <c r="E487" i="22"/>
  <c r="D487" i="22"/>
  <c r="I486" i="22"/>
  <c r="H482" i="22"/>
  <c r="G482" i="22"/>
  <c r="F482" i="22"/>
  <c r="E482" i="22"/>
  <c r="D482" i="22"/>
  <c r="I481" i="22"/>
  <c r="H480" i="22"/>
  <c r="H483" i="22" s="1"/>
  <c r="G480" i="22"/>
  <c r="F480" i="22"/>
  <c r="E480" i="22"/>
  <c r="D480" i="22"/>
  <c r="I479" i="22"/>
  <c r="H475" i="22"/>
  <c r="G475" i="22"/>
  <c r="F475" i="22"/>
  <c r="E475" i="22"/>
  <c r="D475" i="22"/>
  <c r="I474" i="22"/>
  <c r="H473" i="22"/>
  <c r="G473" i="22"/>
  <c r="F473" i="22"/>
  <c r="E473" i="22"/>
  <c r="E476" i="22" s="1"/>
  <c r="D473" i="22"/>
  <c r="I472" i="22"/>
  <c r="F469" i="22"/>
  <c r="E469" i="22"/>
  <c r="D469" i="22"/>
  <c r="F468" i="22"/>
  <c r="E468" i="22"/>
  <c r="D468" i="22"/>
  <c r="G467" i="22"/>
  <c r="F466" i="22"/>
  <c r="E466" i="22"/>
  <c r="D466" i="22"/>
  <c r="G465" i="22"/>
  <c r="F462" i="22"/>
  <c r="E462" i="22"/>
  <c r="D462" i="22"/>
  <c r="F461" i="22"/>
  <c r="E461" i="22"/>
  <c r="D461" i="22"/>
  <c r="G460" i="22"/>
  <c r="F459" i="22"/>
  <c r="E459" i="22"/>
  <c r="D459" i="22"/>
  <c r="G458" i="22"/>
  <c r="F455" i="22"/>
  <c r="E455" i="22"/>
  <c r="D455" i="22"/>
  <c r="F454" i="22"/>
  <c r="E454" i="22"/>
  <c r="D454" i="22"/>
  <c r="G453" i="22"/>
  <c r="F452" i="22"/>
  <c r="E452" i="22"/>
  <c r="D452" i="22"/>
  <c r="G451" i="22"/>
  <c r="F448" i="22"/>
  <c r="E448" i="22"/>
  <c r="D448" i="22"/>
  <c r="F447" i="22"/>
  <c r="E447" i="22"/>
  <c r="D447" i="22"/>
  <c r="G446" i="22"/>
  <c r="F445" i="22"/>
  <c r="E445" i="22"/>
  <c r="D445" i="22"/>
  <c r="G444" i="22"/>
  <c r="F441" i="22"/>
  <c r="E441" i="22"/>
  <c r="D441" i="22"/>
  <c r="F440" i="22"/>
  <c r="E440" i="22"/>
  <c r="D440" i="22"/>
  <c r="G439" i="22"/>
  <c r="F438" i="22"/>
  <c r="E438" i="22"/>
  <c r="D438" i="22"/>
  <c r="G437" i="22"/>
  <c r="F434" i="22"/>
  <c r="E434" i="22"/>
  <c r="D434" i="22"/>
  <c r="F433" i="22"/>
  <c r="E433" i="22"/>
  <c r="D433" i="22"/>
  <c r="G432" i="22"/>
  <c r="F431" i="22"/>
  <c r="E431" i="22"/>
  <c r="D431" i="22"/>
  <c r="G430" i="22"/>
  <c r="F427" i="22"/>
  <c r="E427" i="22"/>
  <c r="F426" i="22"/>
  <c r="E426" i="22"/>
  <c r="D426" i="22"/>
  <c r="G425" i="22"/>
  <c r="F424" i="22"/>
  <c r="E424" i="22"/>
  <c r="F420" i="22"/>
  <c r="E420" i="22"/>
  <c r="D420" i="22"/>
  <c r="F419" i="22"/>
  <c r="E419" i="22"/>
  <c r="D419" i="22"/>
  <c r="G418" i="22"/>
  <c r="F417" i="22"/>
  <c r="E417" i="22"/>
  <c r="D417" i="22"/>
  <c r="G416" i="22"/>
  <c r="F413" i="22"/>
  <c r="E413" i="22"/>
  <c r="D413" i="22"/>
  <c r="F412" i="22"/>
  <c r="E412" i="22"/>
  <c r="D412" i="22"/>
  <c r="G411" i="22"/>
  <c r="F410" i="22"/>
  <c r="E410" i="22"/>
  <c r="D410" i="22"/>
  <c r="G409" i="22"/>
  <c r="B408" i="22"/>
  <c r="B415" i="22" s="1"/>
  <c r="B422" i="22" s="1"/>
  <c r="B429" i="22" s="1"/>
  <c r="B436" i="22" s="1"/>
  <c r="B443" i="22" s="1"/>
  <c r="B450" i="22" s="1"/>
  <c r="B457" i="22" s="1"/>
  <c r="B464" i="22" s="1"/>
  <c r="F406" i="22"/>
  <c r="E406" i="22"/>
  <c r="D406" i="22"/>
  <c r="F405" i="22"/>
  <c r="E405" i="22"/>
  <c r="D405" i="22"/>
  <c r="G404" i="22"/>
  <c r="F403" i="22"/>
  <c r="E403" i="22"/>
  <c r="D403" i="22"/>
  <c r="G402" i="22"/>
  <c r="B471" i="22" l="1"/>
  <c r="B478" i="22" s="1"/>
  <c r="B485" i="22" s="1"/>
  <c r="B492" i="22" s="1"/>
  <c r="G490" i="22"/>
  <c r="D483" i="22"/>
  <c r="G423" i="22"/>
  <c r="D427" i="22"/>
  <c r="K4269" i="5"/>
  <c r="K4270" i="5" s="1"/>
  <c r="I482" i="22"/>
  <c r="G483" i="22"/>
  <c r="G497" i="22"/>
  <c r="G403" i="22"/>
  <c r="G412" i="22"/>
  <c r="G440" i="22"/>
  <c r="G461" i="22"/>
  <c r="G462" i="22" s="1"/>
  <c r="G468" i="22"/>
  <c r="D476" i="22"/>
  <c r="H476" i="22"/>
  <c r="F483" i="22"/>
  <c r="E490" i="22"/>
  <c r="F497" i="22"/>
  <c r="G426" i="22"/>
  <c r="G452" i="22"/>
  <c r="G454" i="22"/>
  <c r="E497" i="22"/>
  <c r="G417" i="22"/>
  <c r="G445" i="22"/>
  <c r="G447" i="22"/>
  <c r="G438" i="22"/>
  <c r="G459" i="22"/>
  <c r="I473" i="22"/>
  <c r="E483" i="22"/>
  <c r="I489" i="22"/>
  <c r="H490" i="22"/>
  <c r="G424" i="22"/>
  <c r="G433" i="22"/>
  <c r="F476" i="22"/>
  <c r="D497" i="22"/>
  <c r="G405" i="22"/>
  <c r="G410" i="22"/>
  <c r="G413" i="22" s="1"/>
  <c r="G419" i="22"/>
  <c r="G431" i="22"/>
  <c r="G466" i="22"/>
  <c r="I487" i="22"/>
  <c r="D490" i="22"/>
  <c r="I475" i="22"/>
  <c r="G476" i="22"/>
  <c r="I496" i="22"/>
  <c r="I494" i="22"/>
  <c r="I480" i="22"/>
  <c r="D2625" i="26"/>
  <c r="F2624" i="26"/>
  <c r="F2612" i="26"/>
  <c r="C2579" i="26"/>
  <c r="D2600" i="26"/>
  <c r="F2599" i="26"/>
  <c r="F2587" i="26"/>
  <c r="C2554" i="26"/>
  <c r="M3825" i="8"/>
  <c r="L3825" i="8"/>
  <c r="K3825" i="8"/>
  <c r="J3825" i="8"/>
  <c r="I3825" i="8"/>
  <c r="H3825" i="8"/>
  <c r="G3825" i="8"/>
  <c r="F3825" i="8"/>
  <c r="B3787" i="8"/>
  <c r="M3782" i="8"/>
  <c r="L3782" i="8"/>
  <c r="K3782" i="8"/>
  <c r="J3782" i="8"/>
  <c r="I3782" i="8"/>
  <c r="H3782" i="8"/>
  <c r="G3782" i="8"/>
  <c r="F3782" i="8"/>
  <c r="B3744" i="8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X379" i="7"/>
  <c r="X381" i="7" s="1"/>
  <c r="W379" i="7"/>
  <c r="V379" i="7"/>
  <c r="U379" i="7"/>
  <c r="T379" i="7"/>
  <c r="S379" i="7"/>
  <c r="R379" i="7"/>
  <c r="R381" i="7" s="1"/>
  <c r="Q379" i="7"/>
  <c r="P379" i="7"/>
  <c r="P381" i="7" s="1"/>
  <c r="O379" i="7"/>
  <c r="N379" i="7"/>
  <c r="M379" i="7"/>
  <c r="L379" i="7"/>
  <c r="K379" i="7"/>
  <c r="J379" i="7"/>
  <c r="J381" i="7" s="1"/>
  <c r="I379" i="7"/>
  <c r="H379" i="7"/>
  <c r="H381" i="7" s="1"/>
  <c r="G379" i="7"/>
  <c r="F379" i="7"/>
  <c r="Y378" i="7"/>
  <c r="E378" i="7"/>
  <c r="AB377" i="7"/>
  <c r="Y377" i="7"/>
  <c r="E377" i="7"/>
  <c r="Y376" i="7"/>
  <c r="E376" i="7"/>
  <c r="AB375" i="7"/>
  <c r="Y375" i="7"/>
  <c r="E375" i="7"/>
  <c r="Y374" i="7"/>
  <c r="E374" i="7"/>
  <c r="AB373" i="7"/>
  <c r="Y373" i="7"/>
  <c r="E373" i="7"/>
  <c r="Y372" i="7"/>
  <c r="E372" i="7"/>
  <c r="AB371" i="7"/>
  <c r="Y371" i="7"/>
  <c r="E371" i="7"/>
  <c r="Y370" i="7"/>
  <c r="E370" i="7"/>
  <c r="AB369" i="7"/>
  <c r="Y369" i="7"/>
  <c r="E369" i="7"/>
  <c r="Y368" i="7"/>
  <c r="E368" i="7"/>
  <c r="AB367" i="7"/>
  <c r="Y367" i="7"/>
  <c r="E367" i="7"/>
  <c r="Y366" i="7"/>
  <c r="E366" i="7"/>
  <c r="AB365" i="7"/>
  <c r="Y365" i="7"/>
  <c r="E365" i="7"/>
  <c r="J4224" i="5"/>
  <c r="I4224" i="5"/>
  <c r="H4224" i="5"/>
  <c r="G4224" i="5"/>
  <c r="F4224" i="5"/>
  <c r="K4222" i="5"/>
  <c r="K4221" i="5"/>
  <c r="K4220" i="5"/>
  <c r="L4220" i="5" s="1"/>
  <c r="E4220" i="5"/>
  <c r="K4219" i="5"/>
  <c r="L4219" i="5" s="1"/>
  <c r="E4219" i="5"/>
  <c r="L4218" i="5"/>
  <c r="K4218" i="5"/>
  <c r="E4218" i="5"/>
  <c r="K4217" i="5"/>
  <c r="L4217" i="5" s="1"/>
  <c r="E4217" i="5"/>
  <c r="K4216" i="5"/>
  <c r="L4216" i="5" s="1"/>
  <c r="E4216" i="5"/>
  <c r="K4215" i="5"/>
  <c r="L4215" i="5" s="1"/>
  <c r="E4215" i="5"/>
  <c r="L4214" i="5"/>
  <c r="K4214" i="5"/>
  <c r="E4214" i="5"/>
  <c r="K4213" i="5"/>
  <c r="L4213" i="5" s="1"/>
  <c r="K4212" i="5"/>
  <c r="L4212" i="5" s="1"/>
  <c r="E4212" i="5"/>
  <c r="K4211" i="5"/>
  <c r="L4211" i="5" s="1"/>
  <c r="E4211" i="5"/>
  <c r="K4210" i="5"/>
  <c r="L4210" i="5" s="1"/>
  <c r="K4209" i="5"/>
  <c r="L4209" i="5" s="1"/>
  <c r="E4209" i="5"/>
  <c r="K4208" i="5"/>
  <c r="L4208" i="5" s="1"/>
  <c r="E4208" i="5"/>
  <c r="K4207" i="5"/>
  <c r="L4207" i="5" s="1"/>
  <c r="K4206" i="5"/>
  <c r="L4206" i="5" s="1"/>
  <c r="E4206" i="5"/>
  <c r="K4205" i="5"/>
  <c r="L4205" i="5" s="1"/>
  <c r="E4205" i="5"/>
  <c r="K4204" i="5"/>
  <c r="L4204" i="5" s="1"/>
  <c r="E4204" i="5"/>
  <c r="K4203" i="5"/>
  <c r="L4203" i="5" s="1"/>
  <c r="K4202" i="5"/>
  <c r="L4202" i="5" s="1"/>
  <c r="E4202" i="5"/>
  <c r="K4201" i="5"/>
  <c r="L4201" i="5" s="1"/>
  <c r="E4201" i="5"/>
  <c r="K4200" i="5"/>
  <c r="L4200" i="5" s="1"/>
  <c r="E4200" i="5"/>
  <c r="K4199" i="5"/>
  <c r="L4199" i="5" s="1"/>
  <c r="E4199" i="5"/>
  <c r="L4198" i="5"/>
  <c r="K4198" i="5"/>
  <c r="E4198" i="5"/>
  <c r="J4195" i="5"/>
  <c r="I4195" i="5"/>
  <c r="H4195" i="5"/>
  <c r="G4195" i="5"/>
  <c r="F4195" i="5"/>
  <c r="F4225" i="5" s="1"/>
  <c r="K4194" i="5"/>
  <c r="K4193" i="5"/>
  <c r="K4192" i="5"/>
  <c r="K4191" i="5"/>
  <c r="K4190" i="5"/>
  <c r="J4180" i="5"/>
  <c r="I4180" i="5"/>
  <c r="H4180" i="5"/>
  <c r="G4180" i="5"/>
  <c r="K4180" i="5" s="1"/>
  <c r="F4180" i="5"/>
  <c r="K4178" i="5"/>
  <c r="K4177" i="5"/>
  <c r="K4176" i="5"/>
  <c r="L4176" i="5" s="1"/>
  <c r="E4176" i="5"/>
  <c r="K4175" i="5"/>
  <c r="L4175" i="5" s="1"/>
  <c r="E4175" i="5"/>
  <c r="K4174" i="5"/>
  <c r="L4174" i="5" s="1"/>
  <c r="E4174" i="5"/>
  <c r="K4173" i="5"/>
  <c r="L4173" i="5" s="1"/>
  <c r="E4173" i="5"/>
  <c r="K4172" i="5"/>
  <c r="L4172" i="5" s="1"/>
  <c r="E4172" i="5"/>
  <c r="L4171" i="5"/>
  <c r="K4171" i="5"/>
  <c r="E4171" i="5"/>
  <c r="K4170" i="5"/>
  <c r="L4170" i="5" s="1"/>
  <c r="E4170" i="5"/>
  <c r="K4169" i="5"/>
  <c r="L4169" i="5" s="1"/>
  <c r="L4168" i="5"/>
  <c r="K4168" i="5"/>
  <c r="E4168" i="5"/>
  <c r="K4167" i="5"/>
  <c r="L4167" i="5" s="1"/>
  <c r="E4167" i="5"/>
  <c r="K4166" i="5"/>
  <c r="L4166" i="5" s="1"/>
  <c r="K4165" i="5"/>
  <c r="L4165" i="5" s="1"/>
  <c r="E4165" i="5"/>
  <c r="K4164" i="5"/>
  <c r="L4164" i="5" s="1"/>
  <c r="E4164" i="5"/>
  <c r="K4163" i="5"/>
  <c r="L4163" i="5" s="1"/>
  <c r="K4162" i="5"/>
  <c r="L4162" i="5" s="1"/>
  <c r="E4162" i="5"/>
  <c r="K4161" i="5"/>
  <c r="L4161" i="5" s="1"/>
  <c r="E4161" i="5"/>
  <c r="K4160" i="5"/>
  <c r="L4160" i="5" s="1"/>
  <c r="E4160" i="5"/>
  <c r="K4159" i="5"/>
  <c r="L4159" i="5" s="1"/>
  <c r="K4158" i="5"/>
  <c r="L4158" i="5" s="1"/>
  <c r="E4158" i="5"/>
  <c r="K4157" i="5"/>
  <c r="L4157" i="5" s="1"/>
  <c r="E4157" i="5"/>
  <c r="K4156" i="5"/>
  <c r="L4156" i="5" s="1"/>
  <c r="E4156" i="5"/>
  <c r="L4155" i="5"/>
  <c r="K4155" i="5"/>
  <c r="E4155" i="5"/>
  <c r="K4154" i="5"/>
  <c r="L4154" i="5" s="1"/>
  <c r="E4154" i="5"/>
  <c r="J4151" i="5"/>
  <c r="I4151" i="5"/>
  <c r="H4151" i="5"/>
  <c r="H4181" i="5" s="1"/>
  <c r="G4151" i="5"/>
  <c r="F4151" i="5"/>
  <c r="K4150" i="5"/>
  <c r="K4149" i="5"/>
  <c r="K4148" i="5"/>
  <c r="K4147" i="5"/>
  <c r="K4146" i="5"/>
  <c r="C1164" i="18"/>
  <c r="B1164" i="18"/>
  <c r="C1158" i="18"/>
  <c r="B1158" i="18"/>
  <c r="C1151" i="18"/>
  <c r="B1151" i="18"/>
  <c r="O878" i="1"/>
  <c r="F381" i="7" l="1"/>
  <c r="N381" i="7"/>
  <c r="V381" i="7"/>
  <c r="G469" i="22"/>
  <c r="I476" i="22"/>
  <c r="I4225" i="5"/>
  <c r="I497" i="22"/>
  <c r="L381" i="7"/>
  <c r="T381" i="7"/>
  <c r="J4225" i="5"/>
  <c r="E3826" i="8"/>
  <c r="G406" i="22"/>
  <c r="G420" i="22"/>
  <c r="G434" i="22"/>
  <c r="G441" i="22"/>
  <c r="G448" i="22"/>
  <c r="G455" i="22"/>
  <c r="I483" i="22"/>
  <c r="I490" i="22"/>
  <c r="G427" i="22"/>
  <c r="E3783" i="8"/>
  <c r="Y379" i="7"/>
  <c r="I381" i="7"/>
  <c r="M381" i="7"/>
  <c r="Q381" i="7"/>
  <c r="U381" i="7"/>
  <c r="E380" i="7"/>
  <c r="E379" i="7"/>
  <c r="E381" i="7" s="1"/>
  <c r="G381" i="7"/>
  <c r="K381" i="7"/>
  <c r="O381" i="7"/>
  <c r="S381" i="7"/>
  <c r="W381" i="7"/>
  <c r="Y380" i="7"/>
  <c r="H4225" i="5"/>
  <c r="G4225" i="5"/>
  <c r="K4225" i="5" s="1"/>
  <c r="K4195" i="5"/>
  <c r="E4224" i="5"/>
  <c r="K4224" i="5"/>
  <c r="L4224" i="5"/>
  <c r="J4181" i="5"/>
  <c r="I4181" i="5"/>
  <c r="F4181" i="5"/>
  <c r="G4181" i="5"/>
  <c r="E4180" i="5"/>
  <c r="K4151" i="5"/>
  <c r="L4180" i="5"/>
  <c r="N278" i="13"/>
  <c r="M275" i="13"/>
  <c r="F275" i="13"/>
  <c r="N279" i="13"/>
  <c r="N277" i="13"/>
  <c r="N275" i="13"/>
  <c r="N284" i="13"/>
  <c r="N288" i="13" s="1"/>
  <c r="N280" i="13"/>
  <c r="N276" i="13"/>
  <c r="M3739" i="8"/>
  <c r="L3739" i="8"/>
  <c r="K3739" i="8"/>
  <c r="J3739" i="8"/>
  <c r="I3739" i="8"/>
  <c r="H3739" i="8"/>
  <c r="G3739" i="8"/>
  <c r="F3739" i="8"/>
  <c r="B3701" i="8"/>
  <c r="J4136" i="5"/>
  <c r="I4136" i="5"/>
  <c r="H4136" i="5"/>
  <c r="G4136" i="5"/>
  <c r="F4136" i="5"/>
  <c r="K4134" i="5"/>
  <c r="K4133" i="5"/>
  <c r="K4132" i="5"/>
  <c r="L4132" i="5" s="1"/>
  <c r="E4132" i="5"/>
  <c r="K4131" i="5"/>
  <c r="L4131" i="5" s="1"/>
  <c r="E4131" i="5"/>
  <c r="K4130" i="5"/>
  <c r="L4130" i="5" s="1"/>
  <c r="E4130" i="5"/>
  <c r="K4129" i="5"/>
  <c r="L4129" i="5" s="1"/>
  <c r="E4129" i="5"/>
  <c r="K4128" i="5"/>
  <c r="L4128" i="5" s="1"/>
  <c r="E4128" i="5"/>
  <c r="K4127" i="5"/>
  <c r="L4127" i="5" s="1"/>
  <c r="E4127" i="5"/>
  <c r="L4126" i="5"/>
  <c r="K4126" i="5"/>
  <c r="E4126" i="5"/>
  <c r="K4125" i="5"/>
  <c r="L4125" i="5" s="1"/>
  <c r="K4124" i="5"/>
  <c r="L4124" i="5" s="1"/>
  <c r="E4124" i="5"/>
  <c r="K4123" i="5"/>
  <c r="L4123" i="5" s="1"/>
  <c r="E4123" i="5"/>
  <c r="K4122" i="5"/>
  <c r="L4122" i="5" s="1"/>
  <c r="K4121" i="5"/>
  <c r="L4121" i="5" s="1"/>
  <c r="E4121" i="5"/>
  <c r="K4120" i="5"/>
  <c r="L4120" i="5" s="1"/>
  <c r="E4120" i="5"/>
  <c r="K4119" i="5"/>
  <c r="L4119" i="5" s="1"/>
  <c r="K4118" i="5"/>
  <c r="L4118" i="5" s="1"/>
  <c r="E4118" i="5"/>
  <c r="K4117" i="5"/>
  <c r="L4117" i="5" s="1"/>
  <c r="E4117" i="5"/>
  <c r="K4116" i="5"/>
  <c r="L4116" i="5" s="1"/>
  <c r="E4116" i="5"/>
  <c r="K4115" i="5"/>
  <c r="L4115" i="5" s="1"/>
  <c r="L4114" i="5"/>
  <c r="K4114" i="5"/>
  <c r="E4114" i="5"/>
  <c r="K4113" i="5"/>
  <c r="L4113" i="5" s="1"/>
  <c r="E4113" i="5"/>
  <c r="K4112" i="5"/>
  <c r="L4112" i="5" s="1"/>
  <c r="E4112" i="5"/>
  <c r="K4111" i="5"/>
  <c r="L4111" i="5" s="1"/>
  <c r="E4111" i="5"/>
  <c r="K4110" i="5"/>
  <c r="L4110" i="5" s="1"/>
  <c r="E4110" i="5"/>
  <c r="J4107" i="5"/>
  <c r="J4137" i="5" s="1"/>
  <c r="I4107" i="5"/>
  <c r="H4107" i="5"/>
  <c r="G4107" i="5"/>
  <c r="F4107" i="5"/>
  <c r="K4106" i="5"/>
  <c r="K4105" i="5"/>
  <c r="K4104" i="5"/>
  <c r="K4103" i="5"/>
  <c r="K4102" i="5"/>
  <c r="C1141" i="18"/>
  <c r="B1141" i="18"/>
  <c r="AX1050" i="2"/>
  <c r="C1048" i="2"/>
  <c r="C1047" i="2"/>
  <c r="Q865" i="1"/>
  <c r="G865" i="1"/>
  <c r="E3740" i="8" l="1"/>
  <c r="Y381" i="7"/>
  <c r="K4226" i="5"/>
  <c r="K4181" i="5"/>
  <c r="K4182" i="5" s="1"/>
  <c r="N281" i="13"/>
  <c r="F4137" i="5"/>
  <c r="I4137" i="5"/>
  <c r="H4137" i="5"/>
  <c r="G4137" i="5"/>
  <c r="K4107" i="5"/>
  <c r="E4136" i="5"/>
  <c r="K4136" i="5"/>
  <c r="L4136" i="5"/>
  <c r="D2575" i="26"/>
  <c r="F2574" i="26"/>
  <c r="F2562" i="26"/>
  <c r="J4092" i="5"/>
  <c r="I4092" i="5"/>
  <c r="H4092" i="5"/>
  <c r="G4092" i="5"/>
  <c r="F4092" i="5"/>
  <c r="K4090" i="5"/>
  <c r="K4089" i="5"/>
  <c r="K4088" i="5"/>
  <c r="L4088" i="5" s="1"/>
  <c r="E4088" i="5"/>
  <c r="K4087" i="5"/>
  <c r="L4087" i="5" s="1"/>
  <c r="E4087" i="5"/>
  <c r="K4086" i="5"/>
  <c r="L4086" i="5" s="1"/>
  <c r="E4086" i="5"/>
  <c r="K4085" i="5"/>
  <c r="L4085" i="5" s="1"/>
  <c r="E4085" i="5"/>
  <c r="K4084" i="5"/>
  <c r="L4084" i="5" s="1"/>
  <c r="E4084" i="5"/>
  <c r="K4083" i="5"/>
  <c r="L4083" i="5" s="1"/>
  <c r="E4083" i="5"/>
  <c r="K4082" i="5"/>
  <c r="L4082" i="5" s="1"/>
  <c r="E4082" i="5"/>
  <c r="K4081" i="5"/>
  <c r="L4081" i="5" s="1"/>
  <c r="K4080" i="5"/>
  <c r="L4080" i="5" s="1"/>
  <c r="E4080" i="5"/>
  <c r="K4079" i="5"/>
  <c r="L4079" i="5" s="1"/>
  <c r="E4079" i="5"/>
  <c r="K4078" i="5"/>
  <c r="L4078" i="5" s="1"/>
  <c r="K4077" i="5"/>
  <c r="L4077" i="5" s="1"/>
  <c r="E4077" i="5"/>
  <c r="L4076" i="5"/>
  <c r="K4076" i="5"/>
  <c r="E4076" i="5"/>
  <c r="K4075" i="5"/>
  <c r="L4075" i="5" s="1"/>
  <c r="K4074" i="5"/>
  <c r="L4074" i="5" s="1"/>
  <c r="E4074" i="5"/>
  <c r="K4073" i="5"/>
  <c r="L4073" i="5" s="1"/>
  <c r="E4073" i="5"/>
  <c r="K4072" i="5"/>
  <c r="L4072" i="5" s="1"/>
  <c r="E4072" i="5"/>
  <c r="K4071" i="5"/>
  <c r="L4071" i="5" s="1"/>
  <c r="K4070" i="5"/>
  <c r="L4070" i="5" s="1"/>
  <c r="E4070" i="5"/>
  <c r="K4069" i="5"/>
  <c r="L4069" i="5" s="1"/>
  <c r="E4069" i="5"/>
  <c r="K4068" i="5"/>
  <c r="L4068" i="5" s="1"/>
  <c r="E4068" i="5"/>
  <c r="K4067" i="5"/>
  <c r="L4067" i="5" s="1"/>
  <c r="E4067" i="5"/>
  <c r="K4066" i="5"/>
  <c r="L4066" i="5" s="1"/>
  <c r="E4066" i="5"/>
  <c r="J4063" i="5"/>
  <c r="J4093" i="5" s="1"/>
  <c r="I4063" i="5"/>
  <c r="I4093" i="5" s="1"/>
  <c r="H4063" i="5"/>
  <c r="G4063" i="5"/>
  <c r="F4063" i="5"/>
  <c r="K4062" i="5"/>
  <c r="K4061" i="5"/>
  <c r="K4060" i="5"/>
  <c r="K4059" i="5"/>
  <c r="K4058" i="5"/>
  <c r="C1130" i="18"/>
  <c r="B1130" i="18"/>
  <c r="F4093" i="5" l="1"/>
  <c r="K4137" i="5"/>
  <c r="K4138" i="5"/>
  <c r="G4093" i="5"/>
  <c r="E4092" i="5"/>
  <c r="H4093" i="5"/>
  <c r="K4093" i="5" s="1"/>
  <c r="K4092" i="5"/>
  <c r="K4063" i="5"/>
  <c r="L4092" i="5"/>
  <c r="M3696" i="8"/>
  <c r="L3696" i="8"/>
  <c r="K3696" i="8"/>
  <c r="J3696" i="8"/>
  <c r="I3696" i="8"/>
  <c r="H3696" i="8"/>
  <c r="G3696" i="8"/>
  <c r="F3696" i="8"/>
  <c r="B3658" i="8"/>
  <c r="J4048" i="5"/>
  <c r="I4048" i="5"/>
  <c r="H4048" i="5"/>
  <c r="G4048" i="5"/>
  <c r="F4048" i="5"/>
  <c r="K4046" i="5"/>
  <c r="K4045" i="5"/>
  <c r="K4044" i="5"/>
  <c r="L4044" i="5" s="1"/>
  <c r="E4044" i="5"/>
  <c r="K4043" i="5"/>
  <c r="L4043" i="5" s="1"/>
  <c r="E4043" i="5"/>
  <c r="K4042" i="5"/>
  <c r="L4042" i="5" s="1"/>
  <c r="E4042" i="5"/>
  <c r="K4041" i="5"/>
  <c r="L4041" i="5" s="1"/>
  <c r="E4041" i="5"/>
  <c r="K4040" i="5"/>
  <c r="L4040" i="5" s="1"/>
  <c r="E4040" i="5"/>
  <c r="K4039" i="5"/>
  <c r="L4039" i="5" s="1"/>
  <c r="E4039" i="5"/>
  <c r="K4038" i="5"/>
  <c r="L4038" i="5" s="1"/>
  <c r="E4038" i="5"/>
  <c r="K4037" i="5"/>
  <c r="L4037" i="5" s="1"/>
  <c r="K4036" i="5"/>
  <c r="L4036" i="5" s="1"/>
  <c r="E4036" i="5"/>
  <c r="K4035" i="5"/>
  <c r="L4035" i="5" s="1"/>
  <c r="E4035" i="5"/>
  <c r="K4034" i="5"/>
  <c r="L4034" i="5" s="1"/>
  <c r="K4033" i="5"/>
  <c r="L4033" i="5" s="1"/>
  <c r="E4033" i="5"/>
  <c r="K4032" i="5"/>
  <c r="L4032" i="5" s="1"/>
  <c r="E4032" i="5"/>
  <c r="K4031" i="5"/>
  <c r="L4031" i="5" s="1"/>
  <c r="K4030" i="5"/>
  <c r="L4030" i="5" s="1"/>
  <c r="E4030" i="5"/>
  <c r="K4029" i="5"/>
  <c r="L4029" i="5" s="1"/>
  <c r="E4029" i="5"/>
  <c r="K4028" i="5"/>
  <c r="L4028" i="5" s="1"/>
  <c r="E4028" i="5"/>
  <c r="K4027" i="5"/>
  <c r="L4027" i="5" s="1"/>
  <c r="K4026" i="5"/>
  <c r="L4026" i="5" s="1"/>
  <c r="E4026" i="5"/>
  <c r="K4025" i="5"/>
  <c r="L4025" i="5" s="1"/>
  <c r="E4025" i="5"/>
  <c r="K4024" i="5"/>
  <c r="L4024" i="5" s="1"/>
  <c r="E4024" i="5"/>
  <c r="K4023" i="5"/>
  <c r="L4023" i="5" s="1"/>
  <c r="E4023" i="5"/>
  <c r="K4022" i="5"/>
  <c r="L4022" i="5" s="1"/>
  <c r="E4022" i="5"/>
  <c r="J4019" i="5"/>
  <c r="I4019" i="5"/>
  <c r="H4019" i="5"/>
  <c r="G4019" i="5"/>
  <c r="F4019" i="5"/>
  <c r="K4018" i="5"/>
  <c r="K4017" i="5"/>
  <c r="K4016" i="5"/>
  <c r="K4015" i="5"/>
  <c r="K4014" i="5"/>
  <c r="C1124" i="18"/>
  <c r="B1124" i="18"/>
  <c r="C1034" i="2"/>
  <c r="G852" i="1"/>
  <c r="K4094" i="5" l="1"/>
  <c r="F4049" i="5"/>
  <c r="I4049" i="5"/>
  <c r="E3697" i="8"/>
  <c r="J4049" i="5"/>
  <c r="H4049" i="5"/>
  <c r="G4049" i="5"/>
  <c r="K4049" i="5" s="1"/>
  <c r="K4019" i="5"/>
  <c r="E4048" i="5"/>
  <c r="K4048" i="5"/>
  <c r="L4048" i="5"/>
  <c r="D2550" i="26"/>
  <c r="F2549" i="26"/>
  <c r="F2537" i="26"/>
  <c r="C2508" i="26"/>
  <c r="M3653" i="8"/>
  <c r="L3653" i="8"/>
  <c r="K3653" i="8"/>
  <c r="J3653" i="8"/>
  <c r="I3653" i="8"/>
  <c r="H3653" i="8"/>
  <c r="G3653" i="8"/>
  <c r="F3653" i="8"/>
  <c r="B3615" i="8"/>
  <c r="J4004" i="5"/>
  <c r="I4004" i="5"/>
  <c r="H4004" i="5"/>
  <c r="G4004" i="5"/>
  <c r="F4004" i="5"/>
  <c r="K4002" i="5"/>
  <c r="K4001" i="5"/>
  <c r="L4000" i="5"/>
  <c r="K4000" i="5"/>
  <c r="E4000" i="5"/>
  <c r="K3999" i="5"/>
  <c r="L3999" i="5" s="1"/>
  <c r="E3999" i="5"/>
  <c r="K3998" i="5"/>
  <c r="L3998" i="5" s="1"/>
  <c r="E3998" i="5"/>
  <c r="K3997" i="5"/>
  <c r="L3997" i="5" s="1"/>
  <c r="E3997" i="5"/>
  <c r="K3996" i="5"/>
  <c r="L3996" i="5" s="1"/>
  <c r="E3996" i="5"/>
  <c r="K3995" i="5"/>
  <c r="L3995" i="5" s="1"/>
  <c r="E3995" i="5"/>
  <c r="K3994" i="5"/>
  <c r="L3994" i="5" s="1"/>
  <c r="E3994" i="5"/>
  <c r="K3993" i="5"/>
  <c r="L3993" i="5" s="1"/>
  <c r="K3992" i="5"/>
  <c r="L3992" i="5" s="1"/>
  <c r="E3992" i="5"/>
  <c r="K3991" i="5"/>
  <c r="L3991" i="5" s="1"/>
  <c r="E3991" i="5"/>
  <c r="K3990" i="5"/>
  <c r="L3990" i="5" s="1"/>
  <c r="K3989" i="5"/>
  <c r="L3989" i="5" s="1"/>
  <c r="E3989" i="5"/>
  <c r="K3988" i="5"/>
  <c r="L3988" i="5" s="1"/>
  <c r="E3988" i="5"/>
  <c r="K3987" i="5"/>
  <c r="L3987" i="5" s="1"/>
  <c r="K3986" i="5"/>
  <c r="L3986" i="5" s="1"/>
  <c r="E3986" i="5"/>
  <c r="K3985" i="5"/>
  <c r="L3985" i="5" s="1"/>
  <c r="E3985" i="5"/>
  <c r="K3984" i="5"/>
  <c r="L3984" i="5" s="1"/>
  <c r="E3984" i="5"/>
  <c r="K3983" i="5"/>
  <c r="L3983" i="5" s="1"/>
  <c r="K3982" i="5"/>
  <c r="L3982" i="5" s="1"/>
  <c r="E3982" i="5"/>
  <c r="K3981" i="5"/>
  <c r="L3981" i="5" s="1"/>
  <c r="E3981" i="5"/>
  <c r="K3980" i="5"/>
  <c r="L3980" i="5" s="1"/>
  <c r="E3980" i="5"/>
  <c r="K3979" i="5"/>
  <c r="L3979" i="5" s="1"/>
  <c r="E3979" i="5"/>
  <c r="K3978" i="5"/>
  <c r="L3978" i="5" s="1"/>
  <c r="E3978" i="5"/>
  <c r="J3975" i="5"/>
  <c r="J4005" i="5" s="1"/>
  <c r="I3975" i="5"/>
  <c r="H3975" i="5"/>
  <c r="H4005" i="5" s="1"/>
  <c r="G3975" i="5"/>
  <c r="F3975" i="5"/>
  <c r="F4005" i="5" s="1"/>
  <c r="K3974" i="5"/>
  <c r="K3973" i="5"/>
  <c r="K3972" i="5"/>
  <c r="K3971" i="5"/>
  <c r="K3970" i="5"/>
  <c r="C1112" i="18"/>
  <c r="B1112" i="18"/>
  <c r="T1030" i="2"/>
  <c r="BF1135" i="2"/>
  <c r="BE1135" i="2"/>
  <c r="BD1135" i="2"/>
  <c r="BC1135" i="2"/>
  <c r="BB1135" i="2"/>
  <c r="BA1135" i="2"/>
  <c r="AZ1135" i="2"/>
  <c r="AY1135" i="2"/>
  <c r="AX1135" i="2"/>
  <c r="AW1135" i="2"/>
  <c r="AV1135" i="2"/>
  <c r="AU1135" i="2"/>
  <c r="AT1135" i="2"/>
  <c r="AS1135" i="2"/>
  <c r="AR1135" i="2"/>
  <c r="AQ1135" i="2"/>
  <c r="AP1135" i="2"/>
  <c r="AO1135" i="2"/>
  <c r="AN1135" i="2"/>
  <c r="AM1135" i="2"/>
  <c r="AL1135" i="2"/>
  <c r="AK1135" i="2"/>
  <c r="AJ1135" i="2"/>
  <c r="AI1135" i="2"/>
  <c r="AH1135" i="2"/>
  <c r="AG1135" i="2"/>
  <c r="AF1135" i="2"/>
  <c r="AE1135" i="2"/>
  <c r="AD1135" i="2"/>
  <c r="AC1135" i="2"/>
  <c r="AB1135" i="2"/>
  <c r="AA1135" i="2"/>
  <c r="Z1135" i="2"/>
  <c r="Y1135" i="2"/>
  <c r="X1135" i="2"/>
  <c r="W1135" i="2"/>
  <c r="V1135" i="2"/>
  <c r="U1135" i="2"/>
  <c r="T1135" i="2"/>
  <c r="S1135" i="2"/>
  <c r="R1135" i="2"/>
  <c r="Q1135" i="2"/>
  <c r="P1135" i="2"/>
  <c r="O1135" i="2"/>
  <c r="N1135" i="2"/>
  <c r="M1135" i="2"/>
  <c r="L1135" i="2"/>
  <c r="K1135" i="2"/>
  <c r="J1135" i="2"/>
  <c r="I1135" i="2"/>
  <c r="H1135" i="2"/>
  <c r="G1135" i="2"/>
  <c r="C1134" i="2"/>
  <c r="C1126" i="2"/>
  <c r="C1117" i="2"/>
  <c r="C1110" i="2"/>
  <c r="C1105" i="2"/>
  <c r="C1102" i="2"/>
  <c r="C1092" i="2"/>
  <c r="L1082" i="2"/>
  <c r="AI1082" i="2" s="1"/>
  <c r="AW1082" i="2" s="1"/>
  <c r="AW1139" i="2" s="1"/>
  <c r="AL1139" i="2" s="1"/>
  <c r="L1139" i="2" s="1"/>
  <c r="C1139" i="2" s="1"/>
  <c r="W941" i="1"/>
  <c r="V941" i="1"/>
  <c r="U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38" i="1"/>
  <c r="D938" i="1"/>
  <c r="Z935" i="1"/>
  <c r="Y935" i="1"/>
  <c r="E934" i="1"/>
  <c r="D934" i="1"/>
  <c r="Z928" i="1"/>
  <c r="Y928" i="1"/>
  <c r="E927" i="1"/>
  <c r="D927" i="1"/>
  <c r="Z923" i="1"/>
  <c r="Y923" i="1"/>
  <c r="E922" i="1"/>
  <c r="D922" i="1"/>
  <c r="Z915" i="1"/>
  <c r="Y915" i="1"/>
  <c r="E914" i="1"/>
  <c r="D914" i="1"/>
  <c r="D941" i="1" s="1"/>
  <c r="Z908" i="1"/>
  <c r="Y908" i="1"/>
  <c r="E907" i="1"/>
  <c r="D907" i="1"/>
  <c r="Z902" i="1"/>
  <c r="Y902" i="1"/>
  <c r="E901" i="1"/>
  <c r="D901" i="1"/>
  <c r="Z897" i="1"/>
  <c r="Y897" i="1"/>
  <c r="M895" i="1"/>
  <c r="V895" i="1" s="1"/>
  <c r="V943" i="1" s="1"/>
  <c r="M943" i="1" s="1"/>
  <c r="E943" i="1" s="1"/>
  <c r="E941" i="1" l="1"/>
  <c r="C1136" i="2"/>
  <c r="Y941" i="1"/>
  <c r="E3654" i="8"/>
  <c r="K4050" i="5"/>
  <c r="I4005" i="5"/>
  <c r="K4005" i="5" s="1"/>
  <c r="E4004" i="5"/>
  <c r="G4005" i="5"/>
  <c r="K4004" i="5"/>
  <c r="K3975" i="5"/>
  <c r="L4004" i="5"/>
  <c r="H397" i="22"/>
  <c r="G397" i="22"/>
  <c r="F397" i="22"/>
  <c r="F398" i="22" s="1"/>
  <c r="E397" i="22"/>
  <c r="D397" i="22"/>
  <c r="I396" i="22"/>
  <c r="H395" i="22"/>
  <c r="G395" i="22"/>
  <c r="F395" i="22"/>
  <c r="E395" i="22"/>
  <c r="E398" i="22" s="1"/>
  <c r="D395" i="22"/>
  <c r="D398" i="22" s="1"/>
  <c r="I394" i="22"/>
  <c r="H389" i="22"/>
  <c r="G389" i="22"/>
  <c r="F389" i="22"/>
  <c r="E389" i="22"/>
  <c r="D389" i="22"/>
  <c r="I388" i="22"/>
  <c r="H387" i="22"/>
  <c r="H390" i="22" s="1"/>
  <c r="G387" i="22"/>
  <c r="F387" i="22"/>
  <c r="E387" i="22"/>
  <c r="D387" i="22"/>
  <c r="I386" i="22"/>
  <c r="H382" i="22"/>
  <c r="G382" i="22"/>
  <c r="F382" i="22"/>
  <c r="E382" i="22"/>
  <c r="D382" i="22"/>
  <c r="I381" i="22"/>
  <c r="H380" i="22"/>
  <c r="G380" i="22"/>
  <c r="F380" i="22"/>
  <c r="F383" i="22" s="1"/>
  <c r="E380" i="22"/>
  <c r="E383" i="22" s="1"/>
  <c r="D380" i="22"/>
  <c r="I379" i="22"/>
  <c r="H375" i="22"/>
  <c r="G375" i="22"/>
  <c r="F375" i="22"/>
  <c r="E375" i="22"/>
  <c r="D375" i="22"/>
  <c r="I374" i="22"/>
  <c r="H373" i="22"/>
  <c r="G373" i="22"/>
  <c r="F373" i="22"/>
  <c r="E373" i="22"/>
  <c r="D373" i="22"/>
  <c r="I372" i="22"/>
  <c r="F369" i="22"/>
  <c r="E369" i="22"/>
  <c r="D369" i="22"/>
  <c r="F368" i="22"/>
  <c r="E368" i="22"/>
  <c r="D368" i="22"/>
  <c r="G367" i="22"/>
  <c r="F366" i="22"/>
  <c r="E366" i="22"/>
  <c r="D366" i="22"/>
  <c r="G365" i="22"/>
  <c r="F362" i="22"/>
  <c r="E362" i="22"/>
  <c r="D362" i="22"/>
  <c r="F361" i="22"/>
  <c r="E361" i="22"/>
  <c r="D361" i="22"/>
  <c r="G361" i="22" s="1"/>
  <c r="G360" i="22"/>
  <c r="F359" i="22"/>
  <c r="E359" i="22"/>
  <c r="D359" i="22"/>
  <c r="G358" i="22"/>
  <c r="F355" i="22"/>
  <c r="E355" i="22"/>
  <c r="D355" i="22"/>
  <c r="F354" i="22"/>
  <c r="E354" i="22"/>
  <c r="D354" i="22"/>
  <c r="G353" i="22"/>
  <c r="F352" i="22"/>
  <c r="E352" i="22"/>
  <c r="D352" i="22"/>
  <c r="G352" i="22" s="1"/>
  <c r="G351" i="22"/>
  <c r="F348" i="22"/>
  <c r="E348" i="22"/>
  <c r="D348" i="22"/>
  <c r="F347" i="22"/>
  <c r="E347" i="22"/>
  <c r="D347" i="22"/>
  <c r="G346" i="22"/>
  <c r="F345" i="22"/>
  <c r="E345" i="22"/>
  <c r="D345" i="22"/>
  <c r="G344" i="22"/>
  <c r="F341" i="22"/>
  <c r="E341" i="22"/>
  <c r="D341" i="22"/>
  <c r="F340" i="22"/>
  <c r="E340" i="22"/>
  <c r="D340" i="22"/>
  <c r="G339" i="22"/>
  <c r="F338" i="22"/>
  <c r="E338" i="22"/>
  <c r="D338" i="22"/>
  <c r="G337" i="22"/>
  <c r="F334" i="22"/>
  <c r="E334" i="22"/>
  <c r="D334" i="22"/>
  <c r="F333" i="22"/>
  <c r="E333" i="22"/>
  <c r="D333" i="22"/>
  <c r="G332" i="22"/>
  <c r="F331" i="22"/>
  <c r="E331" i="22"/>
  <c r="D331" i="22"/>
  <c r="G330" i="22"/>
  <c r="F327" i="22"/>
  <c r="E327" i="22"/>
  <c r="D327" i="22"/>
  <c r="F326" i="22"/>
  <c r="E326" i="22"/>
  <c r="D326" i="22"/>
  <c r="G325" i="22"/>
  <c r="F324" i="22"/>
  <c r="E324" i="22"/>
  <c r="D324" i="22"/>
  <c r="G323" i="22"/>
  <c r="F320" i="22"/>
  <c r="E320" i="22"/>
  <c r="D320" i="22"/>
  <c r="F319" i="22"/>
  <c r="E319" i="22"/>
  <c r="D319" i="22"/>
  <c r="G318" i="22"/>
  <c r="F317" i="22"/>
  <c r="E317" i="22"/>
  <c r="D317" i="22"/>
  <c r="G317" i="22" s="1"/>
  <c r="G316" i="22"/>
  <c r="F313" i="22"/>
  <c r="E313" i="22"/>
  <c r="D313" i="22"/>
  <c r="F312" i="22"/>
  <c r="E312" i="22"/>
  <c r="D312" i="22"/>
  <c r="G311" i="22"/>
  <c r="F310" i="22"/>
  <c r="E310" i="22"/>
  <c r="D310" i="22"/>
  <c r="G309" i="22"/>
  <c r="B308" i="22"/>
  <c r="B315" i="22" s="1"/>
  <c r="B322" i="22" s="1"/>
  <c r="B329" i="22" s="1"/>
  <c r="B336" i="22" s="1"/>
  <c r="B343" i="22" s="1"/>
  <c r="B350" i="22" s="1"/>
  <c r="B357" i="22" s="1"/>
  <c r="B364" i="22" s="1"/>
  <c r="B371" i="22" s="1"/>
  <c r="B378" i="22" s="1"/>
  <c r="B385" i="22" s="1"/>
  <c r="F306" i="22"/>
  <c r="E306" i="22"/>
  <c r="D306" i="22"/>
  <c r="F305" i="22"/>
  <c r="E305" i="22"/>
  <c r="D305" i="22"/>
  <c r="G304" i="22"/>
  <c r="F303" i="22"/>
  <c r="E303" i="22"/>
  <c r="D303" i="22"/>
  <c r="G302" i="22"/>
  <c r="G345" i="22" l="1"/>
  <c r="G383" i="22"/>
  <c r="E390" i="22"/>
  <c r="H398" i="22"/>
  <c r="G312" i="22"/>
  <c r="G359" i="22"/>
  <c r="G362" i="22" s="1"/>
  <c r="G354" i="22"/>
  <c r="G355" i="22" s="1"/>
  <c r="G305" i="22"/>
  <c r="D390" i="22"/>
  <c r="D376" i="22"/>
  <c r="H376" i="22"/>
  <c r="G324" i="22"/>
  <c r="G327" i="22" s="1"/>
  <c r="G326" i="22"/>
  <c r="G331" i="22"/>
  <c r="G338" i="22"/>
  <c r="G347" i="22"/>
  <c r="G368" i="22"/>
  <c r="G398" i="22"/>
  <c r="K4006" i="5"/>
  <c r="G366" i="22"/>
  <c r="G340" i="22"/>
  <c r="G348" i="22"/>
  <c r="G333" i="22"/>
  <c r="G319" i="22"/>
  <c r="G320" i="22" s="1"/>
  <c r="G303" i="22"/>
  <c r="G310" i="22"/>
  <c r="F390" i="22"/>
  <c r="I389" i="22"/>
  <c r="G390" i="22"/>
  <c r="H383" i="22"/>
  <c r="I380" i="22"/>
  <c r="D383" i="22"/>
  <c r="I397" i="22"/>
  <c r="G376" i="22"/>
  <c r="F376" i="22"/>
  <c r="I375" i="22"/>
  <c r="E376" i="22"/>
  <c r="G369" i="22"/>
  <c r="I373" i="22"/>
  <c r="I382" i="22"/>
  <c r="I395" i="22"/>
  <c r="I387" i="22"/>
  <c r="D2525" i="26"/>
  <c r="F2524" i="26"/>
  <c r="F2512" i="26"/>
  <c r="F2499" i="26"/>
  <c r="F2487" i="26"/>
  <c r="D2500" i="26"/>
  <c r="D2455" i="26"/>
  <c r="D2475" i="26"/>
  <c r="F2474" i="26"/>
  <c r="F2462" i="26"/>
  <c r="D2450" i="26"/>
  <c r="F2449" i="26"/>
  <c r="F2437" i="26"/>
  <c r="M3610" i="8"/>
  <c r="L3610" i="8"/>
  <c r="K3610" i="8"/>
  <c r="J3610" i="8"/>
  <c r="I3610" i="8"/>
  <c r="H3610" i="8"/>
  <c r="G3610" i="8"/>
  <c r="F3610" i="8"/>
  <c r="B3572" i="8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F360" i="7"/>
  <c r="X359" i="7"/>
  <c r="X361" i="7" s="1"/>
  <c r="W359" i="7"/>
  <c r="V359" i="7"/>
  <c r="V361" i="7" s="1"/>
  <c r="U359" i="7"/>
  <c r="U361" i="7" s="1"/>
  <c r="T359" i="7"/>
  <c r="S359" i="7"/>
  <c r="R359" i="7"/>
  <c r="Q359" i="7"/>
  <c r="P359" i="7"/>
  <c r="P361" i="7" s="1"/>
  <c r="O359" i="7"/>
  <c r="N359" i="7"/>
  <c r="M359" i="7"/>
  <c r="M361" i="7" s="1"/>
  <c r="L359" i="7"/>
  <c r="K359" i="7"/>
  <c r="J359" i="7"/>
  <c r="I359" i="7"/>
  <c r="H359" i="7"/>
  <c r="H361" i="7" s="1"/>
  <c r="G359" i="7"/>
  <c r="F359" i="7"/>
  <c r="Y358" i="7"/>
  <c r="E358" i="7"/>
  <c r="AB357" i="7"/>
  <c r="Y357" i="7"/>
  <c r="E357" i="7"/>
  <c r="Y356" i="7"/>
  <c r="E356" i="7"/>
  <c r="AB355" i="7"/>
  <c r="Y355" i="7"/>
  <c r="E355" i="7"/>
  <c r="Y354" i="7"/>
  <c r="E354" i="7"/>
  <c r="AB353" i="7"/>
  <c r="Y353" i="7"/>
  <c r="E353" i="7"/>
  <c r="Y352" i="7"/>
  <c r="E352" i="7"/>
  <c r="AB351" i="7"/>
  <c r="Y351" i="7"/>
  <c r="E351" i="7"/>
  <c r="Y350" i="7"/>
  <c r="E350" i="7"/>
  <c r="AB349" i="7"/>
  <c r="Y349" i="7"/>
  <c r="E349" i="7"/>
  <c r="Y348" i="7"/>
  <c r="E348" i="7"/>
  <c r="AB347" i="7"/>
  <c r="Y347" i="7"/>
  <c r="E347" i="7"/>
  <c r="Y346" i="7"/>
  <c r="E346" i="7"/>
  <c r="AB345" i="7"/>
  <c r="Y345" i="7"/>
  <c r="E345" i="7"/>
  <c r="T361" i="7" l="1"/>
  <c r="I390" i="22"/>
  <c r="G306" i="22"/>
  <c r="G313" i="22"/>
  <c r="Q361" i="7"/>
  <c r="I383" i="22"/>
  <c r="I398" i="22"/>
  <c r="I361" i="7"/>
  <c r="R361" i="7"/>
  <c r="N361" i="7"/>
  <c r="L361" i="7"/>
  <c r="F361" i="7"/>
  <c r="I376" i="22"/>
  <c r="G341" i="22"/>
  <c r="G334" i="22"/>
  <c r="E3611" i="8"/>
  <c r="J361" i="7"/>
  <c r="E359" i="7"/>
  <c r="Y360" i="7"/>
  <c r="G361" i="7"/>
  <c r="K361" i="7"/>
  <c r="O361" i="7"/>
  <c r="S361" i="7"/>
  <c r="W361" i="7"/>
  <c r="E360" i="7"/>
  <c r="Y359" i="7"/>
  <c r="J3960" i="5"/>
  <c r="I3960" i="5"/>
  <c r="H3960" i="5"/>
  <c r="G3960" i="5"/>
  <c r="F3960" i="5"/>
  <c r="K3958" i="5"/>
  <c r="K3957" i="5"/>
  <c r="K3956" i="5"/>
  <c r="L3956" i="5" s="1"/>
  <c r="E3956" i="5"/>
  <c r="L3955" i="5"/>
  <c r="K3955" i="5"/>
  <c r="E3955" i="5"/>
  <c r="K3954" i="5"/>
  <c r="L3954" i="5" s="1"/>
  <c r="E3954" i="5"/>
  <c r="K3953" i="5"/>
  <c r="L3953" i="5" s="1"/>
  <c r="E3953" i="5"/>
  <c r="K3952" i="5"/>
  <c r="L3952" i="5" s="1"/>
  <c r="E3952" i="5"/>
  <c r="K3951" i="5"/>
  <c r="L3951" i="5" s="1"/>
  <c r="E3951" i="5"/>
  <c r="K3950" i="5"/>
  <c r="L3950" i="5" s="1"/>
  <c r="E3950" i="5"/>
  <c r="K3949" i="5"/>
  <c r="L3949" i="5" s="1"/>
  <c r="K3948" i="5"/>
  <c r="L3948" i="5" s="1"/>
  <c r="E3948" i="5"/>
  <c r="K3947" i="5"/>
  <c r="L3947" i="5" s="1"/>
  <c r="E3947" i="5"/>
  <c r="K3946" i="5"/>
  <c r="L3946" i="5" s="1"/>
  <c r="K3945" i="5"/>
  <c r="L3945" i="5" s="1"/>
  <c r="E3945" i="5"/>
  <c r="K3944" i="5"/>
  <c r="L3944" i="5" s="1"/>
  <c r="E3944" i="5"/>
  <c r="K3943" i="5"/>
  <c r="L3943" i="5" s="1"/>
  <c r="K3942" i="5"/>
  <c r="L3942" i="5" s="1"/>
  <c r="E3942" i="5"/>
  <c r="K3941" i="5"/>
  <c r="L3941" i="5" s="1"/>
  <c r="E3941" i="5"/>
  <c r="K3940" i="5"/>
  <c r="L3940" i="5" s="1"/>
  <c r="E3940" i="5"/>
  <c r="K3939" i="5"/>
  <c r="L3939" i="5" s="1"/>
  <c r="K3938" i="5"/>
  <c r="L3938" i="5" s="1"/>
  <c r="E3938" i="5"/>
  <c r="K3937" i="5"/>
  <c r="L3937" i="5" s="1"/>
  <c r="E3937" i="5"/>
  <c r="K3936" i="5"/>
  <c r="L3936" i="5" s="1"/>
  <c r="E3936" i="5"/>
  <c r="K3935" i="5"/>
  <c r="L3935" i="5" s="1"/>
  <c r="E3935" i="5"/>
  <c r="K3934" i="5"/>
  <c r="L3934" i="5" s="1"/>
  <c r="E3934" i="5"/>
  <c r="J3931" i="5"/>
  <c r="I3931" i="5"/>
  <c r="H3931" i="5"/>
  <c r="G3931" i="5"/>
  <c r="F3931" i="5"/>
  <c r="F3961" i="5" s="1"/>
  <c r="K3930" i="5"/>
  <c r="K3929" i="5"/>
  <c r="K3928" i="5"/>
  <c r="K3927" i="5"/>
  <c r="K3926" i="5"/>
  <c r="C1102" i="18"/>
  <c r="B1102" i="18"/>
  <c r="C1092" i="18"/>
  <c r="B1092" i="18"/>
  <c r="O828" i="1"/>
  <c r="Y361" i="7" l="1"/>
  <c r="E361" i="7"/>
  <c r="J3961" i="5"/>
  <c r="K3960" i="5"/>
  <c r="E3960" i="5"/>
  <c r="I3961" i="5"/>
  <c r="H3961" i="5"/>
  <c r="G3961" i="5"/>
  <c r="K3931" i="5"/>
  <c r="L3960" i="5"/>
  <c r="N268" i="13"/>
  <c r="N272" i="13" s="1"/>
  <c r="N260" i="13"/>
  <c r="N264" i="13"/>
  <c r="N259" i="13"/>
  <c r="N261" i="13"/>
  <c r="N263" i="13"/>
  <c r="N262" i="13"/>
  <c r="F259" i="13"/>
  <c r="M3567" i="8"/>
  <c r="L3567" i="8"/>
  <c r="K3567" i="8"/>
  <c r="J3567" i="8"/>
  <c r="I3567" i="8"/>
  <c r="H3567" i="8"/>
  <c r="G3567" i="8"/>
  <c r="F3567" i="8"/>
  <c r="B3529" i="8"/>
  <c r="E3889" i="5"/>
  <c r="J3915" i="5"/>
  <c r="I3915" i="5"/>
  <c r="H3915" i="5"/>
  <c r="G3915" i="5"/>
  <c r="F3915" i="5"/>
  <c r="K3913" i="5"/>
  <c r="K3912" i="5"/>
  <c r="K3911" i="5"/>
  <c r="L3911" i="5" s="1"/>
  <c r="E3911" i="5"/>
  <c r="K3910" i="5"/>
  <c r="L3910" i="5" s="1"/>
  <c r="E3910" i="5"/>
  <c r="K3909" i="5"/>
  <c r="L3909" i="5" s="1"/>
  <c r="E3909" i="5"/>
  <c r="K3908" i="5"/>
  <c r="L3908" i="5" s="1"/>
  <c r="E3908" i="5"/>
  <c r="K3907" i="5"/>
  <c r="L3907" i="5" s="1"/>
  <c r="E3907" i="5"/>
  <c r="K3906" i="5"/>
  <c r="L3906" i="5" s="1"/>
  <c r="E3906" i="5"/>
  <c r="K3905" i="5"/>
  <c r="L3905" i="5" s="1"/>
  <c r="E3905" i="5"/>
  <c r="K3904" i="5"/>
  <c r="L3904" i="5" s="1"/>
  <c r="K3903" i="5"/>
  <c r="L3903" i="5" s="1"/>
  <c r="E3903" i="5"/>
  <c r="L3902" i="5"/>
  <c r="K3902" i="5"/>
  <c r="E3902" i="5"/>
  <c r="K3901" i="5"/>
  <c r="L3901" i="5" s="1"/>
  <c r="K3900" i="5"/>
  <c r="L3900" i="5" s="1"/>
  <c r="E3900" i="5"/>
  <c r="K3899" i="5"/>
  <c r="L3899" i="5" s="1"/>
  <c r="E3899" i="5"/>
  <c r="K3898" i="5"/>
  <c r="L3898" i="5" s="1"/>
  <c r="K3897" i="5"/>
  <c r="L3897" i="5" s="1"/>
  <c r="E3897" i="5"/>
  <c r="K3896" i="5"/>
  <c r="L3896" i="5" s="1"/>
  <c r="E3896" i="5"/>
  <c r="K3895" i="5"/>
  <c r="L3895" i="5" s="1"/>
  <c r="E3895" i="5"/>
  <c r="K3894" i="5"/>
  <c r="L3894" i="5" s="1"/>
  <c r="K3893" i="5"/>
  <c r="L3893" i="5" s="1"/>
  <c r="E3893" i="5"/>
  <c r="K3892" i="5"/>
  <c r="L3892" i="5" s="1"/>
  <c r="E3892" i="5"/>
  <c r="K3891" i="5"/>
  <c r="L3891" i="5" s="1"/>
  <c r="E3891" i="5"/>
  <c r="K3890" i="5"/>
  <c r="L3890" i="5" s="1"/>
  <c r="E3890" i="5"/>
  <c r="K3889" i="5"/>
  <c r="L3889" i="5" s="1"/>
  <c r="J3886" i="5"/>
  <c r="I3886" i="5"/>
  <c r="H3886" i="5"/>
  <c r="G3886" i="5"/>
  <c r="F3886" i="5"/>
  <c r="F3916" i="5" s="1"/>
  <c r="K3885" i="5"/>
  <c r="K3884" i="5"/>
  <c r="K3883" i="5"/>
  <c r="K3882" i="5"/>
  <c r="K3881" i="5"/>
  <c r="C1086" i="18"/>
  <c r="B1086" i="18"/>
  <c r="AX995" i="2"/>
  <c r="C992" i="2"/>
  <c r="Q815" i="1"/>
  <c r="E3568" i="8" l="1"/>
  <c r="K3961" i="5"/>
  <c r="K3962" i="5" s="1"/>
  <c r="N265" i="13"/>
  <c r="J3916" i="5"/>
  <c r="I3916" i="5"/>
  <c r="K3886" i="5"/>
  <c r="G3916" i="5"/>
  <c r="E3915" i="5"/>
  <c r="H3916" i="5"/>
  <c r="K3915" i="5"/>
  <c r="L3915" i="5"/>
  <c r="D2425" i="26"/>
  <c r="F2424" i="26"/>
  <c r="F2412" i="26"/>
  <c r="D2400" i="26"/>
  <c r="F2399" i="26"/>
  <c r="F2387" i="26"/>
  <c r="E3845" i="5"/>
  <c r="J3871" i="5"/>
  <c r="I3871" i="5"/>
  <c r="H3871" i="5"/>
  <c r="G3871" i="5"/>
  <c r="F3871" i="5"/>
  <c r="K3869" i="5"/>
  <c r="K3868" i="5"/>
  <c r="K3867" i="5"/>
  <c r="L3867" i="5" s="1"/>
  <c r="E3867" i="5"/>
  <c r="K3866" i="5"/>
  <c r="L3866" i="5" s="1"/>
  <c r="E3866" i="5"/>
  <c r="K3865" i="5"/>
  <c r="L3865" i="5" s="1"/>
  <c r="E3865" i="5"/>
  <c r="K3864" i="5"/>
  <c r="L3864" i="5" s="1"/>
  <c r="E3864" i="5"/>
  <c r="L3863" i="5"/>
  <c r="K3863" i="5"/>
  <c r="E3863" i="5"/>
  <c r="K3862" i="5"/>
  <c r="L3862" i="5" s="1"/>
  <c r="E3862" i="5"/>
  <c r="K3861" i="5"/>
  <c r="L3861" i="5" s="1"/>
  <c r="E3861" i="5"/>
  <c r="K3860" i="5"/>
  <c r="L3860" i="5" s="1"/>
  <c r="K3859" i="5"/>
  <c r="L3859" i="5" s="1"/>
  <c r="E3859" i="5"/>
  <c r="K3858" i="5"/>
  <c r="L3858" i="5" s="1"/>
  <c r="E3858" i="5"/>
  <c r="K3857" i="5"/>
  <c r="L3857" i="5" s="1"/>
  <c r="K3856" i="5"/>
  <c r="L3856" i="5" s="1"/>
  <c r="E3856" i="5"/>
  <c r="K3855" i="5"/>
  <c r="L3855" i="5" s="1"/>
  <c r="E3855" i="5"/>
  <c r="K3854" i="5"/>
  <c r="L3854" i="5" s="1"/>
  <c r="K3853" i="5"/>
  <c r="L3853" i="5" s="1"/>
  <c r="E3853" i="5"/>
  <c r="K3852" i="5"/>
  <c r="L3852" i="5" s="1"/>
  <c r="E3852" i="5"/>
  <c r="K3851" i="5"/>
  <c r="L3851" i="5" s="1"/>
  <c r="E3851" i="5"/>
  <c r="K3850" i="5"/>
  <c r="L3850" i="5" s="1"/>
  <c r="K3849" i="5"/>
  <c r="L3849" i="5" s="1"/>
  <c r="E3849" i="5"/>
  <c r="K3848" i="5"/>
  <c r="L3848" i="5" s="1"/>
  <c r="E3848" i="5"/>
  <c r="K3847" i="5"/>
  <c r="L3847" i="5" s="1"/>
  <c r="E3847" i="5"/>
  <c r="K3846" i="5"/>
  <c r="L3846" i="5" s="1"/>
  <c r="E3846" i="5"/>
  <c r="K3845" i="5"/>
  <c r="L3845" i="5" s="1"/>
  <c r="J3842" i="5"/>
  <c r="I3842" i="5"/>
  <c r="H3842" i="5"/>
  <c r="G3842" i="5"/>
  <c r="F3842" i="5"/>
  <c r="F3872" i="5" s="1"/>
  <c r="K3841" i="5"/>
  <c r="K3840" i="5"/>
  <c r="K3839" i="5"/>
  <c r="K3838" i="5"/>
  <c r="K3837" i="5"/>
  <c r="C1075" i="18"/>
  <c r="B1075" i="18"/>
  <c r="J3872" i="5" l="1"/>
  <c r="K3916" i="5"/>
  <c r="K3917" i="5" s="1"/>
  <c r="I3872" i="5"/>
  <c r="H3872" i="5"/>
  <c r="E3871" i="5"/>
  <c r="G3872" i="5"/>
  <c r="K3872" i="5" s="1"/>
  <c r="K3871" i="5"/>
  <c r="K3842" i="5"/>
  <c r="L3871" i="5"/>
  <c r="D2375" i="26"/>
  <c r="F2374" i="26"/>
  <c r="F2362" i="26"/>
  <c r="M3524" i="8"/>
  <c r="L3524" i="8"/>
  <c r="K3524" i="8"/>
  <c r="J3524" i="8"/>
  <c r="I3524" i="8"/>
  <c r="H3524" i="8"/>
  <c r="G3524" i="8"/>
  <c r="F3524" i="8"/>
  <c r="B3486" i="8"/>
  <c r="J3827" i="5"/>
  <c r="I3827" i="5"/>
  <c r="H3827" i="5"/>
  <c r="G3827" i="5"/>
  <c r="F3827" i="5"/>
  <c r="K3825" i="5"/>
  <c r="K3824" i="5"/>
  <c r="L3823" i="5"/>
  <c r="K3823" i="5"/>
  <c r="E3823" i="5"/>
  <c r="K3822" i="5"/>
  <c r="L3822" i="5" s="1"/>
  <c r="E3822" i="5"/>
  <c r="K3821" i="5"/>
  <c r="L3821" i="5" s="1"/>
  <c r="E3821" i="5"/>
  <c r="K3820" i="5"/>
  <c r="L3820" i="5" s="1"/>
  <c r="E3820" i="5"/>
  <c r="K3819" i="5"/>
  <c r="L3819" i="5" s="1"/>
  <c r="E3819" i="5"/>
  <c r="K3818" i="5"/>
  <c r="L3818" i="5" s="1"/>
  <c r="E3818" i="5"/>
  <c r="K3817" i="5"/>
  <c r="L3817" i="5" s="1"/>
  <c r="E3817" i="5"/>
  <c r="K3816" i="5"/>
  <c r="L3816" i="5" s="1"/>
  <c r="K3815" i="5"/>
  <c r="L3815" i="5" s="1"/>
  <c r="E3815" i="5"/>
  <c r="K3814" i="5"/>
  <c r="L3814" i="5" s="1"/>
  <c r="E3814" i="5"/>
  <c r="K3813" i="5"/>
  <c r="L3813" i="5" s="1"/>
  <c r="K3812" i="5"/>
  <c r="L3812" i="5" s="1"/>
  <c r="E3812" i="5"/>
  <c r="K3811" i="5"/>
  <c r="L3811" i="5" s="1"/>
  <c r="E3811" i="5"/>
  <c r="K3810" i="5"/>
  <c r="L3810" i="5" s="1"/>
  <c r="K3809" i="5"/>
  <c r="L3809" i="5" s="1"/>
  <c r="E3809" i="5"/>
  <c r="L3808" i="5"/>
  <c r="K3808" i="5"/>
  <c r="E3808" i="5"/>
  <c r="K3807" i="5"/>
  <c r="L3807" i="5" s="1"/>
  <c r="E3807" i="5"/>
  <c r="K3806" i="5"/>
  <c r="L3806" i="5" s="1"/>
  <c r="K3805" i="5"/>
  <c r="L3805" i="5" s="1"/>
  <c r="E3805" i="5"/>
  <c r="K3804" i="5"/>
  <c r="L3804" i="5" s="1"/>
  <c r="E3804" i="5"/>
  <c r="K3803" i="5"/>
  <c r="L3803" i="5" s="1"/>
  <c r="E3803" i="5"/>
  <c r="K3802" i="5"/>
  <c r="L3802" i="5" s="1"/>
  <c r="E3802" i="5"/>
  <c r="K3801" i="5"/>
  <c r="L3801" i="5" s="1"/>
  <c r="E3801" i="5"/>
  <c r="J3798" i="5"/>
  <c r="J3828" i="5" s="1"/>
  <c r="I3798" i="5"/>
  <c r="H3798" i="5"/>
  <c r="G3798" i="5"/>
  <c r="F3798" i="5"/>
  <c r="K3797" i="5"/>
  <c r="K3796" i="5"/>
  <c r="K3795" i="5"/>
  <c r="K3794" i="5"/>
  <c r="K3793" i="5"/>
  <c r="O802" i="1"/>
  <c r="C1069" i="18"/>
  <c r="B1069" i="18"/>
  <c r="G802" i="1"/>
  <c r="E3525" i="8" l="1"/>
  <c r="K3873" i="5"/>
  <c r="I3828" i="5"/>
  <c r="F3828" i="5"/>
  <c r="H3828" i="5"/>
  <c r="E3827" i="5"/>
  <c r="G3828" i="5"/>
  <c r="K3827" i="5"/>
  <c r="K3798" i="5"/>
  <c r="L3827" i="5"/>
  <c r="K3828" i="5" l="1"/>
  <c r="K3829" i="5" s="1"/>
  <c r="D2350" i="26"/>
  <c r="F2349" i="26"/>
  <c r="F2337" i="26"/>
  <c r="M3481" i="8"/>
  <c r="L3481" i="8"/>
  <c r="K3481" i="8"/>
  <c r="J3481" i="8"/>
  <c r="I3481" i="8"/>
  <c r="H3481" i="8"/>
  <c r="G3481" i="8"/>
  <c r="F3481" i="8"/>
  <c r="B3443" i="8"/>
  <c r="J3783" i="5"/>
  <c r="I3783" i="5"/>
  <c r="H3783" i="5"/>
  <c r="G3783" i="5"/>
  <c r="F3783" i="5"/>
  <c r="K3781" i="5"/>
  <c r="K3780" i="5"/>
  <c r="K3779" i="5"/>
  <c r="L3779" i="5" s="1"/>
  <c r="E3779" i="5"/>
  <c r="K3778" i="5"/>
  <c r="L3778" i="5" s="1"/>
  <c r="E3778" i="5"/>
  <c r="K3777" i="5"/>
  <c r="L3777" i="5" s="1"/>
  <c r="E3777" i="5"/>
  <c r="K3776" i="5"/>
  <c r="L3776" i="5" s="1"/>
  <c r="E3776" i="5"/>
  <c r="K3775" i="5"/>
  <c r="L3775" i="5" s="1"/>
  <c r="E3775" i="5"/>
  <c r="K3774" i="5"/>
  <c r="L3774" i="5" s="1"/>
  <c r="E3774" i="5"/>
  <c r="L3773" i="5"/>
  <c r="K3773" i="5"/>
  <c r="E3773" i="5"/>
  <c r="K3772" i="5"/>
  <c r="L3772" i="5" s="1"/>
  <c r="K3771" i="5"/>
  <c r="L3771" i="5" s="1"/>
  <c r="E3771" i="5"/>
  <c r="K3770" i="5"/>
  <c r="L3770" i="5" s="1"/>
  <c r="E3770" i="5"/>
  <c r="K3769" i="5"/>
  <c r="L3769" i="5" s="1"/>
  <c r="K3768" i="5"/>
  <c r="L3768" i="5" s="1"/>
  <c r="E3768" i="5"/>
  <c r="K3767" i="5"/>
  <c r="L3767" i="5" s="1"/>
  <c r="E3767" i="5"/>
  <c r="K3766" i="5"/>
  <c r="L3766" i="5" s="1"/>
  <c r="K3765" i="5"/>
  <c r="L3765" i="5" s="1"/>
  <c r="E3765" i="5"/>
  <c r="K3764" i="5"/>
  <c r="L3764" i="5" s="1"/>
  <c r="E3764" i="5"/>
  <c r="K3763" i="5"/>
  <c r="L3763" i="5" s="1"/>
  <c r="E3763" i="5"/>
  <c r="K3762" i="5"/>
  <c r="L3762" i="5" s="1"/>
  <c r="K3761" i="5"/>
  <c r="L3761" i="5" s="1"/>
  <c r="E3761" i="5"/>
  <c r="K3760" i="5"/>
  <c r="L3760" i="5" s="1"/>
  <c r="E3760" i="5"/>
  <c r="L3759" i="5"/>
  <c r="K3759" i="5"/>
  <c r="E3759" i="5"/>
  <c r="K3758" i="5"/>
  <c r="L3758" i="5" s="1"/>
  <c r="E3758" i="5"/>
  <c r="L3757" i="5"/>
  <c r="K3757" i="5"/>
  <c r="E3757" i="5"/>
  <c r="J3754" i="5"/>
  <c r="J3784" i="5" s="1"/>
  <c r="I3754" i="5"/>
  <c r="I3784" i="5" s="1"/>
  <c r="H3754" i="5"/>
  <c r="H3784" i="5" s="1"/>
  <c r="G3754" i="5"/>
  <c r="F3754" i="5"/>
  <c r="K3753" i="5"/>
  <c r="K3752" i="5"/>
  <c r="K3751" i="5"/>
  <c r="K3750" i="5"/>
  <c r="K3749" i="5"/>
  <c r="C1054" i="18"/>
  <c r="B1054" i="18"/>
  <c r="BF1076" i="2"/>
  <c r="BE1076" i="2"/>
  <c r="BD1076" i="2"/>
  <c r="BC1076" i="2"/>
  <c r="BB1076" i="2"/>
  <c r="BA1076" i="2"/>
  <c r="AZ1076" i="2"/>
  <c r="AY1076" i="2"/>
  <c r="AX1076" i="2"/>
  <c r="AW1076" i="2"/>
  <c r="AV1076" i="2"/>
  <c r="AU1076" i="2"/>
  <c r="AT1076" i="2"/>
  <c r="AS1076" i="2"/>
  <c r="AR1076" i="2"/>
  <c r="AQ1076" i="2"/>
  <c r="AP1076" i="2"/>
  <c r="AO1076" i="2"/>
  <c r="AN1076" i="2"/>
  <c r="AM1076" i="2"/>
  <c r="AL1076" i="2"/>
  <c r="AK1076" i="2"/>
  <c r="AJ1076" i="2"/>
  <c r="AI1076" i="2"/>
  <c r="AH1076" i="2"/>
  <c r="AG1076" i="2"/>
  <c r="AF1076" i="2"/>
  <c r="AE1076" i="2"/>
  <c r="AD1076" i="2"/>
  <c r="AC1076" i="2"/>
  <c r="AB1076" i="2"/>
  <c r="AA1076" i="2"/>
  <c r="Z1076" i="2"/>
  <c r="Y1076" i="2"/>
  <c r="X1076" i="2"/>
  <c r="W1076" i="2"/>
  <c r="V1076" i="2"/>
  <c r="U1076" i="2"/>
  <c r="T1076" i="2"/>
  <c r="S1076" i="2"/>
  <c r="R1076" i="2"/>
  <c r="Q1076" i="2"/>
  <c r="P1076" i="2"/>
  <c r="O1076" i="2"/>
  <c r="N1076" i="2"/>
  <c r="M1076" i="2"/>
  <c r="L1076" i="2"/>
  <c r="K1076" i="2"/>
  <c r="J1076" i="2"/>
  <c r="I1076" i="2"/>
  <c r="H1076" i="2"/>
  <c r="G1076" i="2"/>
  <c r="C1075" i="2"/>
  <c r="C1067" i="2"/>
  <c r="C1058" i="2"/>
  <c r="C1051" i="2"/>
  <c r="C1046" i="2"/>
  <c r="C1043" i="2"/>
  <c r="C1033" i="2"/>
  <c r="L1023" i="2"/>
  <c r="AI1023" i="2" s="1"/>
  <c r="AW1023" i="2" s="1"/>
  <c r="AW1080" i="2" s="1"/>
  <c r="AL1080" i="2" s="1"/>
  <c r="L1080" i="2" s="1"/>
  <c r="C1080" i="2" s="1"/>
  <c r="W891" i="1"/>
  <c r="N28" i="29" s="1"/>
  <c r="V891" i="1"/>
  <c r="E28" i="29" s="1"/>
  <c r="U891" i="1"/>
  <c r="S891" i="1"/>
  <c r="K28" i="29" s="1"/>
  <c r="R891" i="1"/>
  <c r="Q891" i="1"/>
  <c r="I28" i="29" s="1"/>
  <c r="P891" i="1"/>
  <c r="O891" i="1"/>
  <c r="M28" i="29" s="1"/>
  <c r="N891" i="1"/>
  <c r="L28" i="29" s="1"/>
  <c r="M891" i="1"/>
  <c r="L891" i="1"/>
  <c r="J28" i="29" s="1"/>
  <c r="K891" i="1"/>
  <c r="H28" i="29" s="1"/>
  <c r="J891" i="1"/>
  <c r="G28" i="29" s="1"/>
  <c r="I891" i="1"/>
  <c r="F28" i="29" s="1"/>
  <c r="H891" i="1"/>
  <c r="G891" i="1"/>
  <c r="D28" i="29" s="1"/>
  <c r="F891" i="1"/>
  <c r="C28" i="29" s="1"/>
  <c r="E888" i="1"/>
  <c r="D888" i="1"/>
  <c r="Z885" i="1"/>
  <c r="Y885" i="1"/>
  <c r="E884" i="1"/>
  <c r="D884" i="1"/>
  <c r="Z878" i="1"/>
  <c r="Y878" i="1"/>
  <c r="E877" i="1"/>
  <c r="D877" i="1"/>
  <c r="Z873" i="1"/>
  <c r="Y873" i="1"/>
  <c r="E872" i="1"/>
  <c r="D872" i="1"/>
  <c r="Z865" i="1"/>
  <c r="Y865" i="1"/>
  <c r="E864" i="1"/>
  <c r="D864" i="1"/>
  <c r="Z858" i="1"/>
  <c r="Y858" i="1"/>
  <c r="E857" i="1"/>
  <c r="D857" i="1"/>
  <c r="Z852" i="1"/>
  <c r="Y852" i="1"/>
  <c r="E851" i="1"/>
  <c r="D851" i="1"/>
  <c r="Z847" i="1"/>
  <c r="Y847" i="1"/>
  <c r="M845" i="1"/>
  <c r="V845" i="1" s="1"/>
  <c r="V893" i="1" s="1"/>
  <c r="M893" i="1" s="1"/>
  <c r="E893" i="1" s="1"/>
  <c r="K3783" i="5" l="1"/>
  <c r="D891" i="1"/>
  <c r="F3784" i="5"/>
  <c r="E891" i="1"/>
  <c r="Y891" i="1"/>
  <c r="C1077" i="2"/>
  <c r="E3482" i="8"/>
  <c r="G3784" i="5"/>
  <c r="E3783" i="5"/>
  <c r="K3754" i="5"/>
  <c r="L3783" i="5"/>
  <c r="K3784" i="5"/>
  <c r="K3785" i="5" s="1"/>
  <c r="H297" i="22"/>
  <c r="G297" i="22"/>
  <c r="F297" i="22"/>
  <c r="E297" i="22"/>
  <c r="D297" i="22"/>
  <c r="I296" i="22"/>
  <c r="H295" i="22"/>
  <c r="G295" i="22"/>
  <c r="F295" i="22"/>
  <c r="F298" i="22" s="1"/>
  <c r="E295" i="22"/>
  <c r="D295" i="22"/>
  <c r="I294" i="22"/>
  <c r="H289" i="22"/>
  <c r="G289" i="22"/>
  <c r="F289" i="22"/>
  <c r="E289" i="22"/>
  <c r="D289" i="22"/>
  <c r="I288" i="22"/>
  <c r="H287" i="22"/>
  <c r="G287" i="22"/>
  <c r="F287" i="22"/>
  <c r="E287" i="22"/>
  <c r="D287" i="22"/>
  <c r="I286" i="22"/>
  <c r="D283" i="22"/>
  <c r="H282" i="22"/>
  <c r="G282" i="22"/>
  <c r="F282" i="22"/>
  <c r="E282" i="22"/>
  <c r="D282" i="22"/>
  <c r="I281" i="22"/>
  <c r="H280" i="22"/>
  <c r="H283" i="22" s="1"/>
  <c r="G280" i="22"/>
  <c r="F280" i="22"/>
  <c r="E280" i="22"/>
  <c r="D280" i="22"/>
  <c r="I279" i="22"/>
  <c r="H275" i="22"/>
  <c r="G275" i="22"/>
  <c r="F275" i="22"/>
  <c r="E275" i="22"/>
  <c r="D275" i="22"/>
  <c r="I274" i="22"/>
  <c r="H273" i="22"/>
  <c r="G273" i="22"/>
  <c r="F273" i="22"/>
  <c r="E273" i="22"/>
  <c r="D273" i="22"/>
  <c r="I272" i="22"/>
  <c r="F269" i="22"/>
  <c r="E269" i="22"/>
  <c r="D269" i="22"/>
  <c r="F268" i="22"/>
  <c r="E268" i="22"/>
  <c r="D268" i="22"/>
  <c r="G267" i="22"/>
  <c r="F266" i="22"/>
  <c r="E266" i="22"/>
  <c r="D266" i="22"/>
  <c r="G265" i="22"/>
  <c r="F262" i="22"/>
  <c r="E262" i="22"/>
  <c r="D262" i="22"/>
  <c r="F261" i="22"/>
  <c r="E261" i="22"/>
  <c r="D261" i="22"/>
  <c r="G260" i="22"/>
  <c r="F259" i="22"/>
  <c r="E259" i="22"/>
  <c r="D259" i="22"/>
  <c r="G258" i="22"/>
  <c r="F255" i="22"/>
  <c r="E255" i="22"/>
  <c r="D255" i="22"/>
  <c r="F254" i="22"/>
  <c r="E254" i="22"/>
  <c r="D254" i="22"/>
  <c r="G253" i="22"/>
  <c r="F252" i="22"/>
  <c r="E252" i="22"/>
  <c r="D252" i="22"/>
  <c r="G251" i="22"/>
  <c r="F248" i="22"/>
  <c r="E248" i="22"/>
  <c r="D248" i="22"/>
  <c r="F247" i="22"/>
  <c r="E247" i="22"/>
  <c r="D247" i="22"/>
  <c r="G246" i="22"/>
  <c r="F245" i="22"/>
  <c r="E245" i="22"/>
  <c r="D245" i="22"/>
  <c r="G244" i="22"/>
  <c r="F241" i="22"/>
  <c r="E241" i="22"/>
  <c r="D241" i="22"/>
  <c r="F240" i="22"/>
  <c r="E240" i="22"/>
  <c r="D240" i="22"/>
  <c r="G239" i="22"/>
  <c r="F238" i="22"/>
  <c r="E238" i="22"/>
  <c r="D238" i="22"/>
  <c r="G237" i="22"/>
  <c r="F234" i="22"/>
  <c r="E234" i="22"/>
  <c r="D234" i="22"/>
  <c r="F233" i="22"/>
  <c r="E233" i="22"/>
  <c r="D233" i="22"/>
  <c r="G232" i="22"/>
  <c r="F231" i="22"/>
  <c r="E231" i="22"/>
  <c r="D231" i="22"/>
  <c r="G230" i="22"/>
  <c r="F227" i="22"/>
  <c r="E227" i="22"/>
  <c r="D227" i="22"/>
  <c r="F226" i="22"/>
  <c r="E226" i="22"/>
  <c r="D226" i="22"/>
  <c r="G225" i="22"/>
  <c r="F224" i="22"/>
  <c r="E224" i="22"/>
  <c r="D224" i="22"/>
  <c r="G223" i="22"/>
  <c r="F220" i="22"/>
  <c r="E220" i="22"/>
  <c r="D220" i="22"/>
  <c r="F219" i="22"/>
  <c r="E219" i="22"/>
  <c r="D219" i="22"/>
  <c r="G218" i="22"/>
  <c r="F217" i="22"/>
  <c r="E217" i="22"/>
  <c r="D217" i="22"/>
  <c r="G216" i="22"/>
  <c r="F213" i="22"/>
  <c r="E213" i="22"/>
  <c r="D213" i="22"/>
  <c r="F212" i="22"/>
  <c r="E212" i="22"/>
  <c r="D212" i="22"/>
  <c r="G212" i="22" s="1"/>
  <c r="G211" i="22"/>
  <c r="F210" i="22"/>
  <c r="E210" i="22"/>
  <c r="D210" i="22"/>
  <c r="G209" i="22"/>
  <c r="B208" i="22"/>
  <c r="B215" i="22" s="1"/>
  <c r="B222" i="22" s="1"/>
  <c r="B229" i="22" s="1"/>
  <c r="B236" i="22" s="1"/>
  <c r="B243" i="22" s="1"/>
  <c r="B250" i="22" s="1"/>
  <c r="B257" i="22" s="1"/>
  <c r="B264" i="22" s="1"/>
  <c r="B271" i="22" s="1"/>
  <c r="B278" i="22" s="1"/>
  <c r="B285" i="22" s="1"/>
  <c r="B292" i="22" s="1"/>
  <c r="F206" i="22"/>
  <c r="E206" i="22"/>
  <c r="D206" i="22"/>
  <c r="F205" i="22"/>
  <c r="E205" i="22"/>
  <c r="D205" i="22"/>
  <c r="G204" i="22"/>
  <c r="F203" i="22"/>
  <c r="E203" i="22"/>
  <c r="D203" i="22"/>
  <c r="G202" i="22"/>
  <c r="D2325" i="26"/>
  <c r="F2324" i="26"/>
  <c r="F2312" i="26"/>
  <c r="M3438" i="8"/>
  <c r="L3438" i="8"/>
  <c r="K3438" i="8"/>
  <c r="J3438" i="8"/>
  <c r="I3438" i="8"/>
  <c r="H3438" i="8"/>
  <c r="G3438" i="8"/>
  <c r="F3438" i="8"/>
  <c r="B3400" i="8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X339" i="7"/>
  <c r="X341" i="7" s="1"/>
  <c r="W339" i="7"/>
  <c r="V339" i="7"/>
  <c r="U339" i="7"/>
  <c r="T339" i="7"/>
  <c r="S339" i="7"/>
  <c r="R339" i="7"/>
  <c r="Q339" i="7"/>
  <c r="P339" i="7"/>
  <c r="P341" i="7" s="1"/>
  <c r="O339" i="7"/>
  <c r="N339" i="7"/>
  <c r="M339" i="7"/>
  <c r="L339" i="7"/>
  <c r="K339" i="7"/>
  <c r="J339" i="7"/>
  <c r="I339" i="7"/>
  <c r="I341" i="7" s="1"/>
  <c r="H339" i="7"/>
  <c r="G339" i="7"/>
  <c r="F339" i="7"/>
  <c r="Y338" i="7"/>
  <c r="E338" i="7"/>
  <c r="AB337" i="7"/>
  <c r="Y337" i="7"/>
  <c r="E337" i="7"/>
  <c r="Y336" i="7"/>
  <c r="E336" i="7"/>
  <c r="AB335" i="7"/>
  <c r="Y335" i="7"/>
  <c r="E335" i="7"/>
  <c r="Y334" i="7"/>
  <c r="E334" i="7"/>
  <c r="AB333" i="7"/>
  <c r="Y333" i="7"/>
  <c r="E333" i="7"/>
  <c r="Y332" i="7"/>
  <c r="E332" i="7"/>
  <c r="AB331" i="7"/>
  <c r="Y331" i="7"/>
  <c r="E331" i="7"/>
  <c r="Y330" i="7"/>
  <c r="E330" i="7"/>
  <c r="AB329" i="7"/>
  <c r="Y329" i="7"/>
  <c r="E329" i="7"/>
  <c r="Y328" i="7"/>
  <c r="E328" i="7"/>
  <c r="AB327" i="7"/>
  <c r="Y327" i="7"/>
  <c r="E327" i="7"/>
  <c r="Y326" i="7"/>
  <c r="E326" i="7"/>
  <c r="AB325" i="7"/>
  <c r="Y325" i="7"/>
  <c r="E325" i="7"/>
  <c r="J3739" i="5"/>
  <c r="I3739" i="5"/>
  <c r="H3739" i="5"/>
  <c r="G3739" i="5"/>
  <c r="F3739" i="5"/>
  <c r="K3737" i="5"/>
  <c r="K3736" i="5"/>
  <c r="K3735" i="5"/>
  <c r="L3735" i="5" s="1"/>
  <c r="E3735" i="5"/>
  <c r="K3734" i="5"/>
  <c r="L3734" i="5" s="1"/>
  <c r="E3734" i="5"/>
  <c r="L3733" i="5"/>
  <c r="K3733" i="5"/>
  <c r="E3733" i="5"/>
  <c r="K3732" i="5"/>
  <c r="L3732" i="5" s="1"/>
  <c r="E3732" i="5"/>
  <c r="K3731" i="5"/>
  <c r="L3731" i="5" s="1"/>
  <c r="E3731" i="5"/>
  <c r="K3730" i="5"/>
  <c r="L3730" i="5" s="1"/>
  <c r="E3730" i="5"/>
  <c r="K3729" i="5"/>
  <c r="L3729" i="5" s="1"/>
  <c r="E3729" i="5"/>
  <c r="K3728" i="5"/>
  <c r="L3728" i="5" s="1"/>
  <c r="K3727" i="5"/>
  <c r="L3727" i="5" s="1"/>
  <c r="E3727" i="5"/>
  <c r="K3726" i="5"/>
  <c r="L3726" i="5" s="1"/>
  <c r="E3726" i="5"/>
  <c r="K3725" i="5"/>
  <c r="L3725" i="5" s="1"/>
  <c r="K3724" i="5"/>
  <c r="L3724" i="5" s="1"/>
  <c r="E3724" i="5"/>
  <c r="K3723" i="5"/>
  <c r="L3723" i="5" s="1"/>
  <c r="E3723" i="5"/>
  <c r="K3722" i="5"/>
  <c r="L3722" i="5" s="1"/>
  <c r="K3721" i="5"/>
  <c r="L3721" i="5" s="1"/>
  <c r="E3721" i="5"/>
  <c r="K3720" i="5"/>
  <c r="L3720" i="5" s="1"/>
  <c r="E3720" i="5"/>
  <c r="K3719" i="5"/>
  <c r="L3719" i="5" s="1"/>
  <c r="E3719" i="5"/>
  <c r="K3718" i="5"/>
  <c r="L3718" i="5" s="1"/>
  <c r="K3717" i="5"/>
  <c r="L3717" i="5" s="1"/>
  <c r="E3717" i="5"/>
  <c r="K3716" i="5"/>
  <c r="L3716" i="5" s="1"/>
  <c r="E3716" i="5"/>
  <c r="K3715" i="5"/>
  <c r="L3715" i="5" s="1"/>
  <c r="E3715" i="5"/>
  <c r="K3714" i="5"/>
  <c r="L3714" i="5" s="1"/>
  <c r="E3714" i="5"/>
  <c r="L3713" i="5"/>
  <c r="K3713" i="5"/>
  <c r="E3713" i="5"/>
  <c r="J3710" i="5"/>
  <c r="I3710" i="5"/>
  <c r="H3710" i="5"/>
  <c r="G3710" i="5"/>
  <c r="F3710" i="5"/>
  <c r="F3740" i="5" s="1"/>
  <c r="K3709" i="5"/>
  <c r="K3708" i="5"/>
  <c r="K3707" i="5"/>
  <c r="K3706" i="5"/>
  <c r="K3705" i="5"/>
  <c r="C1046" i="18"/>
  <c r="B1046" i="18"/>
  <c r="G261" i="22" l="1"/>
  <c r="G247" i="22"/>
  <c r="T341" i="7"/>
  <c r="G276" i="22"/>
  <c r="I282" i="22"/>
  <c r="I3740" i="5"/>
  <c r="M341" i="7"/>
  <c r="U341" i="7"/>
  <c r="G233" i="22"/>
  <c r="G290" i="22"/>
  <c r="J3740" i="5"/>
  <c r="V341" i="7"/>
  <c r="G210" i="22"/>
  <c r="G213" i="22" s="1"/>
  <c r="R341" i="7"/>
  <c r="Q341" i="7"/>
  <c r="N341" i="7"/>
  <c r="L341" i="7"/>
  <c r="H341" i="7"/>
  <c r="F341" i="7"/>
  <c r="G205" i="22"/>
  <c r="G240" i="22"/>
  <c r="I289" i="22"/>
  <c r="G259" i="22"/>
  <c r="G262" i="22" s="1"/>
  <c r="G266" i="22"/>
  <c r="G269" i="22" s="1"/>
  <c r="G268" i="22"/>
  <c r="E283" i="22"/>
  <c r="G283" i="22"/>
  <c r="D290" i="22"/>
  <c r="H290" i="22"/>
  <c r="F290" i="22"/>
  <c r="G298" i="22"/>
  <c r="G224" i="22"/>
  <c r="G252" i="22"/>
  <c r="F276" i="22"/>
  <c r="D276" i="22"/>
  <c r="H276" i="22"/>
  <c r="F283" i="22"/>
  <c r="E290" i="22"/>
  <c r="D298" i="22"/>
  <c r="J341" i="7"/>
  <c r="G238" i="22"/>
  <c r="G254" i="22"/>
  <c r="G255" i="22" s="1"/>
  <c r="G245" i="22"/>
  <c r="G248" i="22" s="1"/>
  <c r="G226" i="22"/>
  <c r="G231" i="22"/>
  <c r="G234" i="22" s="1"/>
  <c r="G219" i="22"/>
  <c r="G217" i="22"/>
  <c r="G203" i="22"/>
  <c r="I297" i="22"/>
  <c r="H298" i="22"/>
  <c r="E298" i="22"/>
  <c r="E276" i="22"/>
  <c r="I276" i="22" s="1"/>
  <c r="I273" i="22"/>
  <c r="E3439" i="8"/>
  <c r="I283" i="22"/>
  <c r="I280" i="22"/>
  <c r="I287" i="22"/>
  <c r="I275" i="22"/>
  <c r="I295" i="22"/>
  <c r="E339" i="7"/>
  <c r="Y340" i="7"/>
  <c r="G341" i="7"/>
  <c r="K341" i="7"/>
  <c r="O341" i="7"/>
  <c r="S341" i="7"/>
  <c r="W341" i="7"/>
  <c r="E340" i="7"/>
  <c r="Y339" i="7"/>
  <c r="H3740" i="5"/>
  <c r="K3710" i="5"/>
  <c r="G3740" i="5"/>
  <c r="K3740" i="5" s="1"/>
  <c r="E3739" i="5"/>
  <c r="K3739" i="5"/>
  <c r="L3739" i="5"/>
  <c r="N245" i="13"/>
  <c r="N243" i="13"/>
  <c r="M248" i="13"/>
  <c r="M247" i="13"/>
  <c r="N247" i="13" s="1"/>
  <c r="M243" i="13"/>
  <c r="G243" i="13"/>
  <c r="F243" i="13"/>
  <c r="N252" i="13"/>
  <c r="N256" i="13" s="1"/>
  <c r="N246" i="13"/>
  <c r="N244" i="13"/>
  <c r="N248" i="13"/>
  <c r="M3395" i="8"/>
  <c r="L3395" i="8"/>
  <c r="K3395" i="8"/>
  <c r="J3395" i="8"/>
  <c r="I3395" i="8"/>
  <c r="H3395" i="8"/>
  <c r="G3395" i="8"/>
  <c r="F3395" i="8"/>
  <c r="B3357" i="8"/>
  <c r="J3695" i="5"/>
  <c r="I3695" i="5"/>
  <c r="H3695" i="5"/>
  <c r="G3695" i="5"/>
  <c r="F3695" i="5"/>
  <c r="K3693" i="5"/>
  <c r="K3692" i="5"/>
  <c r="K3691" i="5"/>
  <c r="L3691" i="5" s="1"/>
  <c r="E3691" i="5"/>
  <c r="K3690" i="5"/>
  <c r="L3690" i="5" s="1"/>
  <c r="E3690" i="5"/>
  <c r="K3689" i="5"/>
  <c r="L3689" i="5" s="1"/>
  <c r="E3689" i="5"/>
  <c r="K3688" i="5"/>
  <c r="L3688" i="5" s="1"/>
  <c r="E3688" i="5"/>
  <c r="K3687" i="5"/>
  <c r="L3687" i="5" s="1"/>
  <c r="E3687" i="5"/>
  <c r="K3686" i="5"/>
  <c r="L3686" i="5" s="1"/>
  <c r="E3686" i="5"/>
  <c r="K3685" i="5"/>
  <c r="L3685" i="5" s="1"/>
  <c r="E3685" i="5"/>
  <c r="K3684" i="5"/>
  <c r="L3684" i="5" s="1"/>
  <c r="K3683" i="5"/>
  <c r="L3683" i="5" s="1"/>
  <c r="E3683" i="5"/>
  <c r="K3682" i="5"/>
  <c r="L3682" i="5" s="1"/>
  <c r="E3682" i="5"/>
  <c r="K3681" i="5"/>
  <c r="L3681" i="5" s="1"/>
  <c r="K3680" i="5"/>
  <c r="L3680" i="5" s="1"/>
  <c r="E3680" i="5"/>
  <c r="K3679" i="5"/>
  <c r="L3679" i="5" s="1"/>
  <c r="E3679" i="5"/>
  <c r="K3678" i="5"/>
  <c r="L3678" i="5" s="1"/>
  <c r="K3677" i="5"/>
  <c r="L3677" i="5" s="1"/>
  <c r="E3677" i="5"/>
  <c r="K3676" i="5"/>
  <c r="L3676" i="5" s="1"/>
  <c r="E3676" i="5"/>
  <c r="K3675" i="5"/>
  <c r="L3675" i="5" s="1"/>
  <c r="E3675" i="5"/>
  <c r="K3674" i="5"/>
  <c r="L3674" i="5" s="1"/>
  <c r="K3673" i="5"/>
  <c r="L3673" i="5" s="1"/>
  <c r="E3673" i="5"/>
  <c r="K3672" i="5"/>
  <c r="L3672" i="5" s="1"/>
  <c r="E3672" i="5"/>
  <c r="K3671" i="5"/>
  <c r="L3671" i="5" s="1"/>
  <c r="E3671" i="5"/>
  <c r="K3670" i="5"/>
  <c r="L3670" i="5" s="1"/>
  <c r="E3670" i="5"/>
  <c r="K3669" i="5"/>
  <c r="L3669" i="5" s="1"/>
  <c r="E3669" i="5"/>
  <c r="J3666" i="5"/>
  <c r="J3696" i="5" s="1"/>
  <c r="I3666" i="5"/>
  <c r="H3666" i="5"/>
  <c r="F3666" i="5"/>
  <c r="K3665" i="5"/>
  <c r="K3664" i="5"/>
  <c r="K3663" i="5"/>
  <c r="K3662" i="5"/>
  <c r="G3666" i="5"/>
  <c r="K3661" i="5"/>
  <c r="C1037" i="18"/>
  <c r="B1037" i="18"/>
  <c r="AX933" i="2"/>
  <c r="C931" i="2"/>
  <c r="C930" i="2"/>
  <c r="L765" i="1"/>
  <c r="G765" i="1"/>
  <c r="G227" i="22" l="1"/>
  <c r="G241" i="22"/>
  <c r="I290" i="22"/>
  <c r="F3696" i="5"/>
  <c r="G206" i="22"/>
  <c r="Y341" i="7"/>
  <c r="I298" i="22"/>
  <c r="G220" i="22"/>
  <c r="E3396" i="8"/>
  <c r="E341" i="7"/>
  <c r="K3741" i="5"/>
  <c r="N249" i="13"/>
  <c r="E3695" i="5"/>
  <c r="I3696" i="5"/>
  <c r="H3696" i="5"/>
  <c r="G3696" i="5"/>
  <c r="K3695" i="5"/>
  <c r="K3666" i="5"/>
  <c r="L3695" i="5"/>
  <c r="D2300" i="26"/>
  <c r="F2299" i="26"/>
  <c r="F2287" i="26"/>
  <c r="F2274" i="26"/>
  <c r="F2262" i="26"/>
  <c r="D2275" i="26"/>
  <c r="M3352" i="8"/>
  <c r="L3352" i="8"/>
  <c r="K3352" i="8"/>
  <c r="J3352" i="8"/>
  <c r="I3352" i="8"/>
  <c r="H3352" i="8"/>
  <c r="G3352" i="8"/>
  <c r="F3352" i="8"/>
  <c r="B3314" i="8"/>
  <c r="M3309" i="8"/>
  <c r="L3309" i="8"/>
  <c r="K3309" i="8"/>
  <c r="J3309" i="8"/>
  <c r="I3309" i="8"/>
  <c r="H3309" i="8"/>
  <c r="G3309" i="8"/>
  <c r="F3309" i="8"/>
  <c r="B3271" i="8"/>
  <c r="J3618" i="5"/>
  <c r="G3618" i="5"/>
  <c r="K3618" i="5" s="1"/>
  <c r="F3618" i="5"/>
  <c r="J3651" i="5"/>
  <c r="I3651" i="5"/>
  <c r="H3651" i="5"/>
  <c r="G3651" i="5"/>
  <c r="F3651" i="5"/>
  <c r="K3649" i="5"/>
  <c r="K3648" i="5"/>
  <c r="K3647" i="5"/>
  <c r="L3647" i="5" s="1"/>
  <c r="E3647" i="5"/>
  <c r="K3646" i="5"/>
  <c r="L3646" i="5" s="1"/>
  <c r="E3646" i="5"/>
  <c r="K3645" i="5"/>
  <c r="L3645" i="5" s="1"/>
  <c r="E3645" i="5"/>
  <c r="K3644" i="5"/>
  <c r="L3644" i="5" s="1"/>
  <c r="E3644" i="5"/>
  <c r="K3643" i="5"/>
  <c r="L3643" i="5" s="1"/>
  <c r="E3643" i="5"/>
  <c r="K3642" i="5"/>
  <c r="L3642" i="5" s="1"/>
  <c r="E3642" i="5"/>
  <c r="L3641" i="5"/>
  <c r="K3641" i="5"/>
  <c r="E3641" i="5"/>
  <c r="K3640" i="5"/>
  <c r="L3640" i="5" s="1"/>
  <c r="K3639" i="5"/>
  <c r="L3639" i="5" s="1"/>
  <c r="E3639" i="5"/>
  <c r="K3638" i="5"/>
  <c r="L3638" i="5" s="1"/>
  <c r="E3638" i="5"/>
  <c r="K3637" i="5"/>
  <c r="L3637" i="5" s="1"/>
  <c r="K3636" i="5"/>
  <c r="L3636" i="5" s="1"/>
  <c r="E3636" i="5"/>
  <c r="K3635" i="5"/>
  <c r="L3635" i="5" s="1"/>
  <c r="E3635" i="5"/>
  <c r="K3634" i="5"/>
  <c r="L3634" i="5" s="1"/>
  <c r="K3633" i="5"/>
  <c r="L3633" i="5" s="1"/>
  <c r="E3633" i="5"/>
  <c r="K3632" i="5"/>
  <c r="L3632" i="5" s="1"/>
  <c r="E3632" i="5"/>
  <c r="K3631" i="5"/>
  <c r="L3631" i="5" s="1"/>
  <c r="E3631" i="5"/>
  <c r="K3630" i="5"/>
  <c r="L3630" i="5" s="1"/>
  <c r="K3629" i="5"/>
  <c r="L3629" i="5" s="1"/>
  <c r="E3629" i="5"/>
  <c r="K3628" i="5"/>
  <c r="L3628" i="5" s="1"/>
  <c r="E3628" i="5"/>
  <c r="K3627" i="5"/>
  <c r="L3627" i="5" s="1"/>
  <c r="E3627" i="5"/>
  <c r="K3626" i="5"/>
  <c r="L3626" i="5" s="1"/>
  <c r="E3626" i="5"/>
  <c r="L3625" i="5"/>
  <c r="K3625" i="5"/>
  <c r="E3625" i="5"/>
  <c r="I3622" i="5"/>
  <c r="H3622" i="5"/>
  <c r="F3622" i="5"/>
  <c r="K3621" i="5"/>
  <c r="K3620" i="5"/>
  <c r="K3619" i="5"/>
  <c r="K3617" i="5"/>
  <c r="C1024" i="18"/>
  <c r="B1024" i="18"/>
  <c r="AF924" i="2"/>
  <c r="C924" i="2"/>
  <c r="Q758" i="1"/>
  <c r="G3622" i="5" l="1"/>
  <c r="H3652" i="5"/>
  <c r="E3353" i="8"/>
  <c r="K3696" i="5"/>
  <c r="K3697" i="5" s="1"/>
  <c r="E3310" i="8"/>
  <c r="K3651" i="5"/>
  <c r="I3652" i="5"/>
  <c r="F3652" i="5"/>
  <c r="K3622" i="5"/>
  <c r="J3622" i="5"/>
  <c r="J3652" i="5" s="1"/>
  <c r="E3651" i="5"/>
  <c r="G3652" i="5"/>
  <c r="L3651" i="5"/>
  <c r="C2232" i="26"/>
  <c r="M3266" i="8"/>
  <c r="L3266" i="8"/>
  <c r="K3266" i="8"/>
  <c r="J3266" i="8"/>
  <c r="I3266" i="8"/>
  <c r="H3266" i="8"/>
  <c r="G3266" i="8"/>
  <c r="F3266" i="8"/>
  <c r="B3228" i="8"/>
  <c r="M3223" i="8"/>
  <c r="L3223" i="8"/>
  <c r="K3223" i="8"/>
  <c r="J3223" i="8"/>
  <c r="I3223" i="8"/>
  <c r="H3223" i="8"/>
  <c r="G3223" i="8"/>
  <c r="F3223" i="8"/>
  <c r="B3185" i="8"/>
  <c r="J3574" i="5"/>
  <c r="G3574" i="5"/>
  <c r="G3578" i="5" s="1"/>
  <c r="F3574" i="5"/>
  <c r="F3578" i="5" s="1"/>
  <c r="J3607" i="5"/>
  <c r="I3607" i="5"/>
  <c r="H3607" i="5"/>
  <c r="G3607" i="5"/>
  <c r="F3607" i="5"/>
  <c r="K3605" i="5"/>
  <c r="K3604" i="5"/>
  <c r="K3603" i="5"/>
  <c r="L3603" i="5" s="1"/>
  <c r="E3603" i="5"/>
  <c r="K3602" i="5"/>
  <c r="L3602" i="5" s="1"/>
  <c r="E3602" i="5"/>
  <c r="L3601" i="5"/>
  <c r="K3601" i="5"/>
  <c r="E3601" i="5"/>
  <c r="K3600" i="5"/>
  <c r="L3600" i="5" s="1"/>
  <c r="E3600" i="5"/>
  <c r="K3599" i="5"/>
  <c r="L3599" i="5" s="1"/>
  <c r="E3599" i="5"/>
  <c r="K3598" i="5"/>
  <c r="L3598" i="5" s="1"/>
  <c r="E3598" i="5"/>
  <c r="K3597" i="5"/>
  <c r="L3597" i="5" s="1"/>
  <c r="E3597" i="5"/>
  <c r="K3596" i="5"/>
  <c r="L3596" i="5" s="1"/>
  <c r="K3595" i="5"/>
  <c r="L3595" i="5" s="1"/>
  <c r="E3595" i="5"/>
  <c r="L3594" i="5"/>
  <c r="K3594" i="5"/>
  <c r="E3594" i="5"/>
  <c r="K3593" i="5"/>
  <c r="L3593" i="5" s="1"/>
  <c r="K3592" i="5"/>
  <c r="L3592" i="5" s="1"/>
  <c r="E3592" i="5"/>
  <c r="K3591" i="5"/>
  <c r="L3591" i="5" s="1"/>
  <c r="E3591" i="5"/>
  <c r="K3590" i="5"/>
  <c r="L3590" i="5" s="1"/>
  <c r="K3589" i="5"/>
  <c r="L3589" i="5" s="1"/>
  <c r="E3589" i="5"/>
  <c r="K3588" i="5"/>
  <c r="L3588" i="5" s="1"/>
  <c r="E3588" i="5"/>
  <c r="K3587" i="5"/>
  <c r="L3587" i="5" s="1"/>
  <c r="E3587" i="5"/>
  <c r="K3586" i="5"/>
  <c r="L3586" i="5" s="1"/>
  <c r="L3585" i="5"/>
  <c r="K3585" i="5"/>
  <c r="E3585" i="5"/>
  <c r="K3584" i="5"/>
  <c r="L3584" i="5" s="1"/>
  <c r="E3584" i="5"/>
  <c r="K3583" i="5"/>
  <c r="L3583" i="5" s="1"/>
  <c r="E3583" i="5"/>
  <c r="K3582" i="5"/>
  <c r="L3582" i="5" s="1"/>
  <c r="E3582" i="5"/>
  <c r="K3581" i="5"/>
  <c r="L3581" i="5" s="1"/>
  <c r="E3581" i="5"/>
  <c r="J3578" i="5"/>
  <c r="I3578" i="5"/>
  <c r="H3578" i="5"/>
  <c r="K3577" i="5"/>
  <c r="K3576" i="5"/>
  <c r="K3575" i="5"/>
  <c r="K3573" i="5"/>
  <c r="C1011" i="18"/>
  <c r="B1011" i="18"/>
  <c r="C911" i="2"/>
  <c r="G752" i="1"/>
  <c r="H3608" i="5" l="1"/>
  <c r="I3608" i="5"/>
  <c r="K3574" i="5"/>
  <c r="E3267" i="8"/>
  <c r="K3652" i="5"/>
  <c r="K3653" i="5" s="1"/>
  <c r="E3224" i="8"/>
  <c r="G3608" i="5"/>
  <c r="J3608" i="5"/>
  <c r="F3608" i="5"/>
  <c r="E3607" i="5"/>
  <c r="K3607" i="5"/>
  <c r="K3578" i="5"/>
  <c r="L3607" i="5"/>
  <c r="D2205" i="26"/>
  <c r="D2207" i="26"/>
  <c r="C2204" i="26"/>
  <c r="D2231" i="26"/>
  <c r="D2229" i="26"/>
  <c r="F2249" i="26"/>
  <c r="F2237" i="26"/>
  <c r="D2225" i="26"/>
  <c r="F2224" i="26"/>
  <c r="F2212" i="26"/>
  <c r="M3180" i="8"/>
  <c r="L3180" i="8"/>
  <c r="K3180" i="8"/>
  <c r="J3180" i="8"/>
  <c r="I3180" i="8"/>
  <c r="H3180" i="8"/>
  <c r="G3180" i="8"/>
  <c r="F3180" i="8"/>
  <c r="B3142" i="8"/>
  <c r="J3563" i="5"/>
  <c r="I3563" i="5"/>
  <c r="H3563" i="5"/>
  <c r="G3563" i="5"/>
  <c r="F3563" i="5"/>
  <c r="K3561" i="5"/>
  <c r="K3560" i="5"/>
  <c r="K3559" i="5"/>
  <c r="L3559" i="5" s="1"/>
  <c r="E3559" i="5"/>
  <c r="K3558" i="5"/>
  <c r="L3558" i="5" s="1"/>
  <c r="E3558" i="5"/>
  <c r="L3557" i="5"/>
  <c r="K3557" i="5"/>
  <c r="E3557" i="5"/>
  <c r="K3556" i="5"/>
  <c r="L3556" i="5" s="1"/>
  <c r="E3556" i="5"/>
  <c r="K3555" i="5"/>
  <c r="L3555" i="5" s="1"/>
  <c r="E3555" i="5"/>
  <c r="K3554" i="5"/>
  <c r="L3554" i="5" s="1"/>
  <c r="E3554" i="5"/>
  <c r="K3553" i="5"/>
  <c r="L3553" i="5" s="1"/>
  <c r="E3553" i="5"/>
  <c r="K3552" i="5"/>
  <c r="L3552" i="5" s="1"/>
  <c r="K3551" i="5"/>
  <c r="L3551" i="5" s="1"/>
  <c r="E3551" i="5"/>
  <c r="K3550" i="5"/>
  <c r="L3550" i="5" s="1"/>
  <c r="E3550" i="5"/>
  <c r="K3549" i="5"/>
  <c r="L3549" i="5" s="1"/>
  <c r="K3548" i="5"/>
  <c r="L3548" i="5" s="1"/>
  <c r="E3548" i="5"/>
  <c r="K3547" i="5"/>
  <c r="L3547" i="5" s="1"/>
  <c r="E3547" i="5"/>
  <c r="K3546" i="5"/>
  <c r="L3546" i="5" s="1"/>
  <c r="K3545" i="5"/>
  <c r="L3545" i="5" s="1"/>
  <c r="E3545" i="5"/>
  <c r="K3544" i="5"/>
  <c r="L3544" i="5" s="1"/>
  <c r="E3544" i="5"/>
  <c r="K3543" i="5"/>
  <c r="L3543" i="5" s="1"/>
  <c r="E3543" i="5"/>
  <c r="K3542" i="5"/>
  <c r="L3542" i="5" s="1"/>
  <c r="K3541" i="5"/>
  <c r="L3541" i="5" s="1"/>
  <c r="E3541" i="5"/>
  <c r="K3540" i="5"/>
  <c r="L3540" i="5" s="1"/>
  <c r="E3540" i="5"/>
  <c r="K3539" i="5"/>
  <c r="L3539" i="5" s="1"/>
  <c r="E3539" i="5"/>
  <c r="K3538" i="5"/>
  <c r="L3538" i="5" s="1"/>
  <c r="E3538" i="5"/>
  <c r="K3537" i="5"/>
  <c r="L3537" i="5" s="1"/>
  <c r="E3537" i="5"/>
  <c r="J3534" i="5"/>
  <c r="J3564" i="5" s="1"/>
  <c r="I3534" i="5"/>
  <c r="H3534" i="5"/>
  <c r="G3534" i="5"/>
  <c r="F3534" i="5"/>
  <c r="F3564" i="5" s="1"/>
  <c r="K3533" i="5"/>
  <c r="K3532" i="5"/>
  <c r="K3531" i="5"/>
  <c r="K3530" i="5"/>
  <c r="K3529" i="5"/>
  <c r="C999" i="18"/>
  <c r="B999" i="18"/>
  <c r="C900" i="2"/>
  <c r="C902" i="2"/>
  <c r="BF1017" i="2"/>
  <c r="BE1017" i="2"/>
  <c r="BD1017" i="2"/>
  <c r="BC1017" i="2"/>
  <c r="BB1017" i="2"/>
  <c r="BA1017" i="2"/>
  <c r="AZ1017" i="2"/>
  <c r="AY1017" i="2"/>
  <c r="AX1017" i="2"/>
  <c r="AW1017" i="2"/>
  <c r="AV1017" i="2"/>
  <c r="AU1017" i="2"/>
  <c r="AT1017" i="2"/>
  <c r="AS1017" i="2"/>
  <c r="AR1017" i="2"/>
  <c r="AQ1017" i="2"/>
  <c r="AP1017" i="2"/>
  <c r="AO1017" i="2"/>
  <c r="AN1017" i="2"/>
  <c r="AM1017" i="2"/>
  <c r="AL1017" i="2"/>
  <c r="AK1017" i="2"/>
  <c r="AJ1017" i="2"/>
  <c r="AI1017" i="2"/>
  <c r="AH1017" i="2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U1017" i="2"/>
  <c r="T1017" i="2"/>
  <c r="S1017" i="2"/>
  <c r="R1017" i="2"/>
  <c r="Q1017" i="2"/>
  <c r="P1017" i="2"/>
  <c r="O1017" i="2"/>
  <c r="N1017" i="2"/>
  <c r="M1017" i="2"/>
  <c r="L1017" i="2"/>
  <c r="K1017" i="2"/>
  <c r="J1017" i="2"/>
  <c r="I1017" i="2"/>
  <c r="H1017" i="2"/>
  <c r="G1017" i="2"/>
  <c r="C1016" i="2"/>
  <c r="C1008" i="2"/>
  <c r="C999" i="2"/>
  <c r="C996" i="2"/>
  <c r="C990" i="2"/>
  <c r="C987" i="2"/>
  <c r="C977" i="2"/>
  <c r="L967" i="2"/>
  <c r="AI967" i="2" s="1"/>
  <c r="AW967" i="2" s="1"/>
  <c r="AW1021" i="2" s="1"/>
  <c r="AL1021" i="2" s="1"/>
  <c r="L1021" i="2" s="1"/>
  <c r="C1021" i="2" s="1"/>
  <c r="G747" i="1"/>
  <c r="W748" i="1"/>
  <c r="H3564" i="5" l="1"/>
  <c r="K3608" i="5"/>
  <c r="E3181" i="8"/>
  <c r="K3609" i="5"/>
  <c r="D2250" i="26"/>
  <c r="I3564" i="5"/>
  <c r="G3564" i="5"/>
  <c r="E3563" i="5"/>
  <c r="K3563" i="5"/>
  <c r="K3534" i="5"/>
  <c r="L3563" i="5"/>
  <c r="C1018" i="2"/>
  <c r="W841" i="1"/>
  <c r="N27" i="29" s="1"/>
  <c r="V841" i="1"/>
  <c r="E27" i="29" s="1"/>
  <c r="U841" i="1"/>
  <c r="S841" i="1"/>
  <c r="K27" i="29" s="1"/>
  <c r="R841" i="1"/>
  <c r="Q841" i="1"/>
  <c r="I27" i="29" s="1"/>
  <c r="P841" i="1"/>
  <c r="O841" i="1"/>
  <c r="M27" i="29" s="1"/>
  <c r="N841" i="1"/>
  <c r="L27" i="29" s="1"/>
  <c r="M841" i="1"/>
  <c r="L841" i="1"/>
  <c r="J27" i="29" s="1"/>
  <c r="K841" i="1"/>
  <c r="H27" i="29" s="1"/>
  <c r="J841" i="1"/>
  <c r="G27" i="29" s="1"/>
  <c r="I841" i="1"/>
  <c r="F27" i="29" s="1"/>
  <c r="H841" i="1"/>
  <c r="G841" i="1"/>
  <c r="D27" i="29" s="1"/>
  <c r="F841" i="1"/>
  <c r="C27" i="29" s="1"/>
  <c r="E838" i="1"/>
  <c r="E841" i="1" s="1"/>
  <c r="D838" i="1"/>
  <c r="Z835" i="1"/>
  <c r="Y835" i="1"/>
  <c r="E834" i="1"/>
  <c r="D834" i="1"/>
  <c r="Z828" i="1"/>
  <c r="Y828" i="1"/>
  <c r="E827" i="1"/>
  <c r="D827" i="1"/>
  <c r="Z823" i="1"/>
  <c r="Y823" i="1"/>
  <c r="E822" i="1"/>
  <c r="D822" i="1"/>
  <c r="Z815" i="1"/>
  <c r="Y815" i="1"/>
  <c r="E814" i="1"/>
  <c r="D814" i="1"/>
  <c r="Z808" i="1"/>
  <c r="Y808" i="1"/>
  <c r="E807" i="1"/>
  <c r="D807" i="1"/>
  <c r="Z802" i="1"/>
  <c r="Y802" i="1"/>
  <c r="E801" i="1"/>
  <c r="D801" i="1"/>
  <c r="Z797" i="1"/>
  <c r="Y797" i="1"/>
  <c r="M795" i="1"/>
  <c r="V795" i="1" s="1"/>
  <c r="V843" i="1" s="1"/>
  <c r="M843" i="1" s="1"/>
  <c r="E843" i="1" s="1"/>
  <c r="D841" i="1" l="1"/>
  <c r="Y841" i="1"/>
  <c r="K3564" i="5"/>
  <c r="K3565" i="5" s="1"/>
  <c r="D106" i="22"/>
  <c r="H197" i="22"/>
  <c r="G197" i="22"/>
  <c r="F197" i="22"/>
  <c r="E197" i="22"/>
  <c r="D197" i="22"/>
  <c r="H189" i="22"/>
  <c r="G189" i="22"/>
  <c r="F189" i="22"/>
  <c r="E189" i="22"/>
  <c r="D189" i="22"/>
  <c r="H182" i="22"/>
  <c r="G182" i="22"/>
  <c r="F182" i="22"/>
  <c r="E182" i="22"/>
  <c r="D182" i="22"/>
  <c r="H175" i="22"/>
  <c r="G175" i="22"/>
  <c r="F175" i="22"/>
  <c r="E175" i="22"/>
  <c r="D175" i="22"/>
  <c r="I186" i="22" l="1"/>
  <c r="I196" i="22"/>
  <c r="H195" i="22"/>
  <c r="H198" i="22" s="1"/>
  <c r="G195" i="22"/>
  <c r="G198" i="22" s="1"/>
  <c r="F195" i="22"/>
  <c r="F198" i="22" s="1"/>
  <c r="E195" i="22"/>
  <c r="E198" i="22" s="1"/>
  <c r="D195" i="22"/>
  <c r="D198" i="22" s="1"/>
  <c r="I194" i="22"/>
  <c r="I189" i="22"/>
  <c r="I188" i="22"/>
  <c r="H187" i="22"/>
  <c r="H190" i="22" s="1"/>
  <c r="G187" i="22"/>
  <c r="G190" i="22" s="1"/>
  <c r="F187" i="22"/>
  <c r="F190" i="22" s="1"/>
  <c r="E187" i="22"/>
  <c r="E190" i="22" s="1"/>
  <c r="D187" i="22"/>
  <c r="D190" i="22" s="1"/>
  <c r="I182" i="22"/>
  <c r="I181" i="22"/>
  <c r="H180" i="22"/>
  <c r="H183" i="22" s="1"/>
  <c r="G180" i="22"/>
  <c r="G183" i="22" s="1"/>
  <c r="F180" i="22"/>
  <c r="F183" i="22" s="1"/>
  <c r="E180" i="22"/>
  <c r="E183" i="22" s="1"/>
  <c r="I183" i="22" s="1"/>
  <c r="D180" i="22"/>
  <c r="D183" i="22" s="1"/>
  <c r="I179" i="22"/>
  <c r="I174" i="22"/>
  <c r="H173" i="22"/>
  <c r="H176" i="22" s="1"/>
  <c r="G173" i="22"/>
  <c r="G176" i="22" s="1"/>
  <c r="F173" i="22"/>
  <c r="F176" i="22" s="1"/>
  <c r="E173" i="22"/>
  <c r="D173" i="22"/>
  <c r="D176" i="22" s="1"/>
  <c r="I172" i="22"/>
  <c r="F169" i="22"/>
  <c r="E169" i="22"/>
  <c r="D169" i="22"/>
  <c r="F168" i="22"/>
  <c r="E168" i="22"/>
  <c r="D168" i="22"/>
  <c r="G167" i="22"/>
  <c r="F166" i="22"/>
  <c r="E166" i="22"/>
  <c r="D166" i="22"/>
  <c r="G165" i="22"/>
  <c r="F162" i="22"/>
  <c r="E162" i="22"/>
  <c r="D162" i="22"/>
  <c r="F161" i="22"/>
  <c r="E161" i="22"/>
  <c r="D161" i="22"/>
  <c r="G160" i="22"/>
  <c r="F159" i="22"/>
  <c r="E159" i="22"/>
  <c r="D159" i="22"/>
  <c r="G158" i="22"/>
  <c r="F155" i="22"/>
  <c r="E155" i="22"/>
  <c r="D155" i="22"/>
  <c r="F154" i="22"/>
  <c r="E154" i="22"/>
  <c r="D154" i="22"/>
  <c r="G154" i="22" s="1"/>
  <c r="G153" i="22"/>
  <c r="F152" i="22"/>
  <c r="E152" i="22"/>
  <c r="D152" i="22"/>
  <c r="G151" i="22"/>
  <c r="F148" i="22"/>
  <c r="E148" i="22"/>
  <c r="D148" i="22"/>
  <c r="F147" i="22"/>
  <c r="E147" i="22"/>
  <c r="D147" i="22"/>
  <c r="G146" i="22"/>
  <c r="F145" i="22"/>
  <c r="E145" i="22"/>
  <c r="D145" i="22"/>
  <c r="G144" i="22"/>
  <c r="F141" i="22"/>
  <c r="E141" i="22"/>
  <c r="D141" i="22"/>
  <c r="F140" i="22"/>
  <c r="E140" i="22"/>
  <c r="D140" i="22"/>
  <c r="G139" i="22"/>
  <c r="F138" i="22"/>
  <c r="E138" i="22"/>
  <c r="D138" i="22"/>
  <c r="G137" i="22"/>
  <c r="F134" i="22"/>
  <c r="E134" i="22"/>
  <c r="D134" i="22"/>
  <c r="F133" i="22"/>
  <c r="E133" i="22"/>
  <c r="D133" i="22"/>
  <c r="G132" i="22"/>
  <c r="F131" i="22"/>
  <c r="E131" i="22"/>
  <c r="D131" i="22"/>
  <c r="G130" i="22"/>
  <c r="F127" i="22"/>
  <c r="E127" i="22"/>
  <c r="F126" i="22"/>
  <c r="E126" i="22"/>
  <c r="D126" i="22"/>
  <c r="G125" i="22"/>
  <c r="F124" i="22"/>
  <c r="E124" i="22"/>
  <c r="G123" i="22"/>
  <c r="D127" i="22"/>
  <c r="F120" i="22"/>
  <c r="E120" i="22"/>
  <c r="F119" i="22"/>
  <c r="E119" i="22"/>
  <c r="D119" i="22"/>
  <c r="G118" i="22"/>
  <c r="F117" i="22"/>
  <c r="E117" i="22"/>
  <c r="G116" i="22"/>
  <c r="D120" i="22"/>
  <c r="F113" i="22"/>
  <c r="E113" i="22"/>
  <c r="F112" i="22"/>
  <c r="E112" i="22"/>
  <c r="D112" i="22"/>
  <c r="G111" i="22"/>
  <c r="F110" i="22"/>
  <c r="E110" i="22"/>
  <c r="D110" i="22"/>
  <c r="G110" i="22" s="1"/>
  <c r="G109" i="22"/>
  <c r="D113" i="22"/>
  <c r="B108" i="22"/>
  <c r="B115" i="22" s="1"/>
  <c r="B122" i="22" s="1"/>
  <c r="B129" i="22" s="1"/>
  <c r="B136" i="22" s="1"/>
  <c r="B143" i="22" s="1"/>
  <c r="B150" i="22" s="1"/>
  <c r="B157" i="22" s="1"/>
  <c r="B164" i="22" s="1"/>
  <c r="B171" i="22" s="1"/>
  <c r="B178" i="22" s="1"/>
  <c r="B185" i="22" s="1"/>
  <c r="F106" i="22"/>
  <c r="E106" i="22"/>
  <c r="F105" i="22"/>
  <c r="E105" i="22"/>
  <c r="D105" i="22"/>
  <c r="G104" i="22"/>
  <c r="F103" i="22"/>
  <c r="E103" i="22"/>
  <c r="D103" i="22"/>
  <c r="G102" i="22"/>
  <c r="C2179" i="26"/>
  <c r="D2200" i="26"/>
  <c r="F2199" i="26"/>
  <c r="F2187" i="26"/>
  <c r="D2175" i="26"/>
  <c r="F2174" i="26"/>
  <c r="F2162" i="26"/>
  <c r="M3137" i="8"/>
  <c r="L3137" i="8"/>
  <c r="K3137" i="8"/>
  <c r="J3137" i="8"/>
  <c r="I3137" i="8"/>
  <c r="H3137" i="8"/>
  <c r="G3137" i="8"/>
  <c r="F3137" i="8"/>
  <c r="B3099" i="8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J321" i="7" s="1"/>
  <c r="I320" i="7"/>
  <c r="H320" i="7"/>
  <c r="G320" i="7"/>
  <c r="F320" i="7"/>
  <c r="X319" i="7"/>
  <c r="W319" i="7"/>
  <c r="V319" i="7"/>
  <c r="U319" i="7"/>
  <c r="U321" i="7" s="1"/>
  <c r="T319" i="7"/>
  <c r="T321" i="7" s="1"/>
  <c r="S319" i="7"/>
  <c r="R319" i="7"/>
  <c r="Q319" i="7"/>
  <c r="P319" i="7"/>
  <c r="O319" i="7"/>
  <c r="N319" i="7"/>
  <c r="M319" i="7"/>
  <c r="M321" i="7" s="1"/>
  <c r="L319" i="7"/>
  <c r="K319" i="7"/>
  <c r="J319" i="7"/>
  <c r="I319" i="7"/>
  <c r="I321" i="7" s="1"/>
  <c r="H319" i="7"/>
  <c r="G319" i="7"/>
  <c r="F319" i="7"/>
  <c r="Y318" i="7"/>
  <c r="E318" i="7"/>
  <c r="AB317" i="7"/>
  <c r="Y317" i="7"/>
  <c r="E317" i="7"/>
  <c r="Y316" i="7"/>
  <c r="E316" i="7"/>
  <c r="AB315" i="7"/>
  <c r="Y315" i="7"/>
  <c r="E315" i="7"/>
  <c r="Y314" i="7"/>
  <c r="E314" i="7"/>
  <c r="AB313" i="7"/>
  <c r="Y313" i="7"/>
  <c r="E313" i="7"/>
  <c r="Y312" i="7"/>
  <c r="E312" i="7"/>
  <c r="AB311" i="7"/>
  <c r="Y311" i="7"/>
  <c r="E311" i="7"/>
  <c r="Y310" i="7"/>
  <c r="E310" i="7"/>
  <c r="AB309" i="7"/>
  <c r="Y309" i="7"/>
  <c r="E309" i="7"/>
  <c r="Y308" i="7"/>
  <c r="E308" i="7"/>
  <c r="AB307" i="7"/>
  <c r="Y307" i="7"/>
  <c r="E307" i="7"/>
  <c r="Y306" i="7"/>
  <c r="E306" i="7"/>
  <c r="AB305" i="7"/>
  <c r="Y305" i="7"/>
  <c r="E305" i="7"/>
  <c r="G152" i="22" l="1"/>
  <c r="G161" i="22"/>
  <c r="V321" i="7"/>
  <c r="G103" i="22"/>
  <c r="H321" i="7"/>
  <c r="P321" i="7"/>
  <c r="X321" i="7"/>
  <c r="R321" i="7"/>
  <c r="Q321" i="7"/>
  <c r="N321" i="7"/>
  <c r="L321" i="7"/>
  <c r="F321" i="7"/>
  <c r="G145" i="22"/>
  <c r="G147" i="22"/>
  <c r="G138" i="22"/>
  <c r="G141" i="22" s="1"/>
  <c r="G140" i="22"/>
  <c r="G112" i="22"/>
  <c r="G113" i="22" s="1"/>
  <c r="G119" i="22"/>
  <c r="G131" i="22"/>
  <c r="G159" i="22"/>
  <c r="G162" i="22" s="1"/>
  <c r="G166" i="22"/>
  <c r="G169" i="22" s="1"/>
  <c r="G168" i="22"/>
  <c r="I173" i="22"/>
  <c r="E176" i="22"/>
  <c r="I176" i="22" s="1"/>
  <c r="I195" i="22"/>
  <c r="E3138" i="8"/>
  <c r="G126" i="22"/>
  <c r="G133" i="22"/>
  <c r="G105" i="22"/>
  <c r="G106" i="22" s="1"/>
  <c r="I187" i="22"/>
  <c r="I190" i="22"/>
  <c r="I180" i="22"/>
  <c r="I197" i="22"/>
  <c r="I198" i="22"/>
  <c r="I175" i="22"/>
  <c r="G155" i="22"/>
  <c r="D117" i="22"/>
  <c r="G117" i="22" s="1"/>
  <c r="G120" i="22" s="1"/>
  <c r="D124" i="22"/>
  <c r="G124" i="22" s="1"/>
  <c r="G127" i="22" s="1"/>
  <c r="E320" i="7"/>
  <c r="Y320" i="7"/>
  <c r="G321" i="7"/>
  <c r="K321" i="7"/>
  <c r="O321" i="7"/>
  <c r="S321" i="7"/>
  <c r="W321" i="7"/>
  <c r="E319" i="7"/>
  <c r="Y319" i="7"/>
  <c r="F3519" i="5"/>
  <c r="J3519" i="5"/>
  <c r="I3519" i="5"/>
  <c r="H3519" i="5"/>
  <c r="G3519" i="5"/>
  <c r="K3517" i="5"/>
  <c r="K3516" i="5"/>
  <c r="K3515" i="5"/>
  <c r="L3515" i="5" s="1"/>
  <c r="E3515" i="5"/>
  <c r="K3514" i="5"/>
  <c r="L3514" i="5" s="1"/>
  <c r="E3514" i="5"/>
  <c r="K3513" i="5"/>
  <c r="L3513" i="5" s="1"/>
  <c r="E3513" i="5"/>
  <c r="K3512" i="5"/>
  <c r="L3512" i="5" s="1"/>
  <c r="E3512" i="5"/>
  <c r="K3511" i="5"/>
  <c r="L3511" i="5" s="1"/>
  <c r="E3511" i="5"/>
  <c r="K3510" i="5"/>
  <c r="L3510" i="5" s="1"/>
  <c r="E3510" i="5"/>
  <c r="L3509" i="5"/>
  <c r="K3509" i="5"/>
  <c r="E3509" i="5"/>
  <c r="K3508" i="5"/>
  <c r="L3508" i="5" s="1"/>
  <c r="K3507" i="5"/>
  <c r="L3507" i="5" s="1"/>
  <c r="E3507" i="5"/>
  <c r="K3506" i="5"/>
  <c r="L3506" i="5" s="1"/>
  <c r="E3506" i="5"/>
  <c r="K3505" i="5"/>
  <c r="L3505" i="5" s="1"/>
  <c r="K3504" i="5"/>
  <c r="L3504" i="5" s="1"/>
  <c r="E3504" i="5"/>
  <c r="K3503" i="5"/>
  <c r="L3503" i="5" s="1"/>
  <c r="E3503" i="5"/>
  <c r="K3502" i="5"/>
  <c r="L3502" i="5" s="1"/>
  <c r="K3501" i="5"/>
  <c r="L3501" i="5" s="1"/>
  <c r="E3501" i="5"/>
  <c r="K3500" i="5"/>
  <c r="L3500" i="5" s="1"/>
  <c r="E3500" i="5"/>
  <c r="K3499" i="5"/>
  <c r="L3499" i="5" s="1"/>
  <c r="E3499" i="5"/>
  <c r="K3498" i="5"/>
  <c r="L3498" i="5" s="1"/>
  <c r="K3497" i="5"/>
  <c r="L3497" i="5" s="1"/>
  <c r="E3497" i="5"/>
  <c r="K3496" i="5"/>
  <c r="L3496" i="5" s="1"/>
  <c r="E3496" i="5"/>
  <c r="K3495" i="5"/>
  <c r="L3495" i="5" s="1"/>
  <c r="E3495" i="5"/>
  <c r="K3494" i="5"/>
  <c r="L3494" i="5" s="1"/>
  <c r="E3494" i="5"/>
  <c r="K3493" i="5"/>
  <c r="L3493" i="5" s="1"/>
  <c r="E3493" i="5"/>
  <c r="J3490" i="5"/>
  <c r="I3490" i="5"/>
  <c r="H3490" i="5"/>
  <c r="G3490" i="5"/>
  <c r="F3490" i="5"/>
  <c r="F3520" i="5" s="1"/>
  <c r="K3489" i="5"/>
  <c r="K3488" i="5"/>
  <c r="K3487" i="5"/>
  <c r="K3486" i="5"/>
  <c r="K3485" i="5"/>
  <c r="C982" i="18"/>
  <c r="B982" i="18"/>
  <c r="C975" i="18"/>
  <c r="B975" i="18"/>
  <c r="C968" i="18"/>
  <c r="B968" i="18"/>
  <c r="O723" i="1"/>
  <c r="J3520" i="5" l="1"/>
  <c r="Y321" i="7"/>
  <c r="E321" i="7"/>
  <c r="G148" i="22"/>
  <c r="G134" i="22"/>
  <c r="I3520" i="5"/>
  <c r="K3490" i="5"/>
  <c r="G3520" i="5"/>
  <c r="E3519" i="5"/>
  <c r="H3520" i="5"/>
  <c r="K3519" i="5"/>
  <c r="L3519" i="5"/>
  <c r="D23" i="22"/>
  <c r="D9" i="22"/>
  <c r="D16" i="22"/>
  <c r="H98" i="22"/>
  <c r="G98" i="22"/>
  <c r="F98" i="22"/>
  <c r="E98" i="22"/>
  <c r="D98" i="22"/>
  <c r="H97" i="22"/>
  <c r="G97" i="22"/>
  <c r="F97" i="22"/>
  <c r="E97" i="22"/>
  <c r="D97" i="22"/>
  <c r="I96" i="22"/>
  <c r="H95" i="22"/>
  <c r="G95" i="22"/>
  <c r="F95" i="22"/>
  <c r="E95" i="22"/>
  <c r="D95" i="22"/>
  <c r="I94" i="22"/>
  <c r="H90" i="22"/>
  <c r="G90" i="22"/>
  <c r="F90" i="22"/>
  <c r="E90" i="22"/>
  <c r="D90" i="22"/>
  <c r="H89" i="22"/>
  <c r="G89" i="22"/>
  <c r="F89" i="22"/>
  <c r="E89" i="22"/>
  <c r="D89" i="22"/>
  <c r="I88" i="22"/>
  <c r="H87" i="22"/>
  <c r="G87" i="22"/>
  <c r="F87" i="22"/>
  <c r="E87" i="22"/>
  <c r="D87" i="22"/>
  <c r="I86" i="22"/>
  <c r="H80" i="22"/>
  <c r="G80" i="22"/>
  <c r="F80" i="22"/>
  <c r="E80" i="22"/>
  <c r="D80" i="22"/>
  <c r="H83" i="22"/>
  <c r="G83" i="22"/>
  <c r="F83" i="22"/>
  <c r="E83" i="22"/>
  <c r="D83" i="22"/>
  <c r="H82" i="22"/>
  <c r="G82" i="22"/>
  <c r="F82" i="22"/>
  <c r="E82" i="22"/>
  <c r="D82" i="22"/>
  <c r="I81" i="22"/>
  <c r="I79" i="22"/>
  <c r="I74" i="22"/>
  <c r="I72" i="22"/>
  <c r="H76" i="22"/>
  <c r="H75" i="22"/>
  <c r="H73" i="22"/>
  <c r="G76" i="22"/>
  <c r="G75" i="22"/>
  <c r="G73" i="22"/>
  <c r="F73" i="22"/>
  <c r="E73" i="22"/>
  <c r="D73" i="22"/>
  <c r="F76" i="22"/>
  <c r="E76" i="22"/>
  <c r="D76" i="22"/>
  <c r="F75" i="22"/>
  <c r="E75" i="22"/>
  <c r="D75" i="22"/>
  <c r="I87" i="22" l="1"/>
  <c r="I89" i="22"/>
  <c r="I90" i="22"/>
  <c r="I97" i="22"/>
  <c r="K3520" i="5"/>
  <c r="K3521" i="5" s="1"/>
  <c r="I98" i="22"/>
  <c r="I95" i="22"/>
  <c r="I75" i="22"/>
  <c r="I76" i="22"/>
  <c r="I73" i="22"/>
  <c r="I82" i="22"/>
  <c r="I83" i="22"/>
  <c r="I80" i="22"/>
  <c r="N236" i="13"/>
  <c r="N240" i="13" s="1"/>
  <c r="N231" i="13"/>
  <c r="N228" i="13"/>
  <c r="N232" i="13"/>
  <c r="N230" i="13"/>
  <c r="F227" i="13"/>
  <c r="N229" i="13"/>
  <c r="N227" i="13"/>
  <c r="C2129" i="26"/>
  <c r="M3094" i="8"/>
  <c r="L3094" i="8"/>
  <c r="K3094" i="8"/>
  <c r="J3094" i="8"/>
  <c r="I3094" i="8"/>
  <c r="H3094" i="8"/>
  <c r="G3094" i="8"/>
  <c r="F3094" i="8"/>
  <c r="B3056" i="8"/>
  <c r="J3475" i="5"/>
  <c r="I3475" i="5"/>
  <c r="H3475" i="5"/>
  <c r="G3475" i="5"/>
  <c r="F3475" i="5"/>
  <c r="K3473" i="5"/>
  <c r="K3472" i="5"/>
  <c r="K3471" i="5"/>
  <c r="L3471" i="5" s="1"/>
  <c r="E3471" i="5"/>
  <c r="K3470" i="5"/>
  <c r="L3470" i="5" s="1"/>
  <c r="E3470" i="5"/>
  <c r="K3469" i="5"/>
  <c r="L3469" i="5" s="1"/>
  <c r="E3469" i="5"/>
  <c r="K3468" i="5"/>
  <c r="L3468" i="5" s="1"/>
  <c r="E3468" i="5"/>
  <c r="K3467" i="5"/>
  <c r="L3467" i="5" s="1"/>
  <c r="E3467" i="5"/>
  <c r="K3466" i="5"/>
  <c r="L3466" i="5" s="1"/>
  <c r="E3466" i="5"/>
  <c r="K3465" i="5"/>
  <c r="L3465" i="5" s="1"/>
  <c r="E3465" i="5"/>
  <c r="K3464" i="5"/>
  <c r="L3464" i="5" s="1"/>
  <c r="K3463" i="5"/>
  <c r="L3463" i="5" s="1"/>
  <c r="E3463" i="5"/>
  <c r="K3462" i="5"/>
  <c r="L3462" i="5" s="1"/>
  <c r="E3462" i="5"/>
  <c r="K3461" i="5"/>
  <c r="L3461" i="5" s="1"/>
  <c r="K3460" i="5"/>
  <c r="L3460" i="5" s="1"/>
  <c r="E3460" i="5"/>
  <c r="L3459" i="5"/>
  <c r="K3459" i="5"/>
  <c r="E3459" i="5"/>
  <c r="K3458" i="5"/>
  <c r="L3458" i="5" s="1"/>
  <c r="K3457" i="5"/>
  <c r="L3457" i="5" s="1"/>
  <c r="E3457" i="5"/>
  <c r="K3456" i="5"/>
  <c r="L3456" i="5" s="1"/>
  <c r="E3456" i="5"/>
  <c r="K3455" i="5"/>
  <c r="L3455" i="5" s="1"/>
  <c r="E3455" i="5"/>
  <c r="K3454" i="5"/>
  <c r="L3454" i="5" s="1"/>
  <c r="K3453" i="5"/>
  <c r="L3453" i="5" s="1"/>
  <c r="E3453" i="5"/>
  <c r="K3452" i="5"/>
  <c r="L3452" i="5" s="1"/>
  <c r="E3452" i="5"/>
  <c r="K3451" i="5"/>
  <c r="L3451" i="5" s="1"/>
  <c r="E3451" i="5"/>
  <c r="K3450" i="5"/>
  <c r="L3450" i="5" s="1"/>
  <c r="E3450" i="5"/>
  <c r="K3449" i="5"/>
  <c r="L3449" i="5" s="1"/>
  <c r="E3449" i="5"/>
  <c r="J3446" i="5"/>
  <c r="J3476" i="5" s="1"/>
  <c r="I3446" i="5"/>
  <c r="H3446" i="5"/>
  <c r="G3446" i="5"/>
  <c r="F3446" i="5"/>
  <c r="F3476" i="5" s="1"/>
  <c r="K3445" i="5"/>
  <c r="K3444" i="5"/>
  <c r="K3443" i="5"/>
  <c r="K3442" i="5"/>
  <c r="K3441" i="5"/>
  <c r="AX862" i="2"/>
  <c r="C961" i="18"/>
  <c r="B961" i="18"/>
  <c r="E3095" i="8" l="1"/>
  <c r="N233" i="13"/>
  <c r="I3476" i="5"/>
  <c r="H3476" i="5"/>
  <c r="K3446" i="5"/>
  <c r="G3476" i="5"/>
  <c r="K3476" i="5" s="1"/>
  <c r="E3475" i="5"/>
  <c r="K3475" i="5"/>
  <c r="L3475" i="5"/>
  <c r="F69" i="22"/>
  <c r="E69" i="22"/>
  <c r="D69" i="22"/>
  <c r="F62" i="22"/>
  <c r="E62" i="22"/>
  <c r="D62" i="22"/>
  <c r="F55" i="22"/>
  <c r="E55" i="22"/>
  <c r="D55" i="22"/>
  <c r="F48" i="22"/>
  <c r="E48" i="22"/>
  <c r="D48" i="22"/>
  <c r="F41" i="22"/>
  <c r="E41" i="22"/>
  <c r="D41" i="22"/>
  <c r="F34" i="22"/>
  <c r="E34" i="22"/>
  <c r="D34" i="22"/>
  <c r="F27" i="22"/>
  <c r="E27" i="22"/>
  <c r="D27" i="22"/>
  <c r="F20" i="22"/>
  <c r="E20" i="22"/>
  <c r="D20" i="22"/>
  <c r="F13" i="22"/>
  <c r="E13" i="22"/>
  <c r="D13" i="22"/>
  <c r="G67" i="22"/>
  <c r="G60" i="22"/>
  <c r="G53" i="22"/>
  <c r="G46" i="22"/>
  <c r="G39" i="22"/>
  <c r="G32" i="22"/>
  <c r="G25" i="22"/>
  <c r="G18" i="22"/>
  <c r="G11" i="22"/>
  <c r="F6" i="22"/>
  <c r="E6" i="22"/>
  <c r="D6" i="22"/>
  <c r="G4" i="22"/>
  <c r="F68" i="22"/>
  <c r="E68" i="22"/>
  <c r="D68" i="22"/>
  <c r="F61" i="22"/>
  <c r="E61" i="22"/>
  <c r="D61" i="22"/>
  <c r="F54" i="22"/>
  <c r="E54" i="22"/>
  <c r="D54" i="22"/>
  <c r="F47" i="22"/>
  <c r="E47" i="22"/>
  <c r="D47" i="22"/>
  <c r="F40" i="22"/>
  <c r="E40" i="22"/>
  <c r="D40" i="22"/>
  <c r="F33" i="22"/>
  <c r="E33" i="22"/>
  <c r="D33" i="22"/>
  <c r="F26" i="22"/>
  <c r="E26" i="22"/>
  <c r="D26" i="22"/>
  <c r="F19" i="22"/>
  <c r="E19" i="22"/>
  <c r="D19" i="22"/>
  <c r="F12" i="22"/>
  <c r="E12" i="22"/>
  <c r="D12" i="22"/>
  <c r="F5" i="22"/>
  <c r="F66" i="22"/>
  <c r="E66" i="22"/>
  <c r="D66" i="22"/>
  <c r="F59" i="22"/>
  <c r="E59" i="22"/>
  <c r="D59" i="22"/>
  <c r="F52" i="22"/>
  <c r="E52" i="22"/>
  <c r="D52" i="22"/>
  <c r="F45" i="22"/>
  <c r="E45" i="22"/>
  <c r="D45" i="22"/>
  <c r="F38" i="22"/>
  <c r="E38" i="22"/>
  <c r="D38" i="22"/>
  <c r="F31" i="22"/>
  <c r="E31" i="22"/>
  <c r="D31" i="22"/>
  <c r="F24" i="22"/>
  <c r="E24" i="22"/>
  <c r="D24" i="22"/>
  <c r="F17" i="22"/>
  <c r="E17" i="22"/>
  <c r="D17" i="22"/>
  <c r="G16" i="22"/>
  <c r="F10" i="22"/>
  <c r="E10" i="22"/>
  <c r="D10" i="22"/>
  <c r="E5" i="22"/>
  <c r="D5" i="22"/>
  <c r="F3" i="22"/>
  <c r="E3" i="22"/>
  <c r="D3" i="22"/>
  <c r="B8" i="22"/>
  <c r="B15" i="22" s="1"/>
  <c r="B22" i="22" s="1"/>
  <c r="B29" i="22" s="1"/>
  <c r="B36" i="22" s="1"/>
  <c r="B43" i="22" s="1"/>
  <c r="B50" i="22" s="1"/>
  <c r="B57" i="22" s="1"/>
  <c r="B64" i="22" s="1"/>
  <c r="B71" i="22" s="1"/>
  <c r="B78" i="22" s="1"/>
  <c r="B85" i="22" s="1"/>
  <c r="G65" i="22"/>
  <c r="G58" i="22"/>
  <c r="G51" i="22"/>
  <c r="G44" i="22"/>
  <c r="G37" i="22"/>
  <c r="G30" i="22"/>
  <c r="G23" i="22"/>
  <c r="G9" i="22"/>
  <c r="G2" i="22"/>
  <c r="G17" i="22" l="1"/>
  <c r="K3477" i="5"/>
  <c r="G45" i="22"/>
  <c r="G10" i="22"/>
  <c r="G38" i="22"/>
  <c r="G66" i="22"/>
  <c r="G24" i="22"/>
  <c r="G52" i="22"/>
  <c r="G3" i="22"/>
  <c r="G31" i="22"/>
  <c r="G59" i="22"/>
  <c r="G40" i="22" l="1"/>
  <c r="G41" i="22" s="1"/>
  <c r="G5" i="22"/>
  <c r="G6" i="22" s="1"/>
  <c r="G19" i="22"/>
  <c r="G20" i="22" s="1"/>
  <c r="G12" i="22"/>
  <c r="G13" i="22" s="1"/>
  <c r="G68" i="22"/>
  <c r="G69" i="22" s="1"/>
  <c r="G33" i="22"/>
  <c r="G34" i="22" s="1"/>
  <c r="G61" i="22"/>
  <c r="G62" i="22" s="1"/>
  <c r="G26" i="22"/>
  <c r="G27" i="22" s="1"/>
  <c r="G54" i="22"/>
  <c r="G55" i="22" s="1"/>
  <c r="G47" i="22"/>
  <c r="G48" i="22" s="1"/>
  <c r="D2150" i="26" l="1"/>
  <c r="F2149" i="26"/>
  <c r="F2137" i="26"/>
  <c r="D2125" i="26"/>
  <c r="F2124" i="26"/>
  <c r="F2112" i="26"/>
  <c r="J3431" i="5"/>
  <c r="I3431" i="5"/>
  <c r="H3431" i="5"/>
  <c r="G3431" i="5"/>
  <c r="F3431" i="5"/>
  <c r="K3429" i="5"/>
  <c r="K3428" i="5"/>
  <c r="K3427" i="5"/>
  <c r="L3427" i="5" s="1"/>
  <c r="E3427" i="5"/>
  <c r="K3426" i="5"/>
  <c r="L3426" i="5" s="1"/>
  <c r="E3426" i="5"/>
  <c r="K3425" i="5"/>
  <c r="L3425" i="5" s="1"/>
  <c r="E3425" i="5"/>
  <c r="K3424" i="5"/>
  <c r="L3424" i="5" s="1"/>
  <c r="E3424" i="5"/>
  <c r="K3423" i="5"/>
  <c r="L3423" i="5" s="1"/>
  <c r="E3423" i="5"/>
  <c r="K3422" i="5"/>
  <c r="L3422" i="5" s="1"/>
  <c r="E3422" i="5"/>
  <c r="K3421" i="5"/>
  <c r="L3421" i="5" s="1"/>
  <c r="E3421" i="5"/>
  <c r="K3420" i="5"/>
  <c r="L3420" i="5" s="1"/>
  <c r="K3419" i="5"/>
  <c r="L3419" i="5" s="1"/>
  <c r="E3419" i="5"/>
  <c r="L3418" i="5"/>
  <c r="K3418" i="5"/>
  <c r="E3418" i="5"/>
  <c r="K3417" i="5"/>
  <c r="L3417" i="5" s="1"/>
  <c r="K3416" i="5"/>
  <c r="L3416" i="5" s="1"/>
  <c r="E3416" i="5"/>
  <c r="K3415" i="5"/>
  <c r="L3415" i="5" s="1"/>
  <c r="E3415" i="5"/>
  <c r="K3414" i="5"/>
  <c r="L3414" i="5" s="1"/>
  <c r="K3413" i="5"/>
  <c r="L3413" i="5" s="1"/>
  <c r="E3413" i="5"/>
  <c r="K3412" i="5"/>
  <c r="L3412" i="5" s="1"/>
  <c r="E3412" i="5"/>
  <c r="K3411" i="5"/>
  <c r="L3411" i="5" s="1"/>
  <c r="E3411" i="5"/>
  <c r="K3410" i="5"/>
  <c r="L3410" i="5" s="1"/>
  <c r="K3409" i="5"/>
  <c r="L3409" i="5" s="1"/>
  <c r="E3409" i="5"/>
  <c r="K3408" i="5"/>
  <c r="L3408" i="5" s="1"/>
  <c r="E3408" i="5"/>
  <c r="K3407" i="5"/>
  <c r="L3407" i="5" s="1"/>
  <c r="E3407" i="5"/>
  <c r="K3406" i="5"/>
  <c r="L3406" i="5" s="1"/>
  <c r="E3406" i="5"/>
  <c r="K3405" i="5"/>
  <c r="L3405" i="5" s="1"/>
  <c r="E3405" i="5"/>
  <c r="J3402" i="5"/>
  <c r="J3432" i="5" s="1"/>
  <c r="I3402" i="5"/>
  <c r="H3402" i="5"/>
  <c r="H3432" i="5" s="1"/>
  <c r="G3402" i="5"/>
  <c r="F3402" i="5"/>
  <c r="F3432" i="5" s="1"/>
  <c r="K3401" i="5"/>
  <c r="K3400" i="5"/>
  <c r="K3399" i="5"/>
  <c r="K3398" i="5"/>
  <c r="K3397" i="5"/>
  <c r="C948" i="18"/>
  <c r="B948" i="18"/>
  <c r="I3432" i="5" l="1"/>
  <c r="G3432" i="5"/>
  <c r="E3431" i="5"/>
  <c r="K3431" i="5"/>
  <c r="K3402" i="5"/>
  <c r="L3431" i="5"/>
  <c r="K3432" i="5"/>
  <c r="C2079" i="26"/>
  <c r="D2100" i="26"/>
  <c r="F2099" i="26"/>
  <c r="F2087" i="26"/>
  <c r="M3051" i="8"/>
  <c r="L3051" i="8"/>
  <c r="K3051" i="8"/>
  <c r="J3051" i="8"/>
  <c r="I3051" i="8"/>
  <c r="H3051" i="8"/>
  <c r="G3051" i="8"/>
  <c r="F3051" i="8"/>
  <c r="B3013" i="8"/>
  <c r="J3387" i="5"/>
  <c r="I3387" i="5"/>
  <c r="H3387" i="5"/>
  <c r="G3387" i="5"/>
  <c r="F3387" i="5"/>
  <c r="K3385" i="5"/>
  <c r="K3384" i="5"/>
  <c r="K3383" i="5"/>
  <c r="L3383" i="5" s="1"/>
  <c r="E3383" i="5"/>
  <c r="K3382" i="5"/>
  <c r="L3382" i="5" s="1"/>
  <c r="E3382" i="5"/>
  <c r="K3381" i="5"/>
  <c r="L3381" i="5" s="1"/>
  <c r="E3381" i="5"/>
  <c r="K3380" i="5"/>
  <c r="L3380" i="5" s="1"/>
  <c r="E3380" i="5"/>
  <c r="K3379" i="5"/>
  <c r="L3379" i="5" s="1"/>
  <c r="E3379" i="5"/>
  <c r="L3378" i="5"/>
  <c r="K3378" i="5"/>
  <c r="E3378" i="5"/>
  <c r="K3377" i="5"/>
  <c r="L3377" i="5" s="1"/>
  <c r="E3377" i="5"/>
  <c r="K3376" i="5"/>
  <c r="L3376" i="5" s="1"/>
  <c r="K3375" i="5"/>
  <c r="L3375" i="5" s="1"/>
  <c r="E3375" i="5"/>
  <c r="K3374" i="5"/>
  <c r="L3374" i="5" s="1"/>
  <c r="E3374" i="5"/>
  <c r="K3373" i="5"/>
  <c r="L3373" i="5" s="1"/>
  <c r="K3372" i="5"/>
  <c r="L3372" i="5" s="1"/>
  <c r="E3372" i="5"/>
  <c r="K3371" i="5"/>
  <c r="L3371" i="5" s="1"/>
  <c r="E3371" i="5"/>
  <c r="K3370" i="5"/>
  <c r="L3370" i="5" s="1"/>
  <c r="K3369" i="5"/>
  <c r="L3369" i="5" s="1"/>
  <c r="E3369" i="5"/>
  <c r="K3368" i="5"/>
  <c r="L3368" i="5" s="1"/>
  <c r="E3368" i="5"/>
  <c r="K3367" i="5"/>
  <c r="L3367" i="5" s="1"/>
  <c r="E3367" i="5"/>
  <c r="K3366" i="5"/>
  <c r="L3366" i="5" s="1"/>
  <c r="K3365" i="5"/>
  <c r="L3365" i="5" s="1"/>
  <c r="E3365" i="5"/>
  <c r="K3364" i="5"/>
  <c r="L3364" i="5" s="1"/>
  <c r="E3364" i="5"/>
  <c r="L3363" i="5"/>
  <c r="K3363" i="5"/>
  <c r="E3363" i="5"/>
  <c r="K3362" i="5"/>
  <c r="L3362" i="5" s="1"/>
  <c r="E3362" i="5"/>
  <c r="K3361" i="5"/>
  <c r="L3361" i="5" s="1"/>
  <c r="E3361" i="5"/>
  <c r="J3358" i="5"/>
  <c r="J3388" i="5" s="1"/>
  <c r="I3358" i="5"/>
  <c r="H3358" i="5"/>
  <c r="G3358" i="5"/>
  <c r="F3358" i="5"/>
  <c r="F3388" i="5" s="1"/>
  <c r="K3357" i="5"/>
  <c r="K3356" i="5"/>
  <c r="K3355" i="5"/>
  <c r="K3354" i="5"/>
  <c r="K3353" i="5"/>
  <c r="C942" i="18"/>
  <c r="B942" i="18"/>
  <c r="G702" i="1"/>
  <c r="E3052" i="8" l="1"/>
  <c r="K3433" i="5"/>
  <c r="K3387" i="5"/>
  <c r="I3388" i="5"/>
  <c r="H3388" i="5"/>
  <c r="G3388" i="5"/>
  <c r="K3388" i="5" s="1"/>
  <c r="E3387" i="5"/>
  <c r="K3358" i="5"/>
  <c r="L3387" i="5"/>
  <c r="C2054" i="26"/>
  <c r="D2075" i="26"/>
  <c r="F2074" i="26"/>
  <c r="F2062" i="26"/>
  <c r="M3008" i="8"/>
  <c r="L3008" i="8"/>
  <c r="K3008" i="8"/>
  <c r="J3008" i="8"/>
  <c r="I3008" i="8"/>
  <c r="H3008" i="8"/>
  <c r="G3008" i="8"/>
  <c r="F3008" i="8"/>
  <c r="B2970" i="8"/>
  <c r="J3343" i="5"/>
  <c r="I3343" i="5"/>
  <c r="H3343" i="5"/>
  <c r="G3343" i="5"/>
  <c r="F3343" i="5"/>
  <c r="K3341" i="5"/>
  <c r="K3340" i="5"/>
  <c r="K3339" i="5"/>
  <c r="L3339" i="5" s="1"/>
  <c r="E3339" i="5"/>
  <c r="K3338" i="5"/>
  <c r="L3338" i="5" s="1"/>
  <c r="E3338" i="5"/>
  <c r="K3337" i="5"/>
  <c r="L3337" i="5" s="1"/>
  <c r="E3337" i="5"/>
  <c r="K3336" i="5"/>
  <c r="L3336" i="5" s="1"/>
  <c r="E3336" i="5"/>
  <c r="K3335" i="5"/>
  <c r="L3335" i="5" s="1"/>
  <c r="E3335" i="5"/>
  <c r="K3334" i="5"/>
  <c r="L3334" i="5" s="1"/>
  <c r="E3334" i="5"/>
  <c r="K3333" i="5"/>
  <c r="L3333" i="5" s="1"/>
  <c r="E3333" i="5"/>
  <c r="K3332" i="5"/>
  <c r="L3332" i="5" s="1"/>
  <c r="K3331" i="5"/>
  <c r="L3331" i="5" s="1"/>
  <c r="E3331" i="5"/>
  <c r="K3330" i="5"/>
  <c r="L3330" i="5" s="1"/>
  <c r="E3330" i="5"/>
  <c r="K3329" i="5"/>
  <c r="L3329" i="5" s="1"/>
  <c r="K3328" i="5"/>
  <c r="L3328" i="5" s="1"/>
  <c r="E3328" i="5"/>
  <c r="L3327" i="5"/>
  <c r="K3327" i="5"/>
  <c r="E3327" i="5"/>
  <c r="K3326" i="5"/>
  <c r="L3326" i="5" s="1"/>
  <c r="K3325" i="5"/>
  <c r="L3325" i="5" s="1"/>
  <c r="E3325" i="5"/>
  <c r="K3324" i="5"/>
  <c r="L3324" i="5" s="1"/>
  <c r="E3324" i="5"/>
  <c r="K3323" i="5"/>
  <c r="L3323" i="5" s="1"/>
  <c r="E3323" i="5"/>
  <c r="L3322" i="5"/>
  <c r="K3322" i="5"/>
  <c r="K3321" i="5"/>
  <c r="L3321" i="5" s="1"/>
  <c r="E3321" i="5"/>
  <c r="K3320" i="5"/>
  <c r="L3320" i="5" s="1"/>
  <c r="E3320" i="5"/>
  <c r="K3319" i="5"/>
  <c r="L3319" i="5" s="1"/>
  <c r="E3319" i="5"/>
  <c r="K3318" i="5"/>
  <c r="L3318" i="5" s="1"/>
  <c r="E3318" i="5"/>
  <c r="K3317" i="5"/>
  <c r="L3317" i="5" s="1"/>
  <c r="E3317" i="5"/>
  <c r="J3314" i="5"/>
  <c r="I3314" i="5"/>
  <c r="H3314" i="5"/>
  <c r="G3314" i="5"/>
  <c r="F3314" i="5"/>
  <c r="K3313" i="5"/>
  <c r="K3312" i="5"/>
  <c r="K3311" i="5"/>
  <c r="K3310" i="5"/>
  <c r="K3309" i="5"/>
  <c r="C926" i="18"/>
  <c r="B926" i="18"/>
  <c r="BF961" i="2"/>
  <c r="BE961" i="2"/>
  <c r="BD961" i="2"/>
  <c r="BC961" i="2"/>
  <c r="BB961" i="2"/>
  <c r="BA961" i="2"/>
  <c r="AZ961" i="2"/>
  <c r="AY961" i="2"/>
  <c r="AX961" i="2"/>
  <c r="AW961" i="2"/>
  <c r="AV961" i="2"/>
  <c r="AU961" i="2"/>
  <c r="AT961" i="2"/>
  <c r="AS961" i="2"/>
  <c r="AR961" i="2"/>
  <c r="AQ961" i="2"/>
  <c r="AP961" i="2"/>
  <c r="AO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U961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C960" i="2"/>
  <c r="C952" i="2"/>
  <c r="C943" i="2"/>
  <c r="C936" i="2"/>
  <c r="C929" i="2"/>
  <c r="C920" i="2"/>
  <c r="C910" i="2"/>
  <c r="L896" i="2"/>
  <c r="AI896" i="2" s="1"/>
  <c r="AW896" i="2" s="1"/>
  <c r="AW965" i="2" s="1"/>
  <c r="AL965" i="2" s="1"/>
  <c r="L965" i="2" s="1"/>
  <c r="C965" i="2" s="1"/>
  <c r="W791" i="1"/>
  <c r="N24" i="29" s="1"/>
  <c r="V791" i="1"/>
  <c r="E24" i="29" s="1"/>
  <c r="U791" i="1"/>
  <c r="S791" i="1"/>
  <c r="K24" i="29" s="1"/>
  <c r="R791" i="1"/>
  <c r="Q791" i="1"/>
  <c r="I24" i="29" s="1"/>
  <c r="P791" i="1"/>
  <c r="O791" i="1"/>
  <c r="M24" i="29" s="1"/>
  <c r="N791" i="1"/>
  <c r="L24" i="29" s="1"/>
  <c r="M791" i="1"/>
  <c r="L791" i="1"/>
  <c r="J24" i="29" s="1"/>
  <c r="K791" i="1"/>
  <c r="H24" i="29" s="1"/>
  <c r="J791" i="1"/>
  <c r="G24" i="29" s="1"/>
  <c r="I791" i="1"/>
  <c r="F24" i="29" s="1"/>
  <c r="H791" i="1"/>
  <c r="G791" i="1"/>
  <c r="D24" i="29" s="1"/>
  <c r="F791" i="1"/>
  <c r="C24" i="29" s="1"/>
  <c r="E788" i="1"/>
  <c r="D788" i="1"/>
  <c r="D791" i="1" s="1"/>
  <c r="Z785" i="1"/>
  <c r="Y785" i="1"/>
  <c r="E784" i="1"/>
  <c r="D784" i="1"/>
  <c r="Z778" i="1"/>
  <c r="Y778" i="1"/>
  <c r="E777" i="1"/>
  <c r="D777" i="1"/>
  <c r="Z773" i="1"/>
  <c r="Y773" i="1"/>
  <c r="E772" i="1"/>
  <c r="D772" i="1"/>
  <c r="Z765" i="1"/>
  <c r="Y765" i="1"/>
  <c r="E764" i="1"/>
  <c r="D764" i="1"/>
  <c r="Z758" i="1"/>
  <c r="Y758" i="1"/>
  <c r="E757" i="1"/>
  <c r="D757" i="1"/>
  <c r="Z752" i="1"/>
  <c r="Y752" i="1"/>
  <c r="E751" i="1"/>
  <c r="D751" i="1"/>
  <c r="Z747" i="1"/>
  <c r="Y747" i="1"/>
  <c r="M745" i="1"/>
  <c r="V745" i="1" s="1"/>
  <c r="V793" i="1" s="1"/>
  <c r="M793" i="1" s="1"/>
  <c r="E793" i="1" s="1"/>
  <c r="I3344" i="5" l="1"/>
  <c r="F3344" i="5"/>
  <c r="E791" i="1"/>
  <c r="Y791" i="1"/>
  <c r="C962" i="2"/>
  <c r="E3009" i="8"/>
  <c r="K3389" i="5"/>
  <c r="J3344" i="5"/>
  <c r="K3314" i="5"/>
  <c r="G3344" i="5"/>
  <c r="E3343" i="5"/>
  <c r="H3344" i="5"/>
  <c r="K3343" i="5"/>
  <c r="L3343" i="5"/>
  <c r="D2050" i="26"/>
  <c r="F2049" i="26"/>
  <c r="F2037" i="26"/>
  <c r="D2025" i="26"/>
  <c r="F2024" i="26"/>
  <c r="F2012" i="26"/>
  <c r="F1999" i="26"/>
  <c r="F1987" i="26"/>
  <c r="D2000" i="26"/>
  <c r="M2965" i="8"/>
  <c r="L2965" i="8"/>
  <c r="K2965" i="8"/>
  <c r="J2965" i="8"/>
  <c r="I2965" i="8"/>
  <c r="H2965" i="8"/>
  <c r="G2965" i="8"/>
  <c r="F2965" i="8"/>
  <c r="B2927" i="8"/>
  <c r="M2922" i="8"/>
  <c r="L2922" i="8"/>
  <c r="K2922" i="8"/>
  <c r="J2922" i="8"/>
  <c r="I2922" i="8"/>
  <c r="H2922" i="8"/>
  <c r="G2922" i="8"/>
  <c r="F2922" i="8"/>
  <c r="B2884" i="8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I301" i="7" s="1"/>
  <c r="H299" i="7"/>
  <c r="H301" i="7" s="1"/>
  <c r="G299" i="7"/>
  <c r="G301" i="7" s="1"/>
  <c r="F299" i="7"/>
  <c r="Y298" i="7"/>
  <c r="E298" i="7"/>
  <c r="AB297" i="7"/>
  <c r="Y297" i="7"/>
  <c r="E297" i="7"/>
  <c r="Y296" i="7"/>
  <c r="E296" i="7"/>
  <c r="AB295" i="7"/>
  <c r="Y295" i="7"/>
  <c r="E295" i="7"/>
  <c r="Y294" i="7"/>
  <c r="E294" i="7"/>
  <c r="AB293" i="7"/>
  <c r="Y293" i="7"/>
  <c r="E293" i="7"/>
  <c r="Y292" i="7"/>
  <c r="E292" i="7"/>
  <c r="AB291" i="7"/>
  <c r="Y291" i="7"/>
  <c r="E291" i="7"/>
  <c r="Y290" i="7"/>
  <c r="E290" i="7"/>
  <c r="AB289" i="7"/>
  <c r="Y289" i="7"/>
  <c r="E289" i="7"/>
  <c r="Y288" i="7"/>
  <c r="E288" i="7"/>
  <c r="AB287" i="7"/>
  <c r="Y287" i="7"/>
  <c r="E287" i="7"/>
  <c r="Y286" i="7"/>
  <c r="E286" i="7"/>
  <c r="AB285" i="7"/>
  <c r="Y285" i="7"/>
  <c r="E285" i="7"/>
  <c r="J3299" i="5"/>
  <c r="I3299" i="5"/>
  <c r="H3299" i="5"/>
  <c r="G3299" i="5"/>
  <c r="F3299" i="5"/>
  <c r="K3297" i="5"/>
  <c r="K3296" i="5"/>
  <c r="K3295" i="5"/>
  <c r="L3295" i="5" s="1"/>
  <c r="E3295" i="5"/>
  <c r="K3294" i="5"/>
  <c r="L3294" i="5" s="1"/>
  <c r="E3294" i="5"/>
  <c r="L3293" i="5"/>
  <c r="K3293" i="5"/>
  <c r="E3293" i="5"/>
  <c r="K3292" i="5"/>
  <c r="L3292" i="5" s="1"/>
  <c r="E3292" i="5"/>
  <c r="K3291" i="5"/>
  <c r="L3291" i="5" s="1"/>
  <c r="E3291" i="5"/>
  <c r="K3290" i="5"/>
  <c r="L3290" i="5" s="1"/>
  <c r="E3290" i="5"/>
  <c r="K3289" i="5"/>
  <c r="L3289" i="5" s="1"/>
  <c r="E3289" i="5"/>
  <c r="K3288" i="5"/>
  <c r="L3288" i="5" s="1"/>
  <c r="K3287" i="5"/>
  <c r="L3287" i="5" s="1"/>
  <c r="E3287" i="5"/>
  <c r="L3286" i="5"/>
  <c r="K3286" i="5"/>
  <c r="E3286" i="5"/>
  <c r="K3285" i="5"/>
  <c r="L3285" i="5" s="1"/>
  <c r="K3284" i="5"/>
  <c r="L3284" i="5" s="1"/>
  <c r="E3284" i="5"/>
  <c r="K3283" i="5"/>
  <c r="L3283" i="5" s="1"/>
  <c r="E3283" i="5"/>
  <c r="K3282" i="5"/>
  <c r="L3282" i="5" s="1"/>
  <c r="K3281" i="5"/>
  <c r="L3281" i="5" s="1"/>
  <c r="E3281" i="5"/>
  <c r="K3280" i="5"/>
  <c r="L3280" i="5" s="1"/>
  <c r="E3280" i="5"/>
  <c r="K3279" i="5"/>
  <c r="L3279" i="5" s="1"/>
  <c r="E3279" i="5"/>
  <c r="K3278" i="5"/>
  <c r="L3278" i="5" s="1"/>
  <c r="K3277" i="5"/>
  <c r="L3277" i="5" s="1"/>
  <c r="E3277" i="5"/>
  <c r="K3276" i="5"/>
  <c r="L3276" i="5" s="1"/>
  <c r="E3276" i="5"/>
  <c r="L3275" i="5"/>
  <c r="K3275" i="5"/>
  <c r="E3275" i="5"/>
  <c r="K3274" i="5"/>
  <c r="L3274" i="5" s="1"/>
  <c r="E3274" i="5"/>
  <c r="K3273" i="5"/>
  <c r="L3273" i="5" s="1"/>
  <c r="E3273" i="5"/>
  <c r="J3270" i="5"/>
  <c r="I3270" i="5"/>
  <c r="H3270" i="5"/>
  <c r="G3270" i="5"/>
  <c r="F3270" i="5"/>
  <c r="F3300" i="5" s="1"/>
  <c r="K3269" i="5"/>
  <c r="K3268" i="5"/>
  <c r="K3267" i="5"/>
  <c r="K3266" i="5"/>
  <c r="K3265" i="5"/>
  <c r="H3226" i="5"/>
  <c r="J3255" i="5"/>
  <c r="I3255" i="5"/>
  <c r="H3255" i="5"/>
  <c r="G3255" i="5"/>
  <c r="F3255" i="5"/>
  <c r="K3253" i="5"/>
  <c r="K3252" i="5"/>
  <c r="K3251" i="5"/>
  <c r="L3251" i="5" s="1"/>
  <c r="E3251" i="5"/>
  <c r="K3250" i="5"/>
  <c r="L3250" i="5" s="1"/>
  <c r="E3250" i="5"/>
  <c r="K3249" i="5"/>
  <c r="L3249" i="5" s="1"/>
  <c r="E3249" i="5"/>
  <c r="K3248" i="5"/>
  <c r="L3248" i="5" s="1"/>
  <c r="E3248" i="5"/>
  <c r="K3247" i="5"/>
  <c r="L3247" i="5" s="1"/>
  <c r="E3247" i="5"/>
  <c r="K3246" i="5"/>
  <c r="L3246" i="5" s="1"/>
  <c r="E3246" i="5"/>
  <c r="L3245" i="5"/>
  <c r="K3245" i="5"/>
  <c r="E3245" i="5"/>
  <c r="K3244" i="5"/>
  <c r="L3244" i="5" s="1"/>
  <c r="K3243" i="5"/>
  <c r="L3243" i="5" s="1"/>
  <c r="E3243" i="5"/>
  <c r="K3242" i="5"/>
  <c r="L3242" i="5" s="1"/>
  <c r="E3242" i="5"/>
  <c r="K3241" i="5"/>
  <c r="L3241" i="5" s="1"/>
  <c r="K3240" i="5"/>
  <c r="L3240" i="5" s="1"/>
  <c r="E3240" i="5"/>
  <c r="K3239" i="5"/>
  <c r="L3239" i="5" s="1"/>
  <c r="E3239" i="5"/>
  <c r="K3238" i="5"/>
  <c r="L3238" i="5" s="1"/>
  <c r="K3237" i="5"/>
  <c r="L3237" i="5" s="1"/>
  <c r="E3237" i="5"/>
  <c r="K3236" i="5"/>
  <c r="L3236" i="5" s="1"/>
  <c r="E3236" i="5"/>
  <c r="K3235" i="5"/>
  <c r="L3235" i="5" s="1"/>
  <c r="E3235" i="5"/>
  <c r="K3234" i="5"/>
  <c r="L3234" i="5" s="1"/>
  <c r="K3233" i="5"/>
  <c r="L3233" i="5" s="1"/>
  <c r="E3233" i="5"/>
  <c r="K3232" i="5"/>
  <c r="L3232" i="5" s="1"/>
  <c r="E3232" i="5"/>
  <c r="K3231" i="5"/>
  <c r="L3231" i="5" s="1"/>
  <c r="E3231" i="5"/>
  <c r="K3230" i="5"/>
  <c r="L3230" i="5" s="1"/>
  <c r="E3230" i="5"/>
  <c r="K3229" i="5"/>
  <c r="L3229" i="5" s="1"/>
  <c r="E3229" i="5"/>
  <c r="J3226" i="5"/>
  <c r="J3256" i="5" s="1"/>
  <c r="I3226" i="5"/>
  <c r="G3226" i="5"/>
  <c r="F3226" i="5"/>
  <c r="K3225" i="5"/>
  <c r="K3224" i="5"/>
  <c r="K3223" i="5"/>
  <c r="K3222" i="5"/>
  <c r="K3221" i="5"/>
  <c r="C916" i="18"/>
  <c r="B916" i="18"/>
  <c r="C906" i="18"/>
  <c r="B906" i="18"/>
  <c r="C899" i="18"/>
  <c r="B899" i="18"/>
  <c r="O673" i="1"/>
  <c r="C806" i="2"/>
  <c r="P301" i="7" l="1"/>
  <c r="X301" i="7"/>
  <c r="J3300" i="5"/>
  <c r="L301" i="7"/>
  <c r="T301" i="7"/>
  <c r="J301" i="7"/>
  <c r="V301" i="7"/>
  <c r="U301" i="7"/>
  <c r="R301" i="7"/>
  <c r="Q301" i="7"/>
  <c r="M301" i="7"/>
  <c r="N301" i="7"/>
  <c r="K301" i="7"/>
  <c r="F301" i="7"/>
  <c r="E2966" i="8"/>
  <c r="K3344" i="5"/>
  <c r="K3345" i="5" s="1"/>
  <c r="E2923" i="8"/>
  <c r="E300" i="7"/>
  <c r="E299" i="7"/>
  <c r="Y300" i="7"/>
  <c r="O301" i="7"/>
  <c r="S301" i="7"/>
  <c r="W301" i="7"/>
  <c r="Y299" i="7"/>
  <c r="I3300" i="5"/>
  <c r="E3299" i="5"/>
  <c r="H3300" i="5"/>
  <c r="G3300" i="5"/>
  <c r="K3300" i="5" s="1"/>
  <c r="K3299" i="5"/>
  <c r="K3270" i="5"/>
  <c r="L3299" i="5"/>
  <c r="E3255" i="5"/>
  <c r="I3256" i="5"/>
  <c r="F3256" i="5"/>
  <c r="H3256" i="5"/>
  <c r="G3256" i="5"/>
  <c r="K3255" i="5"/>
  <c r="K3226" i="5"/>
  <c r="L3255" i="5"/>
  <c r="N220" i="13"/>
  <c r="N224" i="13" s="1"/>
  <c r="N211" i="13"/>
  <c r="N213" i="13"/>
  <c r="N214" i="13"/>
  <c r="F211" i="13"/>
  <c r="N216" i="13"/>
  <c r="N215" i="13"/>
  <c r="N212" i="13"/>
  <c r="D1958" i="26"/>
  <c r="D1956" i="26"/>
  <c r="C1955" i="26"/>
  <c r="M2879" i="8"/>
  <c r="L2879" i="8"/>
  <c r="K2879" i="8"/>
  <c r="J2879" i="8"/>
  <c r="I2879" i="8"/>
  <c r="H2879" i="8"/>
  <c r="G2879" i="8"/>
  <c r="F2879" i="8"/>
  <c r="B2841" i="8"/>
  <c r="J3211" i="5"/>
  <c r="I3211" i="5"/>
  <c r="H3211" i="5"/>
  <c r="G3211" i="5"/>
  <c r="F3211" i="5"/>
  <c r="K3209" i="5"/>
  <c r="K3208" i="5"/>
  <c r="K3207" i="5"/>
  <c r="L3207" i="5" s="1"/>
  <c r="E3207" i="5"/>
  <c r="K3206" i="5"/>
  <c r="L3206" i="5" s="1"/>
  <c r="E3206" i="5"/>
  <c r="L3205" i="5"/>
  <c r="K3205" i="5"/>
  <c r="E3205" i="5"/>
  <c r="K3204" i="5"/>
  <c r="L3204" i="5" s="1"/>
  <c r="E3204" i="5"/>
  <c r="K3203" i="5"/>
  <c r="L3203" i="5" s="1"/>
  <c r="E3203" i="5"/>
  <c r="K3202" i="5"/>
  <c r="L3202" i="5" s="1"/>
  <c r="E3202" i="5"/>
  <c r="K3201" i="5"/>
  <c r="L3201" i="5" s="1"/>
  <c r="E3201" i="5"/>
  <c r="K3200" i="5"/>
  <c r="L3200" i="5" s="1"/>
  <c r="K3199" i="5"/>
  <c r="L3199" i="5" s="1"/>
  <c r="E3199" i="5"/>
  <c r="K3198" i="5"/>
  <c r="L3198" i="5" s="1"/>
  <c r="E3198" i="5"/>
  <c r="K3197" i="5"/>
  <c r="L3197" i="5" s="1"/>
  <c r="K3196" i="5"/>
  <c r="L3196" i="5" s="1"/>
  <c r="E3196" i="5"/>
  <c r="K3195" i="5"/>
  <c r="L3195" i="5" s="1"/>
  <c r="E3195" i="5"/>
  <c r="K3194" i="5"/>
  <c r="L3194" i="5" s="1"/>
  <c r="K3193" i="5"/>
  <c r="L3193" i="5" s="1"/>
  <c r="E3193" i="5"/>
  <c r="K3192" i="5"/>
  <c r="L3192" i="5" s="1"/>
  <c r="E3192" i="5"/>
  <c r="K3191" i="5"/>
  <c r="L3191" i="5" s="1"/>
  <c r="E3191" i="5"/>
  <c r="K3190" i="5"/>
  <c r="L3190" i="5" s="1"/>
  <c r="K3189" i="5"/>
  <c r="L3189" i="5" s="1"/>
  <c r="E3189" i="5"/>
  <c r="K3188" i="5"/>
  <c r="L3188" i="5" s="1"/>
  <c r="E3188" i="5"/>
  <c r="K3187" i="5"/>
  <c r="L3187" i="5" s="1"/>
  <c r="E3187" i="5"/>
  <c r="K3186" i="5"/>
  <c r="L3186" i="5" s="1"/>
  <c r="E3186" i="5"/>
  <c r="K3185" i="5"/>
  <c r="L3185" i="5" s="1"/>
  <c r="E3185" i="5"/>
  <c r="J3182" i="5"/>
  <c r="I3182" i="5"/>
  <c r="G3182" i="5"/>
  <c r="F3182" i="5"/>
  <c r="K3181" i="5"/>
  <c r="K3180" i="5"/>
  <c r="K3179" i="5"/>
  <c r="K3178" i="5"/>
  <c r="K3177" i="5"/>
  <c r="C888" i="18"/>
  <c r="B888" i="18"/>
  <c r="W665" i="1"/>
  <c r="Y301" i="7" l="1"/>
  <c r="E301" i="7"/>
  <c r="E2880" i="8"/>
  <c r="K3301" i="5"/>
  <c r="K3256" i="5"/>
  <c r="K3257" i="5" s="1"/>
  <c r="N217" i="13"/>
  <c r="I3212" i="5"/>
  <c r="J3212" i="5"/>
  <c r="F3212" i="5"/>
  <c r="H3212" i="5"/>
  <c r="G3212" i="5"/>
  <c r="E3211" i="5"/>
  <c r="K3211" i="5"/>
  <c r="K3182" i="5"/>
  <c r="L3211" i="5"/>
  <c r="D1975" i="26"/>
  <c r="F1974" i="26"/>
  <c r="F1962" i="26"/>
  <c r="F1949" i="26"/>
  <c r="F1937" i="26"/>
  <c r="D1950" i="26"/>
  <c r="J3167" i="5"/>
  <c r="I3167" i="5"/>
  <c r="H3167" i="5"/>
  <c r="G3167" i="5"/>
  <c r="F3167" i="5"/>
  <c r="K3165" i="5"/>
  <c r="K3164" i="5"/>
  <c r="K3163" i="5"/>
  <c r="L3163" i="5" s="1"/>
  <c r="E3163" i="5"/>
  <c r="L3162" i="5"/>
  <c r="K3162" i="5"/>
  <c r="E3162" i="5"/>
  <c r="K3161" i="5"/>
  <c r="L3161" i="5" s="1"/>
  <c r="E3161" i="5"/>
  <c r="K3160" i="5"/>
  <c r="L3160" i="5" s="1"/>
  <c r="E3160" i="5"/>
  <c r="K3159" i="5"/>
  <c r="L3159" i="5" s="1"/>
  <c r="E3159" i="5"/>
  <c r="L3158" i="5"/>
  <c r="K3158" i="5"/>
  <c r="E3158" i="5"/>
  <c r="K3157" i="5"/>
  <c r="L3157" i="5" s="1"/>
  <c r="E3157" i="5"/>
  <c r="K3156" i="5"/>
  <c r="L3156" i="5" s="1"/>
  <c r="K3155" i="5"/>
  <c r="L3155" i="5" s="1"/>
  <c r="E3155" i="5"/>
  <c r="K3154" i="5"/>
  <c r="L3154" i="5" s="1"/>
  <c r="E3154" i="5"/>
  <c r="K3153" i="5"/>
  <c r="L3153" i="5" s="1"/>
  <c r="K3152" i="5"/>
  <c r="L3152" i="5" s="1"/>
  <c r="E3152" i="5"/>
  <c r="L3151" i="5"/>
  <c r="K3151" i="5"/>
  <c r="E3151" i="5"/>
  <c r="K3150" i="5"/>
  <c r="L3150" i="5" s="1"/>
  <c r="K3149" i="5"/>
  <c r="L3149" i="5" s="1"/>
  <c r="E3149" i="5"/>
  <c r="K3148" i="5"/>
  <c r="L3148" i="5" s="1"/>
  <c r="E3148" i="5"/>
  <c r="K3147" i="5"/>
  <c r="L3147" i="5" s="1"/>
  <c r="E3147" i="5"/>
  <c r="L3146" i="5"/>
  <c r="K3146" i="5"/>
  <c r="K3145" i="5"/>
  <c r="L3145" i="5" s="1"/>
  <c r="E3145" i="5"/>
  <c r="K3144" i="5"/>
  <c r="L3144" i="5" s="1"/>
  <c r="E3144" i="5"/>
  <c r="K3143" i="5"/>
  <c r="L3143" i="5" s="1"/>
  <c r="E3143" i="5"/>
  <c r="K3142" i="5"/>
  <c r="L3142" i="5" s="1"/>
  <c r="E3142" i="5"/>
  <c r="K3141" i="5"/>
  <c r="L3141" i="5" s="1"/>
  <c r="E3141" i="5"/>
  <c r="J3138" i="5"/>
  <c r="J3168" i="5" s="1"/>
  <c r="I3138" i="5"/>
  <c r="I3168" i="5" s="1"/>
  <c r="H3138" i="5"/>
  <c r="G3138" i="5"/>
  <c r="F3138" i="5"/>
  <c r="F3168" i="5" s="1"/>
  <c r="K3137" i="5"/>
  <c r="K3136" i="5"/>
  <c r="K3135" i="5"/>
  <c r="K3134" i="5"/>
  <c r="K3133" i="5"/>
  <c r="C876" i="18"/>
  <c r="B876" i="18"/>
  <c r="K3212" i="5" l="1"/>
  <c r="K3213" i="5" s="1"/>
  <c r="E3167" i="5"/>
  <c r="H3168" i="5"/>
  <c r="G3168" i="5"/>
  <c r="K3168" i="5" s="1"/>
  <c r="K3167" i="5"/>
  <c r="K3138" i="5"/>
  <c r="L3167" i="5"/>
  <c r="C1907" i="26"/>
  <c r="D1905" i="26"/>
  <c r="M2836" i="8"/>
  <c r="L2836" i="8"/>
  <c r="K2836" i="8"/>
  <c r="J2836" i="8"/>
  <c r="I2836" i="8"/>
  <c r="H2836" i="8"/>
  <c r="G2836" i="8"/>
  <c r="F2836" i="8"/>
  <c r="B2798" i="8"/>
  <c r="J3123" i="5"/>
  <c r="I3123" i="5"/>
  <c r="H3123" i="5"/>
  <c r="G3123" i="5"/>
  <c r="F3123" i="5"/>
  <c r="K3121" i="5"/>
  <c r="K3120" i="5"/>
  <c r="K3119" i="5"/>
  <c r="L3119" i="5" s="1"/>
  <c r="E3119" i="5"/>
  <c r="K3118" i="5"/>
  <c r="L3118" i="5" s="1"/>
  <c r="E3118" i="5"/>
  <c r="K3117" i="5"/>
  <c r="L3117" i="5" s="1"/>
  <c r="E3117" i="5"/>
  <c r="K3116" i="5"/>
  <c r="L3116" i="5" s="1"/>
  <c r="E3116" i="5"/>
  <c r="K3115" i="5"/>
  <c r="L3115" i="5" s="1"/>
  <c r="E3115" i="5"/>
  <c r="K3114" i="5"/>
  <c r="L3114" i="5" s="1"/>
  <c r="E3114" i="5"/>
  <c r="K3113" i="5"/>
  <c r="L3113" i="5" s="1"/>
  <c r="E3113" i="5"/>
  <c r="K3112" i="5"/>
  <c r="L3112" i="5" s="1"/>
  <c r="K3111" i="5"/>
  <c r="L3111" i="5" s="1"/>
  <c r="E3111" i="5"/>
  <c r="K3110" i="5"/>
  <c r="L3110" i="5" s="1"/>
  <c r="E3110" i="5"/>
  <c r="K3109" i="5"/>
  <c r="L3109" i="5" s="1"/>
  <c r="K3108" i="5"/>
  <c r="L3108" i="5" s="1"/>
  <c r="E3108" i="5"/>
  <c r="K3107" i="5"/>
  <c r="L3107" i="5" s="1"/>
  <c r="E3107" i="5"/>
  <c r="K3106" i="5"/>
  <c r="L3106" i="5" s="1"/>
  <c r="K3105" i="5"/>
  <c r="L3105" i="5" s="1"/>
  <c r="E3105" i="5"/>
  <c r="K3104" i="5"/>
  <c r="L3104" i="5" s="1"/>
  <c r="E3104" i="5"/>
  <c r="K3103" i="5"/>
  <c r="L3103" i="5" s="1"/>
  <c r="E3103" i="5"/>
  <c r="K3102" i="5"/>
  <c r="L3102" i="5" s="1"/>
  <c r="K3101" i="5"/>
  <c r="L3101" i="5" s="1"/>
  <c r="E3101" i="5"/>
  <c r="K3100" i="5"/>
  <c r="L3100" i="5" s="1"/>
  <c r="E3100" i="5"/>
  <c r="K3099" i="5"/>
  <c r="L3099" i="5" s="1"/>
  <c r="E3099" i="5"/>
  <c r="K3098" i="5"/>
  <c r="L3098" i="5" s="1"/>
  <c r="E3098" i="5"/>
  <c r="K3097" i="5"/>
  <c r="L3097" i="5" s="1"/>
  <c r="E3097" i="5"/>
  <c r="J3094" i="5"/>
  <c r="I3094" i="5"/>
  <c r="H3094" i="5"/>
  <c r="G3094" i="5"/>
  <c r="F3094" i="5"/>
  <c r="K3093" i="5"/>
  <c r="K3092" i="5"/>
  <c r="K3091" i="5"/>
  <c r="K3090" i="5"/>
  <c r="K3089" i="5"/>
  <c r="AF788" i="2"/>
  <c r="Q652" i="1"/>
  <c r="C870" i="18"/>
  <c r="B870" i="18"/>
  <c r="G652" i="1"/>
  <c r="J3124" i="5" l="1"/>
  <c r="E2837" i="8"/>
  <c r="K3169" i="5"/>
  <c r="E3123" i="5"/>
  <c r="G3124" i="5"/>
  <c r="I3124" i="5"/>
  <c r="H3124" i="5"/>
  <c r="F3124" i="5"/>
  <c r="K3123" i="5"/>
  <c r="K3094" i="5"/>
  <c r="L3123" i="5"/>
  <c r="D1925" i="26"/>
  <c r="F1924" i="26"/>
  <c r="F1912" i="26"/>
  <c r="C1881" i="26"/>
  <c r="M2793" i="8"/>
  <c r="L2793" i="8"/>
  <c r="K2793" i="8"/>
  <c r="J2793" i="8"/>
  <c r="I2793" i="8"/>
  <c r="H2793" i="8"/>
  <c r="G2793" i="8"/>
  <c r="F2793" i="8"/>
  <c r="B2755" i="8"/>
  <c r="E2794" i="8" l="1"/>
  <c r="K3124" i="5"/>
  <c r="K3125" i="5" s="1"/>
  <c r="J3079" i="5"/>
  <c r="I3079" i="5"/>
  <c r="H3079" i="5"/>
  <c r="G3079" i="5"/>
  <c r="F3079" i="5"/>
  <c r="K3077" i="5"/>
  <c r="K3076" i="5"/>
  <c r="K3075" i="5"/>
  <c r="L3075" i="5" s="1"/>
  <c r="E3075" i="5"/>
  <c r="K3074" i="5"/>
  <c r="L3074" i="5" s="1"/>
  <c r="E3074" i="5"/>
  <c r="K3073" i="5"/>
  <c r="L3073" i="5" s="1"/>
  <c r="E3073" i="5"/>
  <c r="K3072" i="5"/>
  <c r="L3072" i="5" s="1"/>
  <c r="E3072" i="5"/>
  <c r="K3071" i="5"/>
  <c r="L3071" i="5" s="1"/>
  <c r="E3071" i="5"/>
  <c r="K3070" i="5"/>
  <c r="L3070" i="5" s="1"/>
  <c r="E3070" i="5"/>
  <c r="L3069" i="5"/>
  <c r="K3069" i="5"/>
  <c r="E3069" i="5"/>
  <c r="K3068" i="5"/>
  <c r="L3068" i="5" s="1"/>
  <c r="K3067" i="5"/>
  <c r="L3067" i="5" s="1"/>
  <c r="E3067" i="5"/>
  <c r="K3066" i="5"/>
  <c r="L3066" i="5" s="1"/>
  <c r="E3066" i="5"/>
  <c r="K3065" i="5"/>
  <c r="L3065" i="5" s="1"/>
  <c r="K3064" i="5"/>
  <c r="L3064" i="5" s="1"/>
  <c r="E3064" i="5"/>
  <c r="K3063" i="5"/>
  <c r="L3063" i="5" s="1"/>
  <c r="E3063" i="5"/>
  <c r="K3062" i="5"/>
  <c r="L3062" i="5" s="1"/>
  <c r="K3061" i="5"/>
  <c r="L3061" i="5" s="1"/>
  <c r="E3061" i="5"/>
  <c r="K3060" i="5"/>
  <c r="L3060" i="5" s="1"/>
  <c r="E3060" i="5"/>
  <c r="K3059" i="5"/>
  <c r="L3059" i="5" s="1"/>
  <c r="E3059" i="5"/>
  <c r="K3058" i="5"/>
  <c r="L3058" i="5" s="1"/>
  <c r="K3057" i="5"/>
  <c r="L3057" i="5" s="1"/>
  <c r="E3057" i="5"/>
  <c r="K3056" i="5"/>
  <c r="L3056" i="5" s="1"/>
  <c r="E3056" i="5"/>
  <c r="K3055" i="5"/>
  <c r="L3055" i="5" s="1"/>
  <c r="E3055" i="5"/>
  <c r="K3054" i="5"/>
  <c r="L3054" i="5" s="1"/>
  <c r="E3054" i="5"/>
  <c r="K3053" i="5"/>
  <c r="L3053" i="5" s="1"/>
  <c r="E3053" i="5"/>
  <c r="J3050" i="5"/>
  <c r="J3080" i="5" s="1"/>
  <c r="I3050" i="5"/>
  <c r="H3050" i="5"/>
  <c r="G3050" i="5"/>
  <c r="F3050" i="5"/>
  <c r="K3049" i="5"/>
  <c r="K3048" i="5"/>
  <c r="K3047" i="5"/>
  <c r="K3046" i="5"/>
  <c r="K3045" i="5"/>
  <c r="C856" i="18"/>
  <c r="B856" i="18"/>
  <c r="BF890" i="2"/>
  <c r="BE890" i="2"/>
  <c r="BD890" i="2"/>
  <c r="BC890" i="2"/>
  <c r="BB890" i="2"/>
  <c r="BA890" i="2"/>
  <c r="AZ890" i="2"/>
  <c r="AY890" i="2"/>
  <c r="AX890" i="2"/>
  <c r="AW890" i="2"/>
  <c r="AV890" i="2"/>
  <c r="AU890" i="2"/>
  <c r="AT890" i="2"/>
  <c r="AS890" i="2"/>
  <c r="AR890" i="2"/>
  <c r="AQ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X890" i="2"/>
  <c r="W890" i="2"/>
  <c r="V890" i="2"/>
  <c r="U890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C889" i="2"/>
  <c r="C881" i="2"/>
  <c r="C872" i="2"/>
  <c r="C865" i="2"/>
  <c r="C856" i="2"/>
  <c r="C853" i="2"/>
  <c r="C843" i="2"/>
  <c r="L833" i="2"/>
  <c r="AI833" i="2" s="1"/>
  <c r="AW833" i="2" s="1"/>
  <c r="AW894" i="2" s="1"/>
  <c r="AL894" i="2" s="1"/>
  <c r="L894" i="2" s="1"/>
  <c r="C894" i="2" s="1"/>
  <c r="W741" i="1"/>
  <c r="N23" i="29" s="1"/>
  <c r="V741" i="1"/>
  <c r="E23" i="29" s="1"/>
  <c r="U741" i="1"/>
  <c r="S741" i="1"/>
  <c r="K23" i="29" s="1"/>
  <c r="R741" i="1"/>
  <c r="Q741" i="1"/>
  <c r="I23" i="29" s="1"/>
  <c r="P741" i="1"/>
  <c r="O741" i="1"/>
  <c r="M23" i="29" s="1"/>
  <c r="N741" i="1"/>
  <c r="L23" i="29" s="1"/>
  <c r="M741" i="1"/>
  <c r="L741" i="1"/>
  <c r="J23" i="29" s="1"/>
  <c r="K741" i="1"/>
  <c r="H23" i="29" s="1"/>
  <c r="J741" i="1"/>
  <c r="I741" i="1"/>
  <c r="F23" i="29" s="1"/>
  <c r="H741" i="1"/>
  <c r="G23" i="29" s="1"/>
  <c r="G741" i="1"/>
  <c r="D23" i="29" s="1"/>
  <c r="F741" i="1"/>
  <c r="C23" i="29" s="1"/>
  <c r="E738" i="1"/>
  <c r="D738" i="1"/>
  <c r="Z735" i="1"/>
  <c r="Y735" i="1"/>
  <c r="E734" i="1"/>
  <c r="D734" i="1"/>
  <c r="Z728" i="1"/>
  <c r="Y728" i="1"/>
  <c r="E727" i="1"/>
  <c r="D727" i="1"/>
  <c r="Z723" i="1"/>
  <c r="Y723" i="1"/>
  <c r="E722" i="1"/>
  <c r="D722" i="1"/>
  <c r="Z715" i="1"/>
  <c r="Y715" i="1"/>
  <c r="E714" i="1"/>
  <c r="D714" i="1"/>
  <c r="Z708" i="1"/>
  <c r="Y708" i="1"/>
  <c r="E707" i="1"/>
  <c r="D707" i="1"/>
  <c r="Z702" i="1"/>
  <c r="Y702" i="1"/>
  <c r="E701" i="1"/>
  <c r="D701" i="1"/>
  <c r="Z697" i="1"/>
  <c r="Y697" i="1"/>
  <c r="M695" i="1"/>
  <c r="V695" i="1" s="1"/>
  <c r="V743" i="1" s="1"/>
  <c r="M743" i="1" s="1"/>
  <c r="E743" i="1" s="1"/>
  <c r="E741" i="1" l="1"/>
  <c r="I3080" i="5"/>
  <c r="F3080" i="5"/>
  <c r="D741" i="1"/>
  <c r="H3080" i="5"/>
  <c r="C891" i="2"/>
  <c r="Y741" i="1"/>
  <c r="E3079" i="5"/>
  <c r="G3080" i="5"/>
  <c r="K3079" i="5"/>
  <c r="K3050" i="5"/>
  <c r="L3079" i="5"/>
  <c r="K3080" i="5"/>
  <c r="D1900" i="26"/>
  <c r="F1899" i="26"/>
  <c r="F1887" i="26"/>
  <c r="D1875" i="26"/>
  <c r="F1874" i="26"/>
  <c r="F1862" i="26"/>
  <c r="D1850" i="26"/>
  <c r="F1849" i="26"/>
  <c r="F1837" i="26"/>
  <c r="M2750" i="8"/>
  <c r="L2750" i="8"/>
  <c r="K2750" i="8"/>
  <c r="J2750" i="8"/>
  <c r="I2750" i="8"/>
  <c r="H2750" i="8"/>
  <c r="G2750" i="8"/>
  <c r="F2750" i="8"/>
  <c r="B2712" i="8"/>
  <c r="M2707" i="8"/>
  <c r="L2707" i="8"/>
  <c r="K2707" i="8"/>
  <c r="J2707" i="8"/>
  <c r="I2707" i="8"/>
  <c r="H2707" i="8"/>
  <c r="G2707" i="8"/>
  <c r="F2707" i="8"/>
  <c r="B2669" i="8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X279" i="7"/>
  <c r="X281" i="7" s="1"/>
  <c r="W279" i="7"/>
  <c r="V279" i="7"/>
  <c r="V281" i="7" s="1"/>
  <c r="U279" i="7"/>
  <c r="T279" i="7"/>
  <c r="S279" i="7"/>
  <c r="R279" i="7"/>
  <c r="Q279" i="7"/>
  <c r="Q281" i="7" s="1"/>
  <c r="P279" i="7"/>
  <c r="P281" i="7" s="1"/>
  <c r="O279" i="7"/>
  <c r="O281" i="7" s="1"/>
  <c r="N279" i="7"/>
  <c r="M279" i="7"/>
  <c r="L279" i="7"/>
  <c r="K279" i="7"/>
  <c r="J279" i="7"/>
  <c r="I279" i="7"/>
  <c r="I281" i="7" s="1"/>
  <c r="H279" i="7"/>
  <c r="H281" i="7" s="1"/>
  <c r="G279" i="7"/>
  <c r="G281" i="7" s="1"/>
  <c r="F279" i="7"/>
  <c r="Y278" i="7"/>
  <c r="E278" i="7"/>
  <c r="AB277" i="7"/>
  <c r="Y277" i="7"/>
  <c r="E277" i="7"/>
  <c r="Y276" i="7"/>
  <c r="E276" i="7"/>
  <c r="AB275" i="7"/>
  <c r="Y275" i="7"/>
  <c r="E275" i="7"/>
  <c r="Y274" i="7"/>
  <c r="E274" i="7"/>
  <c r="AB273" i="7"/>
  <c r="Y273" i="7"/>
  <c r="E273" i="7"/>
  <c r="Y272" i="7"/>
  <c r="E272" i="7"/>
  <c r="AB271" i="7"/>
  <c r="Y271" i="7"/>
  <c r="E271" i="7"/>
  <c r="Y270" i="7"/>
  <c r="E270" i="7"/>
  <c r="AB269" i="7"/>
  <c r="Y269" i="7"/>
  <c r="E269" i="7"/>
  <c r="Y268" i="7"/>
  <c r="E268" i="7"/>
  <c r="AB267" i="7"/>
  <c r="Y267" i="7"/>
  <c r="E267" i="7"/>
  <c r="Y266" i="7"/>
  <c r="E266" i="7"/>
  <c r="AB265" i="7"/>
  <c r="Y265" i="7"/>
  <c r="E265" i="7"/>
  <c r="J3035" i="5"/>
  <c r="I3035" i="5"/>
  <c r="H3035" i="5"/>
  <c r="G3035" i="5"/>
  <c r="F3035" i="5"/>
  <c r="K3033" i="5"/>
  <c r="K3032" i="5"/>
  <c r="K3031" i="5"/>
  <c r="L3031" i="5" s="1"/>
  <c r="E3031" i="5"/>
  <c r="K3030" i="5"/>
  <c r="L3030" i="5" s="1"/>
  <c r="E3030" i="5"/>
  <c r="L3029" i="5"/>
  <c r="K3029" i="5"/>
  <c r="E3029" i="5"/>
  <c r="K3028" i="5"/>
  <c r="L3028" i="5" s="1"/>
  <c r="E3028" i="5"/>
  <c r="K3027" i="5"/>
  <c r="L3027" i="5" s="1"/>
  <c r="E3027" i="5"/>
  <c r="K3026" i="5"/>
  <c r="L3026" i="5" s="1"/>
  <c r="E3026" i="5"/>
  <c r="K3025" i="5"/>
  <c r="L3025" i="5" s="1"/>
  <c r="E3025" i="5"/>
  <c r="K3024" i="5"/>
  <c r="L3024" i="5" s="1"/>
  <c r="K3023" i="5"/>
  <c r="L3023" i="5" s="1"/>
  <c r="E3023" i="5"/>
  <c r="K3022" i="5"/>
  <c r="L3022" i="5" s="1"/>
  <c r="E3022" i="5"/>
  <c r="K3021" i="5"/>
  <c r="L3021" i="5" s="1"/>
  <c r="K3020" i="5"/>
  <c r="L3020" i="5" s="1"/>
  <c r="E3020" i="5"/>
  <c r="K3019" i="5"/>
  <c r="L3019" i="5" s="1"/>
  <c r="E3019" i="5"/>
  <c r="K3018" i="5"/>
  <c r="L3018" i="5" s="1"/>
  <c r="K3017" i="5"/>
  <c r="L3017" i="5" s="1"/>
  <c r="E3017" i="5"/>
  <c r="K3016" i="5"/>
  <c r="L3016" i="5" s="1"/>
  <c r="E3016" i="5"/>
  <c r="K3015" i="5"/>
  <c r="L3015" i="5" s="1"/>
  <c r="E3015" i="5"/>
  <c r="K3014" i="5"/>
  <c r="L3014" i="5" s="1"/>
  <c r="K3013" i="5"/>
  <c r="L3013" i="5" s="1"/>
  <c r="E3013" i="5"/>
  <c r="K3012" i="5"/>
  <c r="L3012" i="5" s="1"/>
  <c r="E3012" i="5"/>
  <c r="K3011" i="5"/>
  <c r="L3011" i="5" s="1"/>
  <c r="E3011" i="5"/>
  <c r="K3010" i="5"/>
  <c r="L3010" i="5" s="1"/>
  <c r="E3010" i="5"/>
  <c r="K3009" i="5"/>
  <c r="L3009" i="5" s="1"/>
  <c r="E3009" i="5"/>
  <c r="J3006" i="5"/>
  <c r="I3006" i="5"/>
  <c r="H3006" i="5"/>
  <c r="G3006" i="5"/>
  <c r="F3006" i="5"/>
  <c r="K3005" i="5"/>
  <c r="K3004" i="5"/>
  <c r="K3003" i="5"/>
  <c r="K3002" i="5"/>
  <c r="K3001" i="5"/>
  <c r="J2991" i="5"/>
  <c r="I2991" i="5"/>
  <c r="H2991" i="5"/>
  <c r="G2991" i="5"/>
  <c r="F2991" i="5"/>
  <c r="K2989" i="5"/>
  <c r="K2988" i="5"/>
  <c r="K2987" i="5"/>
  <c r="L2987" i="5" s="1"/>
  <c r="E2987" i="5"/>
  <c r="K2986" i="5"/>
  <c r="L2986" i="5" s="1"/>
  <c r="E2986" i="5"/>
  <c r="L2985" i="5"/>
  <c r="K2985" i="5"/>
  <c r="E2985" i="5"/>
  <c r="K2984" i="5"/>
  <c r="L2984" i="5" s="1"/>
  <c r="E2984" i="5"/>
  <c r="K2983" i="5"/>
  <c r="L2983" i="5" s="1"/>
  <c r="E2983" i="5"/>
  <c r="K2982" i="5"/>
  <c r="L2982" i="5" s="1"/>
  <c r="E2982" i="5"/>
  <c r="K2981" i="5"/>
  <c r="L2981" i="5" s="1"/>
  <c r="E2981" i="5"/>
  <c r="K2980" i="5"/>
  <c r="L2980" i="5" s="1"/>
  <c r="K2979" i="5"/>
  <c r="L2979" i="5" s="1"/>
  <c r="E2979" i="5"/>
  <c r="K2978" i="5"/>
  <c r="L2978" i="5" s="1"/>
  <c r="E2978" i="5"/>
  <c r="K2977" i="5"/>
  <c r="L2977" i="5" s="1"/>
  <c r="K2976" i="5"/>
  <c r="L2976" i="5" s="1"/>
  <c r="E2976" i="5"/>
  <c r="K2975" i="5"/>
  <c r="L2975" i="5" s="1"/>
  <c r="E2975" i="5"/>
  <c r="K2974" i="5"/>
  <c r="L2974" i="5" s="1"/>
  <c r="K2973" i="5"/>
  <c r="L2973" i="5" s="1"/>
  <c r="E2973" i="5"/>
  <c r="K2972" i="5"/>
  <c r="L2972" i="5" s="1"/>
  <c r="E2972" i="5"/>
  <c r="K2971" i="5"/>
  <c r="L2971" i="5" s="1"/>
  <c r="E2971" i="5"/>
  <c r="K2970" i="5"/>
  <c r="L2970" i="5" s="1"/>
  <c r="K2969" i="5"/>
  <c r="L2969" i="5" s="1"/>
  <c r="E2969" i="5"/>
  <c r="K2968" i="5"/>
  <c r="L2968" i="5" s="1"/>
  <c r="E2968" i="5"/>
  <c r="K2967" i="5"/>
  <c r="L2967" i="5" s="1"/>
  <c r="E2967" i="5"/>
  <c r="K2966" i="5"/>
  <c r="L2966" i="5" s="1"/>
  <c r="E2966" i="5"/>
  <c r="K2965" i="5"/>
  <c r="L2965" i="5" s="1"/>
  <c r="E2965" i="5"/>
  <c r="J2962" i="5"/>
  <c r="I2962" i="5"/>
  <c r="H2962" i="5"/>
  <c r="G2962" i="5"/>
  <c r="F2962" i="5"/>
  <c r="F2992" i="5" s="1"/>
  <c r="K2961" i="5"/>
  <c r="K2960" i="5"/>
  <c r="K2959" i="5"/>
  <c r="K2958" i="5"/>
  <c r="K2957" i="5"/>
  <c r="C844" i="18"/>
  <c r="B844" i="18"/>
  <c r="C838" i="18"/>
  <c r="B838" i="18"/>
  <c r="C829" i="18"/>
  <c r="B829" i="18"/>
  <c r="O628" i="1"/>
  <c r="F3036" i="5" l="1"/>
  <c r="H2992" i="5"/>
  <c r="H3036" i="5"/>
  <c r="I2992" i="5"/>
  <c r="J2992" i="5"/>
  <c r="J3036" i="5"/>
  <c r="T281" i="7"/>
  <c r="M281" i="7"/>
  <c r="U281" i="7"/>
  <c r="J281" i="7"/>
  <c r="R281" i="7"/>
  <c r="N281" i="7"/>
  <c r="W281" i="7"/>
  <c r="E280" i="7"/>
  <c r="L281" i="7"/>
  <c r="F281" i="7"/>
  <c r="E2751" i="8"/>
  <c r="S281" i="7"/>
  <c r="K3081" i="5"/>
  <c r="E2708" i="8"/>
  <c r="K281" i="7"/>
  <c r="E279" i="7"/>
  <c r="Y279" i="7"/>
  <c r="Y280" i="7"/>
  <c r="I3036" i="5"/>
  <c r="E3035" i="5"/>
  <c r="G3036" i="5"/>
  <c r="K3035" i="5"/>
  <c r="K3006" i="5"/>
  <c r="L3035" i="5"/>
  <c r="L2991" i="5"/>
  <c r="E2991" i="5"/>
  <c r="G2992" i="5"/>
  <c r="K2991" i="5"/>
  <c r="K2962" i="5"/>
  <c r="N199" i="13"/>
  <c r="N198" i="13"/>
  <c r="N196" i="13"/>
  <c r="F198" i="13"/>
  <c r="F199" i="13"/>
  <c r="F197" i="13"/>
  <c r="F196" i="13"/>
  <c r="F195" i="13"/>
  <c r="N204" i="13"/>
  <c r="N208" i="13" s="1"/>
  <c r="N200" i="13"/>
  <c r="N197" i="13"/>
  <c r="N195" i="13"/>
  <c r="D1783" i="26"/>
  <c r="D1825" i="26"/>
  <c r="F1824" i="26"/>
  <c r="F1812" i="26"/>
  <c r="C1779" i="26"/>
  <c r="F1799" i="26"/>
  <c r="F1787" i="26"/>
  <c r="D1800" i="26"/>
  <c r="D1756" i="26"/>
  <c r="M2664" i="8"/>
  <c r="L2664" i="8"/>
  <c r="K2664" i="8"/>
  <c r="J2664" i="8"/>
  <c r="I2664" i="8"/>
  <c r="H2664" i="8"/>
  <c r="G2664" i="8"/>
  <c r="F2664" i="8"/>
  <c r="B2626" i="8"/>
  <c r="E2934" i="5"/>
  <c r="J2947" i="5"/>
  <c r="I2947" i="5"/>
  <c r="H2947" i="5"/>
  <c r="G2947" i="5"/>
  <c r="F2947" i="5"/>
  <c r="K2945" i="5"/>
  <c r="K2944" i="5"/>
  <c r="K2943" i="5"/>
  <c r="L2943" i="5" s="1"/>
  <c r="E2943" i="5"/>
  <c r="K2942" i="5"/>
  <c r="L2942" i="5" s="1"/>
  <c r="E2942" i="5"/>
  <c r="L2941" i="5"/>
  <c r="K2941" i="5"/>
  <c r="E2941" i="5"/>
  <c r="K2940" i="5"/>
  <c r="L2940" i="5" s="1"/>
  <c r="E2940" i="5"/>
  <c r="K2939" i="5"/>
  <c r="L2939" i="5" s="1"/>
  <c r="E2939" i="5"/>
  <c r="K2938" i="5"/>
  <c r="L2938" i="5" s="1"/>
  <c r="E2938" i="5"/>
  <c r="K2937" i="5"/>
  <c r="L2937" i="5" s="1"/>
  <c r="E2937" i="5"/>
  <c r="K2936" i="5"/>
  <c r="L2936" i="5" s="1"/>
  <c r="K2935" i="5"/>
  <c r="L2935" i="5" s="1"/>
  <c r="E2935" i="5"/>
  <c r="K2934" i="5"/>
  <c r="L2934" i="5" s="1"/>
  <c r="K2933" i="5"/>
  <c r="L2933" i="5" s="1"/>
  <c r="K2932" i="5"/>
  <c r="L2932" i="5" s="1"/>
  <c r="E2932" i="5"/>
  <c r="K2931" i="5"/>
  <c r="L2931" i="5" s="1"/>
  <c r="E2931" i="5"/>
  <c r="K2930" i="5"/>
  <c r="L2930" i="5" s="1"/>
  <c r="K2929" i="5"/>
  <c r="L2929" i="5" s="1"/>
  <c r="E2929" i="5"/>
  <c r="K2928" i="5"/>
  <c r="L2928" i="5" s="1"/>
  <c r="E2928" i="5"/>
  <c r="K2927" i="5"/>
  <c r="L2927" i="5" s="1"/>
  <c r="E2927" i="5"/>
  <c r="K2926" i="5"/>
  <c r="L2926" i="5" s="1"/>
  <c r="K2925" i="5"/>
  <c r="L2925" i="5" s="1"/>
  <c r="E2925" i="5"/>
  <c r="K2924" i="5"/>
  <c r="L2924" i="5" s="1"/>
  <c r="E2924" i="5"/>
  <c r="K2923" i="5"/>
  <c r="L2923" i="5" s="1"/>
  <c r="E2923" i="5"/>
  <c r="K2922" i="5"/>
  <c r="L2922" i="5" s="1"/>
  <c r="E2922" i="5"/>
  <c r="K2921" i="5"/>
  <c r="L2921" i="5" s="1"/>
  <c r="E2921" i="5"/>
  <c r="J2918" i="5"/>
  <c r="I2918" i="5"/>
  <c r="H2918" i="5"/>
  <c r="G2918" i="5"/>
  <c r="F2918" i="5"/>
  <c r="K2917" i="5"/>
  <c r="K2916" i="5"/>
  <c r="K2915" i="5"/>
  <c r="K2914" i="5"/>
  <c r="K2913" i="5"/>
  <c r="C821" i="18"/>
  <c r="B821" i="18"/>
  <c r="AX741" i="2"/>
  <c r="K2992" i="5" l="1"/>
  <c r="J2948" i="5"/>
  <c r="E281" i="7"/>
  <c r="Y281" i="7"/>
  <c r="K3036" i="5"/>
  <c r="E2665" i="8"/>
  <c r="K3037" i="5"/>
  <c r="K2993" i="5"/>
  <c r="N201" i="13"/>
  <c r="E2947" i="5"/>
  <c r="I2948" i="5"/>
  <c r="H2948" i="5"/>
  <c r="F2948" i="5"/>
  <c r="G2948" i="5"/>
  <c r="K2947" i="5"/>
  <c r="K2918" i="5"/>
  <c r="L2947" i="5"/>
  <c r="D1775" i="26"/>
  <c r="F1774" i="26"/>
  <c r="F1762" i="26"/>
  <c r="E2890" i="5"/>
  <c r="J2903" i="5"/>
  <c r="I2903" i="5"/>
  <c r="H2903" i="5"/>
  <c r="G2903" i="5"/>
  <c r="F2903" i="5"/>
  <c r="K2901" i="5"/>
  <c r="K2900" i="5"/>
  <c r="K2899" i="5"/>
  <c r="L2899" i="5" s="1"/>
  <c r="E2899" i="5"/>
  <c r="K2898" i="5"/>
  <c r="L2898" i="5" s="1"/>
  <c r="E2898" i="5"/>
  <c r="K2897" i="5"/>
  <c r="L2897" i="5" s="1"/>
  <c r="E2897" i="5"/>
  <c r="K2896" i="5"/>
  <c r="L2896" i="5" s="1"/>
  <c r="E2896" i="5"/>
  <c r="K2895" i="5"/>
  <c r="L2895" i="5" s="1"/>
  <c r="E2895" i="5"/>
  <c r="K2894" i="5"/>
  <c r="L2894" i="5" s="1"/>
  <c r="E2894" i="5"/>
  <c r="K2893" i="5"/>
  <c r="L2893" i="5" s="1"/>
  <c r="E2893" i="5"/>
  <c r="K2892" i="5"/>
  <c r="L2892" i="5" s="1"/>
  <c r="K2891" i="5"/>
  <c r="L2891" i="5" s="1"/>
  <c r="E2891" i="5"/>
  <c r="K2890" i="5"/>
  <c r="L2890" i="5" s="1"/>
  <c r="K2889" i="5"/>
  <c r="L2889" i="5" s="1"/>
  <c r="K2888" i="5"/>
  <c r="L2888" i="5" s="1"/>
  <c r="E2888" i="5"/>
  <c r="K2887" i="5"/>
  <c r="L2887" i="5" s="1"/>
  <c r="E2887" i="5"/>
  <c r="K2886" i="5"/>
  <c r="L2886" i="5" s="1"/>
  <c r="K2885" i="5"/>
  <c r="L2885" i="5" s="1"/>
  <c r="E2885" i="5"/>
  <c r="K2884" i="5"/>
  <c r="L2884" i="5" s="1"/>
  <c r="E2884" i="5"/>
  <c r="K2883" i="5"/>
  <c r="L2883" i="5" s="1"/>
  <c r="E2883" i="5"/>
  <c r="K2882" i="5"/>
  <c r="L2882" i="5" s="1"/>
  <c r="K2881" i="5"/>
  <c r="L2881" i="5" s="1"/>
  <c r="E2881" i="5"/>
  <c r="K2880" i="5"/>
  <c r="L2880" i="5" s="1"/>
  <c r="E2880" i="5"/>
  <c r="K2879" i="5"/>
  <c r="L2879" i="5" s="1"/>
  <c r="E2879" i="5"/>
  <c r="K2878" i="5"/>
  <c r="L2878" i="5" s="1"/>
  <c r="E2878" i="5"/>
  <c r="K2877" i="5"/>
  <c r="L2877" i="5" s="1"/>
  <c r="E2877" i="5"/>
  <c r="J2874" i="5"/>
  <c r="I2874" i="5"/>
  <c r="I2904" i="5" s="1"/>
  <c r="H2874" i="5"/>
  <c r="H2904" i="5" s="1"/>
  <c r="G2874" i="5"/>
  <c r="F2874" i="5"/>
  <c r="K2873" i="5"/>
  <c r="K2872" i="5"/>
  <c r="K2871" i="5"/>
  <c r="K2870" i="5"/>
  <c r="K2869" i="5"/>
  <c r="C812" i="18"/>
  <c r="B812" i="18"/>
  <c r="F2904" i="5" l="1"/>
  <c r="K2948" i="5"/>
  <c r="K2949" i="5"/>
  <c r="J2904" i="5"/>
  <c r="G2904" i="5"/>
  <c r="K2904" i="5" s="1"/>
  <c r="E2903" i="5"/>
  <c r="K2903" i="5"/>
  <c r="K2874" i="5"/>
  <c r="L2903" i="5"/>
  <c r="D1750" i="26"/>
  <c r="F1749" i="26"/>
  <c r="F1737" i="26"/>
  <c r="M2621" i="8"/>
  <c r="L2621" i="8"/>
  <c r="K2621" i="8"/>
  <c r="J2621" i="8"/>
  <c r="I2621" i="8"/>
  <c r="H2621" i="8"/>
  <c r="G2621" i="8"/>
  <c r="F2621" i="8"/>
  <c r="B2583" i="8"/>
  <c r="J2859" i="5"/>
  <c r="I2859" i="5"/>
  <c r="H2859" i="5"/>
  <c r="G2859" i="5"/>
  <c r="F2859" i="5"/>
  <c r="K2857" i="5"/>
  <c r="K2856" i="5"/>
  <c r="K2855" i="5"/>
  <c r="L2855" i="5" s="1"/>
  <c r="E2855" i="5"/>
  <c r="K2854" i="5"/>
  <c r="L2854" i="5" s="1"/>
  <c r="E2854" i="5"/>
  <c r="K2853" i="5"/>
  <c r="L2853" i="5" s="1"/>
  <c r="E2853" i="5"/>
  <c r="K2852" i="5"/>
  <c r="L2852" i="5" s="1"/>
  <c r="E2852" i="5"/>
  <c r="K2851" i="5"/>
  <c r="L2851" i="5" s="1"/>
  <c r="E2851" i="5"/>
  <c r="K2850" i="5"/>
  <c r="L2850" i="5" s="1"/>
  <c r="E2850" i="5"/>
  <c r="K2849" i="5"/>
  <c r="L2849" i="5" s="1"/>
  <c r="E2849" i="5"/>
  <c r="K2848" i="5"/>
  <c r="L2848" i="5" s="1"/>
  <c r="K2847" i="5"/>
  <c r="L2847" i="5" s="1"/>
  <c r="E2847" i="5"/>
  <c r="K2846" i="5"/>
  <c r="L2846" i="5" s="1"/>
  <c r="E2846" i="5"/>
  <c r="K2845" i="5"/>
  <c r="L2845" i="5" s="1"/>
  <c r="K2844" i="5"/>
  <c r="L2844" i="5" s="1"/>
  <c r="E2844" i="5"/>
  <c r="K2843" i="5"/>
  <c r="L2843" i="5" s="1"/>
  <c r="E2843" i="5"/>
  <c r="K2842" i="5"/>
  <c r="L2842" i="5" s="1"/>
  <c r="K2841" i="5"/>
  <c r="L2841" i="5" s="1"/>
  <c r="E2841" i="5"/>
  <c r="K2840" i="5"/>
  <c r="L2840" i="5" s="1"/>
  <c r="E2840" i="5"/>
  <c r="K2839" i="5"/>
  <c r="L2839" i="5" s="1"/>
  <c r="E2839" i="5"/>
  <c r="K2838" i="5"/>
  <c r="L2838" i="5" s="1"/>
  <c r="K2837" i="5"/>
  <c r="L2837" i="5" s="1"/>
  <c r="E2837" i="5"/>
  <c r="K2836" i="5"/>
  <c r="L2836" i="5" s="1"/>
  <c r="E2836" i="5"/>
  <c r="K2835" i="5"/>
  <c r="L2835" i="5" s="1"/>
  <c r="E2835" i="5"/>
  <c r="K2834" i="5"/>
  <c r="L2834" i="5" s="1"/>
  <c r="E2834" i="5"/>
  <c r="K2833" i="5"/>
  <c r="L2833" i="5" s="1"/>
  <c r="E2833" i="5"/>
  <c r="J2830" i="5"/>
  <c r="I2830" i="5"/>
  <c r="H2830" i="5"/>
  <c r="G2830" i="5"/>
  <c r="F2830" i="5"/>
  <c r="K2829" i="5"/>
  <c r="K2828" i="5"/>
  <c r="K2827" i="5"/>
  <c r="K2826" i="5"/>
  <c r="K2825" i="5"/>
  <c r="C724" i="2"/>
  <c r="G602" i="1"/>
  <c r="P602" i="1"/>
  <c r="C806" i="18"/>
  <c r="B806" i="18"/>
  <c r="E2622" i="8" l="1"/>
  <c r="K2905" i="5"/>
  <c r="I2860" i="5"/>
  <c r="F2860" i="5"/>
  <c r="J2860" i="5"/>
  <c r="H2860" i="5"/>
  <c r="G2860" i="5"/>
  <c r="E2859" i="5"/>
  <c r="K2859" i="5"/>
  <c r="K2830" i="5"/>
  <c r="L2859" i="5"/>
  <c r="J2815" i="5"/>
  <c r="I2815" i="5"/>
  <c r="H2815" i="5"/>
  <c r="G2815" i="5"/>
  <c r="F2815" i="5"/>
  <c r="K2813" i="5"/>
  <c r="K2812" i="5"/>
  <c r="K2811" i="5"/>
  <c r="L2811" i="5" s="1"/>
  <c r="E2811" i="5"/>
  <c r="K2810" i="5"/>
  <c r="L2810" i="5" s="1"/>
  <c r="E2810" i="5"/>
  <c r="K2809" i="5"/>
  <c r="L2809" i="5" s="1"/>
  <c r="E2809" i="5"/>
  <c r="K2808" i="5"/>
  <c r="L2808" i="5" s="1"/>
  <c r="E2808" i="5"/>
  <c r="K2807" i="5"/>
  <c r="L2807" i="5" s="1"/>
  <c r="E2807" i="5"/>
  <c r="K2806" i="5"/>
  <c r="L2806" i="5" s="1"/>
  <c r="E2806" i="5"/>
  <c r="L2805" i="5"/>
  <c r="K2805" i="5"/>
  <c r="E2805" i="5"/>
  <c r="K2804" i="5"/>
  <c r="L2804" i="5" s="1"/>
  <c r="K2803" i="5"/>
  <c r="L2803" i="5" s="1"/>
  <c r="E2803" i="5"/>
  <c r="K2802" i="5"/>
  <c r="L2802" i="5" s="1"/>
  <c r="E2802" i="5"/>
  <c r="K2801" i="5"/>
  <c r="L2801" i="5" s="1"/>
  <c r="K2800" i="5"/>
  <c r="L2800" i="5" s="1"/>
  <c r="E2800" i="5"/>
  <c r="K2799" i="5"/>
  <c r="L2799" i="5" s="1"/>
  <c r="E2799" i="5"/>
  <c r="K2798" i="5"/>
  <c r="L2798" i="5" s="1"/>
  <c r="K2797" i="5"/>
  <c r="L2797" i="5" s="1"/>
  <c r="E2797" i="5"/>
  <c r="K2796" i="5"/>
  <c r="L2796" i="5" s="1"/>
  <c r="E2796" i="5"/>
  <c r="K2795" i="5"/>
  <c r="L2795" i="5" s="1"/>
  <c r="E2795" i="5"/>
  <c r="K2794" i="5"/>
  <c r="L2794" i="5" s="1"/>
  <c r="K2793" i="5"/>
  <c r="L2793" i="5" s="1"/>
  <c r="E2793" i="5"/>
  <c r="K2792" i="5"/>
  <c r="L2792" i="5" s="1"/>
  <c r="E2792" i="5"/>
  <c r="K2791" i="5"/>
  <c r="L2791" i="5" s="1"/>
  <c r="E2791" i="5"/>
  <c r="K2790" i="5"/>
  <c r="L2790" i="5" s="1"/>
  <c r="E2790" i="5"/>
  <c r="K2789" i="5"/>
  <c r="L2789" i="5" s="1"/>
  <c r="E2789" i="5"/>
  <c r="J2786" i="5"/>
  <c r="I2786" i="5"/>
  <c r="H2786" i="5"/>
  <c r="G2786" i="5"/>
  <c r="F2786" i="5"/>
  <c r="F2816" i="5" s="1"/>
  <c r="K2785" i="5"/>
  <c r="K2784" i="5"/>
  <c r="K2783" i="5"/>
  <c r="K2782" i="5"/>
  <c r="K2781" i="5"/>
  <c r="C787" i="18"/>
  <c r="B787" i="18"/>
  <c r="BF827" i="2"/>
  <c r="BE827" i="2"/>
  <c r="BD827" i="2"/>
  <c r="BC827" i="2"/>
  <c r="BB827" i="2"/>
  <c r="BA827" i="2"/>
  <c r="AZ827" i="2"/>
  <c r="AY827" i="2"/>
  <c r="AX827" i="2"/>
  <c r="AW827" i="2"/>
  <c r="AV827" i="2"/>
  <c r="AU827" i="2"/>
  <c r="AT827" i="2"/>
  <c r="AS827" i="2"/>
  <c r="AR827" i="2"/>
  <c r="AQ827" i="2"/>
  <c r="AP827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X827" i="2"/>
  <c r="W827" i="2"/>
  <c r="V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C826" i="2"/>
  <c r="C818" i="2"/>
  <c r="C809" i="2"/>
  <c r="C802" i="2"/>
  <c r="C795" i="2"/>
  <c r="C792" i="2"/>
  <c r="C785" i="2"/>
  <c r="L773" i="2"/>
  <c r="AI773" i="2" s="1"/>
  <c r="AW773" i="2" s="1"/>
  <c r="AW831" i="2" s="1"/>
  <c r="AL831" i="2" s="1"/>
  <c r="L831" i="2" s="1"/>
  <c r="C831" i="2" s="1"/>
  <c r="W691" i="1"/>
  <c r="N22" i="29" s="1"/>
  <c r="V691" i="1"/>
  <c r="E22" i="29" s="1"/>
  <c r="U691" i="1"/>
  <c r="S691" i="1"/>
  <c r="K22" i="29" s="1"/>
  <c r="R691" i="1"/>
  <c r="Q691" i="1"/>
  <c r="I22" i="29" s="1"/>
  <c r="P691" i="1"/>
  <c r="O691" i="1"/>
  <c r="M22" i="29" s="1"/>
  <c r="N691" i="1"/>
  <c r="L22" i="29" s="1"/>
  <c r="M691" i="1"/>
  <c r="L691" i="1"/>
  <c r="J22" i="29" s="1"/>
  <c r="K691" i="1"/>
  <c r="H22" i="29" s="1"/>
  <c r="J691" i="1"/>
  <c r="G22" i="29" s="1"/>
  <c r="I691" i="1"/>
  <c r="F22" i="29" s="1"/>
  <c r="H691" i="1"/>
  <c r="G691" i="1"/>
  <c r="D22" i="29" s="1"/>
  <c r="F691" i="1"/>
  <c r="C22" i="29" s="1"/>
  <c r="E688" i="1"/>
  <c r="D688" i="1"/>
  <c r="Z685" i="1"/>
  <c r="Y685" i="1"/>
  <c r="E684" i="1"/>
  <c r="D684" i="1"/>
  <c r="Z678" i="1"/>
  <c r="Y678" i="1"/>
  <c r="E677" i="1"/>
  <c r="D677" i="1"/>
  <c r="Z673" i="1"/>
  <c r="Y673" i="1"/>
  <c r="E672" i="1"/>
  <c r="D672" i="1"/>
  <c r="Z665" i="1"/>
  <c r="Y665" i="1"/>
  <c r="E664" i="1"/>
  <c r="D664" i="1"/>
  <c r="Z658" i="1"/>
  <c r="Y658" i="1"/>
  <c r="E657" i="1"/>
  <c r="D657" i="1"/>
  <c r="Z652" i="1"/>
  <c r="Y652" i="1"/>
  <c r="E651" i="1"/>
  <c r="D651" i="1"/>
  <c r="Z647" i="1"/>
  <c r="Y647" i="1"/>
  <c r="M645" i="1"/>
  <c r="V645" i="1" s="1"/>
  <c r="V693" i="1" s="1"/>
  <c r="M693" i="1" s="1"/>
  <c r="E693" i="1" s="1"/>
  <c r="D691" i="1" l="1"/>
  <c r="J2816" i="5"/>
  <c r="E691" i="1"/>
  <c r="Y691" i="1"/>
  <c r="C828" i="2"/>
  <c r="K2860" i="5"/>
  <c r="K2861" i="5" s="1"/>
  <c r="E2815" i="5"/>
  <c r="I2816" i="5"/>
  <c r="G2816" i="5"/>
  <c r="H2816" i="5"/>
  <c r="K2815" i="5"/>
  <c r="K2786" i="5"/>
  <c r="L2815" i="5"/>
  <c r="F1724" i="26"/>
  <c r="F1712" i="26"/>
  <c r="D1725" i="26"/>
  <c r="D1680" i="26"/>
  <c r="D1700" i="26"/>
  <c r="F1699" i="26"/>
  <c r="F1687" i="26"/>
  <c r="D1675" i="26"/>
  <c r="F1674" i="26"/>
  <c r="F1662" i="26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X259" i="7"/>
  <c r="W259" i="7"/>
  <c r="V259" i="7"/>
  <c r="U259" i="7"/>
  <c r="T259" i="7"/>
  <c r="T261" i="7" s="1"/>
  <c r="S259" i="7"/>
  <c r="R259" i="7"/>
  <c r="Q259" i="7"/>
  <c r="Q261" i="7" s="1"/>
  <c r="P259" i="7"/>
  <c r="O259" i="7"/>
  <c r="N259" i="7"/>
  <c r="M259" i="7"/>
  <c r="L259" i="7"/>
  <c r="K259" i="7"/>
  <c r="J259" i="7"/>
  <c r="I259" i="7"/>
  <c r="I261" i="7" s="1"/>
  <c r="H259" i="7"/>
  <c r="G259" i="7"/>
  <c r="F259" i="7"/>
  <c r="Y258" i="7"/>
  <c r="E258" i="7"/>
  <c r="AB257" i="7"/>
  <c r="Y257" i="7"/>
  <c r="E257" i="7"/>
  <c r="Y256" i="7"/>
  <c r="E256" i="7"/>
  <c r="AB255" i="7"/>
  <c r="Y255" i="7"/>
  <c r="E255" i="7"/>
  <c r="Y254" i="7"/>
  <c r="E254" i="7"/>
  <c r="AB253" i="7"/>
  <c r="Y253" i="7"/>
  <c r="E253" i="7"/>
  <c r="Y252" i="7"/>
  <c r="E252" i="7"/>
  <c r="AB251" i="7"/>
  <c r="Y251" i="7"/>
  <c r="E251" i="7"/>
  <c r="Y250" i="7"/>
  <c r="E250" i="7"/>
  <c r="AB249" i="7"/>
  <c r="Y249" i="7"/>
  <c r="E249" i="7"/>
  <c r="Y248" i="7"/>
  <c r="E248" i="7"/>
  <c r="AB247" i="7"/>
  <c r="Y247" i="7"/>
  <c r="E247" i="7"/>
  <c r="Y246" i="7"/>
  <c r="E246" i="7"/>
  <c r="AB245" i="7"/>
  <c r="Y245" i="7"/>
  <c r="E245" i="7"/>
  <c r="E2745" i="5"/>
  <c r="J2771" i="5"/>
  <c r="I2771" i="5"/>
  <c r="H2771" i="5"/>
  <c r="G2771" i="5"/>
  <c r="F2771" i="5"/>
  <c r="K2769" i="5"/>
  <c r="K2768" i="5"/>
  <c r="K2767" i="5"/>
  <c r="L2767" i="5" s="1"/>
  <c r="E2767" i="5"/>
  <c r="K2766" i="5"/>
  <c r="L2766" i="5" s="1"/>
  <c r="E2766" i="5"/>
  <c r="K2765" i="5"/>
  <c r="L2765" i="5" s="1"/>
  <c r="E2765" i="5"/>
  <c r="K2764" i="5"/>
  <c r="L2764" i="5" s="1"/>
  <c r="E2764" i="5"/>
  <c r="K2763" i="5"/>
  <c r="L2763" i="5" s="1"/>
  <c r="E2763" i="5"/>
  <c r="K2762" i="5"/>
  <c r="L2762" i="5" s="1"/>
  <c r="E2762" i="5"/>
  <c r="K2761" i="5"/>
  <c r="L2761" i="5" s="1"/>
  <c r="E2761" i="5"/>
  <c r="K2760" i="5"/>
  <c r="L2760" i="5" s="1"/>
  <c r="K2759" i="5"/>
  <c r="L2759" i="5" s="1"/>
  <c r="E2759" i="5"/>
  <c r="K2758" i="5"/>
  <c r="L2758" i="5" s="1"/>
  <c r="E2758" i="5"/>
  <c r="K2757" i="5"/>
  <c r="L2757" i="5" s="1"/>
  <c r="K2756" i="5"/>
  <c r="L2756" i="5" s="1"/>
  <c r="E2756" i="5"/>
  <c r="K2755" i="5"/>
  <c r="L2755" i="5" s="1"/>
  <c r="E2755" i="5"/>
  <c r="K2754" i="5"/>
  <c r="L2754" i="5" s="1"/>
  <c r="K2753" i="5"/>
  <c r="L2753" i="5" s="1"/>
  <c r="E2753" i="5"/>
  <c r="K2752" i="5"/>
  <c r="L2752" i="5" s="1"/>
  <c r="E2752" i="5"/>
  <c r="K2751" i="5"/>
  <c r="L2751" i="5" s="1"/>
  <c r="E2751" i="5"/>
  <c r="K2750" i="5"/>
  <c r="L2750" i="5" s="1"/>
  <c r="K2749" i="5"/>
  <c r="L2749" i="5" s="1"/>
  <c r="E2749" i="5"/>
  <c r="K2748" i="5"/>
  <c r="L2748" i="5" s="1"/>
  <c r="E2748" i="5"/>
  <c r="K2747" i="5"/>
  <c r="L2747" i="5" s="1"/>
  <c r="E2747" i="5"/>
  <c r="K2746" i="5"/>
  <c r="L2746" i="5" s="1"/>
  <c r="E2746" i="5"/>
  <c r="K2745" i="5"/>
  <c r="L2745" i="5" s="1"/>
  <c r="J2742" i="5"/>
  <c r="I2742" i="5"/>
  <c r="H2742" i="5"/>
  <c r="G2742" i="5"/>
  <c r="F2742" i="5"/>
  <c r="K2741" i="5"/>
  <c r="K2740" i="5"/>
  <c r="K2739" i="5"/>
  <c r="K2738" i="5"/>
  <c r="K2737" i="5"/>
  <c r="C777" i="18"/>
  <c r="B777" i="18"/>
  <c r="C769" i="18"/>
  <c r="B769" i="18"/>
  <c r="C699" i="2"/>
  <c r="Q585" i="1"/>
  <c r="H261" i="7" l="1"/>
  <c r="P261" i="7"/>
  <c r="X261" i="7"/>
  <c r="M261" i="7"/>
  <c r="V261" i="7"/>
  <c r="U261" i="7"/>
  <c r="R261" i="7"/>
  <c r="N261" i="7"/>
  <c r="L261" i="7"/>
  <c r="F261" i="7"/>
  <c r="J261" i="7"/>
  <c r="K2816" i="5"/>
  <c r="K2817" i="5" s="1"/>
  <c r="E259" i="7"/>
  <c r="Y260" i="7"/>
  <c r="G261" i="7"/>
  <c r="K261" i="7"/>
  <c r="O261" i="7"/>
  <c r="S261" i="7"/>
  <c r="W261" i="7"/>
  <c r="E260" i="7"/>
  <c r="Y259" i="7"/>
  <c r="J2772" i="5"/>
  <c r="F2772" i="5"/>
  <c r="I2772" i="5"/>
  <c r="H2772" i="5"/>
  <c r="K2742" i="5"/>
  <c r="G2772" i="5"/>
  <c r="E2771" i="5"/>
  <c r="K2771" i="5"/>
  <c r="L2771" i="5"/>
  <c r="N188" i="13"/>
  <c r="N192" i="13" s="1"/>
  <c r="N183" i="13"/>
  <c r="N182" i="13"/>
  <c r="M179" i="13"/>
  <c r="F179" i="13"/>
  <c r="N184" i="13"/>
  <c r="N181" i="13"/>
  <c r="N180" i="13"/>
  <c r="N179" i="13"/>
  <c r="Y261" i="7" l="1"/>
  <c r="E261" i="7"/>
  <c r="K2772" i="5"/>
  <c r="K2773" i="5"/>
  <c r="N185" i="13"/>
  <c r="E2701" i="5"/>
  <c r="J2727" i="5"/>
  <c r="I2727" i="5"/>
  <c r="H2727" i="5"/>
  <c r="G2727" i="5"/>
  <c r="F2727" i="5"/>
  <c r="K2725" i="5"/>
  <c r="K2724" i="5"/>
  <c r="K2723" i="5"/>
  <c r="L2723" i="5" s="1"/>
  <c r="E2723" i="5"/>
  <c r="K2722" i="5"/>
  <c r="L2722" i="5" s="1"/>
  <c r="E2722" i="5"/>
  <c r="K2721" i="5"/>
  <c r="L2721" i="5" s="1"/>
  <c r="E2721" i="5"/>
  <c r="K2720" i="5"/>
  <c r="L2720" i="5" s="1"/>
  <c r="E2720" i="5"/>
  <c r="K2719" i="5"/>
  <c r="L2719" i="5" s="1"/>
  <c r="E2719" i="5"/>
  <c r="K2718" i="5"/>
  <c r="L2718" i="5" s="1"/>
  <c r="E2718" i="5"/>
  <c r="K2717" i="5"/>
  <c r="L2717" i="5" s="1"/>
  <c r="E2717" i="5"/>
  <c r="K2716" i="5"/>
  <c r="L2716" i="5" s="1"/>
  <c r="K2715" i="5"/>
  <c r="L2715" i="5" s="1"/>
  <c r="E2715" i="5"/>
  <c r="L2714" i="5"/>
  <c r="K2714" i="5"/>
  <c r="E2714" i="5"/>
  <c r="K2713" i="5"/>
  <c r="L2713" i="5" s="1"/>
  <c r="K2712" i="5"/>
  <c r="L2712" i="5" s="1"/>
  <c r="E2712" i="5"/>
  <c r="K2711" i="5"/>
  <c r="L2711" i="5" s="1"/>
  <c r="E2711" i="5"/>
  <c r="K2710" i="5"/>
  <c r="L2710" i="5" s="1"/>
  <c r="K2709" i="5"/>
  <c r="L2709" i="5" s="1"/>
  <c r="E2709" i="5"/>
  <c r="K2708" i="5"/>
  <c r="L2708" i="5" s="1"/>
  <c r="E2708" i="5"/>
  <c r="K2707" i="5"/>
  <c r="L2707" i="5" s="1"/>
  <c r="E2707" i="5"/>
  <c r="L2706" i="5"/>
  <c r="K2706" i="5"/>
  <c r="K2705" i="5"/>
  <c r="L2705" i="5" s="1"/>
  <c r="E2705" i="5"/>
  <c r="K2704" i="5"/>
  <c r="L2704" i="5" s="1"/>
  <c r="E2704" i="5"/>
  <c r="K2703" i="5"/>
  <c r="L2703" i="5" s="1"/>
  <c r="E2703" i="5"/>
  <c r="K2702" i="5"/>
  <c r="L2702" i="5" s="1"/>
  <c r="E2702" i="5"/>
  <c r="K2701" i="5"/>
  <c r="L2701" i="5" s="1"/>
  <c r="J2698" i="5"/>
  <c r="I2698" i="5"/>
  <c r="H2698" i="5"/>
  <c r="G2698" i="5"/>
  <c r="F2698" i="5"/>
  <c r="K2697" i="5"/>
  <c r="K2696" i="5"/>
  <c r="K2695" i="5"/>
  <c r="K2694" i="5"/>
  <c r="K2693" i="5"/>
  <c r="C763" i="18"/>
  <c r="B763" i="18"/>
  <c r="AX680" i="2"/>
  <c r="J2728" i="5" l="1"/>
  <c r="I2728" i="5"/>
  <c r="H2728" i="5"/>
  <c r="F2728" i="5"/>
  <c r="K2698" i="5"/>
  <c r="E2727" i="5"/>
  <c r="G2728" i="5"/>
  <c r="K2727" i="5"/>
  <c r="L2727" i="5"/>
  <c r="C44" i="9"/>
  <c r="C47" i="9"/>
  <c r="C31" i="9"/>
  <c r="C21" i="9"/>
  <c r="C12" i="9"/>
  <c r="C13" i="9"/>
  <c r="K2728" i="5" l="1"/>
  <c r="K2729" i="5" s="1"/>
  <c r="D1650" i="26"/>
  <c r="F1649" i="26"/>
  <c r="F1637" i="26"/>
  <c r="D1625" i="26"/>
  <c r="F1624" i="26"/>
  <c r="F1612" i="26"/>
  <c r="J2683" i="5"/>
  <c r="I2683" i="5"/>
  <c r="H2683" i="5"/>
  <c r="G2683" i="5"/>
  <c r="F2683" i="5"/>
  <c r="K2681" i="5"/>
  <c r="K2680" i="5"/>
  <c r="K2679" i="5"/>
  <c r="L2679" i="5" s="1"/>
  <c r="E2679" i="5"/>
  <c r="K2678" i="5"/>
  <c r="L2678" i="5" s="1"/>
  <c r="E2678" i="5"/>
  <c r="K2677" i="5"/>
  <c r="L2677" i="5" s="1"/>
  <c r="E2677" i="5"/>
  <c r="K2676" i="5"/>
  <c r="L2676" i="5" s="1"/>
  <c r="E2676" i="5"/>
  <c r="K2675" i="5"/>
  <c r="L2675" i="5" s="1"/>
  <c r="E2675" i="5"/>
  <c r="K2674" i="5"/>
  <c r="L2674" i="5" s="1"/>
  <c r="E2674" i="5"/>
  <c r="K2673" i="5"/>
  <c r="L2673" i="5" s="1"/>
  <c r="E2673" i="5"/>
  <c r="K2672" i="5"/>
  <c r="L2672" i="5" s="1"/>
  <c r="K2671" i="5"/>
  <c r="L2671" i="5" s="1"/>
  <c r="E2671" i="5"/>
  <c r="K2670" i="5"/>
  <c r="L2670" i="5" s="1"/>
  <c r="E2670" i="5"/>
  <c r="K2669" i="5"/>
  <c r="L2669" i="5" s="1"/>
  <c r="K2668" i="5"/>
  <c r="L2668" i="5" s="1"/>
  <c r="E2668" i="5"/>
  <c r="K2667" i="5"/>
  <c r="L2667" i="5" s="1"/>
  <c r="E2667" i="5"/>
  <c r="K2666" i="5"/>
  <c r="L2666" i="5" s="1"/>
  <c r="K2665" i="5"/>
  <c r="L2665" i="5" s="1"/>
  <c r="E2665" i="5"/>
  <c r="K2664" i="5"/>
  <c r="L2664" i="5" s="1"/>
  <c r="E2664" i="5"/>
  <c r="K2663" i="5"/>
  <c r="L2663" i="5" s="1"/>
  <c r="E2663" i="5"/>
  <c r="K2662" i="5"/>
  <c r="L2662" i="5" s="1"/>
  <c r="K2661" i="5"/>
  <c r="L2661" i="5" s="1"/>
  <c r="E2661" i="5"/>
  <c r="K2660" i="5"/>
  <c r="L2660" i="5" s="1"/>
  <c r="E2660" i="5"/>
  <c r="K2659" i="5"/>
  <c r="L2659" i="5" s="1"/>
  <c r="E2659" i="5"/>
  <c r="K2658" i="5"/>
  <c r="L2658" i="5" s="1"/>
  <c r="E2658" i="5"/>
  <c r="K2657" i="5"/>
  <c r="L2657" i="5" s="1"/>
  <c r="E2657" i="5"/>
  <c r="J2654" i="5"/>
  <c r="J2684" i="5" s="1"/>
  <c r="I2654" i="5"/>
  <c r="H2654" i="5"/>
  <c r="G2654" i="5"/>
  <c r="F2654" i="5"/>
  <c r="K2653" i="5"/>
  <c r="K2652" i="5"/>
  <c r="K2651" i="5"/>
  <c r="K2650" i="5"/>
  <c r="K2649" i="5"/>
  <c r="C755" i="18"/>
  <c r="B755" i="18"/>
  <c r="F2684" i="5" l="1"/>
  <c r="H2684" i="5"/>
  <c r="I2684" i="5"/>
  <c r="G2684" i="5"/>
  <c r="K2684" i="5" s="1"/>
  <c r="E2683" i="5"/>
  <c r="K2683" i="5"/>
  <c r="K2654" i="5"/>
  <c r="L2683" i="5"/>
  <c r="C1580" i="26"/>
  <c r="J2639" i="5"/>
  <c r="I2639" i="5"/>
  <c r="H2639" i="5"/>
  <c r="G2639" i="5"/>
  <c r="F2639" i="5"/>
  <c r="K2637" i="5"/>
  <c r="K2636" i="5"/>
  <c r="K2635" i="5"/>
  <c r="L2635" i="5" s="1"/>
  <c r="E2635" i="5"/>
  <c r="K2634" i="5"/>
  <c r="L2634" i="5" s="1"/>
  <c r="E2634" i="5"/>
  <c r="K2633" i="5"/>
  <c r="L2633" i="5" s="1"/>
  <c r="E2633" i="5"/>
  <c r="K2632" i="5"/>
  <c r="L2632" i="5" s="1"/>
  <c r="E2632" i="5"/>
  <c r="K2631" i="5"/>
  <c r="L2631" i="5" s="1"/>
  <c r="E2631" i="5"/>
  <c r="K2630" i="5"/>
  <c r="L2630" i="5" s="1"/>
  <c r="E2630" i="5"/>
  <c r="K2629" i="5"/>
  <c r="L2629" i="5" s="1"/>
  <c r="E2629" i="5"/>
  <c r="K2628" i="5"/>
  <c r="L2628" i="5" s="1"/>
  <c r="K2627" i="5"/>
  <c r="L2627" i="5" s="1"/>
  <c r="E2627" i="5"/>
  <c r="K2626" i="5"/>
  <c r="L2626" i="5" s="1"/>
  <c r="E2626" i="5"/>
  <c r="K2625" i="5"/>
  <c r="L2625" i="5" s="1"/>
  <c r="K2624" i="5"/>
  <c r="L2624" i="5" s="1"/>
  <c r="E2624" i="5"/>
  <c r="K2623" i="5"/>
  <c r="L2623" i="5" s="1"/>
  <c r="E2623" i="5"/>
  <c r="K2622" i="5"/>
  <c r="L2622" i="5" s="1"/>
  <c r="K2621" i="5"/>
  <c r="L2621" i="5" s="1"/>
  <c r="E2621" i="5"/>
  <c r="K2620" i="5"/>
  <c r="L2620" i="5" s="1"/>
  <c r="E2620" i="5"/>
  <c r="K2619" i="5"/>
  <c r="L2619" i="5" s="1"/>
  <c r="E2619" i="5"/>
  <c r="K2618" i="5"/>
  <c r="L2618" i="5" s="1"/>
  <c r="K2617" i="5"/>
  <c r="L2617" i="5" s="1"/>
  <c r="E2617" i="5"/>
  <c r="K2616" i="5"/>
  <c r="L2616" i="5" s="1"/>
  <c r="E2616" i="5"/>
  <c r="K2615" i="5"/>
  <c r="L2615" i="5" s="1"/>
  <c r="E2615" i="5"/>
  <c r="K2614" i="5"/>
  <c r="L2614" i="5" s="1"/>
  <c r="E2614" i="5"/>
  <c r="K2613" i="5"/>
  <c r="L2613" i="5" s="1"/>
  <c r="E2613" i="5"/>
  <c r="J2610" i="5"/>
  <c r="I2610" i="5"/>
  <c r="H2610" i="5"/>
  <c r="G2610" i="5"/>
  <c r="F2610" i="5"/>
  <c r="K2609" i="5"/>
  <c r="K2608" i="5"/>
  <c r="K2607" i="5"/>
  <c r="K2606" i="5"/>
  <c r="K2605" i="5"/>
  <c r="C749" i="18"/>
  <c r="B749" i="18"/>
  <c r="C665" i="2"/>
  <c r="G552" i="1"/>
  <c r="H2640" i="5" l="1"/>
  <c r="K2685" i="5"/>
  <c r="J2640" i="5"/>
  <c r="F2640" i="5"/>
  <c r="G2640" i="5"/>
  <c r="K2610" i="5"/>
  <c r="I2640" i="5"/>
  <c r="K2639" i="5"/>
  <c r="E2639" i="5"/>
  <c r="L2639" i="5"/>
  <c r="K2640" i="5" l="1"/>
  <c r="K2641" i="5" s="1"/>
  <c r="C1555" i="26"/>
  <c r="D1600" i="26"/>
  <c r="F1599" i="26"/>
  <c r="F1587" i="26"/>
  <c r="D1575" i="26"/>
  <c r="F1574" i="26"/>
  <c r="F1562" i="26"/>
  <c r="J2595" i="5"/>
  <c r="I2595" i="5"/>
  <c r="H2595" i="5"/>
  <c r="G2595" i="5"/>
  <c r="F2595" i="5"/>
  <c r="K2593" i="5"/>
  <c r="K2592" i="5"/>
  <c r="K2591" i="5"/>
  <c r="L2591" i="5" s="1"/>
  <c r="E2591" i="5"/>
  <c r="K2590" i="5"/>
  <c r="L2590" i="5" s="1"/>
  <c r="E2590" i="5"/>
  <c r="K2589" i="5"/>
  <c r="L2589" i="5" s="1"/>
  <c r="E2589" i="5"/>
  <c r="K2588" i="5"/>
  <c r="L2588" i="5" s="1"/>
  <c r="E2588" i="5"/>
  <c r="K2587" i="5"/>
  <c r="L2587" i="5" s="1"/>
  <c r="E2587" i="5"/>
  <c r="K2586" i="5"/>
  <c r="L2586" i="5" s="1"/>
  <c r="E2586" i="5"/>
  <c r="L2585" i="5"/>
  <c r="K2585" i="5"/>
  <c r="E2585" i="5"/>
  <c r="K2584" i="5"/>
  <c r="L2584" i="5" s="1"/>
  <c r="K2583" i="5"/>
  <c r="L2583" i="5" s="1"/>
  <c r="E2583" i="5"/>
  <c r="K2582" i="5"/>
  <c r="L2582" i="5" s="1"/>
  <c r="E2582" i="5"/>
  <c r="K2581" i="5"/>
  <c r="L2581" i="5" s="1"/>
  <c r="K2580" i="5"/>
  <c r="L2580" i="5" s="1"/>
  <c r="E2580" i="5"/>
  <c r="L2579" i="5"/>
  <c r="K2579" i="5"/>
  <c r="E2579" i="5"/>
  <c r="K2578" i="5"/>
  <c r="L2578" i="5" s="1"/>
  <c r="K2577" i="5"/>
  <c r="L2577" i="5" s="1"/>
  <c r="E2577" i="5"/>
  <c r="K2576" i="5"/>
  <c r="L2576" i="5" s="1"/>
  <c r="E2576" i="5"/>
  <c r="K2575" i="5"/>
  <c r="L2575" i="5" s="1"/>
  <c r="E2575" i="5"/>
  <c r="K2574" i="5"/>
  <c r="L2574" i="5" s="1"/>
  <c r="K2573" i="5"/>
  <c r="L2573" i="5" s="1"/>
  <c r="E2573" i="5"/>
  <c r="K2572" i="5"/>
  <c r="L2572" i="5" s="1"/>
  <c r="E2572" i="5"/>
  <c r="K2571" i="5"/>
  <c r="L2571" i="5" s="1"/>
  <c r="E2571" i="5"/>
  <c r="K2570" i="5"/>
  <c r="L2570" i="5" s="1"/>
  <c r="E2570" i="5"/>
  <c r="K2569" i="5"/>
  <c r="L2569" i="5" s="1"/>
  <c r="E2569" i="5"/>
  <c r="J2566" i="5"/>
  <c r="J2596" i="5" s="1"/>
  <c r="I2566" i="5"/>
  <c r="I2596" i="5" s="1"/>
  <c r="H2566" i="5"/>
  <c r="H2596" i="5" s="1"/>
  <c r="G2566" i="5"/>
  <c r="F2566" i="5"/>
  <c r="K2565" i="5"/>
  <c r="K2564" i="5"/>
  <c r="K2563" i="5"/>
  <c r="K2562" i="5"/>
  <c r="K2561" i="5"/>
  <c r="C737" i="18"/>
  <c r="B737" i="18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C766" i="2"/>
  <c r="C758" i="2"/>
  <c r="C749" i="2"/>
  <c r="C742" i="2"/>
  <c r="C737" i="2"/>
  <c r="C734" i="2"/>
  <c r="C723" i="2"/>
  <c r="L713" i="2"/>
  <c r="AI713" i="2" s="1"/>
  <c r="AW713" i="2" s="1"/>
  <c r="AW771" i="2" s="1"/>
  <c r="AL771" i="2" s="1"/>
  <c r="L771" i="2" s="1"/>
  <c r="C771" i="2" s="1"/>
  <c r="W641" i="1"/>
  <c r="N21" i="29" s="1"/>
  <c r="V641" i="1"/>
  <c r="E21" i="29" s="1"/>
  <c r="U641" i="1"/>
  <c r="S641" i="1"/>
  <c r="K21" i="29" s="1"/>
  <c r="R641" i="1"/>
  <c r="Q641" i="1"/>
  <c r="I21" i="29" s="1"/>
  <c r="P641" i="1"/>
  <c r="O641" i="1"/>
  <c r="M21" i="29" s="1"/>
  <c r="N641" i="1"/>
  <c r="L21" i="29" s="1"/>
  <c r="M641" i="1"/>
  <c r="L641" i="1"/>
  <c r="J21" i="29" s="1"/>
  <c r="K641" i="1"/>
  <c r="H21" i="29" s="1"/>
  <c r="J641" i="1"/>
  <c r="G21" i="29" s="1"/>
  <c r="I641" i="1"/>
  <c r="F21" i="29" s="1"/>
  <c r="H641" i="1"/>
  <c r="G641" i="1"/>
  <c r="D21" i="29" s="1"/>
  <c r="F641" i="1"/>
  <c r="C21" i="29" s="1"/>
  <c r="E638" i="1"/>
  <c r="E641" i="1" s="1"/>
  <c r="D638" i="1"/>
  <c r="Z635" i="1"/>
  <c r="Y635" i="1"/>
  <c r="E634" i="1"/>
  <c r="D634" i="1"/>
  <c r="Z628" i="1"/>
  <c r="Y628" i="1"/>
  <c r="E627" i="1"/>
  <c r="D627" i="1"/>
  <c r="Z623" i="1"/>
  <c r="Y623" i="1"/>
  <c r="E622" i="1"/>
  <c r="D622" i="1"/>
  <c r="Z615" i="1"/>
  <c r="Y615" i="1"/>
  <c r="E614" i="1"/>
  <c r="D614" i="1"/>
  <c r="Z608" i="1"/>
  <c r="Y608" i="1"/>
  <c r="E607" i="1"/>
  <c r="D607" i="1"/>
  <c r="Z602" i="1"/>
  <c r="Y602" i="1"/>
  <c r="E601" i="1"/>
  <c r="D601" i="1"/>
  <c r="Z597" i="1"/>
  <c r="Y597" i="1"/>
  <c r="M595" i="1"/>
  <c r="V595" i="1" s="1"/>
  <c r="V643" i="1" s="1"/>
  <c r="M643" i="1" s="1"/>
  <c r="E643" i="1" s="1"/>
  <c r="F2596" i="5" l="1"/>
  <c r="D641" i="1"/>
  <c r="C768" i="2"/>
  <c r="Y641" i="1"/>
  <c r="K2566" i="5"/>
  <c r="G2596" i="5"/>
  <c r="K2596" i="5" s="1"/>
  <c r="E2595" i="5"/>
  <c r="K2595" i="5"/>
  <c r="L2595" i="5"/>
  <c r="C1530" i="26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X239" i="7"/>
  <c r="W239" i="7"/>
  <c r="W241" i="7" s="1"/>
  <c r="V239" i="7"/>
  <c r="U239" i="7"/>
  <c r="T239" i="7"/>
  <c r="S239" i="7"/>
  <c r="R239" i="7"/>
  <c r="Q239" i="7"/>
  <c r="Q241" i="7" s="1"/>
  <c r="P239" i="7"/>
  <c r="O239" i="7"/>
  <c r="O241" i="7" s="1"/>
  <c r="N239" i="7"/>
  <c r="M239" i="7"/>
  <c r="L239" i="7"/>
  <c r="K239" i="7"/>
  <c r="J239" i="7"/>
  <c r="I239" i="7"/>
  <c r="I241" i="7" s="1"/>
  <c r="H239" i="7"/>
  <c r="G239" i="7"/>
  <c r="G241" i="7" s="1"/>
  <c r="F239" i="7"/>
  <c r="Y238" i="7"/>
  <c r="E238" i="7"/>
  <c r="AB237" i="7"/>
  <c r="Y237" i="7"/>
  <c r="E237" i="7"/>
  <c r="Y236" i="7"/>
  <c r="E236" i="7"/>
  <c r="AB235" i="7"/>
  <c r="Y235" i="7"/>
  <c r="E235" i="7"/>
  <c r="Y234" i="7"/>
  <c r="E234" i="7"/>
  <c r="AB233" i="7"/>
  <c r="Y233" i="7"/>
  <c r="E233" i="7"/>
  <c r="Y232" i="7"/>
  <c r="E232" i="7"/>
  <c r="AB231" i="7"/>
  <c r="Y231" i="7"/>
  <c r="E231" i="7"/>
  <c r="Y230" i="7"/>
  <c r="E230" i="7"/>
  <c r="AB229" i="7"/>
  <c r="Y229" i="7"/>
  <c r="E229" i="7"/>
  <c r="Y228" i="7"/>
  <c r="E228" i="7"/>
  <c r="AB227" i="7"/>
  <c r="Y227" i="7"/>
  <c r="E227" i="7"/>
  <c r="Y226" i="7"/>
  <c r="E226" i="7"/>
  <c r="AB225" i="7"/>
  <c r="Y225" i="7"/>
  <c r="E225" i="7"/>
  <c r="J2551" i="5"/>
  <c r="I2551" i="5"/>
  <c r="H2551" i="5"/>
  <c r="G2551" i="5"/>
  <c r="F2551" i="5"/>
  <c r="K2549" i="5"/>
  <c r="K2548" i="5"/>
  <c r="K2547" i="5"/>
  <c r="L2547" i="5" s="1"/>
  <c r="E2547" i="5"/>
  <c r="L2546" i="5"/>
  <c r="K2546" i="5"/>
  <c r="E2546" i="5"/>
  <c r="K2545" i="5"/>
  <c r="L2545" i="5" s="1"/>
  <c r="E2545" i="5"/>
  <c r="K2544" i="5"/>
  <c r="L2544" i="5" s="1"/>
  <c r="E2544" i="5"/>
  <c r="K2543" i="5"/>
  <c r="L2543" i="5" s="1"/>
  <c r="E2543" i="5"/>
  <c r="L2542" i="5"/>
  <c r="K2542" i="5"/>
  <c r="E2542" i="5"/>
  <c r="K2541" i="5"/>
  <c r="L2541" i="5" s="1"/>
  <c r="E2541" i="5"/>
  <c r="K2540" i="5"/>
  <c r="L2540" i="5" s="1"/>
  <c r="K2539" i="5"/>
  <c r="L2539" i="5" s="1"/>
  <c r="E2539" i="5"/>
  <c r="K2538" i="5"/>
  <c r="L2538" i="5" s="1"/>
  <c r="E2538" i="5"/>
  <c r="K2537" i="5"/>
  <c r="L2537" i="5" s="1"/>
  <c r="K2536" i="5"/>
  <c r="L2536" i="5" s="1"/>
  <c r="E2536" i="5"/>
  <c r="K2535" i="5"/>
  <c r="L2535" i="5" s="1"/>
  <c r="E2535" i="5"/>
  <c r="K2534" i="5"/>
  <c r="L2534" i="5" s="1"/>
  <c r="K2533" i="5"/>
  <c r="L2533" i="5" s="1"/>
  <c r="E2533" i="5"/>
  <c r="K2532" i="5"/>
  <c r="L2532" i="5" s="1"/>
  <c r="E2532" i="5"/>
  <c r="K2531" i="5"/>
  <c r="L2531" i="5" s="1"/>
  <c r="E2531" i="5"/>
  <c r="K2530" i="5"/>
  <c r="L2530" i="5" s="1"/>
  <c r="K2529" i="5"/>
  <c r="L2529" i="5" s="1"/>
  <c r="E2529" i="5"/>
  <c r="K2528" i="5"/>
  <c r="L2528" i="5" s="1"/>
  <c r="E2528" i="5"/>
  <c r="K2527" i="5"/>
  <c r="L2527" i="5" s="1"/>
  <c r="E2527" i="5"/>
  <c r="K2526" i="5"/>
  <c r="L2526" i="5" s="1"/>
  <c r="E2526" i="5"/>
  <c r="K2525" i="5"/>
  <c r="L2525" i="5" s="1"/>
  <c r="E2525" i="5"/>
  <c r="J2522" i="5"/>
  <c r="I2522" i="5"/>
  <c r="H2522" i="5"/>
  <c r="G2522" i="5"/>
  <c r="F2522" i="5"/>
  <c r="F2552" i="5" s="1"/>
  <c r="K2521" i="5"/>
  <c r="K2520" i="5"/>
  <c r="K2519" i="5"/>
  <c r="K2518" i="5"/>
  <c r="K2517" i="5"/>
  <c r="C719" i="18"/>
  <c r="B719" i="18"/>
  <c r="C711" i="18"/>
  <c r="B711" i="18"/>
  <c r="C702" i="18"/>
  <c r="B702" i="18"/>
  <c r="C634" i="2"/>
  <c r="W533" i="1"/>
  <c r="O526" i="1"/>
  <c r="H241" i="7" l="1"/>
  <c r="P241" i="7"/>
  <c r="X241" i="7"/>
  <c r="T241" i="7"/>
  <c r="M241" i="7"/>
  <c r="U241" i="7"/>
  <c r="S241" i="7"/>
  <c r="L241" i="7"/>
  <c r="K241" i="7"/>
  <c r="K2597" i="5"/>
  <c r="E239" i="7"/>
  <c r="F241" i="7"/>
  <c r="J241" i="7"/>
  <c r="N241" i="7"/>
  <c r="R241" i="7"/>
  <c r="V241" i="7"/>
  <c r="Y240" i="7"/>
  <c r="E240" i="7"/>
  <c r="Y239" i="7"/>
  <c r="I2552" i="5"/>
  <c r="H2552" i="5"/>
  <c r="J2552" i="5"/>
  <c r="K2551" i="5"/>
  <c r="G2552" i="5"/>
  <c r="E2551" i="5"/>
  <c r="K2522" i="5"/>
  <c r="L2551" i="5"/>
  <c r="N167" i="13"/>
  <c r="N164" i="13"/>
  <c r="N163" i="13"/>
  <c r="N168" i="13"/>
  <c r="F163" i="13"/>
  <c r="N172" i="13"/>
  <c r="N176" i="13" s="1"/>
  <c r="N166" i="13"/>
  <c r="N165" i="13"/>
  <c r="G1535" i="26"/>
  <c r="F1537" i="26" s="1"/>
  <c r="C1505" i="26"/>
  <c r="G1510" i="26"/>
  <c r="D1550" i="26"/>
  <c r="F1549" i="26"/>
  <c r="D1525" i="26"/>
  <c r="G1522" i="26"/>
  <c r="F1524" i="26" s="1"/>
  <c r="F1512" i="26"/>
  <c r="J2507" i="5"/>
  <c r="I2507" i="5"/>
  <c r="H2507" i="5"/>
  <c r="G2507" i="5"/>
  <c r="F2507" i="5"/>
  <c r="K2505" i="5"/>
  <c r="K2504" i="5"/>
  <c r="K2503" i="5"/>
  <c r="L2503" i="5" s="1"/>
  <c r="E2503" i="5"/>
  <c r="K2502" i="5"/>
  <c r="L2502" i="5" s="1"/>
  <c r="E2502" i="5"/>
  <c r="K2501" i="5"/>
  <c r="L2501" i="5" s="1"/>
  <c r="E2501" i="5"/>
  <c r="K2500" i="5"/>
  <c r="L2500" i="5" s="1"/>
  <c r="E2500" i="5"/>
  <c r="K2499" i="5"/>
  <c r="L2499" i="5" s="1"/>
  <c r="E2499" i="5"/>
  <c r="K2498" i="5"/>
  <c r="L2498" i="5" s="1"/>
  <c r="E2498" i="5"/>
  <c r="K2497" i="5"/>
  <c r="L2497" i="5" s="1"/>
  <c r="E2497" i="5"/>
  <c r="K2496" i="5"/>
  <c r="L2496" i="5" s="1"/>
  <c r="K2495" i="5"/>
  <c r="L2495" i="5" s="1"/>
  <c r="E2495" i="5"/>
  <c r="K2494" i="5"/>
  <c r="L2494" i="5" s="1"/>
  <c r="E2494" i="5"/>
  <c r="K2493" i="5"/>
  <c r="L2493" i="5" s="1"/>
  <c r="K2492" i="5"/>
  <c r="L2492" i="5" s="1"/>
  <c r="E2492" i="5"/>
  <c r="K2491" i="5"/>
  <c r="L2491" i="5" s="1"/>
  <c r="E2491" i="5"/>
  <c r="K2490" i="5"/>
  <c r="L2490" i="5" s="1"/>
  <c r="K2489" i="5"/>
  <c r="L2489" i="5" s="1"/>
  <c r="E2489" i="5"/>
  <c r="K2488" i="5"/>
  <c r="L2488" i="5" s="1"/>
  <c r="E2488" i="5"/>
  <c r="K2487" i="5"/>
  <c r="L2487" i="5" s="1"/>
  <c r="E2487" i="5"/>
  <c r="K2486" i="5"/>
  <c r="L2486" i="5" s="1"/>
  <c r="L2485" i="5"/>
  <c r="K2485" i="5"/>
  <c r="E2485" i="5"/>
  <c r="K2484" i="5"/>
  <c r="L2484" i="5" s="1"/>
  <c r="E2484" i="5"/>
  <c r="K2483" i="5"/>
  <c r="L2483" i="5" s="1"/>
  <c r="E2483" i="5"/>
  <c r="K2482" i="5"/>
  <c r="L2482" i="5" s="1"/>
  <c r="E2482" i="5"/>
  <c r="K2481" i="5"/>
  <c r="L2481" i="5" s="1"/>
  <c r="E2481" i="5"/>
  <c r="J2478" i="5"/>
  <c r="I2478" i="5"/>
  <c r="H2478" i="5"/>
  <c r="G2478" i="5"/>
  <c r="F2478" i="5"/>
  <c r="K2477" i="5"/>
  <c r="K2476" i="5"/>
  <c r="K2475" i="5"/>
  <c r="K2474" i="5"/>
  <c r="K2473" i="5"/>
  <c r="C696" i="18"/>
  <c r="B696" i="18"/>
  <c r="C688" i="18"/>
  <c r="B688" i="18"/>
  <c r="C613" i="2"/>
  <c r="L513" i="1"/>
  <c r="G506" i="1"/>
  <c r="H2508" i="5" l="1"/>
  <c r="Y241" i="7"/>
  <c r="E241" i="7"/>
  <c r="K2552" i="5"/>
  <c r="K2553" i="5" s="1"/>
  <c r="N169" i="13"/>
  <c r="J2508" i="5"/>
  <c r="I2508" i="5"/>
  <c r="F2508" i="5"/>
  <c r="G2508" i="5"/>
  <c r="E2507" i="5"/>
  <c r="K2507" i="5"/>
  <c r="K2478" i="5"/>
  <c r="L2507" i="5"/>
  <c r="G1497" i="26"/>
  <c r="D1500" i="26"/>
  <c r="F1499" i="26"/>
  <c r="F1487" i="26"/>
  <c r="C1455" i="26"/>
  <c r="D1475" i="26"/>
  <c r="F1474" i="26"/>
  <c r="F1462" i="26"/>
  <c r="J2463" i="5"/>
  <c r="I2463" i="5"/>
  <c r="H2463" i="5"/>
  <c r="G2463" i="5"/>
  <c r="F2463" i="5"/>
  <c r="K2461" i="5"/>
  <c r="K2460" i="5"/>
  <c r="K2459" i="5"/>
  <c r="L2459" i="5" s="1"/>
  <c r="E2459" i="5"/>
  <c r="K2458" i="5"/>
  <c r="L2458" i="5" s="1"/>
  <c r="E2458" i="5"/>
  <c r="K2457" i="5"/>
  <c r="L2457" i="5" s="1"/>
  <c r="E2457" i="5"/>
  <c r="K2456" i="5"/>
  <c r="L2456" i="5" s="1"/>
  <c r="E2456" i="5"/>
  <c r="K2455" i="5"/>
  <c r="L2455" i="5" s="1"/>
  <c r="E2455" i="5"/>
  <c r="K2454" i="5"/>
  <c r="L2454" i="5" s="1"/>
  <c r="E2454" i="5"/>
  <c r="K2453" i="5"/>
  <c r="L2453" i="5" s="1"/>
  <c r="E2453" i="5"/>
  <c r="K2452" i="5"/>
  <c r="L2452" i="5" s="1"/>
  <c r="K2451" i="5"/>
  <c r="L2451" i="5" s="1"/>
  <c r="E2451" i="5"/>
  <c r="K2450" i="5"/>
  <c r="L2450" i="5" s="1"/>
  <c r="E2450" i="5"/>
  <c r="K2449" i="5"/>
  <c r="L2449" i="5" s="1"/>
  <c r="K2448" i="5"/>
  <c r="L2448" i="5" s="1"/>
  <c r="E2448" i="5"/>
  <c r="K2447" i="5"/>
  <c r="L2447" i="5" s="1"/>
  <c r="E2447" i="5"/>
  <c r="K2446" i="5"/>
  <c r="L2446" i="5" s="1"/>
  <c r="K2445" i="5"/>
  <c r="L2445" i="5" s="1"/>
  <c r="E2445" i="5"/>
  <c r="K2444" i="5"/>
  <c r="L2444" i="5" s="1"/>
  <c r="E2444" i="5"/>
  <c r="K2443" i="5"/>
  <c r="L2443" i="5" s="1"/>
  <c r="E2443" i="5"/>
  <c r="K2442" i="5"/>
  <c r="L2442" i="5" s="1"/>
  <c r="K2441" i="5"/>
  <c r="L2441" i="5" s="1"/>
  <c r="E2441" i="5"/>
  <c r="K2440" i="5"/>
  <c r="L2440" i="5" s="1"/>
  <c r="E2440" i="5"/>
  <c r="L2439" i="5"/>
  <c r="K2439" i="5"/>
  <c r="E2439" i="5"/>
  <c r="K2438" i="5"/>
  <c r="L2438" i="5" s="1"/>
  <c r="E2438" i="5"/>
  <c r="L2437" i="5"/>
  <c r="K2437" i="5"/>
  <c r="E2437" i="5"/>
  <c r="J2434" i="5"/>
  <c r="I2434" i="5"/>
  <c r="H2434" i="5"/>
  <c r="G2434" i="5"/>
  <c r="F2434" i="5"/>
  <c r="F2464" i="5" s="1"/>
  <c r="K2433" i="5"/>
  <c r="K2432" i="5"/>
  <c r="K2431" i="5"/>
  <c r="K2430" i="5"/>
  <c r="K2429" i="5"/>
  <c r="C681" i="18"/>
  <c r="B681" i="18"/>
  <c r="AX607" i="2"/>
  <c r="C604" i="2"/>
  <c r="G500" i="1"/>
  <c r="I2464" i="5" l="1"/>
  <c r="K2508" i="5"/>
  <c r="K2509" i="5" s="1"/>
  <c r="J2464" i="5"/>
  <c r="H2464" i="5"/>
  <c r="E2463" i="5"/>
  <c r="G2464" i="5"/>
  <c r="K2464" i="5" s="1"/>
  <c r="K2463" i="5"/>
  <c r="K2434" i="5"/>
  <c r="L2463" i="5"/>
  <c r="C1430" i="26"/>
  <c r="M2578" i="8"/>
  <c r="L2578" i="8"/>
  <c r="K2578" i="8"/>
  <c r="J2578" i="8"/>
  <c r="I2578" i="8"/>
  <c r="H2578" i="8"/>
  <c r="G2578" i="8"/>
  <c r="F2578" i="8"/>
  <c r="B2540" i="8"/>
  <c r="M2535" i="8"/>
  <c r="L2535" i="8"/>
  <c r="K2535" i="8"/>
  <c r="J2535" i="8"/>
  <c r="I2535" i="8"/>
  <c r="H2535" i="8"/>
  <c r="G2535" i="8"/>
  <c r="F2535" i="8"/>
  <c r="B2497" i="8"/>
  <c r="M2492" i="8"/>
  <c r="L2492" i="8"/>
  <c r="K2492" i="8"/>
  <c r="J2492" i="8"/>
  <c r="I2492" i="8"/>
  <c r="H2492" i="8"/>
  <c r="G2492" i="8"/>
  <c r="F2492" i="8"/>
  <c r="B2454" i="8"/>
  <c r="M2449" i="8"/>
  <c r="L2449" i="8"/>
  <c r="K2449" i="8"/>
  <c r="J2449" i="8"/>
  <c r="I2449" i="8"/>
  <c r="H2449" i="8"/>
  <c r="G2449" i="8"/>
  <c r="F2449" i="8"/>
  <c r="B2411" i="8"/>
  <c r="M2406" i="8"/>
  <c r="L2406" i="8"/>
  <c r="K2406" i="8"/>
  <c r="J2406" i="8"/>
  <c r="I2406" i="8"/>
  <c r="H2406" i="8"/>
  <c r="G2406" i="8"/>
  <c r="F2406" i="8"/>
  <c r="B2368" i="8"/>
  <c r="M2363" i="8"/>
  <c r="L2363" i="8"/>
  <c r="K2363" i="8"/>
  <c r="J2363" i="8"/>
  <c r="I2363" i="8"/>
  <c r="H2363" i="8"/>
  <c r="G2363" i="8"/>
  <c r="F2363" i="8"/>
  <c r="B2325" i="8"/>
  <c r="M2320" i="8"/>
  <c r="L2320" i="8"/>
  <c r="K2320" i="8"/>
  <c r="J2320" i="8"/>
  <c r="I2320" i="8"/>
  <c r="H2320" i="8"/>
  <c r="G2320" i="8"/>
  <c r="F2320" i="8"/>
  <c r="B2282" i="8"/>
  <c r="M2277" i="8"/>
  <c r="L2277" i="8"/>
  <c r="K2277" i="8"/>
  <c r="J2277" i="8"/>
  <c r="I2277" i="8"/>
  <c r="H2277" i="8"/>
  <c r="G2277" i="8"/>
  <c r="F2277" i="8"/>
  <c r="B2239" i="8"/>
  <c r="M2234" i="8"/>
  <c r="L2234" i="8"/>
  <c r="K2234" i="8"/>
  <c r="J2234" i="8"/>
  <c r="I2234" i="8"/>
  <c r="H2234" i="8"/>
  <c r="G2234" i="8"/>
  <c r="F2234" i="8"/>
  <c r="B2196" i="8"/>
  <c r="J2419" i="5"/>
  <c r="I2419" i="5"/>
  <c r="H2419" i="5"/>
  <c r="G2419" i="5"/>
  <c r="F2419" i="5"/>
  <c r="K2417" i="5"/>
  <c r="K2416" i="5"/>
  <c r="K2415" i="5"/>
  <c r="L2415" i="5" s="1"/>
  <c r="E2415" i="5"/>
  <c r="K2414" i="5"/>
  <c r="L2414" i="5" s="1"/>
  <c r="E2414" i="5"/>
  <c r="K2413" i="5"/>
  <c r="L2413" i="5" s="1"/>
  <c r="E2413" i="5"/>
  <c r="K2412" i="5"/>
  <c r="L2412" i="5" s="1"/>
  <c r="E2412" i="5"/>
  <c r="K2411" i="5"/>
  <c r="L2411" i="5" s="1"/>
  <c r="E2411" i="5"/>
  <c r="K2410" i="5"/>
  <c r="L2410" i="5" s="1"/>
  <c r="E2410" i="5"/>
  <c r="L2409" i="5"/>
  <c r="K2409" i="5"/>
  <c r="E2409" i="5"/>
  <c r="K2408" i="5"/>
  <c r="L2408" i="5" s="1"/>
  <c r="K2407" i="5"/>
  <c r="L2407" i="5" s="1"/>
  <c r="E2407" i="5"/>
  <c r="L2406" i="5"/>
  <c r="K2406" i="5"/>
  <c r="E2406" i="5"/>
  <c r="K2405" i="5"/>
  <c r="L2405" i="5" s="1"/>
  <c r="K2404" i="5"/>
  <c r="L2404" i="5" s="1"/>
  <c r="E2404" i="5"/>
  <c r="K2403" i="5"/>
  <c r="L2403" i="5" s="1"/>
  <c r="E2403" i="5"/>
  <c r="K2402" i="5"/>
  <c r="L2402" i="5" s="1"/>
  <c r="K2401" i="5"/>
  <c r="L2401" i="5" s="1"/>
  <c r="E2401" i="5"/>
  <c r="K2400" i="5"/>
  <c r="L2400" i="5" s="1"/>
  <c r="E2400" i="5"/>
  <c r="K2399" i="5"/>
  <c r="L2399" i="5" s="1"/>
  <c r="E2399" i="5"/>
  <c r="K2398" i="5"/>
  <c r="L2398" i="5" s="1"/>
  <c r="K2397" i="5"/>
  <c r="L2397" i="5" s="1"/>
  <c r="E2397" i="5"/>
  <c r="K2396" i="5"/>
  <c r="L2396" i="5" s="1"/>
  <c r="E2396" i="5"/>
  <c r="K2395" i="5"/>
  <c r="L2395" i="5" s="1"/>
  <c r="E2395" i="5"/>
  <c r="K2394" i="5"/>
  <c r="L2394" i="5" s="1"/>
  <c r="E2394" i="5"/>
  <c r="K2393" i="5"/>
  <c r="L2393" i="5" s="1"/>
  <c r="E2393" i="5"/>
  <c r="J2390" i="5"/>
  <c r="J2420" i="5" s="1"/>
  <c r="I2390" i="5"/>
  <c r="H2390" i="5"/>
  <c r="G2390" i="5"/>
  <c r="F2390" i="5"/>
  <c r="F2420" i="5" s="1"/>
  <c r="K2389" i="5"/>
  <c r="K2388" i="5"/>
  <c r="K2387" i="5"/>
  <c r="K2386" i="5"/>
  <c r="K2385" i="5"/>
  <c r="C669" i="18"/>
  <c r="B669" i="18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C706" i="2"/>
  <c r="C698" i="2"/>
  <c r="C689" i="2"/>
  <c r="C682" i="2"/>
  <c r="C677" i="2"/>
  <c r="C674" i="2"/>
  <c r="C664" i="2"/>
  <c r="L648" i="2"/>
  <c r="AI648" i="2" s="1"/>
  <c r="AW648" i="2" s="1"/>
  <c r="AW711" i="2" s="1"/>
  <c r="AL711" i="2" s="1"/>
  <c r="L711" i="2" s="1"/>
  <c r="C711" i="2" s="1"/>
  <c r="W591" i="1"/>
  <c r="N18" i="29" s="1"/>
  <c r="V591" i="1"/>
  <c r="E18" i="29" s="1"/>
  <c r="U591" i="1"/>
  <c r="S591" i="1"/>
  <c r="K18" i="29" s="1"/>
  <c r="R591" i="1"/>
  <c r="Q591" i="1"/>
  <c r="I18" i="29" s="1"/>
  <c r="P591" i="1"/>
  <c r="O591" i="1"/>
  <c r="M18" i="29" s="1"/>
  <c r="N591" i="1"/>
  <c r="L18" i="29" s="1"/>
  <c r="M591" i="1"/>
  <c r="L591" i="1"/>
  <c r="J18" i="29" s="1"/>
  <c r="K591" i="1"/>
  <c r="H18" i="29" s="1"/>
  <c r="J591" i="1"/>
  <c r="G18" i="29" s="1"/>
  <c r="I591" i="1"/>
  <c r="F18" i="29" s="1"/>
  <c r="H591" i="1"/>
  <c r="G591" i="1"/>
  <c r="D18" i="29" s="1"/>
  <c r="F591" i="1"/>
  <c r="C18" i="29" s="1"/>
  <c r="E588" i="1"/>
  <c r="D588" i="1"/>
  <c r="Z585" i="1"/>
  <c r="Y585" i="1"/>
  <c r="E584" i="1"/>
  <c r="D584" i="1"/>
  <c r="Z578" i="1"/>
  <c r="Y578" i="1"/>
  <c r="E577" i="1"/>
  <c r="D577" i="1"/>
  <c r="Z573" i="1"/>
  <c r="Y573" i="1"/>
  <c r="E572" i="1"/>
  <c r="D572" i="1"/>
  <c r="Z565" i="1"/>
  <c r="Y565" i="1"/>
  <c r="E564" i="1"/>
  <c r="D564" i="1"/>
  <c r="Z558" i="1"/>
  <c r="Y558" i="1"/>
  <c r="E557" i="1"/>
  <c r="D557" i="1"/>
  <c r="Z552" i="1"/>
  <c r="Y552" i="1"/>
  <c r="E551" i="1"/>
  <c r="D551" i="1"/>
  <c r="Z545" i="1"/>
  <c r="Y545" i="1"/>
  <c r="M543" i="1"/>
  <c r="V543" i="1" s="1"/>
  <c r="V593" i="1" s="1"/>
  <c r="M593" i="1" s="1"/>
  <c r="E593" i="1" s="1"/>
  <c r="V539" i="1"/>
  <c r="E17" i="29" s="1"/>
  <c r="U539" i="1"/>
  <c r="S539" i="1"/>
  <c r="K17" i="29" s="1"/>
  <c r="R539" i="1"/>
  <c r="Q539" i="1"/>
  <c r="I17" i="29" s="1"/>
  <c r="P539" i="1"/>
  <c r="O539" i="1"/>
  <c r="M17" i="29" s="1"/>
  <c r="N539" i="1"/>
  <c r="L17" i="29" s="1"/>
  <c r="M539" i="1"/>
  <c r="L539" i="1"/>
  <c r="J17" i="29" s="1"/>
  <c r="K539" i="1"/>
  <c r="H17" i="29" s="1"/>
  <c r="J539" i="1"/>
  <c r="G17" i="29" s="1"/>
  <c r="I539" i="1"/>
  <c r="F17" i="29" s="1"/>
  <c r="H539" i="1"/>
  <c r="F539" i="1"/>
  <c r="C17" i="29" s="1"/>
  <c r="E536" i="1"/>
  <c r="D536" i="1"/>
  <c r="Z533" i="1"/>
  <c r="Y533" i="1"/>
  <c r="E532" i="1"/>
  <c r="D532" i="1"/>
  <c r="Z526" i="1"/>
  <c r="Y526" i="1"/>
  <c r="E525" i="1"/>
  <c r="D525" i="1"/>
  <c r="Z521" i="1"/>
  <c r="Y521" i="1"/>
  <c r="E520" i="1"/>
  <c r="D520" i="1"/>
  <c r="Z513" i="1"/>
  <c r="Y513" i="1"/>
  <c r="E512" i="1"/>
  <c r="D512" i="1"/>
  <c r="Z506" i="1"/>
  <c r="Y506" i="1"/>
  <c r="E505" i="1"/>
  <c r="D505" i="1"/>
  <c r="Z500" i="1"/>
  <c r="G539" i="1"/>
  <c r="D17" i="29" s="1"/>
  <c r="E499" i="1"/>
  <c r="D499" i="1"/>
  <c r="Z495" i="1"/>
  <c r="Y495" i="1"/>
  <c r="W539" i="1"/>
  <c r="N17" i="29" s="1"/>
  <c r="M493" i="1"/>
  <c r="V493" i="1" s="1"/>
  <c r="V541" i="1" s="1"/>
  <c r="M541" i="1" s="1"/>
  <c r="E541" i="1" s="1"/>
  <c r="E539" i="1" l="1"/>
  <c r="H2420" i="5"/>
  <c r="E591" i="1"/>
  <c r="I2420" i="5"/>
  <c r="D591" i="1"/>
  <c r="D539" i="1"/>
  <c r="E2579" i="8"/>
  <c r="E2536" i="8"/>
  <c r="E2493" i="8"/>
  <c r="E2450" i="8"/>
  <c r="E2407" i="8"/>
  <c r="Y591" i="1"/>
  <c r="E2364" i="8"/>
  <c r="C708" i="2"/>
  <c r="E2321" i="8"/>
  <c r="E2278" i="8"/>
  <c r="E2235" i="8"/>
  <c r="K2465" i="5"/>
  <c r="G2420" i="5"/>
  <c r="E2419" i="5"/>
  <c r="K2419" i="5"/>
  <c r="K2390" i="5"/>
  <c r="L2419" i="5"/>
  <c r="Y500" i="1"/>
  <c r="Y539" i="1" s="1"/>
  <c r="D1450" i="26"/>
  <c r="F1449" i="26"/>
  <c r="F1437" i="26"/>
  <c r="D1425" i="26"/>
  <c r="F1424" i="26"/>
  <c r="F1412" i="26"/>
  <c r="D1400" i="26"/>
  <c r="F1399" i="26"/>
  <c r="F1387" i="26"/>
  <c r="M2191" i="8"/>
  <c r="L2191" i="8"/>
  <c r="K2191" i="8"/>
  <c r="J2191" i="8"/>
  <c r="I2191" i="8"/>
  <c r="H2191" i="8"/>
  <c r="G2191" i="8"/>
  <c r="F2191" i="8"/>
  <c r="B2153" i="8"/>
  <c r="M2148" i="8"/>
  <c r="L2148" i="8"/>
  <c r="K2148" i="8"/>
  <c r="J2148" i="8"/>
  <c r="I2148" i="8"/>
  <c r="H2148" i="8"/>
  <c r="G2148" i="8"/>
  <c r="F2148" i="8"/>
  <c r="B2110" i="8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X219" i="7"/>
  <c r="X221" i="7" s="1"/>
  <c r="W219" i="7"/>
  <c r="V219" i="7"/>
  <c r="U219" i="7"/>
  <c r="T219" i="7"/>
  <c r="S219" i="7"/>
  <c r="R219" i="7"/>
  <c r="Q219" i="7"/>
  <c r="P219" i="7"/>
  <c r="P221" i="7" s="1"/>
  <c r="O219" i="7"/>
  <c r="N219" i="7"/>
  <c r="M219" i="7"/>
  <c r="L219" i="7"/>
  <c r="K219" i="7"/>
  <c r="J219" i="7"/>
  <c r="I219" i="7"/>
  <c r="I221" i="7" s="1"/>
  <c r="H219" i="7"/>
  <c r="H221" i="7" s="1"/>
  <c r="G219" i="7"/>
  <c r="F219" i="7"/>
  <c r="Y218" i="7"/>
  <c r="E218" i="7"/>
  <c r="AB217" i="7"/>
  <c r="Y217" i="7"/>
  <c r="E217" i="7"/>
  <c r="Y216" i="7"/>
  <c r="E216" i="7"/>
  <c r="AB215" i="7"/>
  <c r="Y215" i="7"/>
  <c r="E215" i="7"/>
  <c r="Y214" i="7"/>
  <c r="E214" i="7"/>
  <c r="AB213" i="7"/>
  <c r="Y213" i="7"/>
  <c r="E213" i="7"/>
  <c r="Y212" i="7"/>
  <c r="E212" i="7"/>
  <c r="AB211" i="7"/>
  <c r="Y211" i="7"/>
  <c r="E211" i="7"/>
  <c r="Y210" i="7"/>
  <c r="E210" i="7"/>
  <c r="AB209" i="7"/>
  <c r="Y209" i="7"/>
  <c r="E209" i="7"/>
  <c r="Y208" i="7"/>
  <c r="E208" i="7"/>
  <c r="AB207" i="7"/>
  <c r="Y207" i="7"/>
  <c r="E207" i="7"/>
  <c r="Y206" i="7"/>
  <c r="E206" i="7"/>
  <c r="AB205" i="7"/>
  <c r="Y205" i="7"/>
  <c r="E205" i="7"/>
  <c r="J2375" i="5"/>
  <c r="I2375" i="5"/>
  <c r="H2375" i="5"/>
  <c r="G2375" i="5"/>
  <c r="F2375" i="5"/>
  <c r="K2373" i="5"/>
  <c r="K2372" i="5"/>
  <c r="K2371" i="5"/>
  <c r="L2371" i="5" s="1"/>
  <c r="E2371" i="5"/>
  <c r="K2370" i="5"/>
  <c r="L2370" i="5" s="1"/>
  <c r="E2370" i="5"/>
  <c r="L2369" i="5"/>
  <c r="K2369" i="5"/>
  <c r="E2369" i="5"/>
  <c r="K2368" i="5"/>
  <c r="L2368" i="5" s="1"/>
  <c r="E2368" i="5"/>
  <c r="K2367" i="5"/>
  <c r="L2367" i="5" s="1"/>
  <c r="E2367" i="5"/>
  <c r="K2366" i="5"/>
  <c r="L2366" i="5" s="1"/>
  <c r="E2366" i="5"/>
  <c r="K2365" i="5"/>
  <c r="L2365" i="5" s="1"/>
  <c r="E2365" i="5"/>
  <c r="K2364" i="5"/>
  <c r="L2364" i="5" s="1"/>
  <c r="K2363" i="5"/>
  <c r="L2363" i="5" s="1"/>
  <c r="E2363" i="5"/>
  <c r="K2362" i="5"/>
  <c r="L2362" i="5" s="1"/>
  <c r="E2362" i="5"/>
  <c r="K2361" i="5"/>
  <c r="L2361" i="5" s="1"/>
  <c r="K2360" i="5"/>
  <c r="L2360" i="5" s="1"/>
  <c r="E2360" i="5"/>
  <c r="K2359" i="5"/>
  <c r="L2359" i="5" s="1"/>
  <c r="E2359" i="5"/>
  <c r="K2358" i="5"/>
  <c r="L2358" i="5" s="1"/>
  <c r="K2357" i="5"/>
  <c r="L2357" i="5" s="1"/>
  <c r="E2357" i="5"/>
  <c r="K2356" i="5"/>
  <c r="L2356" i="5" s="1"/>
  <c r="E2356" i="5"/>
  <c r="K2355" i="5"/>
  <c r="L2355" i="5" s="1"/>
  <c r="E2355" i="5"/>
  <c r="K2354" i="5"/>
  <c r="L2354" i="5" s="1"/>
  <c r="K2353" i="5"/>
  <c r="L2353" i="5" s="1"/>
  <c r="E2353" i="5"/>
  <c r="K2352" i="5"/>
  <c r="L2352" i="5" s="1"/>
  <c r="E2352" i="5"/>
  <c r="K2351" i="5"/>
  <c r="L2351" i="5" s="1"/>
  <c r="E2351" i="5"/>
  <c r="K2350" i="5"/>
  <c r="L2350" i="5" s="1"/>
  <c r="E2350" i="5"/>
  <c r="K2349" i="5"/>
  <c r="L2349" i="5" s="1"/>
  <c r="E2349" i="5"/>
  <c r="J2346" i="5"/>
  <c r="I2346" i="5"/>
  <c r="H2346" i="5"/>
  <c r="G2346" i="5"/>
  <c r="F2346" i="5"/>
  <c r="F2376" i="5" s="1"/>
  <c r="K2345" i="5"/>
  <c r="K2344" i="5"/>
  <c r="K2343" i="5"/>
  <c r="K2342" i="5"/>
  <c r="K2341" i="5"/>
  <c r="J2331" i="5"/>
  <c r="I2331" i="5"/>
  <c r="H2331" i="5"/>
  <c r="G2331" i="5"/>
  <c r="F2331" i="5"/>
  <c r="K2329" i="5"/>
  <c r="K2328" i="5"/>
  <c r="K2327" i="5"/>
  <c r="L2327" i="5" s="1"/>
  <c r="E2327" i="5"/>
  <c r="K2326" i="5"/>
  <c r="L2326" i="5" s="1"/>
  <c r="E2326" i="5"/>
  <c r="K2325" i="5"/>
  <c r="L2325" i="5" s="1"/>
  <c r="E2325" i="5"/>
  <c r="K2324" i="5"/>
  <c r="L2324" i="5" s="1"/>
  <c r="E2324" i="5"/>
  <c r="K2323" i="5"/>
  <c r="L2323" i="5" s="1"/>
  <c r="E2323" i="5"/>
  <c r="K2322" i="5"/>
  <c r="L2322" i="5" s="1"/>
  <c r="E2322" i="5"/>
  <c r="K2321" i="5"/>
  <c r="L2321" i="5" s="1"/>
  <c r="E2321" i="5"/>
  <c r="K2320" i="5"/>
  <c r="L2320" i="5" s="1"/>
  <c r="K2319" i="5"/>
  <c r="L2319" i="5" s="1"/>
  <c r="E2319" i="5"/>
  <c r="K2318" i="5"/>
  <c r="L2318" i="5" s="1"/>
  <c r="E2318" i="5"/>
  <c r="K2317" i="5"/>
  <c r="L2317" i="5" s="1"/>
  <c r="K2316" i="5"/>
  <c r="L2316" i="5" s="1"/>
  <c r="E2316" i="5"/>
  <c r="K2315" i="5"/>
  <c r="L2315" i="5" s="1"/>
  <c r="E2315" i="5"/>
  <c r="K2314" i="5"/>
  <c r="L2314" i="5" s="1"/>
  <c r="K2313" i="5"/>
  <c r="L2313" i="5" s="1"/>
  <c r="E2313" i="5"/>
  <c r="K2312" i="5"/>
  <c r="L2312" i="5" s="1"/>
  <c r="E2312" i="5"/>
  <c r="K2311" i="5"/>
  <c r="L2311" i="5" s="1"/>
  <c r="E2311" i="5"/>
  <c r="L2310" i="5"/>
  <c r="K2310" i="5"/>
  <c r="K2309" i="5"/>
  <c r="L2309" i="5" s="1"/>
  <c r="E2309" i="5"/>
  <c r="K2308" i="5"/>
  <c r="L2308" i="5" s="1"/>
  <c r="E2308" i="5"/>
  <c r="K2307" i="5"/>
  <c r="L2307" i="5" s="1"/>
  <c r="E2307" i="5"/>
  <c r="K2306" i="5"/>
  <c r="L2306" i="5" s="1"/>
  <c r="E2306" i="5"/>
  <c r="K2305" i="5"/>
  <c r="L2305" i="5" s="1"/>
  <c r="E2305" i="5"/>
  <c r="J2302" i="5"/>
  <c r="I2302" i="5"/>
  <c r="H2302" i="5"/>
  <c r="G2302" i="5"/>
  <c r="F2302" i="5"/>
  <c r="K2301" i="5"/>
  <c r="K2300" i="5"/>
  <c r="K2299" i="5"/>
  <c r="K2298" i="5"/>
  <c r="K2297" i="5"/>
  <c r="Q221" i="7" l="1"/>
  <c r="F2332" i="5"/>
  <c r="K2420" i="5"/>
  <c r="H2376" i="5"/>
  <c r="L221" i="7"/>
  <c r="T221" i="7"/>
  <c r="I2332" i="5"/>
  <c r="I2376" i="5"/>
  <c r="M221" i="7"/>
  <c r="U221" i="7"/>
  <c r="H2332" i="5"/>
  <c r="J2332" i="5"/>
  <c r="J2376" i="5"/>
  <c r="V221" i="7"/>
  <c r="R221" i="7"/>
  <c r="N221" i="7"/>
  <c r="F221" i="7"/>
  <c r="E2192" i="8"/>
  <c r="K2421" i="5"/>
  <c r="E2149" i="8"/>
  <c r="J221" i="7"/>
  <c r="Y219" i="7"/>
  <c r="E220" i="7"/>
  <c r="E219" i="7"/>
  <c r="G221" i="7"/>
  <c r="K221" i="7"/>
  <c r="O221" i="7"/>
  <c r="S221" i="7"/>
  <c r="W221" i="7"/>
  <c r="Y220" i="7"/>
  <c r="G2376" i="5"/>
  <c r="K2376" i="5" s="1"/>
  <c r="E2375" i="5"/>
  <c r="K2375" i="5"/>
  <c r="K2346" i="5"/>
  <c r="L2375" i="5"/>
  <c r="G2332" i="5"/>
  <c r="K2332" i="5" s="1"/>
  <c r="E2331" i="5"/>
  <c r="K2331" i="5"/>
  <c r="K2302" i="5"/>
  <c r="L2331" i="5"/>
  <c r="C581" i="2"/>
  <c r="W483" i="1"/>
  <c r="C658" i="18"/>
  <c r="B658" i="18"/>
  <c r="C648" i="18"/>
  <c r="B648" i="18"/>
  <c r="B638" i="18"/>
  <c r="B639" i="18" s="1"/>
  <c r="C639" i="18"/>
  <c r="Y221" i="7" l="1"/>
  <c r="E221" i="7"/>
  <c r="K2377" i="5"/>
  <c r="K2333" i="5"/>
  <c r="M147" i="13"/>
  <c r="F147" i="13"/>
  <c r="N156" i="13"/>
  <c r="N160" i="13" s="1"/>
  <c r="N152" i="13"/>
  <c r="N151" i="13"/>
  <c r="N150" i="13"/>
  <c r="N149" i="13"/>
  <c r="N148" i="13"/>
  <c r="N147" i="13"/>
  <c r="D1375" i="26"/>
  <c r="F1374" i="26"/>
  <c r="F1362" i="26"/>
  <c r="D1350" i="26"/>
  <c r="F1349" i="26"/>
  <c r="F1337" i="26"/>
  <c r="M2105" i="8"/>
  <c r="L2105" i="8"/>
  <c r="K2105" i="8"/>
  <c r="J2105" i="8"/>
  <c r="I2105" i="8"/>
  <c r="H2105" i="8"/>
  <c r="G2105" i="8"/>
  <c r="F2105" i="8"/>
  <c r="B2067" i="8"/>
  <c r="J2287" i="5"/>
  <c r="I2287" i="5"/>
  <c r="H2287" i="5"/>
  <c r="G2287" i="5"/>
  <c r="F2287" i="5"/>
  <c r="K2285" i="5"/>
  <c r="K2284" i="5"/>
  <c r="K2283" i="5"/>
  <c r="L2283" i="5" s="1"/>
  <c r="E2283" i="5"/>
  <c r="K2282" i="5"/>
  <c r="L2282" i="5" s="1"/>
  <c r="E2282" i="5"/>
  <c r="K2281" i="5"/>
  <c r="L2281" i="5" s="1"/>
  <c r="E2281" i="5"/>
  <c r="K2280" i="5"/>
  <c r="L2280" i="5" s="1"/>
  <c r="E2280" i="5"/>
  <c r="K2279" i="5"/>
  <c r="L2279" i="5" s="1"/>
  <c r="E2279" i="5"/>
  <c r="K2278" i="5"/>
  <c r="L2278" i="5" s="1"/>
  <c r="E2278" i="5"/>
  <c r="K2277" i="5"/>
  <c r="L2277" i="5" s="1"/>
  <c r="E2277" i="5"/>
  <c r="K2276" i="5"/>
  <c r="L2276" i="5" s="1"/>
  <c r="K2275" i="5"/>
  <c r="L2275" i="5" s="1"/>
  <c r="E2275" i="5"/>
  <c r="L2274" i="5"/>
  <c r="K2274" i="5"/>
  <c r="E2274" i="5"/>
  <c r="K2273" i="5"/>
  <c r="L2273" i="5" s="1"/>
  <c r="K2272" i="5"/>
  <c r="L2272" i="5" s="1"/>
  <c r="E2272" i="5"/>
  <c r="K2271" i="5"/>
  <c r="L2271" i="5" s="1"/>
  <c r="E2271" i="5"/>
  <c r="K2270" i="5"/>
  <c r="L2270" i="5" s="1"/>
  <c r="K2269" i="5"/>
  <c r="L2269" i="5" s="1"/>
  <c r="E2269" i="5"/>
  <c r="K2268" i="5"/>
  <c r="L2268" i="5" s="1"/>
  <c r="E2268" i="5"/>
  <c r="K2267" i="5"/>
  <c r="L2267" i="5" s="1"/>
  <c r="E2267" i="5"/>
  <c r="K2266" i="5"/>
  <c r="L2266" i="5" s="1"/>
  <c r="K2265" i="5"/>
  <c r="L2265" i="5" s="1"/>
  <c r="E2265" i="5"/>
  <c r="K2264" i="5"/>
  <c r="L2264" i="5" s="1"/>
  <c r="E2264" i="5"/>
  <c r="K2263" i="5"/>
  <c r="L2263" i="5" s="1"/>
  <c r="E2263" i="5"/>
  <c r="K2262" i="5"/>
  <c r="L2262" i="5" s="1"/>
  <c r="E2262" i="5"/>
  <c r="K2261" i="5"/>
  <c r="L2261" i="5" s="1"/>
  <c r="E2261" i="5"/>
  <c r="J2258" i="5"/>
  <c r="J2288" i="5" s="1"/>
  <c r="I2258" i="5"/>
  <c r="H2258" i="5"/>
  <c r="G2258" i="5"/>
  <c r="F2258" i="5"/>
  <c r="F2288" i="5" s="1"/>
  <c r="K2257" i="5"/>
  <c r="K2256" i="5"/>
  <c r="K2255" i="5"/>
  <c r="K2254" i="5"/>
  <c r="K2253" i="5"/>
  <c r="J2243" i="5"/>
  <c r="I2243" i="5"/>
  <c r="H2243" i="5"/>
  <c r="G2243" i="5"/>
  <c r="F2243" i="5"/>
  <c r="K2241" i="5"/>
  <c r="K2240" i="5"/>
  <c r="K2239" i="5"/>
  <c r="L2239" i="5" s="1"/>
  <c r="E2239" i="5"/>
  <c r="K2238" i="5"/>
  <c r="L2238" i="5" s="1"/>
  <c r="E2238" i="5"/>
  <c r="L2237" i="5"/>
  <c r="K2237" i="5"/>
  <c r="E2237" i="5"/>
  <c r="K2236" i="5"/>
  <c r="L2236" i="5" s="1"/>
  <c r="E2236" i="5"/>
  <c r="K2235" i="5"/>
  <c r="L2235" i="5" s="1"/>
  <c r="E2235" i="5"/>
  <c r="K2234" i="5"/>
  <c r="L2234" i="5" s="1"/>
  <c r="E2234" i="5"/>
  <c r="K2233" i="5"/>
  <c r="L2233" i="5" s="1"/>
  <c r="E2233" i="5"/>
  <c r="K2232" i="5"/>
  <c r="L2232" i="5" s="1"/>
  <c r="K2231" i="5"/>
  <c r="L2231" i="5" s="1"/>
  <c r="E2231" i="5"/>
  <c r="K2230" i="5"/>
  <c r="L2230" i="5" s="1"/>
  <c r="E2230" i="5"/>
  <c r="K2229" i="5"/>
  <c r="L2229" i="5" s="1"/>
  <c r="K2228" i="5"/>
  <c r="L2228" i="5" s="1"/>
  <c r="E2228" i="5"/>
  <c r="K2227" i="5"/>
  <c r="L2227" i="5" s="1"/>
  <c r="E2227" i="5"/>
  <c r="K2226" i="5"/>
  <c r="L2226" i="5" s="1"/>
  <c r="K2225" i="5"/>
  <c r="L2225" i="5" s="1"/>
  <c r="E2225" i="5"/>
  <c r="K2224" i="5"/>
  <c r="L2224" i="5" s="1"/>
  <c r="E2224" i="5"/>
  <c r="K2223" i="5"/>
  <c r="L2223" i="5" s="1"/>
  <c r="E2223" i="5"/>
  <c r="K2222" i="5"/>
  <c r="L2222" i="5" s="1"/>
  <c r="K2221" i="5"/>
  <c r="L2221" i="5" s="1"/>
  <c r="E2221" i="5"/>
  <c r="K2220" i="5"/>
  <c r="L2220" i="5" s="1"/>
  <c r="E2220" i="5"/>
  <c r="K2219" i="5"/>
  <c r="L2219" i="5" s="1"/>
  <c r="E2219" i="5"/>
  <c r="K2218" i="5"/>
  <c r="L2218" i="5" s="1"/>
  <c r="E2218" i="5"/>
  <c r="K2217" i="5"/>
  <c r="L2217" i="5" s="1"/>
  <c r="E2217" i="5"/>
  <c r="J2214" i="5"/>
  <c r="I2214" i="5"/>
  <c r="H2214" i="5"/>
  <c r="G2214" i="5"/>
  <c r="F2214" i="5"/>
  <c r="F2244" i="5" s="1"/>
  <c r="K2213" i="5"/>
  <c r="K2212" i="5"/>
  <c r="K2211" i="5"/>
  <c r="K2210" i="5"/>
  <c r="K2209" i="5"/>
  <c r="C627" i="18"/>
  <c r="B627" i="18"/>
  <c r="C617" i="18"/>
  <c r="B617" i="18"/>
  <c r="I2244" i="5" l="1"/>
  <c r="J2244" i="5"/>
  <c r="E2106" i="8"/>
  <c r="N153" i="13"/>
  <c r="I2288" i="5"/>
  <c r="H2288" i="5"/>
  <c r="G2288" i="5"/>
  <c r="K2288" i="5" s="1"/>
  <c r="E2287" i="5"/>
  <c r="K2287" i="5"/>
  <c r="K2258" i="5"/>
  <c r="L2287" i="5"/>
  <c r="H2244" i="5"/>
  <c r="K2214" i="5"/>
  <c r="G2244" i="5"/>
  <c r="K2244" i="5" s="1"/>
  <c r="E2243" i="5"/>
  <c r="K2243" i="5"/>
  <c r="L2243" i="5"/>
  <c r="C1281" i="26"/>
  <c r="D1325" i="26"/>
  <c r="F1324" i="26"/>
  <c r="F1312" i="26"/>
  <c r="M2062" i="8"/>
  <c r="L2062" i="8"/>
  <c r="K2062" i="8"/>
  <c r="J2062" i="8"/>
  <c r="I2062" i="8"/>
  <c r="H2062" i="8"/>
  <c r="G2062" i="8"/>
  <c r="F2062" i="8"/>
  <c r="B2024" i="8"/>
  <c r="J2199" i="5"/>
  <c r="I2199" i="5"/>
  <c r="H2199" i="5"/>
  <c r="G2199" i="5"/>
  <c r="F2199" i="5"/>
  <c r="K2197" i="5"/>
  <c r="K2196" i="5"/>
  <c r="K2195" i="5"/>
  <c r="L2195" i="5" s="1"/>
  <c r="E2195" i="5"/>
  <c r="K2194" i="5"/>
  <c r="L2194" i="5" s="1"/>
  <c r="E2194" i="5"/>
  <c r="K2193" i="5"/>
  <c r="L2193" i="5" s="1"/>
  <c r="E2193" i="5"/>
  <c r="K2192" i="5"/>
  <c r="L2192" i="5" s="1"/>
  <c r="E2192" i="5"/>
  <c r="K2191" i="5"/>
  <c r="L2191" i="5" s="1"/>
  <c r="E2191" i="5"/>
  <c r="K2190" i="5"/>
  <c r="L2190" i="5" s="1"/>
  <c r="E2190" i="5"/>
  <c r="K2189" i="5"/>
  <c r="L2189" i="5" s="1"/>
  <c r="E2189" i="5"/>
  <c r="K2188" i="5"/>
  <c r="L2188" i="5" s="1"/>
  <c r="K2187" i="5"/>
  <c r="L2187" i="5" s="1"/>
  <c r="E2187" i="5"/>
  <c r="K2186" i="5"/>
  <c r="L2186" i="5" s="1"/>
  <c r="E2186" i="5"/>
  <c r="K2185" i="5"/>
  <c r="L2185" i="5" s="1"/>
  <c r="K2184" i="5"/>
  <c r="L2184" i="5" s="1"/>
  <c r="E2184" i="5"/>
  <c r="L2183" i="5"/>
  <c r="K2183" i="5"/>
  <c r="E2183" i="5"/>
  <c r="K2182" i="5"/>
  <c r="L2182" i="5" s="1"/>
  <c r="K2181" i="5"/>
  <c r="L2181" i="5" s="1"/>
  <c r="E2181" i="5"/>
  <c r="K2180" i="5"/>
  <c r="L2180" i="5" s="1"/>
  <c r="E2180" i="5"/>
  <c r="K2179" i="5"/>
  <c r="L2179" i="5" s="1"/>
  <c r="E2179" i="5"/>
  <c r="K2178" i="5"/>
  <c r="L2178" i="5" s="1"/>
  <c r="K2177" i="5"/>
  <c r="L2177" i="5" s="1"/>
  <c r="E2177" i="5"/>
  <c r="K2176" i="5"/>
  <c r="L2176" i="5" s="1"/>
  <c r="E2176" i="5"/>
  <c r="K2175" i="5"/>
  <c r="L2175" i="5" s="1"/>
  <c r="E2175" i="5"/>
  <c r="K2174" i="5"/>
  <c r="L2174" i="5" s="1"/>
  <c r="E2174" i="5"/>
  <c r="K2173" i="5"/>
  <c r="L2173" i="5" s="1"/>
  <c r="E2173" i="5"/>
  <c r="J2170" i="5"/>
  <c r="J2200" i="5" s="1"/>
  <c r="I2170" i="5"/>
  <c r="H2170" i="5"/>
  <c r="G2170" i="5"/>
  <c r="F2170" i="5"/>
  <c r="K2169" i="5"/>
  <c r="K2168" i="5"/>
  <c r="K2167" i="5"/>
  <c r="K2166" i="5"/>
  <c r="K2165" i="5"/>
  <c r="G450" i="1"/>
  <c r="C546" i="2"/>
  <c r="C612" i="18"/>
  <c r="B612" i="18"/>
  <c r="E2063" i="8" l="1"/>
  <c r="K2289" i="5"/>
  <c r="K2245" i="5"/>
  <c r="I2200" i="5"/>
  <c r="H2200" i="5"/>
  <c r="F2200" i="5"/>
  <c r="E2199" i="5"/>
  <c r="G2200" i="5"/>
  <c r="K2199" i="5"/>
  <c r="K2170" i="5"/>
  <c r="L2199" i="5"/>
  <c r="Y185" i="7"/>
  <c r="K2200" i="5" l="1"/>
  <c r="K2201" i="5" s="1"/>
  <c r="F1299" i="26"/>
  <c r="F1287" i="26"/>
  <c r="D1300" i="26"/>
  <c r="D1258" i="26"/>
  <c r="C1257" i="26"/>
  <c r="D1254" i="26"/>
  <c r="F1274" i="26"/>
  <c r="F1262" i="26"/>
  <c r="M2019" i="8"/>
  <c r="L2019" i="8"/>
  <c r="K2019" i="8"/>
  <c r="J2019" i="8"/>
  <c r="I2019" i="8"/>
  <c r="H2019" i="8"/>
  <c r="G2019" i="8"/>
  <c r="F2019" i="8"/>
  <c r="B1981" i="8"/>
  <c r="J2155" i="5"/>
  <c r="I2155" i="5"/>
  <c r="H2155" i="5"/>
  <c r="G2155" i="5"/>
  <c r="F2155" i="5"/>
  <c r="K2153" i="5"/>
  <c r="K2152" i="5"/>
  <c r="K2151" i="5"/>
  <c r="L2151" i="5" s="1"/>
  <c r="E2151" i="5"/>
  <c r="K2150" i="5"/>
  <c r="L2150" i="5" s="1"/>
  <c r="E2150" i="5"/>
  <c r="L2149" i="5"/>
  <c r="K2149" i="5"/>
  <c r="E2149" i="5"/>
  <c r="K2148" i="5"/>
  <c r="L2148" i="5" s="1"/>
  <c r="E2148" i="5"/>
  <c r="K2147" i="5"/>
  <c r="L2147" i="5" s="1"/>
  <c r="E2147" i="5"/>
  <c r="K2146" i="5"/>
  <c r="L2146" i="5" s="1"/>
  <c r="E2146" i="5"/>
  <c r="K2145" i="5"/>
  <c r="L2145" i="5" s="1"/>
  <c r="E2145" i="5"/>
  <c r="K2144" i="5"/>
  <c r="L2144" i="5" s="1"/>
  <c r="K2143" i="5"/>
  <c r="L2143" i="5" s="1"/>
  <c r="E2143" i="5"/>
  <c r="K2142" i="5"/>
  <c r="L2142" i="5" s="1"/>
  <c r="E2142" i="5"/>
  <c r="K2141" i="5"/>
  <c r="L2141" i="5" s="1"/>
  <c r="K2140" i="5"/>
  <c r="L2140" i="5" s="1"/>
  <c r="E2140" i="5"/>
  <c r="L2139" i="5"/>
  <c r="K2139" i="5"/>
  <c r="E2139" i="5"/>
  <c r="K2138" i="5"/>
  <c r="L2138" i="5" s="1"/>
  <c r="K2137" i="5"/>
  <c r="L2137" i="5" s="1"/>
  <c r="E2137" i="5"/>
  <c r="K2136" i="5"/>
  <c r="L2136" i="5" s="1"/>
  <c r="E2136" i="5"/>
  <c r="K2135" i="5"/>
  <c r="L2135" i="5" s="1"/>
  <c r="E2135" i="5"/>
  <c r="K2134" i="5"/>
  <c r="L2134" i="5" s="1"/>
  <c r="K2133" i="5"/>
  <c r="L2133" i="5" s="1"/>
  <c r="E2133" i="5"/>
  <c r="K2132" i="5"/>
  <c r="L2132" i="5" s="1"/>
  <c r="E2132" i="5"/>
  <c r="K2131" i="5"/>
  <c r="L2131" i="5" s="1"/>
  <c r="E2131" i="5"/>
  <c r="K2130" i="5"/>
  <c r="L2130" i="5" s="1"/>
  <c r="E2130" i="5"/>
  <c r="K2129" i="5"/>
  <c r="L2129" i="5" s="1"/>
  <c r="E2129" i="5"/>
  <c r="J2126" i="5"/>
  <c r="I2126" i="5"/>
  <c r="I2156" i="5" s="1"/>
  <c r="H2126" i="5"/>
  <c r="H2156" i="5" s="1"/>
  <c r="G2126" i="5"/>
  <c r="F2126" i="5"/>
  <c r="K2125" i="5"/>
  <c r="K2124" i="5"/>
  <c r="K2123" i="5"/>
  <c r="K2122" i="5"/>
  <c r="K2121" i="5"/>
  <c r="C598" i="18"/>
  <c r="B598" i="18"/>
  <c r="W445" i="1"/>
  <c r="C537" i="2"/>
  <c r="BF642" i="2"/>
  <c r="BE642" i="2"/>
  <c r="BD642" i="2"/>
  <c r="BC642" i="2"/>
  <c r="BB642" i="2"/>
  <c r="BA642" i="2"/>
  <c r="AZ642" i="2"/>
  <c r="AY642" i="2"/>
  <c r="AX642" i="2"/>
  <c r="AW642" i="2"/>
  <c r="AV642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C641" i="2"/>
  <c r="C633" i="2"/>
  <c r="C624" i="2"/>
  <c r="C617" i="2"/>
  <c r="C612" i="2"/>
  <c r="C609" i="2"/>
  <c r="C603" i="2"/>
  <c r="L593" i="2"/>
  <c r="AI593" i="2" s="1"/>
  <c r="AW593" i="2" s="1"/>
  <c r="AW646" i="2" s="1"/>
  <c r="AL646" i="2" s="1"/>
  <c r="L646" i="2" s="1"/>
  <c r="C646" i="2" s="1"/>
  <c r="D1275" i="26" l="1"/>
  <c r="C643" i="2"/>
  <c r="E2020" i="8"/>
  <c r="E2155" i="5"/>
  <c r="G2156" i="5"/>
  <c r="F2156" i="5"/>
  <c r="J2156" i="5"/>
  <c r="K2155" i="5"/>
  <c r="K2126" i="5"/>
  <c r="L2155" i="5"/>
  <c r="D1250" i="26"/>
  <c r="F1249" i="26"/>
  <c r="F1237" i="26"/>
  <c r="M1976" i="8"/>
  <c r="L1976" i="8"/>
  <c r="K1976" i="8"/>
  <c r="J1976" i="8"/>
  <c r="I1976" i="8"/>
  <c r="H1976" i="8"/>
  <c r="G1976" i="8"/>
  <c r="F1976" i="8"/>
  <c r="B1938" i="8"/>
  <c r="M1933" i="8"/>
  <c r="L1933" i="8"/>
  <c r="K1933" i="8"/>
  <c r="J1933" i="8"/>
  <c r="I1933" i="8"/>
  <c r="H1933" i="8"/>
  <c r="G1933" i="8"/>
  <c r="F1933" i="8"/>
  <c r="B1895" i="8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X199" i="7"/>
  <c r="X201" i="7" s="1"/>
  <c r="W199" i="7"/>
  <c r="V199" i="7"/>
  <c r="U199" i="7"/>
  <c r="T199" i="7"/>
  <c r="S199" i="7"/>
  <c r="R199" i="7"/>
  <c r="R201" i="7" s="1"/>
  <c r="Q199" i="7"/>
  <c r="P199" i="7"/>
  <c r="P201" i="7" s="1"/>
  <c r="O199" i="7"/>
  <c r="N199" i="7"/>
  <c r="M199" i="7"/>
  <c r="L199" i="7"/>
  <c r="K199" i="7"/>
  <c r="J199" i="7"/>
  <c r="I199" i="7"/>
  <c r="I201" i="7" s="1"/>
  <c r="H199" i="7"/>
  <c r="H201" i="7" s="1"/>
  <c r="G199" i="7"/>
  <c r="F199" i="7"/>
  <c r="Y198" i="7"/>
  <c r="E198" i="7"/>
  <c r="AB197" i="7"/>
  <c r="Y197" i="7"/>
  <c r="E197" i="7"/>
  <c r="Y196" i="7"/>
  <c r="E196" i="7"/>
  <c r="AB195" i="7"/>
  <c r="Y195" i="7"/>
  <c r="E195" i="7"/>
  <c r="Y194" i="7"/>
  <c r="E194" i="7"/>
  <c r="AB193" i="7"/>
  <c r="Y193" i="7"/>
  <c r="E193" i="7"/>
  <c r="Y192" i="7"/>
  <c r="E192" i="7"/>
  <c r="AB191" i="7"/>
  <c r="Y191" i="7"/>
  <c r="E191" i="7"/>
  <c r="Y190" i="7"/>
  <c r="E190" i="7"/>
  <c r="AB189" i="7"/>
  <c r="Y189" i="7"/>
  <c r="E189" i="7"/>
  <c r="Y188" i="7"/>
  <c r="E188" i="7"/>
  <c r="AB187" i="7"/>
  <c r="Y187" i="7"/>
  <c r="E187" i="7"/>
  <c r="Y186" i="7"/>
  <c r="E186" i="7"/>
  <c r="AB185" i="7"/>
  <c r="E185" i="7"/>
  <c r="J2111" i="5"/>
  <c r="I2111" i="5"/>
  <c r="H2111" i="5"/>
  <c r="G2111" i="5"/>
  <c r="F2111" i="5"/>
  <c r="K2109" i="5"/>
  <c r="K2108" i="5"/>
  <c r="L2107" i="5"/>
  <c r="K2107" i="5"/>
  <c r="E2107" i="5"/>
  <c r="K2106" i="5"/>
  <c r="L2106" i="5" s="1"/>
  <c r="E2106" i="5"/>
  <c r="K2105" i="5"/>
  <c r="L2105" i="5" s="1"/>
  <c r="E2105" i="5"/>
  <c r="K2104" i="5"/>
  <c r="L2104" i="5" s="1"/>
  <c r="E2104" i="5"/>
  <c r="K2103" i="5"/>
  <c r="L2103" i="5" s="1"/>
  <c r="E2103" i="5"/>
  <c r="K2102" i="5"/>
  <c r="L2102" i="5" s="1"/>
  <c r="E2102" i="5"/>
  <c r="K2101" i="5"/>
  <c r="L2101" i="5" s="1"/>
  <c r="E2101" i="5"/>
  <c r="K2100" i="5"/>
  <c r="L2100" i="5" s="1"/>
  <c r="K2099" i="5"/>
  <c r="L2099" i="5" s="1"/>
  <c r="E2099" i="5"/>
  <c r="K2098" i="5"/>
  <c r="L2098" i="5" s="1"/>
  <c r="E2098" i="5"/>
  <c r="K2097" i="5"/>
  <c r="L2097" i="5" s="1"/>
  <c r="K2096" i="5"/>
  <c r="L2096" i="5" s="1"/>
  <c r="E2096" i="5"/>
  <c r="K2095" i="5"/>
  <c r="L2095" i="5" s="1"/>
  <c r="E2095" i="5"/>
  <c r="K2094" i="5"/>
  <c r="L2094" i="5" s="1"/>
  <c r="K2093" i="5"/>
  <c r="L2093" i="5" s="1"/>
  <c r="E2093" i="5"/>
  <c r="K2092" i="5"/>
  <c r="L2092" i="5" s="1"/>
  <c r="E2092" i="5"/>
  <c r="K2091" i="5"/>
  <c r="L2091" i="5" s="1"/>
  <c r="E2091" i="5"/>
  <c r="K2090" i="5"/>
  <c r="L2090" i="5" s="1"/>
  <c r="K2089" i="5"/>
  <c r="L2089" i="5" s="1"/>
  <c r="E2089" i="5"/>
  <c r="K2088" i="5"/>
  <c r="L2088" i="5" s="1"/>
  <c r="E2088" i="5"/>
  <c r="K2087" i="5"/>
  <c r="L2087" i="5" s="1"/>
  <c r="E2087" i="5"/>
  <c r="K2086" i="5"/>
  <c r="L2086" i="5" s="1"/>
  <c r="E2086" i="5"/>
  <c r="K2085" i="5"/>
  <c r="L2085" i="5" s="1"/>
  <c r="E2085" i="5"/>
  <c r="J2082" i="5"/>
  <c r="I2082" i="5"/>
  <c r="H2082" i="5"/>
  <c r="G2082" i="5"/>
  <c r="F2082" i="5"/>
  <c r="F2112" i="5" s="1"/>
  <c r="K2081" i="5"/>
  <c r="K2080" i="5"/>
  <c r="K2079" i="5"/>
  <c r="K2078" i="5"/>
  <c r="K2077" i="5"/>
  <c r="C587" i="18"/>
  <c r="B587" i="18"/>
  <c r="C580" i="18"/>
  <c r="B580" i="18"/>
  <c r="N519" i="2"/>
  <c r="O426" i="1"/>
  <c r="F201" i="7" l="1"/>
  <c r="V201" i="7"/>
  <c r="Q201" i="7"/>
  <c r="T201" i="7"/>
  <c r="M201" i="7"/>
  <c r="U201" i="7"/>
  <c r="K2156" i="5"/>
  <c r="K2157" i="5" s="1"/>
  <c r="N201" i="7"/>
  <c r="L201" i="7"/>
  <c r="J201" i="7"/>
  <c r="Y199" i="7"/>
  <c r="E1977" i="8"/>
  <c r="J2112" i="5"/>
  <c r="E1934" i="8"/>
  <c r="E199" i="7"/>
  <c r="Y200" i="7"/>
  <c r="G201" i="7"/>
  <c r="K201" i="7"/>
  <c r="O201" i="7"/>
  <c r="S201" i="7"/>
  <c r="W201" i="7"/>
  <c r="E200" i="7"/>
  <c r="I2112" i="5"/>
  <c r="G2112" i="5"/>
  <c r="H2112" i="5"/>
  <c r="E2111" i="5"/>
  <c r="K2111" i="5"/>
  <c r="K2082" i="5"/>
  <c r="L2111" i="5"/>
  <c r="K2112" i="5"/>
  <c r="N140" i="13"/>
  <c r="N144" i="13" s="1"/>
  <c r="N132" i="13"/>
  <c r="N135" i="13"/>
  <c r="N136" i="13"/>
  <c r="N134" i="13"/>
  <c r="N133" i="13"/>
  <c r="N131" i="13"/>
  <c r="F131" i="13"/>
  <c r="C1204" i="26"/>
  <c r="F1224" i="26"/>
  <c r="F1212" i="26"/>
  <c r="D1225" i="26"/>
  <c r="C1180" i="26"/>
  <c r="D1179" i="26"/>
  <c r="C1156" i="26"/>
  <c r="D1200" i="26"/>
  <c r="F1199" i="26"/>
  <c r="F1187" i="26"/>
  <c r="E2054" i="5"/>
  <c r="J2067" i="5"/>
  <c r="I2067" i="5"/>
  <c r="H2067" i="5"/>
  <c r="G2067" i="5"/>
  <c r="F2067" i="5"/>
  <c r="K2065" i="5"/>
  <c r="K2064" i="5"/>
  <c r="K2063" i="5"/>
  <c r="L2063" i="5" s="1"/>
  <c r="E2063" i="5"/>
  <c r="K2062" i="5"/>
  <c r="L2062" i="5" s="1"/>
  <c r="E2062" i="5"/>
  <c r="K2061" i="5"/>
  <c r="L2061" i="5" s="1"/>
  <c r="E2061" i="5"/>
  <c r="K2060" i="5"/>
  <c r="L2060" i="5" s="1"/>
  <c r="E2060" i="5"/>
  <c r="K2059" i="5"/>
  <c r="L2059" i="5" s="1"/>
  <c r="E2059" i="5"/>
  <c r="K2058" i="5"/>
  <c r="L2058" i="5" s="1"/>
  <c r="E2058" i="5"/>
  <c r="K2057" i="5"/>
  <c r="L2057" i="5" s="1"/>
  <c r="E2057" i="5"/>
  <c r="K2056" i="5"/>
  <c r="L2056" i="5" s="1"/>
  <c r="K2055" i="5"/>
  <c r="L2055" i="5" s="1"/>
  <c r="E2055" i="5"/>
  <c r="K2054" i="5"/>
  <c r="L2054" i="5" s="1"/>
  <c r="K2053" i="5"/>
  <c r="L2053" i="5" s="1"/>
  <c r="K2052" i="5"/>
  <c r="L2052" i="5" s="1"/>
  <c r="E2052" i="5"/>
  <c r="L2051" i="5"/>
  <c r="K2051" i="5"/>
  <c r="E2051" i="5"/>
  <c r="K2050" i="5"/>
  <c r="L2050" i="5" s="1"/>
  <c r="K2049" i="5"/>
  <c r="L2049" i="5" s="1"/>
  <c r="E2049" i="5"/>
  <c r="K2048" i="5"/>
  <c r="L2048" i="5" s="1"/>
  <c r="E2048" i="5"/>
  <c r="K2047" i="5"/>
  <c r="L2047" i="5" s="1"/>
  <c r="E2047" i="5"/>
  <c r="K2046" i="5"/>
  <c r="L2046" i="5" s="1"/>
  <c r="K2045" i="5"/>
  <c r="L2045" i="5" s="1"/>
  <c r="E2045" i="5"/>
  <c r="K2044" i="5"/>
  <c r="L2044" i="5" s="1"/>
  <c r="E2044" i="5"/>
  <c r="K2043" i="5"/>
  <c r="L2043" i="5" s="1"/>
  <c r="E2043" i="5"/>
  <c r="K2042" i="5"/>
  <c r="L2042" i="5" s="1"/>
  <c r="E2042" i="5"/>
  <c r="K2041" i="5"/>
  <c r="L2041" i="5" s="1"/>
  <c r="E2041" i="5"/>
  <c r="J2038" i="5"/>
  <c r="I2038" i="5"/>
  <c r="H2038" i="5"/>
  <c r="G2038" i="5"/>
  <c r="F2038" i="5"/>
  <c r="K2037" i="5"/>
  <c r="K2036" i="5"/>
  <c r="K2035" i="5"/>
  <c r="K2034" i="5"/>
  <c r="K2033" i="5"/>
  <c r="AX508" i="2"/>
  <c r="C573" i="18"/>
  <c r="B573" i="18"/>
  <c r="G414" i="1"/>
  <c r="E201" i="7" l="1"/>
  <c r="Y201" i="7"/>
  <c r="K2113" i="5"/>
  <c r="N137" i="13"/>
  <c r="J2068" i="5"/>
  <c r="F2068" i="5"/>
  <c r="E2067" i="5"/>
  <c r="I2068" i="5"/>
  <c r="H2068" i="5"/>
  <c r="G2068" i="5"/>
  <c r="K2067" i="5"/>
  <c r="K2038" i="5"/>
  <c r="L2067" i="5"/>
  <c r="M1890" i="8"/>
  <c r="L1890" i="8"/>
  <c r="K1890" i="8"/>
  <c r="J1890" i="8"/>
  <c r="I1890" i="8"/>
  <c r="H1890" i="8"/>
  <c r="G1890" i="8"/>
  <c r="F1890" i="8"/>
  <c r="B1852" i="8"/>
  <c r="E2010" i="5"/>
  <c r="J2023" i="5"/>
  <c r="I2023" i="5"/>
  <c r="H2023" i="5"/>
  <c r="G2023" i="5"/>
  <c r="F2023" i="5"/>
  <c r="K2021" i="5"/>
  <c r="K2020" i="5"/>
  <c r="K2019" i="5"/>
  <c r="L2019" i="5" s="1"/>
  <c r="E2019" i="5"/>
  <c r="K2018" i="5"/>
  <c r="L2018" i="5" s="1"/>
  <c r="E2018" i="5"/>
  <c r="K2017" i="5"/>
  <c r="L2017" i="5" s="1"/>
  <c r="E2017" i="5"/>
  <c r="K2016" i="5"/>
  <c r="L2016" i="5" s="1"/>
  <c r="E2016" i="5"/>
  <c r="K2015" i="5"/>
  <c r="L2015" i="5" s="1"/>
  <c r="E2015" i="5"/>
  <c r="K2014" i="5"/>
  <c r="L2014" i="5" s="1"/>
  <c r="E2014" i="5"/>
  <c r="K2013" i="5"/>
  <c r="L2013" i="5" s="1"/>
  <c r="E2013" i="5"/>
  <c r="K2012" i="5"/>
  <c r="L2012" i="5" s="1"/>
  <c r="K2011" i="5"/>
  <c r="L2011" i="5" s="1"/>
  <c r="E2011" i="5"/>
  <c r="K2010" i="5"/>
  <c r="L2010" i="5" s="1"/>
  <c r="K2009" i="5"/>
  <c r="L2009" i="5" s="1"/>
  <c r="K2008" i="5"/>
  <c r="L2008" i="5" s="1"/>
  <c r="E2008" i="5"/>
  <c r="K2007" i="5"/>
  <c r="L2007" i="5" s="1"/>
  <c r="E2007" i="5"/>
  <c r="K2006" i="5"/>
  <c r="L2006" i="5" s="1"/>
  <c r="K2005" i="5"/>
  <c r="L2005" i="5" s="1"/>
  <c r="E2005" i="5"/>
  <c r="K2004" i="5"/>
  <c r="L2004" i="5" s="1"/>
  <c r="E2004" i="5"/>
  <c r="K2003" i="5"/>
  <c r="L2003" i="5" s="1"/>
  <c r="E2003" i="5"/>
  <c r="K2002" i="5"/>
  <c r="L2002" i="5" s="1"/>
  <c r="L2001" i="5"/>
  <c r="K2001" i="5"/>
  <c r="E2001" i="5"/>
  <c r="K2000" i="5"/>
  <c r="L2000" i="5" s="1"/>
  <c r="E2000" i="5"/>
  <c r="K1999" i="5"/>
  <c r="L1999" i="5" s="1"/>
  <c r="E1999" i="5"/>
  <c r="K1998" i="5"/>
  <c r="L1998" i="5" s="1"/>
  <c r="E1998" i="5"/>
  <c r="K1997" i="5"/>
  <c r="L1997" i="5" s="1"/>
  <c r="E1997" i="5"/>
  <c r="J1994" i="5"/>
  <c r="I1994" i="5"/>
  <c r="H1994" i="5"/>
  <c r="G1994" i="5"/>
  <c r="F1994" i="5"/>
  <c r="K1993" i="5"/>
  <c r="K1992" i="5"/>
  <c r="K1991" i="5"/>
  <c r="K1990" i="5"/>
  <c r="K1989" i="5"/>
  <c r="C492" i="2"/>
  <c r="C556" i="18"/>
  <c r="B556" i="18"/>
  <c r="E1891" i="8" l="1"/>
  <c r="K2068" i="5"/>
  <c r="K2069" i="5" s="1"/>
  <c r="I2024" i="5"/>
  <c r="H2024" i="5"/>
  <c r="E2023" i="5"/>
  <c r="J2024" i="5"/>
  <c r="F2024" i="5"/>
  <c r="G2024" i="5"/>
  <c r="K2023" i="5"/>
  <c r="K1994" i="5"/>
  <c r="L2023" i="5"/>
  <c r="G1135" i="26"/>
  <c r="C1104" i="26"/>
  <c r="D1175" i="26"/>
  <c r="F1174" i="26"/>
  <c r="G1160" i="26"/>
  <c r="F1162" i="26" s="1"/>
  <c r="D1150" i="26"/>
  <c r="G1147" i="26"/>
  <c r="F1149" i="26" s="1"/>
  <c r="F1137" i="26"/>
  <c r="D1125" i="26"/>
  <c r="G1122" i="26"/>
  <c r="F1124" i="26" s="1"/>
  <c r="G1110" i="26"/>
  <c r="F1112" i="26" s="1"/>
  <c r="M1847" i="8"/>
  <c r="L1847" i="8"/>
  <c r="K1847" i="8"/>
  <c r="J1847" i="8"/>
  <c r="I1847" i="8"/>
  <c r="H1847" i="8"/>
  <c r="G1847" i="8"/>
  <c r="F1847" i="8"/>
  <c r="B1809" i="8"/>
  <c r="M1804" i="8"/>
  <c r="L1804" i="8"/>
  <c r="K1804" i="8"/>
  <c r="J1804" i="8"/>
  <c r="I1804" i="8"/>
  <c r="H1804" i="8"/>
  <c r="G1804" i="8"/>
  <c r="F1804" i="8"/>
  <c r="B1766" i="8"/>
  <c r="F1946" i="5"/>
  <c r="J1979" i="5"/>
  <c r="I1979" i="5"/>
  <c r="H1979" i="5"/>
  <c r="G1979" i="5"/>
  <c r="F1979" i="5"/>
  <c r="K1977" i="5"/>
  <c r="K1976" i="5"/>
  <c r="K1975" i="5"/>
  <c r="L1975" i="5" s="1"/>
  <c r="E1975" i="5"/>
  <c r="K1974" i="5"/>
  <c r="L1974" i="5" s="1"/>
  <c r="E1974" i="5"/>
  <c r="L1973" i="5"/>
  <c r="K1973" i="5"/>
  <c r="E1973" i="5"/>
  <c r="K1972" i="5"/>
  <c r="L1972" i="5" s="1"/>
  <c r="E1972" i="5"/>
  <c r="K1971" i="5"/>
  <c r="L1971" i="5" s="1"/>
  <c r="E1971" i="5"/>
  <c r="K1970" i="5"/>
  <c r="L1970" i="5" s="1"/>
  <c r="E1970" i="5"/>
  <c r="K1969" i="5"/>
  <c r="L1969" i="5" s="1"/>
  <c r="E1969" i="5"/>
  <c r="K1968" i="5"/>
  <c r="L1968" i="5" s="1"/>
  <c r="K1967" i="5"/>
  <c r="L1967" i="5" s="1"/>
  <c r="E1967" i="5"/>
  <c r="K1966" i="5"/>
  <c r="L1966" i="5" s="1"/>
  <c r="E1966" i="5"/>
  <c r="K1965" i="5"/>
  <c r="L1965" i="5" s="1"/>
  <c r="K1964" i="5"/>
  <c r="L1964" i="5" s="1"/>
  <c r="E1964" i="5"/>
  <c r="K1963" i="5"/>
  <c r="L1963" i="5" s="1"/>
  <c r="E1963" i="5"/>
  <c r="K1962" i="5"/>
  <c r="L1962" i="5" s="1"/>
  <c r="K1961" i="5"/>
  <c r="L1961" i="5" s="1"/>
  <c r="E1961" i="5"/>
  <c r="K1960" i="5"/>
  <c r="L1960" i="5" s="1"/>
  <c r="E1960" i="5"/>
  <c r="K1959" i="5"/>
  <c r="L1959" i="5" s="1"/>
  <c r="E1959" i="5"/>
  <c r="K1958" i="5"/>
  <c r="L1958" i="5" s="1"/>
  <c r="L1957" i="5"/>
  <c r="K1957" i="5"/>
  <c r="E1957" i="5"/>
  <c r="K1956" i="5"/>
  <c r="L1956" i="5" s="1"/>
  <c r="E1956" i="5"/>
  <c r="K1955" i="5"/>
  <c r="L1955" i="5" s="1"/>
  <c r="E1955" i="5"/>
  <c r="K1954" i="5"/>
  <c r="L1954" i="5" s="1"/>
  <c r="E1954" i="5"/>
  <c r="K1953" i="5"/>
  <c r="L1953" i="5" s="1"/>
  <c r="E1953" i="5"/>
  <c r="J1950" i="5"/>
  <c r="J1980" i="5" s="1"/>
  <c r="I1950" i="5"/>
  <c r="H1950" i="5"/>
  <c r="G1950" i="5"/>
  <c r="F1950" i="5"/>
  <c r="K1949" i="5"/>
  <c r="K1948" i="5"/>
  <c r="K1947" i="5"/>
  <c r="K1946" i="5"/>
  <c r="K1945" i="5"/>
  <c r="B543" i="18"/>
  <c r="C543" i="18"/>
  <c r="C534" i="18"/>
  <c r="B534" i="18"/>
  <c r="BF587" i="2"/>
  <c r="BE587" i="2"/>
  <c r="BD587" i="2"/>
  <c r="BC587" i="2"/>
  <c r="BB587" i="2"/>
  <c r="BA587" i="2"/>
  <c r="AZ587" i="2"/>
  <c r="AY587" i="2"/>
  <c r="AX587" i="2"/>
  <c r="AW587" i="2"/>
  <c r="AV587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C586" i="2"/>
  <c r="C578" i="2"/>
  <c r="C569" i="2"/>
  <c r="C561" i="2"/>
  <c r="C555" i="2"/>
  <c r="C552" i="2"/>
  <c r="C542" i="2"/>
  <c r="L532" i="2"/>
  <c r="AI532" i="2" s="1"/>
  <c r="AW532" i="2" s="1"/>
  <c r="AW591" i="2" s="1"/>
  <c r="AL591" i="2" s="1"/>
  <c r="L591" i="2" s="1"/>
  <c r="C591" i="2" s="1"/>
  <c r="W489" i="1"/>
  <c r="N16" i="29" s="1"/>
  <c r="V489" i="1"/>
  <c r="E16" i="29" s="1"/>
  <c r="U489" i="1"/>
  <c r="S489" i="1"/>
  <c r="K16" i="29" s="1"/>
  <c r="R489" i="1"/>
  <c r="Q489" i="1"/>
  <c r="I16" i="29" s="1"/>
  <c r="P489" i="1"/>
  <c r="O489" i="1"/>
  <c r="M16" i="29" s="1"/>
  <c r="N489" i="1"/>
  <c r="L16" i="29" s="1"/>
  <c r="M489" i="1"/>
  <c r="L489" i="1"/>
  <c r="J16" i="29" s="1"/>
  <c r="K489" i="1"/>
  <c r="H16" i="29" s="1"/>
  <c r="J489" i="1"/>
  <c r="G16" i="29" s="1"/>
  <c r="I489" i="1"/>
  <c r="F16" i="29" s="1"/>
  <c r="H489" i="1"/>
  <c r="G489" i="1"/>
  <c r="D16" i="29" s="1"/>
  <c r="F489" i="1"/>
  <c r="C16" i="29" s="1"/>
  <c r="E486" i="1"/>
  <c r="D486" i="1"/>
  <c r="Z483" i="1"/>
  <c r="Y483" i="1"/>
  <c r="E482" i="1"/>
  <c r="D482" i="1"/>
  <c r="Z476" i="1"/>
  <c r="Y476" i="1"/>
  <c r="E475" i="1"/>
  <c r="D475" i="1"/>
  <c r="Z471" i="1"/>
  <c r="Y471" i="1"/>
  <c r="E470" i="1"/>
  <c r="D470" i="1"/>
  <c r="Z463" i="1"/>
  <c r="Y463" i="1"/>
  <c r="E462" i="1"/>
  <c r="D462" i="1"/>
  <c r="Z456" i="1"/>
  <c r="Y456" i="1"/>
  <c r="E455" i="1"/>
  <c r="D455" i="1"/>
  <c r="Z450" i="1"/>
  <c r="Y450" i="1"/>
  <c r="E449" i="1"/>
  <c r="D449" i="1"/>
  <c r="Z445" i="1"/>
  <c r="Y445" i="1"/>
  <c r="M443" i="1"/>
  <c r="V443" i="1" s="1"/>
  <c r="V491" i="1" s="1"/>
  <c r="M491" i="1" s="1"/>
  <c r="E491" i="1" s="1"/>
  <c r="E489" i="1" l="1"/>
  <c r="H1980" i="5"/>
  <c r="I1980" i="5"/>
  <c r="D489" i="1"/>
  <c r="Y489" i="1"/>
  <c r="E1848" i="8"/>
  <c r="K2024" i="5"/>
  <c r="K2025" i="5" s="1"/>
  <c r="C588" i="2"/>
  <c r="E1805" i="8"/>
  <c r="G1980" i="5"/>
  <c r="F1980" i="5"/>
  <c r="K1980" i="5" s="1"/>
  <c r="E1979" i="5"/>
  <c r="K1979" i="5"/>
  <c r="K1950" i="5"/>
  <c r="L1979" i="5"/>
  <c r="G1085" i="26"/>
  <c r="C1079" i="26"/>
  <c r="D1100" i="26"/>
  <c r="G1097" i="26"/>
  <c r="F1099" i="26" s="1"/>
  <c r="F1087" i="26"/>
  <c r="M1761" i="8"/>
  <c r="L1761" i="8"/>
  <c r="K1761" i="8"/>
  <c r="J1761" i="8"/>
  <c r="I1761" i="8"/>
  <c r="H1761" i="8"/>
  <c r="G1761" i="8"/>
  <c r="F1761" i="8"/>
  <c r="B1723" i="8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X179" i="7"/>
  <c r="X181" i="7" s="1"/>
  <c r="W179" i="7"/>
  <c r="V179" i="7"/>
  <c r="V181" i="7" s="1"/>
  <c r="U179" i="7"/>
  <c r="U181" i="7" s="1"/>
  <c r="T179" i="7"/>
  <c r="S179" i="7"/>
  <c r="R179" i="7"/>
  <c r="Q179" i="7"/>
  <c r="P179" i="7"/>
  <c r="P181" i="7" s="1"/>
  <c r="O179" i="7"/>
  <c r="N179" i="7"/>
  <c r="M179" i="7"/>
  <c r="L179" i="7"/>
  <c r="K179" i="7"/>
  <c r="J179" i="7"/>
  <c r="I179" i="7"/>
  <c r="H179" i="7"/>
  <c r="H181" i="7" s="1"/>
  <c r="G179" i="7"/>
  <c r="F179" i="7"/>
  <c r="Y178" i="7"/>
  <c r="E178" i="7"/>
  <c r="AB177" i="7"/>
  <c r="Y177" i="7"/>
  <c r="E177" i="7"/>
  <c r="Y176" i="7"/>
  <c r="E176" i="7"/>
  <c r="AB175" i="7"/>
  <c r="Y175" i="7"/>
  <c r="E175" i="7"/>
  <c r="Y174" i="7"/>
  <c r="E174" i="7"/>
  <c r="AB173" i="7"/>
  <c r="Y173" i="7"/>
  <c r="E173" i="7"/>
  <c r="Y172" i="7"/>
  <c r="E172" i="7"/>
  <c r="AB171" i="7"/>
  <c r="Y171" i="7"/>
  <c r="E171" i="7"/>
  <c r="Y170" i="7"/>
  <c r="E170" i="7"/>
  <c r="AB169" i="7"/>
  <c r="Y169" i="7"/>
  <c r="E169" i="7"/>
  <c r="Y168" i="7"/>
  <c r="E168" i="7"/>
  <c r="AB167" i="7"/>
  <c r="Y167" i="7"/>
  <c r="E167" i="7"/>
  <c r="Y166" i="7"/>
  <c r="E166" i="7"/>
  <c r="AB165" i="7"/>
  <c r="E165" i="7"/>
  <c r="J1935" i="5"/>
  <c r="I1935" i="5"/>
  <c r="H1935" i="5"/>
  <c r="G1935" i="5"/>
  <c r="F1935" i="5"/>
  <c r="K1933" i="5"/>
  <c r="K1932" i="5"/>
  <c r="K1931" i="5"/>
  <c r="L1931" i="5" s="1"/>
  <c r="E1931" i="5"/>
  <c r="K1930" i="5"/>
  <c r="L1930" i="5" s="1"/>
  <c r="E1930" i="5"/>
  <c r="K1929" i="5"/>
  <c r="L1929" i="5" s="1"/>
  <c r="E1929" i="5"/>
  <c r="K1928" i="5"/>
  <c r="L1928" i="5" s="1"/>
  <c r="E1928" i="5"/>
  <c r="K1927" i="5"/>
  <c r="L1927" i="5" s="1"/>
  <c r="E1927" i="5"/>
  <c r="L1926" i="5"/>
  <c r="K1926" i="5"/>
  <c r="E1926" i="5"/>
  <c r="K1925" i="5"/>
  <c r="L1925" i="5" s="1"/>
  <c r="E1925" i="5"/>
  <c r="K1924" i="5"/>
  <c r="L1924" i="5" s="1"/>
  <c r="K1923" i="5"/>
  <c r="L1923" i="5" s="1"/>
  <c r="E1923" i="5"/>
  <c r="L1922" i="5"/>
  <c r="K1922" i="5"/>
  <c r="E1922" i="5"/>
  <c r="K1921" i="5"/>
  <c r="L1921" i="5" s="1"/>
  <c r="K1920" i="5"/>
  <c r="L1920" i="5" s="1"/>
  <c r="E1920" i="5"/>
  <c r="K1919" i="5"/>
  <c r="L1919" i="5" s="1"/>
  <c r="E1919" i="5"/>
  <c r="K1918" i="5"/>
  <c r="L1918" i="5" s="1"/>
  <c r="K1917" i="5"/>
  <c r="L1917" i="5" s="1"/>
  <c r="E1917" i="5"/>
  <c r="K1916" i="5"/>
  <c r="L1916" i="5" s="1"/>
  <c r="E1916" i="5"/>
  <c r="K1915" i="5"/>
  <c r="L1915" i="5" s="1"/>
  <c r="E1915" i="5"/>
  <c r="K1914" i="5"/>
  <c r="L1914" i="5" s="1"/>
  <c r="L1913" i="5"/>
  <c r="K1913" i="5"/>
  <c r="E1913" i="5"/>
  <c r="K1912" i="5"/>
  <c r="L1912" i="5" s="1"/>
  <c r="E1912" i="5"/>
  <c r="K1911" i="5"/>
  <c r="L1911" i="5" s="1"/>
  <c r="E1911" i="5"/>
  <c r="K1910" i="5"/>
  <c r="L1910" i="5" s="1"/>
  <c r="E1910" i="5"/>
  <c r="K1909" i="5"/>
  <c r="L1909" i="5" s="1"/>
  <c r="E1909" i="5"/>
  <c r="J1906" i="5"/>
  <c r="I1906" i="5"/>
  <c r="H1906" i="5"/>
  <c r="G1906" i="5"/>
  <c r="F1906" i="5"/>
  <c r="K1905" i="5"/>
  <c r="K1904" i="5"/>
  <c r="K1903" i="5"/>
  <c r="K1902" i="5"/>
  <c r="K1901" i="5"/>
  <c r="C526" i="18"/>
  <c r="B526" i="18"/>
  <c r="C516" i="18"/>
  <c r="B516" i="18"/>
  <c r="C510" i="18"/>
  <c r="B510" i="18"/>
  <c r="C462" i="2"/>
  <c r="W384" i="1"/>
  <c r="L181" i="7" l="1"/>
  <c r="T181" i="7"/>
  <c r="K1935" i="5"/>
  <c r="F1936" i="5"/>
  <c r="I181" i="7"/>
  <c r="R181" i="7"/>
  <c r="Q181" i="7"/>
  <c r="M181" i="7"/>
  <c r="N181" i="7"/>
  <c r="F181" i="7"/>
  <c r="J181" i="7"/>
  <c r="E1762" i="8"/>
  <c r="Y179" i="7"/>
  <c r="K1981" i="5"/>
  <c r="E180" i="7"/>
  <c r="Y180" i="7"/>
  <c r="G181" i="7"/>
  <c r="K181" i="7"/>
  <c r="O181" i="7"/>
  <c r="S181" i="7"/>
  <c r="W181" i="7"/>
  <c r="E179" i="7"/>
  <c r="J1936" i="5"/>
  <c r="I1936" i="5"/>
  <c r="H1936" i="5"/>
  <c r="K1906" i="5"/>
  <c r="G1936" i="5"/>
  <c r="E1935" i="5"/>
  <c r="L1935" i="5"/>
  <c r="N124" i="13"/>
  <c r="N128" i="13" s="1"/>
  <c r="G1072" i="26"/>
  <c r="F1074" i="26" s="1"/>
  <c r="G1060" i="26"/>
  <c r="F1062" i="26" s="1"/>
  <c r="G1047" i="26"/>
  <c r="D1075" i="26"/>
  <c r="M1718" i="8"/>
  <c r="L1718" i="8"/>
  <c r="K1718" i="8"/>
  <c r="J1718" i="8"/>
  <c r="I1718" i="8"/>
  <c r="H1718" i="8"/>
  <c r="G1718" i="8"/>
  <c r="F1718" i="8"/>
  <c r="B1680" i="8"/>
  <c r="J1891" i="5"/>
  <c r="I1891" i="5"/>
  <c r="H1891" i="5"/>
  <c r="G1891" i="5"/>
  <c r="F1891" i="5"/>
  <c r="K1889" i="5"/>
  <c r="K1888" i="5"/>
  <c r="K1887" i="5"/>
  <c r="L1887" i="5" s="1"/>
  <c r="E1887" i="5"/>
  <c r="K1886" i="5"/>
  <c r="L1886" i="5" s="1"/>
  <c r="E1886" i="5"/>
  <c r="L1885" i="5"/>
  <c r="K1885" i="5"/>
  <c r="E1885" i="5"/>
  <c r="K1884" i="5"/>
  <c r="L1884" i="5" s="1"/>
  <c r="E1884" i="5"/>
  <c r="K1883" i="5"/>
  <c r="L1883" i="5" s="1"/>
  <c r="E1883" i="5"/>
  <c r="K1882" i="5"/>
  <c r="L1882" i="5" s="1"/>
  <c r="E1882" i="5"/>
  <c r="K1881" i="5"/>
  <c r="L1881" i="5" s="1"/>
  <c r="E1881" i="5"/>
  <c r="K1880" i="5"/>
  <c r="L1880" i="5" s="1"/>
  <c r="K1879" i="5"/>
  <c r="L1879" i="5" s="1"/>
  <c r="E1879" i="5"/>
  <c r="K1878" i="5"/>
  <c r="L1878" i="5" s="1"/>
  <c r="E1878" i="5"/>
  <c r="K1877" i="5"/>
  <c r="L1877" i="5" s="1"/>
  <c r="K1876" i="5"/>
  <c r="L1876" i="5" s="1"/>
  <c r="E1876" i="5"/>
  <c r="K1875" i="5"/>
  <c r="L1875" i="5" s="1"/>
  <c r="E1875" i="5"/>
  <c r="K1874" i="5"/>
  <c r="L1874" i="5" s="1"/>
  <c r="K1873" i="5"/>
  <c r="L1873" i="5" s="1"/>
  <c r="E1873" i="5"/>
  <c r="K1872" i="5"/>
  <c r="L1872" i="5" s="1"/>
  <c r="E1872" i="5"/>
  <c r="K1871" i="5"/>
  <c r="L1871" i="5" s="1"/>
  <c r="E1871" i="5"/>
  <c r="L1870" i="5"/>
  <c r="K1870" i="5"/>
  <c r="L1869" i="5"/>
  <c r="K1869" i="5"/>
  <c r="E1869" i="5"/>
  <c r="K1868" i="5"/>
  <c r="L1868" i="5" s="1"/>
  <c r="E1868" i="5"/>
  <c r="K1867" i="5"/>
  <c r="L1867" i="5" s="1"/>
  <c r="E1867" i="5"/>
  <c r="K1866" i="5"/>
  <c r="L1866" i="5" s="1"/>
  <c r="E1866" i="5"/>
  <c r="K1865" i="5"/>
  <c r="L1865" i="5" s="1"/>
  <c r="E1865" i="5"/>
  <c r="J1862" i="5"/>
  <c r="I1862" i="5"/>
  <c r="H1862" i="5"/>
  <c r="G1862" i="5"/>
  <c r="F1862" i="5"/>
  <c r="F1892" i="5" s="1"/>
  <c r="K1861" i="5"/>
  <c r="K1860" i="5"/>
  <c r="K1859" i="5"/>
  <c r="K1858" i="5"/>
  <c r="K1857" i="5"/>
  <c r="J1892" i="5" l="1"/>
  <c r="Y181" i="7"/>
  <c r="E181" i="7"/>
  <c r="E1719" i="8"/>
  <c r="K1936" i="5"/>
  <c r="K1937" i="5" s="1"/>
  <c r="G1892" i="5"/>
  <c r="E1891" i="5"/>
  <c r="I1892" i="5"/>
  <c r="H1892" i="5"/>
  <c r="K1891" i="5"/>
  <c r="K1862" i="5"/>
  <c r="L1891" i="5"/>
  <c r="C495" i="18"/>
  <c r="C502" i="18" s="1"/>
  <c r="B502" i="18"/>
  <c r="AX444" i="2"/>
  <c r="C444" i="2"/>
  <c r="C442" i="2"/>
  <c r="C440" i="2"/>
  <c r="S365" i="1"/>
  <c r="W366" i="1"/>
  <c r="G365" i="1"/>
  <c r="K1892" i="5" l="1"/>
  <c r="K1893" i="5"/>
  <c r="D1050" i="26"/>
  <c r="F1049" i="26"/>
  <c r="F1037" i="26"/>
  <c r="B1637" i="8"/>
  <c r="F1675" i="8"/>
  <c r="G1675" i="8"/>
  <c r="H1675" i="8"/>
  <c r="I1675" i="8"/>
  <c r="J1675" i="8"/>
  <c r="K1675" i="8"/>
  <c r="L1675" i="8"/>
  <c r="M1675" i="8"/>
  <c r="J1847" i="5"/>
  <c r="I1847" i="5"/>
  <c r="H1847" i="5"/>
  <c r="G1847" i="5"/>
  <c r="F1847" i="5"/>
  <c r="K1845" i="5"/>
  <c r="K1844" i="5"/>
  <c r="K1843" i="5"/>
  <c r="L1843" i="5" s="1"/>
  <c r="E1843" i="5"/>
  <c r="K1842" i="5"/>
  <c r="L1842" i="5" s="1"/>
  <c r="E1842" i="5"/>
  <c r="K1841" i="5"/>
  <c r="L1841" i="5" s="1"/>
  <c r="E1841" i="5"/>
  <c r="K1840" i="5"/>
  <c r="L1840" i="5" s="1"/>
  <c r="E1840" i="5"/>
  <c r="K1839" i="5"/>
  <c r="L1839" i="5" s="1"/>
  <c r="E1839" i="5"/>
  <c r="K1838" i="5"/>
  <c r="L1838" i="5" s="1"/>
  <c r="E1838" i="5"/>
  <c r="K1837" i="5"/>
  <c r="L1837" i="5" s="1"/>
  <c r="E1837" i="5"/>
  <c r="K1836" i="5"/>
  <c r="L1836" i="5" s="1"/>
  <c r="K1835" i="5"/>
  <c r="L1835" i="5" s="1"/>
  <c r="E1835" i="5"/>
  <c r="K1834" i="5"/>
  <c r="L1834" i="5" s="1"/>
  <c r="E1834" i="5"/>
  <c r="K1833" i="5"/>
  <c r="L1833" i="5" s="1"/>
  <c r="K1832" i="5"/>
  <c r="L1832" i="5" s="1"/>
  <c r="E1832" i="5"/>
  <c r="L1831" i="5"/>
  <c r="K1831" i="5"/>
  <c r="E1831" i="5"/>
  <c r="K1830" i="5"/>
  <c r="L1830" i="5" s="1"/>
  <c r="K1829" i="5"/>
  <c r="L1829" i="5" s="1"/>
  <c r="E1829" i="5"/>
  <c r="K1828" i="5"/>
  <c r="L1828" i="5" s="1"/>
  <c r="E1828" i="5"/>
  <c r="K1827" i="5"/>
  <c r="L1827" i="5" s="1"/>
  <c r="E1827" i="5"/>
  <c r="K1826" i="5"/>
  <c r="L1826" i="5" s="1"/>
  <c r="K1825" i="5"/>
  <c r="L1825" i="5" s="1"/>
  <c r="E1825" i="5"/>
  <c r="K1824" i="5"/>
  <c r="L1824" i="5" s="1"/>
  <c r="E1824" i="5"/>
  <c r="K1823" i="5"/>
  <c r="L1823" i="5" s="1"/>
  <c r="E1823" i="5"/>
  <c r="K1822" i="5"/>
  <c r="L1822" i="5" s="1"/>
  <c r="E1822" i="5"/>
  <c r="K1821" i="5"/>
  <c r="L1821" i="5" s="1"/>
  <c r="E1821" i="5"/>
  <c r="J1818" i="5"/>
  <c r="I1818" i="5"/>
  <c r="I1848" i="5" s="1"/>
  <c r="H1818" i="5"/>
  <c r="H1848" i="5" s="1"/>
  <c r="G1818" i="5"/>
  <c r="F1818" i="5"/>
  <c r="K1817" i="5"/>
  <c r="K1816" i="5"/>
  <c r="K1815" i="5"/>
  <c r="K1814" i="5"/>
  <c r="K1813" i="5"/>
  <c r="C487" i="18"/>
  <c r="B487" i="18"/>
  <c r="AV434" i="2"/>
  <c r="T434" i="2"/>
  <c r="C433" i="2"/>
  <c r="L358" i="1"/>
  <c r="J1848" i="5" l="1"/>
  <c r="E1676" i="8"/>
  <c r="F1848" i="5"/>
  <c r="L1847" i="5"/>
  <c r="G1848" i="5"/>
  <c r="K1848" i="5" s="1"/>
  <c r="E1847" i="5"/>
  <c r="K1847" i="5"/>
  <c r="K1818" i="5"/>
  <c r="C980" i="26"/>
  <c r="D1025" i="26"/>
  <c r="F1024" i="26"/>
  <c r="F1012" i="26"/>
  <c r="M1632" i="8"/>
  <c r="L1632" i="8"/>
  <c r="K1632" i="8"/>
  <c r="J1632" i="8"/>
  <c r="I1632" i="8"/>
  <c r="H1632" i="8"/>
  <c r="G1632" i="8"/>
  <c r="F1632" i="8"/>
  <c r="B1594" i="8"/>
  <c r="J1803" i="5"/>
  <c r="I1803" i="5"/>
  <c r="H1803" i="5"/>
  <c r="G1803" i="5"/>
  <c r="F1803" i="5"/>
  <c r="K1801" i="5"/>
  <c r="K1800" i="5"/>
  <c r="K1799" i="5"/>
  <c r="L1799" i="5" s="1"/>
  <c r="E1799" i="5"/>
  <c r="K1798" i="5"/>
  <c r="L1798" i="5" s="1"/>
  <c r="E1798" i="5"/>
  <c r="K1797" i="5"/>
  <c r="L1797" i="5" s="1"/>
  <c r="E1797" i="5"/>
  <c r="K1796" i="5"/>
  <c r="L1796" i="5" s="1"/>
  <c r="E1796" i="5"/>
  <c r="K1795" i="5"/>
  <c r="L1795" i="5" s="1"/>
  <c r="E1795" i="5"/>
  <c r="K1794" i="5"/>
  <c r="L1794" i="5" s="1"/>
  <c r="E1794" i="5"/>
  <c r="K1793" i="5"/>
  <c r="L1793" i="5" s="1"/>
  <c r="E1793" i="5"/>
  <c r="K1792" i="5"/>
  <c r="L1792" i="5" s="1"/>
  <c r="K1791" i="5"/>
  <c r="L1791" i="5" s="1"/>
  <c r="E1791" i="5"/>
  <c r="K1790" i="5"/>
  <c r="L1790" i="5" s="1"/>
  <c r="E1790" i="5"/>
  <c r="K1789" i="5"/>
  <c r="L1789" i="5" s="1"/>
  <c r="K1788" i="5"/>
  <c r="L1788" i="5" s="1"/>
  <c r="E1788" i="5"/>
  <c r="K1787" i="5"/>
  <c r="L1787" i="5" s="1"/>
  <c r="E1787" i="5"/>
  <c r="K1786" i="5"/>
  <c r="L1786" i="5" s="1"/>
  <c r="K1785" i="5"/>
  <c r="L1785" i="5" s="1"/>
  <c r="E1785" i="5"/>
  <c r="K1784" i="5"/>
  <c r="L1784" i="5" s="1"/>
  <c r="E1784" i="5"/>
  <c r="K1783" i="5"/>
  <c r="L1783" i="5" s="1"/>
  <c r="E1783" i="5"/>
  <c r="L1782" i="5"/>
  <c r="K1782" i="5"/>
  <c r="K1781" i="5"/>
  <c r="L1781" i="5" s="1"/>
  <c r="E1781" i="5"/>
  <c r="K1780" i="5"/>
  <c r="L1780" i="5" s="1"/>
  <c r="E1780" i="5"/>
  <c r="K1779" i="5"/>
  <c r="L1779" i="5" s="1"/>
  <c r="E1779" i="5"/>
  <c r="K1778" i="5"/>
  <c r="L1778" i="5" s="1"/>
  <c r="E1778" i="5"/>
  <c r="K1777" i="5"/>
  <c r="L1777" i="5" s="1"/>
  <c r="E1777" i="5"/>
  <c r="J1774" i="5"/>
  <c r="I1774" i="5"/>
  <c r="H1774" i="5"/>
  <c r="G1774" i="5"/>
  <c r="F1774" i="5"/>
  <c r="K1773" i="5"/>
  <c r="K1772" i="5"/>
  <c r="K1771" i="5"/>
  <c r="K1770" i="5"/>
  <c r="K1769" i="5"/>
  <c r="C475" i="18"/>
  <c r="B475" i="18"/>
  <c r="C469" i="18"/>
  <c r="B469" i="18"/>
  <c r="C420" i="2"/>
  <c r="W439" i="1"/>
  <c r="N15" i="29" s="1"/>
  <c r="V439" i="1"/>
  <c r="E15" i="29" s="1"/>
  <c r="U439" i="1"/>
  <c r="S439" i="1"/>
  <c r="K15" i="29" s="1"/>
  <c r="R439" i="1"/>
  <c r="Q439" i="1"/>
  <c r="I15" i="29" s="1"/>
  <c r="P439" i="1"/>
  <c r="O439" i="1"/>
  <c r="M15" i="29" s="1"/>
  <c r="N439" i="1"/>
  <c r="L15" i="29" s="1"/>
  <c r="M439" i="1"/>
  <c r="L439" i="1"/>
  <c r="J15" i="29" s="1"/>
  <c r="K439" i="1"/>
  <c r="H15" i="29" s="1"/>
  <c r="J439" i="1"/>
  <c r="G15" i="29" s="1"/>
  <c r="I439" i="1"/>
  <c r="F15" i="29" s="1"/>
  <c r="H439" i="1"/>
  <c r="F439" i="1"/>
  <c r="C15" i="29" s="1"/>
  <c r="E436" i="1"/>
  <c r="D436" i="1"/>
  <c r="Z433" i="1"/>
  <c r="Y433" i="1"/>
  <c r="E432" i="1"/>
  <c r="D432" i="1"/>
  <c r="Z426" i="1"/>
  <c r="Y426" i="1"/>
  <c r="E425" i="1"/>
  <c r="D425" i="1"/>
  <c r="Z422" i="1"/>
  <c r="Y422" i="1"/>
  <c r="E421" i="1"/>
  <c r="D421" i="1"/>
  <c r="Z414" i="1"/>
  <c r="Y414" i="1"/>
  <c r="E413" i="1"/>
  <c r="D413" i="1"/>
  <c r="Z407" i="1"/>
  <c r="Y407" i="1"/>
  <c r="E406" i="1"/>
  <c r="D406" i="1"/>
  <c r="Z401" i="1"/>
  <c r="Y401" i="1"/>
  <c r="E400" i="1"/>
  <c r="D400" i="1"/>
  <c r="Z396" i="1"/>
  <c r="G439" i="1"/>
  <c r="D15" i="29" s="1"/>
  <c r="M394" i="1"/>
  <c r="V394" i="1" s="1"/>
  <c r="V441" i="1" s="1"/>
  <c r="M441" i="1" s="1"/>
  <c r="E441" i="1" s="1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C525" i="2"/>
  <c r="C522" i="2"/>
  <c r="C516" i="2"/>
  <c r="C509" i="2"/>
  <c r="C499" i="2"/>
  <c r="C490" i="2"/>
  <c r="C484" i="2"/>
  <c r="L476" i="2"/>
  <c r="AI476" i="2" s="1"/>
  <c r="AW476" i="2" s="1"/>
  <c r="AW530" i="2" s="1"/>
  <c r="AL530" i="2" s="1"/>
  <c r="L530" i="2" s="1"/>
  <c r="C530" i="2" s="1"/>
  <c r="G347" i="1"/>
  <c r="D439" i="1" l="1"/>
  <c r="I1804" i="5"/>
  <c r="E439" i="1"/>
  <c r="K1803" i="5"/>
  <c r="E1633" i="8"/>
  <c r="K1849" i="5"/>
  <c r="F1804" i="5"/>
  <c r="J1804" i="5"/>
  <c r="K1774" i="5"/>
  <c r="G1804" i="5"/>
  <c r="E1803" i="5"/>
  <c r="H1804" i="5"/>
  <c r="L1803" i="5"/>
  <c r="C527" i="2"/>
  <c r="Y396" i="1"/>
  <c r="Y439" i="1" s="1"/>
  <c r="M115" i="13"/>
  <c r="N115" i="13" s="1"/>
  <c r="F115" i="13"/>
  <c r="N118" i="13"/>
  <c r="N120" i="13"/>
  <c r="N119" i="13"/>
  <c r="N117" i="13"/>
  <c r="N116" i="13"/>
  <c r="F999" i="26"/>
  <c r="C954" i="26"/>
  <c r="D1000" i="26"/>
  <c r="F987" i="26"/>
  <c r="D975" i="26"/>
  <c r="F974" i="26"/>
  <c r="F962" i="26"/>
  <c r="M1589" i="8"/>
  <c r="L1589" i="8"/>
  <c r="K1589" i="8"/>
  <c r="J1589" i="8"/>
  <c r="I1589" i="8"/>
  <c r="H1589" i="8"/>
  <c r="G1589" i="8"/>
  <c r="F1589" i="8"/>
  <c r="B1551" i="8"/>
  <c r="M1546" i="8"/>
  <c r="L1546" i="8"/>
  <c r="K1546" i="8"/>
  <c r="J1546" i="8"/>
  <c r="I1546" i="8"/>
  <c r="H1546" i="8"/>
  <c r="G1546" i="8"/>
  <c r="F1546" i="8"/>
  <c r="B1508" i="8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X159" i="7"/>
  <c r="W159" i="7"/>
  <c r="W161" i="7" s="1"/>
  <c r="V159" i="7"/>
  <c r="V161" i="7" s="1"/>
  <c r="U159" i="7"/>
  <c r="U161" i="7" s="1"/>
  <c r="T159" i="7"/>
  <c r="T161" i="7" s="1"/>
  <c r="S159" i="7"/>
  <c r="S161" i="7" s="1"/>
  <c r="R159" i="7"/>
  <c r="Q159" i="7"/>
  <c r="P159" i="7"/>
  <c r="O159" i="7"/>
  <c r="O161" i="7" s="1"/>
  <c r="N159" i="7"/>
  <c r="M159" i="7"/>
  <c r="L159" i="7"/>
  <c r="L161" i="7" s="1"/>
  <c r="K159" i="7"/>
  <c r="J159" i="7"/>
  <c r="I159" i="7"/>
  <c r="H159" i="7"/>
  <c r="G159" i="7"/>
  <c r="G161" i="7" s="1"/>
  <c r="F159" i="7"/>
  <c r="Y158" i="7"/>
  <c r="E158" i="7"/>
  <c r="AB157" i="7"/>
  <c r="Y157" i="7"/>
  <c r="E157" i="7"/>
  <c r="Y156" i="7"/>
  <c r="E156" i="7"/>
  <c r="AB155" i="7"/>
  <c r="Y155" i="7"/>
  <c r="E155" i="7"/>
  <c r="Y154" i="7"/>
  <c r="E154" i="7"/>
  <c r="AB153" i="7"/>
  <c r="Y153" i="7"/>
  <c r="E153" i="7"/>
  <c r="Y152" i="7"/>
  <c r="E152" i="7"/>
  <c r="AB151" i="7"/>
  <c r="Y151" i="7"/>
  <c r="E151" i="7"/>
  <c r="Y150" i="7"/>
  <c r="E150" i="7"/>
  <c r="AB149" i="7"/>
  <c r="Y149" i="7"/>
  <c r="E149" i="7"/>
  <c r="Y148" i="7"/>
  <c r="E148" i="7"/>
  <c r="AB147" i="7"/>
  <c r="Y147" i="7"/>
  <c r="E147" i="7"/>
  <c r="Y146" i="7"/>
  <c r="E146" i="7"/>
  <c r="AB145" i="7"/>
  <c r="E145" i="7"/>
  <c r="J1759" i="5"/>
  <c r="I1759" i="5"/>
  <c r="H1759" i="5"/>
  <c r="G1759" i="5"/>
  <c r="F1759" i="5"/>
  <c r="K1757" i="5"/>
  <c r="K1756" i="5"/>
  <c r="K1755" i="5"/>
  <c r="L1755" i="5" s="1"/>
  <c r="E1755" i="5"/>
  <c r="K1754" i="5"/>
  <c r="L1754" i="5" s="1"/>
  <c r="E1754" i="5"/>
  <c r="K1753" i="5"/>
  <c r="L1753" i="5" s="1"/>
  <c r="E1753" i="5"/>
  <c r="K1752" i="5"/>
  <c r="L1752" i="5" s="1"/>
  <c r="E1752" i="5"/>
  <c r="K1751" i="5"/>
  <c r="L1751" i="5" s="1"/>
  <c r="E1751" i="5"/>
  <c r="K1750" i="5"/>
  <c r="L1750" i="5" s="1"/>
  <c r="E1750" i="5"/>
  <c r="K1749" i="5"/>
  <c r="L1749" i="5" s="1"/>
  <c r="E1749" i="5"/>
  <c r="K1748" i="5"/>
  <c r="L1748" i="5" s="1"/>
  <c r="K1747" i="5"/>
  <c r="L1747" i="5" s="1"/>
  <c r="E1747" i="5"/>
  <c r="K1746" i="5"/>
  <c r="L1746" i="5" s="1"/>
  <c r="E1746" i="5"/>
  <c r="K1745" i="5"/>
  <c r="L1745" i="5" s="1"/>
  <c r="K1744" i="5"/>
  <c r="L1744" i="5" s="1"/>
  <c r="E1744" i="5"/>
  <c r="K1743" i="5"/>
  <c r="L1743" i="5" s="1"/>
  <c r="E1743" i="5"/>
  <c r="K1742" i="5"/>
  <c r="L1742" i="5" s="1"/>
  <c r="K1741" i="5"/>
  <c r="L1741" i="5" s="1"/>
  <c r="E1741" i="5"/>
  <c r="K1740" i="5"/>
  <c r="L1740" i="5" s="1"/>
  <c r="E1740" i="5"/>
  <c r="K1739" i="5"/>
  <c r="L1739" i="5" s="1"/>
  <c r="E1739" i="5"/>
  <c r="L1738" i="5"/>
  <c r="K1738" i="5"/>
  <c r="K1737" i="5"/>
  <c r="L1737" i="5" s="1"/>
  <c r="E1737" i="5"/>
  <c r="K1736" i="5"/>
  <c r="L1736" i="5" s="1"/>
  <c r="E1736" i="5"/>
  <c r="K1735" i="5"/>
  <c r="L1735" i="5" s="1"/>
  <c r="E1735" i="5"/>
  <c r="K1734" i="5"/>
  <c r="L1734" i="5" s="1"/>
  <c r="E1734" i="5"/>
  <c r="K1733" i="5"/>
  <c r="L1733" i="5" s="1"/>
  <c r="E1733" i="5"/>
  <c r="J1730" i="5"/>
  <c r="I1730" i="5"/>
  <c r="H1730" i="5"/>
  <c r="G1730" i="5"/>
  <c r="F1730" i="5"/>
  <c r="F1760" i="5" s="1"/>
  <c r="K1729" i="5"/>
  <c r="K1728" i="5"/>
  <c r="K1727" i="5"/>
  <c r="K1726" i="5"/>
  <c r="K1725" i="5"/>
  <c r="J1715" i="5"/>
  <c r="I1715" i="5"/>
  <c r="H1715" i="5"/>
  <c r="G1715" i="5"/>
  <c r="F1715" i="5"/>
  <c r="K1713" i="5"/>
  <c r="K1712" i="5"/>
  <c r="K1711" i="5"/>
  <c r="L1711" i="5" s="1"/>
  <c r="E1711" i="5"/>
  <c r="K1710" i="5"/>
  <c r="L1710" i="5" s="1"/>
  <c r="E1710" i="5"/>
  <c r="L1709" i="5"/>
  <c r="K1709" i="5"/>
  <c r="E1709" i="5"/>
  <c r="K1708" i="5"/>
  <c r="L1708" i="5" s="1"/>
  <c r="E1708" i="5"/>
  <c r="K1707" i="5"/>
  <c r="L1707" i="5" s="1"/>
  <c r="E1707" i="5"/>
  <c r="K1706" i="5"/>
  <c r="L1706" i="5" s="1"/>
  <c r="E1706" i="5"/>
  <c r="K1705" i="5"/>
  <c r="L1705" i="5" s="1"/>
  <c r="E1705" i="5"/>
  <c r="K1704" i="5"/>
  <c r="L1704" i="5" s="1"/>
  <c r="K1703" i="5"/>
  <c r="L1703" i="5" s="1"/>
  <c r="E1703" i="5"/>
  <c r="K1702" i="5"/>
  <c r="L1702" i="5" s="1"/>
  <c r="E1702" i="5"/>
  <c r="K1701" i="5"/>
  <c r="L1701" i="5" s="1"/>
  <c r="K1700" i="5"/>
  <c r="L1700" i="5" s="1"/>
  <c r="E1700" i="5"/>
  <c r="K1699" i="5"/>
  <c r="L1699" i="5" s="1"/>
  <c r="E1699" i="5"/>
  <c r="K1698" i="5"/>
  <c r="L1698" i="5" s="1"/>
  <c r="K1697" i="5"/>
  <c r="L1697" i="5" s="1"/>
  <c r="E1697" i="5"/>
  <c r="K1696" i="5"/>
  <c r="L1696" i="5" s="1"/>
  <c r="E1696" i="5"/>
  <c r="K1695" i="5"/>
  <c r="L1695" i="5" s="1"/>
  <c r="E1695" i="5"/>
  <c r="K1694" i="5"/>
  <c r="L1694" i="5" s="1"/>
  <c r="L1693" i="5"/>
  <c r="K1693" i="5"/>
  <c r="E1693" i="5"/>
  <c r="K1692" i="5"/>
  <c r="L1692" i="5" s="1"/>
  <c r="E1692" i="5"/>
  <c r="K1691" i="5"/>
  <c r="L1691" i="5" s="1"/>
  <c r="E1691" i="5"/>
  <c r="K1690" i="5"/>
  <c r="L1690" i="5" s="1"/>
  <c r="E1690" i="5"/>
  <c r="K1689" i="5"/>
  <c r="L1689" i="5" s="1"/>
  <c r="E1689" i="5"/>
  <c r="J1686" i="5"/>
  <c r="J1716" i="5" s="1"/>
  <c r="I1686" i="5"/>
  <c r="I1716" i="5" s="1"/>
  <c r="H1686" i="5"/>
  <c r="G1686" i="5"/>
  <c r="F1686" i="5"/>
  <c r="K1685" i="5"/>
  <c r="K1684" i="5"/>
  <c r="K1683" i="5"/>
  <c r="K1682" i="5"/>
  <c r="K1681" i="5"/>
  <c r="C456" i="18"/>
  <c r="B456" i="18"/>
  <c r="C445" i="18"/>
  <c r="B445" i="18"/>
  <c r="C438" i="18"/>
  <c r="B438" i="18"/>
  <c r="C402" i="2"/>
  <c r="G335" i="1"/>
  <c r="H1716" i="5" l="1"/>
  <c r="Q161" i="7"/>
  <c r="H161" i="7"/>
  <c r="P161" i="7"/>
  <c r="X161" i="7"/>
  <c r="J161" i="7"/>
  <c r="R161" i="7"/>
  <c r="M161" i="7"/>
  <c r="N161" i="7"/>
  <c r="K161" i="7"/>
  <c r="F161" i="7"/>
  <c r="I161" i="7"/>
  <c r="E1590" i="8"/>
  <c r="K1804" i="5"/>
  <c r="K1805" i="5" s="1"/>
  <c r="N121" i="13"/>
  <c r="E1547" i="8"/>
  <c r="Y159" i="7"/>
  <c r="E160" i="7"/>
  <c r="E159" i="7"/>
  <c r="Y160" i="7"/>
  <c r="J1760" i="5"/>
  <c r="I1760" i="5"/>
  <c r="H1760" i="5"/>
  <c r="G1760" i="5"/>
  <c r="K1760" i="5" s="1"/>
  <c r="E1759" i="5"/>
  <c r="K1759" i="5"/>
  <c r="K1730" i="5"/>
  <c r="G1716" i="5"/>
  <c r="F1716" i="5"/>
  <c r="E1715" i="5"/>
  <c r="L1759" i="5"/>
  <c r="K1715" i="5"/>
  <c r="K1686" i="5"/>
  <c r="L1715" i="5"/>
  <c r="N108" i="13"/>
  <c r="N112" i="13" s="1"/>
  <c r="G922" i="26"/>
  <c r="C904" i="26"/>
  <c r="D950" i="26"/>
  <c r="F949" i="26"/>
  <c r="G935" i="26"/>
  <c r="F937" i="26" s="1"/>
  <c r="M1503" i="8"/>
  <c r="L1503" i="8"/>
  <c r="K1503" i="8"/>
  <c r="J1503" i="8"/>
  <c r="I1503" i="8"/>
  <c r="H1503" i="8"/>
  <c r="G1503" i="8"/>
  <c r="F1503" i="8"/>
  <c r="B1465" i="8"/>
  <c r="J1671" i="5"/>
  <c r="I1671" i="5"/>
  <c r="H1671" i="5"/>
  <c r="G1671" i="5"/>
  <c r="F1671" i="5"/>
  <c r="K1669" i="5"/>
  <c r="K1668" i="5"/>
  <c r="K1667" i="5"/>
  <c r="L1667" i="5" s="1"/>
  <c r="E1667" i="5"/>
  <c r="K1666" i="5"/>
  <c r="L1666" i="5" s="1"/>
  <c r="E1666" i="5"/>
  <c r="K1665" i="5"/>
  <c r="L1665" i="5" s="1"/>
  <c r="E1665" i="5"/>
  <c r="K1664" i="5"/>
  <c r="L1664" i="5" s="1"/>
  <c r="E1664" i="5"/>
  <c r="K1663" i="5"/>
  <c r="L1663" i="5" s="1"/>
  <c r="E1663" i="5"/>
  <c r="K1662" i="5"/>
  <c r="L1662" i="5" s="1"/>
  <c r="E1662" i="5"/>
  <c r="K1661" i="5"/>
  <c r="L1661" i="5" s="1"/>
  <c r="E1661" i="5"/>
  <c r="K1660" i="5"/>
  <c r="L1660" i="5" s="1"/>
  <c r="K1659" i="5"/>
  <c r="L1659" i="5" s="1"/>
  <c r="E1659" i="5"/>
  <c r="K1658" i="5"/>
  <c r="L1658" i="5" s="1"/>
  <c r="E1658" i="5"/>
  <c r="K1657" i="5"/>
  <c r="L1657" i="5" s="1"/>
  <c r="K1656" i="5"/>
  <c r="L1656" i="5" s="1"/>
  <c r="E1656" i="5"/>
  <c r="K1655" i="5"/>
  <c r="L1655" i="5" s="1"/>
  <c r="E1655" i="5"/>
  <c r="K1654" i="5"/>
  <c r="L1654" i="5" s="1"/>
  <c r="K1653" i="5"/>
  <c r="L1653" i="5" s="1"/>
  <c r="E1653" i="5"/>
  <c r="K1652" i="5"/>
  <c r="L1652" i="5" s="1"/>
  <c r="E1652" i="5"/>
  <c r="K1651" i="5"/>
  <c r="L1651" i="5" s="1"/>
  <c r="E1651" i="5"/>
  <c r="K1650" i="5"/>
  <c r="L1650" i="5" s="1"/>
  <c r="K1649" i="5"/>
  <c r="L1649" i="5" s="1"/>
  <c r="E1649" i="5"/>
  <c r="K1648" i="5"/>
  <c r="L1648" i="5" s="1"/>
  <c r="E1648" i="5"/>
  <c r="K1647" i="5"/>
  <c r="L1647" i="5" s="1"/>
  <c r="E1647" i="5"/>
  <c r="K1646" i="5"/>
  <c r="L1646" i="5" s="1"/>
  <c r="E1646" i="5"/>
  <c r="K1645" i="5"/>
  <c r="L1645" i="5" s="1"/>
  <c r="E1645" i="5"/>
  <c r="J1642" i="5"/>
  <c r="J1672" i="5" s="1"/>
  <c r="I1642" i="5"/>
  <c r="H1642" i="5"/>
  <c r="G1642" i="5"/>
  <c r="F1642" i="5"/>
  <c r="K1641" i="5"/>
  <c r="K1640" i="5"/>
  <c r="K1639" i="5"/>
  <c r="K1638" i="5"/>
  <c r="K1637" i="5"/>
  <c r="C428" i="18"/>
  <c r="B428" i="18"/>
  <c r="AX389" i="2"/>
  <c r="C387" i="2"/>
  <c r="L316" i="1"/>
  <c r="F1672" i="5" l="1"/>
  <c r="E161" i="7"/>
  <c r="Y161" i="7"/>
  <c r="E1504" i="8"/>
  <c r="K1716" i="5"/>
  <c r="K1717" i="5" s="1"/>
  <c r="K1761" i="5"/>
  <c r="I1672" i="5"/>
  <c r="H1672" i="5"/>
  <c r="G1672" i="5"/>
  <c r="K1671" i="5"/>
  <c r="E1671" i="5"/>
  <c r="K1642" i="5"/>
  <c r="L1671" i="5"/>
  <c r="G872" i="26"/>
  <c r="F874" i="26" s="1"/>
  <c r="G910" i="26"/>
  <c r="C854" i="26"/>
  <c r="C905" i="26"/>
  <c r="D925" i="26"/>
  <c r="F924" i="26"/>
  <c r="F912" i="26"/>
  <c r="D900" i="26"/>
  <c r="F899" i="26"/>
  <c r="G897" i="26"/>
  <c r="G885" i="26"/>
  <c r="F887" i="26" s="1"/>
  <c r="G860" i="26"/>
  <c r="F862" i="26" s="1"/>
  <c r="D875" i="26"/>
  <c r="M1460" i="8"/>
  <c r="L1460" i="8"/>
  <c r="K1460" i="8"/>
  <c r="J1460" i="8"/>
  <c r="I1460" i="8"/>
  <c r="H1460" i="8"/>
  <c r="G1460" i="8"/>
  <c r="F1460" i="8"/>
  <c r="B1422" i="8"/>
  <c r="J1627" i="5"/>
  <c r="I1627" i="5"/>
  <c r="H1627" i="5"/>
  <c r="G1627" i="5"/>
  <c r="F1627" i="5"/>
  <c r="K1625" i="5"/>
  <c r="K1624" i="5"/>
  <c r="K1623" i="5"/>
  <c r="L1623" i="5" s="1"/>
  <c r="E1623" i="5"/>
  <c r="K1622" i="5"/>
  <c r="L1622" i="5" s="1"/>
  <c r="E1622" i="5"/>
  <c r="L1621" i="5"/>
  <c r="K1621" i="5"/>
  <c r="E1621" i="5"/>
  <c r="K1620" i="5"/>
  <c r="L1620" i="5" s="1"/>
  <c r="E1620" i="5"/>
  <c r="K1619" i="5"/>
  <c r="L1619" i="5" s="1"/>
  <c r="E1619" i="5"/>
  <c r="K1618" i="5"/>
  <c r="L1618" i="5" s="1"/>
  <c r="E1618" i="5"/>
  <c r="K1617" i="5"/>
  <c r="L1617" i="5" s="1"/>
  <c r="E1617" i="5"/>
  <c r="K1616" i="5"/>
  <c r="L1616" i="5" s="1"/>
  <c r="K1615" i="5"/>
  <c r="L1615" i="5" s="1"/>
  <c r="E1615" i="5"/>
  <c r="L1614" i="5"/>
  <c r="K1614" i="5"/>
  <c r="E1614" i="5"/>
  <c r="K1613" i="5"/>
  <c r="L1613" i="5" s="1"/>
  <c r="K1612" i="5"/>
  <c r="L1612" i="5" s="1"/>
  <c r="E1612" i="5"/>
  <c r="K1611" i="5"/>
  <c r="L1611" i="5" s="1"/>
  <c r="E1611" i="5"/>
  <c r="K1610" i="5"/>
  <c r="L1610" i="5" s="1"/>
  <c r="K1609" i="5"/>
  <c r="L1609" i="5" s="1"/>
  <c r="E1609" i="5"/>
  <c r="K1608" i="5"/>
  <c r="L1608" i="5" s="1"/>
  <c r="E1608" i="5"/>
  <c r="K1607" i="5"/>
  <c r="L1607" i="5" s="1"/>
  <c r="E1607" i="5"/>
  <c r="L1606" i="5"/>
  <c r="K1606" i="5"/>
  <c r="K1605" i="5"/>
  <c r="L1605" i="5" s="1"/>
  <c r="E1605" i="5"/>
  <c r="K1604" i="5"/>
  <c r="L1604" i="5" s="1"/>
  <c r="E1604" i="5"/>
  <c r="L1603" i="5"/>
  <c r="K1603" i="5"/>
  <c r="E1603" i="5"/>
  <c r="K1602" i="5"/>
  <c r="L1602" i="5" s="1"/>
  <c r="E1602" i="5"/>
  <c r="K1601" i="5"/>
  <c r="L1601" i="5" s="1"/>
  <c r="E1601" i="5"/>
  <c r="J1598" i="5"/>
  <c r="J1628" i="5" s="1"/>
  <c r="I1598" i="5"/>
  <c r="H1598" i="5"/>
  <c r="G1598" i="5"/>
  <c r="F1598" i="5"/>
  <c r="F1628" i="5" s="1"/>
  <c r="K1597" i="5"/>
  <c r="K1596" i="5"/>
  <c r="K1595" i="5"/>
  <c r="K1594" i="5"/>
  <c r="K1593" i="5"/>
  <c r="J1583" i="5"/>
  <c r="I1583" i="5"/>
  <c r="H1583" i="5"/>
  <c r="G1583" i="5"/>
  <c r="F1583" i="5"/>
  <c r="K1581" i="5"/>
  <c r="K1580" i="5"/>
  <c r="L1579" i="5"/>
  <c r="K1579" i="5"/>
  <c r="E1579" i="5"/>
  <c r="K1578" i="5"/>
  <c r="L1578" i="5" s="1"/>
  <c r="E1578" i="5"/>
  <c r="K1577" i="5"/>
  <c r="L1577" i="5" s="1"/>
  <c r="E1577" i="5"/>
  <c r="K1576" i="5"/>
  <c r="L1576" i="5" s="1"/>
  <c r="E1576" i="5"/>
  <c r="K1575" i="5"/>
  <c r="L1575" i="5" s="1"/>
  <c r="E1575" i="5"/>
  <c r="K1574" i="5"/>
  <c r="L1574" i="5" s="1"/>
  <c r="E1574" i="5"/>
  <c r="K1573" i="5"/>
  <c r="L1573" i="5" s="1"/>
  <c r="E1573" i="5"/>
  <c r="K1572" i="5"/>
  <c r="L1572" i="5" s="1"/>
  <c r="K1571" i="5"/>
  <c r="L1571" i="5" s="1"/>
  <c r="E1571" i="5"/>
  <c r="K1570" i="5"/>
  <c r="L1570" i="5" s="1"/>
  <c r="E1570" i="5"/>
  <c r="K1569" i="5"/>
  <c r="L1569" i="5" s="1"/>
  <c r="K1568" i="5"/>
  <c r="L1568" i="5" s="1"/>
  <c r="E1568" i="5"/>
  <c r="K1567" i="5"/>
  <c r="L1567" i="5" s="1"/>
  <c r="E1567" i="5"/>
  <c r="K1566" i="5"/>
  <c r="L1566" i="5" s="1"/>
  <c r="K1565" i="5"/>
  <c r="L1565" i="5" s="1"/>
  <c r="E1565" i="5"/>
  <c r="K1564" i="5"/>
  <c r="L1564" i="5" s="1"/>
  <c r="E1564" i="5"/>
  <c r="K1563" i="5"/>
  <c r="L1563" i="5" s="1"/>
  <c r="E1563" i="5"/>
  <c r="K1562" i="5"/>
  <c r="L1562" i="5" s="1"/>
  <c r="K1561" i="5"/>
  <c r="L1561" i="5" s="1"/>
  <c r="E1561" i="5"/>
  <c r="K1560" i="5"/>
  <c r="L1560" i="5" s="1"/>
  <c r="E1560" i="5"/>
  <c r="K1559" i="5"/>
  <c r="L1559" i="5" s="1"/>
  <c r="E1559" i="5"/>
  <c r="K1558" i="5"/>
  <c r="L1558" i="5" s="1"/>
  <c r="E1558" i="5"/>
  <c r="K1557" i="5"/>
  <c r="L1557" i="5" s="1"/>
  <c r="E1557" i="5"/>
  <c r="J1554" i="5"/>
  <c r="I1554" i="5"/>
  <c r="H1554" i="5"/>
  <c r="G1554" i="5"/>
  <c r="F1554" i="5"/>
  <c r="K1553" i="5"/>
  <c r="K1552" i="5"/>
  <c r="K1551" i="5"/>
  <c r="K1550" i="5"/>
  <c r="K1549" i="5"/>
  <c r="C417" i="18"/>
  <c r="B417" i="18"/>
  <c r="B409" i="18"/>
  <c r="C409" i="18"/>
  <c r="J378" i="2"/>
  <c r="C372" i="2"/>
  <c r="G303" i="1"/>
  <c r="I1628" i="5" l="1"/>
  <c r="E1627" i="5"/>
  <c r="K1672" i="5"/>
  <c r="H1628" i="5"/>
  <c r="E1461" i="8"/>
  <c r="K1673" i="5"/>
  <c r="G1628" i="5"/>
  <c r="K1628" i="5" s="1"/>
  <c r="K1629" i="5" s="1"/>
  <c r="K1627" i="5"/>
  <c r="K1598" i="5"/>
  <c r="F1584" i="5"/>
  <c r="I1584" i="5"/>
  <c r="H1584" i="5"/>
  <c r="G1584" i="5"/>
  <c r="E1583" i="5"/>
  <c r="J1584" i="5"/>
  <c r="L1627" i="5"/>
  <c r="K1583" i="5"/>
  <c r="K1554" i="5"/>
  <c r="L1583" i="5"/>
  <c r="N101" i="13"/>
  <c r="N100" i="13"/>
  <c r="N103" i="13"/>
  <c r="N104" i="13"/>
  <c r="N99" i="13"/>
  <c r="F99" i="13"/>
  <c r="N102" i="13"/>
  <c r="G847" i="26"/>
  <c r="C830" i="26"/>
  <c r="M1417" i="8"/>
  <c r="L1417" i="8"/>
  <c r="K1417" i="8"/>
  <c r="J1417" i="8"/>
  <c r="I1417" i="8"/>
  <c r="H1417" i="8"/>
  <c r="G1417" i="8"/>
  <c r="F1417" i="8"/>
  <c r="B1379" i="8"/>
  <c r="J1539" i="5"/>
  <c r="I1539" i="5"/>
  <c r="H1539" i="5"/>
  <c r="G1539" i="5"/>
  <c r="F1539" i="5"/>
  <c r="K1537" i="5"/>
  <c r="K1536" i="5"/>
  <c r="K1535" i="5"/>
  <c r="L1535" i="5" s="1"/>
  <c r="E1535" i="5"/>
  <c r="K1534" i="5"/>
  <c r="L1534" i="5" s="1"/>
  <c r="E1534" i="5"/>
  <c r="K1533" i="5"/>
  <c r="L1533" i="5" s="1"/>
  <c r="E1533" i="5"/>
  <c r="K1532" i="5"/>
  <c r="L1532" i="5" s="1"/>
  <c r="E1532" i="5"/>
  <c r="K1531" i="5"/>
  <c r="L1531" i="5" s="1"/>
  <c r="E1531" i="5"/>
  <c r="K1530" i="5"/>
  <c r="L1530" i="5" s="1"/>
  <c r="E1530" i="5"/>
  <c r="K1529" i="5"/>
  <c r="L1529" i="5" s="1"/>
  <c r="E1529" i="5"/>
  <c r="K1528" i="5"/>
  <c r="L1528" i="5" s="1"/>
  <c r="K1527" i="5"/>
  <c r="L1527" i="5" s="1"/>
  <c r="E1527" i="5"/>
  <c r="K1526" i="5"/>
  <c r="L1526" i="5" s="1"/>
  <c r="E1526" i="5"/>
  <c r="K1525" i="5"/>
  <c r="L1525" i="5" s="1"/>
  <c r="K1524" i="5"/>
  <c r="L1524" i="5" s="1"/>
  <c r="E1524" i="5"/>
  <c r="K1523" i="5"/>
  <c r="L1523" i="5" s="1"/>
  <c r="E1523" i="5"/>
  <c r="K1522" i="5"/>
  <c r="L1522" i="5" s="1"/>
  <c r="K1521" i="5"/>
  <c r="L1521" i="5" s="1"/>
  <c r="E1521" i="5"/>
  <c r="K1520" i="5"/>
  <c r="L1520" i="5" s="1"/>
  <c r="E1520" i="5"/>
  <c r="K1519" i="5"/>
  <c r="L1519" i="5" s="1"/>
  <c r="E1519" i="5"/>
  <c r="K1518" i="5"/>
  <c r="L1518" i="5" s="1"/>
  <c r="K1517" i="5"/>
  <c r="L1517" i="5" s="1"/>
  <c r="E1517" i="5"/>
  <c r="K1516" i="5"/>
  <c r="L1516" i="5" s="1"/>
  <c r="E1516" i="5"/>
  <c r="K1515" i="5"/>
  <c r="L1515" i="5" s="1"/>
  <c r="E1515" i="5"/>
  <c r="K1514" i="5"/>
  <c r="L1514" i="5" s="1"/>
  <c r="E1514" i="5"/>
  <c r="K1513" i="5"/>
  <c r="L1513" i="5" s="1"/>
  <c r="E1513" i="5"/>
  <c r="J1510" i="5"/>
  <c r="I1510" i="5"/>
  <c r="I1540" i="5" s="1"/>
  <c r="H1510" i="5"/>
  <c r="H1540" i="5" s="1"/>
  <c r="G1510" i="5"/>
  <c r="F1510" i="5"/>
  <c r="K1509" i="5"/>
  <c r="K1508" i="5"/>
  <c r="K1507" i="5"/>
  <c r="K1506" i="5"/>
  <c r="K1505" i="5"/>
  <c r="C394" i="18"/>
  <c r="B394" i="18"/>
  <c r="C365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C469" i="2"/>
  <c r="C461" i="2"/>
  <c r="C452" i="2"/>
  <c r="C445" i="2"/>
  <c r="C439" i="2"/>
  <c r="C430" i="2"/>
  <c r="C427" i="2"/>
  <c r="L416" i="2"/>
  <c r="AI416" i="2" s="1"/>
  <c r="AW416" i="2" s="1"/>
  <c r="AW474" i="2" s="1"/>
  <c r="AL474" i="2" s="1"/>
  <c r="L474" i="2" s="1"/>
  <c r="C474" i="2" s="1"/>
  <c r="F298" i="1"/>
  <c r="W390" i="1"/>
  <c r="N12" i="29" s="1"/>
  <c r="V390" i="1"/>
  <c r="E12" i="29" s="1"/>
  <c r="U390" i="1"/>
  <c r="S390" i="1"/>
  <c r="K12" i="29" s="1"/>
  <c r="R390" i="1"/>
  <c r="Q390" i="1"/>
  <c r="I12" i="29" s="1"/>
  <c r="P390" i="1"/>
  <c r="O390" i="1"/>
  <c r="M12" i="29" s="1"/>
  <c r="N390" i="1"/>
  <c r="L12" i="29" s="1"/>
  <c r="M390" i="1"/>
  <c r="L390" i="1"/>
  <c r="J12" i="29" s="1"/>
  <c r="K390" i="1"/>
  <c r="H12" i="29" s="1"/>
  <c r="J390" i="1"/>
  <c r="G12" i="29" s="1"/>
  <c r="I390" i="1"/>
  <c r="F12" i="29" s="1"/>
  <c r="H390" i="1"/>
  <c r="G390" i="1"/>
  <c r="D12" i="29" s="1"/>
  <c r="F390" i="1"/>
  <c r="C12" i="29" s="1"/>
  <c r="E387" i="1"/>
  <c r="D387" i="1"/>
  <c r="Z384" i="1"/>
  <c r="Y384" i="1"/>
  <c r="E383" i="1"/>
  <c r="D383" i="1"/>
  <c r="Z377" i="1"/>
  <c r="Y377" i="1"/>
  <c r="E376" i="1"/>
  <c r="D376" i="1"/>
  <c r="Z373" i="1"/>
  <c r="Y373" i="1"/>
  <c r="E372" i="1"/>
  <c r="D372" i="1"/>
  <c r="Z365" i="1"/>
  <c r="Y365" i="1"/>
  <c r="E364" i="1"/>
  <c r="D364" i="1"/>
  <c r="Z358" i="1"/>
  <c r="Y358" i="1"/>
  <c r="E357" i="1"/>
  <c r="D357" i="1"/>
  <c r="Z352" i="1"/>
  <c r="Y352" i="1"/>
  <c r="E351" i="1"/>
  <c r="D351" i="1"/>
  <c r="Z347" i="1"/>
  <c r="Y347" i="1"/>
  <c r="M345" i="1"/>
  <c r="V345" i="1" s="1"/>
  <c r="V392" i="1" s="1"/>
  <c r="M392" i="1" s="1"/>
  <c r="E392" i="1" s="1"/>
  <c r="D390" i="1" l="1"/>
  <c r="E390" i="1"/>
  <c r="Y390" i="1"/>
  <c r="C471" i="2"/>
  <c r="E1418" i="8"/>
  <c r="K1584" i="5"/>
  <c r="K1585" i="5" s="1"/>
  <c r="N105" i="13"/>
  <c r="L1539" i="5"/>
  <c r="F1540" i="5"/>
  <c r="E1539" i="5"/>
  <c r="G1540" i="5"/>
  <c r="J1540" i="5"/>
  <c r="K1539" i="5"/>
  <c r="K1510" i="5"/>
  <c r="D850" i="26"/>
  <c r="F849" i="26"/>
  <c r="F837" i="26"/>
  <c r="D825" i="26"/>
  <c r="F824" i="26"/>
  <c r="F812" i="26"/>
  <c r="G785" i="26"/>
  <c r="F787" i="26" s="1"/>
  <c r="D800" i="26"/>
  <c r="F799" i="26"/>
  <c r="M1374" i="8"/>
  <c r="L1374" i="8"/>
  <c r="K1374" i="8"/>
  <c r="J1374" i="8"/>
  <c r="I1374" i="8"/>
  <c r="H1374" i="8"/>
  <c r="G1374" i="8"/>
  <c r="F1374" i="8"/>
  <c r="B1336" i="8"/>
  <c r="X140" i="7"/>
  <c r="W140" i="7"/>
  <c r="V140" i="7"/>
  <c r="U140" i="7"/>
  <c r="T140" i="7"/>
  <c r="S140" i="7"/>
  <c r="S141" i="7" s="1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X139" i="7"/>
  <c r="X141" i="7" s="1"/>
  <c r="W139" i="7"/>
  <c r="V139" i="7"/>
  <c r="V141" i="7" s="1"/>
  <c r="U139" i="7"/>
  <c r="U141" i="7" s="1"/>
  <c r="T139" i="7"/>
  <c r="S139" i="7"/>
  <c r="R139" i="7"/>
  <c r="Q139" i="7"/>
  <c r="Q141" i="7" s="1"/>
  <c r="P139" i="7"/>
  <c r="P141" i="7" s="1"/>
  <c r="O139" i="7"/>
  <c r="N139" i="7"/>
  <c r="N141" i="7" s="1"/>
  <c r="M139" i="7"/>
  <c r="M141" i="7" s="1"/>
  <c r="L139" i="7"/>
  <c r="K139" i="7"/>
  <c r="J139" i="7"/>
  <c r="I139" i="7"/>
  <c r="H139" i="7"/>
  <c r="H141" i="7" s="1"/>
  <c r="G139" i="7"/>
  <c r="F139" i="7"/>
  <c r="Y138" i="7"/>
  <c r="E138" i="7"/>
  <c r="AB137" i="7"/>
  <c r="Y137" i="7"/>
  <c r="E137" i="7"/>
  <c r="Y136" i="7"/>
  <c r="E136" i="7"/>
  <c r="AB135" i="7"/>
  <c r="Y135" i="7"/>
  <c r="E135" i="7"/>
  <c r="Y134" i="7"/>
  <c r="E134" i="7"/>
  <c r="AB133" i="7"/>
  <c r="Y133" i="7"/>
  <c r="E133" i="7"/>
  <c r="Y132" i="7"/>
  <c r="E132" i="7"/>
  <c r="AB131" i="7"/>
  <c r="Y131" i="7"/>
  <c r="E131" i="7"/>
  <c r="Y130" i="7"/>
  <c r="E130" i="7"/>
  <c r="AB129" i="7"/>
  <c r="Y129" i="7"/>
  <c r="E129" i="7"/>
  <c r="Y128" i="7"/>
  <c r="E128" i="7"/>
  <c r="AB127" i="7"/>
  <c r="Y127" i="7"/>
  <c r="E127" i="7"/>
  <c r="Y126" i="7"/>
  <c r="E126" i="7"/>
  <c r="AB125" i="7"/>
  <c r="E125" i="7"/>
  <c r="J1495" i="5"/>
  <c r="I1495" i="5"/>
  <c r="H1495" i="5"/>
  <c r="G1495" i="5"/>
  <c r="F1495" i="5"/>
  <c r="K1493" i="5"/>
  <c r="K1492" i="5"/>
  <c r="K1491" i="5"/>
  <c r="L1491" i="5" s="1"/>
  <c r="E1491" i="5"/>
  <c r="K1490" i="5"/>
  <c r="L1490" i="5" s="1"/>
  <c r="E1490" i="5"/>
  <c r="K1489" i="5"/>
  <c r="L1489" i="5" s="1"/>
  <c r="E1489" i="5"/>
  <c r="K1488" i="5"/>
  <c r="L1488" i="5" s="1"/>
  <c r="E1488" i="5"/>
  <c r="K1487" i="5"/>
  <c r="L1487" i="5" s="1"/>
  <c r="E1487" i="5"/>
  <c r="K1486" i="5"/>
  <c r="L1486" i="5" s="1"/>
  <c r="E1486" i="5"/>
  <c r="K1485" i="5"/>
  <c r="L1485" i="5" s="1"/>
  <c r="E1485" i="5"/>
  <c r="K1484" i="5"/>
  <c r="L1484" i="5" s="1"/>
  <c r="K1483" i="5"/>
  <c r="L1483" i="5" s="1"/>
  <c r="E1483" i="5"/>
  <c r="K1482" i="5"/>
  <c r="L1482" i="5" s="1"/>
  <c r="E1482" i="5"/>
  <c r="K1481" i="5"/>
  <c r="L1481" i="5" s="1"/>
  <c r="K1480" i="5"/>
  <c r="L1480" i="5" s="1"/>
  <c r="E1480" i="5"/>
  <c r="K1479" i="5"/>
  <c r="L1479" i="5" s="1"/>
  <c r="E1479" i="5"/>
  <c r="K1478" i="5"/>
  <c r="L1478" i="5" s="1"/>
  <c r="K1477" i="5"/>
  <c r="L1477" i="5" s="1"/>
  <c r="E1477" i="5"/>
  <c r="K1476" i="5"/>
  <c r="L1476" i="5" s="1"/>
  <c r="E1476" i="5"/>
  <c r="K1475" i="5"/>
  <c r="L1475" i="5" s="1"/>
  <c r="E1475" i="5"/>
  <c r="K1474" i="5"/>
  <c r="L1474" i="5" s="1"/>
  <c r="K1473" i="5"/>
  <c r="L1473" i="5" s="1"/>
  <c r="E1473" i="5"/>
  <c r="K1472" i="5"/>
  <c r="L1472" i="5" s="1"/>
  <c r="E1472" i="5"/>
  <c r="K1471" i="5"/>
  <c r="L1471" i="5" s="1"/>
  <c r="E1471" i="5"/>
  <c r="K1470" i="5"/>
  <c r="L1470" i="5" s="1"/>
  <c r="E1470" i="5"/>
  <c r="K1469" i="5"/>
  <c r="L1469" i="5" s="1"/>
  <c r="E1469" i="5"/>
  <c r="J1466" i="5"/>
  <c r="I1466" i="5"/>
  <c r="H1466" i="5"/>
  <c r="G1466" i="5"/>
  <c r="F1466" i="5"/>
  <c r="K1465" i="5"/>
  <c r="K1464" i="5"/>
  <c r="K1463" i="5"/>
  <c r="K1462" i="5"/>
  <c r="K1461" i="5"/>
  <c r="C383" i="18"/>
  <c r="B383" i="18"/>
  <c r="C375" i="18"/>
  <c r="B375" i="18"/>
  <c r="C368" i="18"/>
  <c r="B368" i="18"/>
  <c r="O279" i="1"/>
  <c r="L141" i="7" l="1"/>
  <c r="T141" i="7"/>
  <c r="R141" i="7"/>
  <c r="O141" i="7"/>
  <c r="W141" i="7"/>
  <c r="I141" i="7"/>
  <c r="F141" i="7"/>
  <c r="J141" i="7"/>
  <c r="G141" i="7"/>
  <c r="Y139" i="7"/>
  <c r="E1375" i="8"/>
  <c r="K1540" i="5"/>
  <c r="K1541" i="5" s="1"/>
  <c r="K141" i="7"/>
  <c r="E140" i="7"/>
  <c r="Y140" i="7"/>
  <c r="E139" i="7"/>
  <c r="J1496" i="5"/>
  <c r="F1496" i="5"/>
  <c r="H1496" i="5"/>
  <c r="I1496" i="5"/>
  <c r="G1496" i="5"/>
  <c r="K1496" i="5" s="1"/>
  <c r="K1495" i="5"/>
  <c r="E1495" i="5"/>
  <c r="K1466" i="5"/>
  <c r="L1495" i="5"/>
  <c r="N92" i="13"/>
  <c r="N96" i="13" s="1"/>
  <c r="G760" i="26"/>
  <c r="C755" i="26"/>
  <c r="D775" i="26"/>
  <c r="G772" i="26"/>
  <c r="F774" i="26" s="1"/>
  <c r="F762" i="26"/>
  <c r="M1331" i="8"/>
  <c r="L1331" i="8"/>
  <c r="K1331" i="8"/>
  <c r="J1331" i="8"/>
  <c r="I1331" i="8"/>
  <c r="H1331" i="8"/>
  <c r="G1331" i="8"/>
  <c r="F1331" i="8"/>
  <c r="B1293" i="8"/>
  <c r="J1451" i="5"/>
  <c r="I1451" i="5"/>
  <c r="H1451" i="5"/>
  <c r="G1451" i="5"/>
  <c r="F1451" i="5"/>
  <c r="K1449" i="5"/>
  <c r="K1448" i="5"/>
  <c r="K1447" i="5"/>
  <c r="L1447" i="5" s="1"/>
  <c r="E1447" i="5"/>
  <c r="K1446" i="5"/>
  <c r="L1446" i="5" s="1"/>
  <c r="E1446" i="5"/>
  <c r="L1445" i="5"/>
  <c r="K1445" i="5"/>
  <c r="E1445" i="5"/>
  <c r="K1444" i="5"/>
  <c r="L1444" i="5" s="1"/>
  <c r="E1444" i="5"/>
  <c r="K1443" i="5"/>
  <c r="L1443" i="5" s="1"/>
  <c r="E1443" i="5"/>
  <c r="K1442" i="5"/>
  <c r="L1442" i="5" s="1"/>
  <c r="E1442" i="5"/>
  <c r="K1441" i="5"/>
  <c r="L1441" i="5" s="1"/>
  <c r="E1441" i="5"/>
  <c r="K1440" i="5"/>
  <c r="L1440" i="5" s="1"/>
  <c r="K1439" i="5"/>
  <c r="L1439" i="5" s="1"/>
  <c r="E1439" i="5"/>
  <c r="K1438" i="5"/>
  <c r="L1438" i="5" s="1"/>
  <c r="E1438" i="5"/>
  <c r="K1437" i="5"/>
  <c r="L1437" i="5" s="1"/>
  <c r="K1436" i="5"/>
  <c r="L1436" i="5" s="1"/>
  <c r="E1436" i="5"/>
  <c r="L1435" i="5"/>
  <c r="K1435" i="5"/>
  <c r="E1435" i="5"/>
  <c r="K1434" i="5"/>
  <c r="L1434" i="5" s="1"/>
  <c r="K1433" i="5"/>
  <c r="L1433" i="5" s="1"/>
  <c r="E1433" i="5"/>
  <c r="K1432" i="5"/>
  <c r="L1432" i="5" s="1"/>
  <c r="E1432" i="5"/>
  <c r="K1431" i="5"/>
  <c r="L1431" i="5" s="1"/>
  <c r="E1431" i="5"/>
  <c r="K1430" i="5"/>
  <c r="L1430" i="5" s="1"/>
  <c r="K1429" i="5"/>
  <c r="L1429" i="5" s="1"/>
  <c r="E1429" i="5"/>
  <c r="K1428" i="5"/>
  <c r="L1428" i="5" s="1"/>
  <c r="E1428" i="5"/>
  <c r="K1427" i="5"/>
  <c r="L1427" i="5" s="1"/>
  <c r="E1427" i="5"/>
  <c r="K1426" i="5"/>
  <c r="L1426" i="5" s="1"/>
  <c r="E1426" i="5"/>
  <c r="L1425" i="5"/>
  <c r="K1425" i="5"/>
  <c r="E1425" i="5"/>
  <c r="J1422" i="5"/>
  <c r="J1452" i="5" s="1"/>
  <c r="I1422" i="5"/>
  <c r="H1422" i="5"/>
  <c r="G1422" i="5"/>
  <c r="F1422" i="5"/>
  <c r="K1421" i="5"/>
  <c r="K1420" i="5"/>
  <c r="K1419" i="5"/>
  <c r="K1418" i="5"/>
  <c r="K1417" i="5"/>
  <c r="C361" i="18"/>
  <c r="B361" i="18"/>
  <c r="AX337" i="2"/>
  <c r="C335" i="2"/>
  <c r="L267" i="1"/>
  <c r="F1452" i="5" l="1"/>
  <c r="I1452" i="5"/>
  <c r="Y141" i="7"/>
  <c r="E141" i="7"/>
  <c r="E1332" i="8"/>
  <c r="K1497" i="5"/>
  <c r="H1452" i="5"/>
  <c r="L1451" i="5"/>
  <c r="E1451" i="5"/>
  <c r="G1452" i="5"/>
  <c r="K1451" i="5"/>
  <c r="K1422" i="5"/>
  <c r="G747" i="26"/>
  <c r="G735" i="26"/>
  <c r="F737" i="26" s="1"/>
  <c r="F749" i="26"/>
  <c r="D750" i="26"/>
  <c r="J1407" i="5"/>
  <c r="I1407" i="5"/>
  <c r="H1407" i="5"/>
  <c r="G1407" i="5"/>
  <c r="F1407" i="5"/>
  <c r="K1405" i="5"/>
  <c r="K1404" i="5"/>
  <c r="L1403" i="5"/>
  <c r="K1403" i="5"/>
  <c r="E1403" i="5"/>
  <c r="K1402" i="5"/>
  <c r="L1402" i="5" s="1"/>
  <c r="E1402" i="5"/>
  <c r="K1401" i="5"/>
  <c r="L1401" i="5" s="1"/>
  <c r="E1401" i="5"/>
  <c r="K1400" i="5"/>
  <c r="L1400" i="5" s="1"/>
  <c r="E1400" i="5"/>
  <c r="K1399" i="5"/>
  <c r="L1399" i="5" s="1"/>
  <c r="E1399" i="5"/>
  <c r="K1398" i="5"/>
  <c r="L1398" i="5" s="1"/>
  <c r="E1398" i="5"/>
  <c r="L1397" i="5"/>
  <c r="K1397" i="5"/>
  <c r="E1397" i="5"/>
  <c r="K1396" i="5"/>
  <c r="L1396" i="5" s="1"/>
  <c r="K1395" i="5"/>
  <c r="L1395" i="5" s="1"/>
  <c r="E1395" i="5"/>
  <c r="L1394" i="5"/>
  <c r="K1394" i="5"/>
  <c r="E1394" i="5"/>
  <c r="K1393" i="5"/>
  <c r="L1393" i="5" s="1"/>
  <c r="K1392" i="5"/>
  <c r="L1392" i="5" s="1"/>
  <c r="E1392" i="5"/>
  <c r="K1391" i="5"/>
  <c r="L1391" i="5" s="1"/>
  <c r="E1391" i="5"/>
  <c r="K1390" i="5"/>
  <c r="L1390" i="5" s="1"/>
  <c r="K1389" i="5"/>
  <c r="L1389" i="5" s="1"/>
  <c r="E1389" i="5"/>
  <c r="L1388" i="5"/>
  <c r="K1388" i="5"/>
  <c r="E1388" i="5"/>
  <c r="K1387" i="5"/>
  <c r="L1387" i="5" s="1"/>
  <c r="E1387" i="5"/>
  <c r="K1386" i="5"/>
  <c r="L1386" i="5" s="1"/>
  <c r="K1385" i="5"/>
  <c r="L1385" i="5" s="1"/>
  <c r="E1385" i="5"/>
  <c r="K1384" i="5"/>
  <c r="L1384" i="5" s="1"/>
  <c r="E1384" i="5"/>
  <c r="K1383" i="5"/>
  <c r="L1383" i="5" s="1"/>
  <c r="E1383" i="5"/>
  <c r="K1382" i="5"/>
  <c r="L1382" i="5" s="1"/>
  <c r="E1382" i="5"/>
  <c r="K1381" i="5"/>
  <c r="L1381" i="5" s="1"/>
  <c r="E1381" i="5"/>
  <c r="J1378" i="5"/>
  <c r="I1378" i="5"/>
  <c r="H1378" i="5"/>
  <c r="H1408" i="5" s="1"/>
  <c r="G1378" i="5"/>
  <c r="F1378" i="5"/>
  <c r="K1377" i="5"/>
  <c r="K1376" i="5"/>
  <c r="K1375" i="5"/>
  <c r="K1374" i="5"/>
  <c r="K1373" i="5"/>
  <c r="C347" i="18"/>
  <c r="K1452" i="5" l="1"/>
  <c r="K1453" i="5"/>
  <c r="I1408" i="5"/>
  <c r="F1408" i="5"/>
  <c r="J1408" i="5"/>
  <c r="E1407" i="5"/>
  <c r="G1408" i="5"/>
  <c r="K1407" i="5"/>
  <c r="K1378" i="5"/>
  <c r="L1407" i="5"/>
  <c r="G722" i="26"/>
  <c r="C711" i="26"/>
  <c r="J1202" i="8"/>
  <c r="M1288" i="8"/>
  <c r="L1288" i="8"/>
  <c r="K1288" i="8"/>
  <c r="J1288" i="8"/>
  <c r="I1288" i="8"/>
  <c r="H1288" i="8"/>
  <c r="G1288" i="8"/>
  <c r="F1288" i="8"/>
  <c r="B1250" i="8"/>
  <c r="J1363" i="5"/>
  <c r="I1363" i="5"/>
  <c r="H1363" i="5"/>
  <c r="G1363" i="5"/>
  <c r="F1363" i="5"/>
  <c r="K1361" i="5"/>
  <c r="K1360" i="5"/>
  <c r="K1359" i="5"/>
  <c r="L1359" i="5" s="1"/>
  <c r="E1359" i="5"/>
  <c r="K1358" i="5"/>
  <c r="L1358" i="5" s="1"/>
  <c r="E1358" i="5"/>
  <c r="K1357" i="5"/>
  <c r="L1357" i="5" s="1"/>
  <c r="E1357" i="5"/>
  <c r="K1356" i="5"/>
  <c r="L1356" i="5" s="1"/>
  <c r="E1356" i="5"/>
  <c r="K1355" i="5"/>
  <c r="L1355" i="5" s="1"/>
  <c r="E1355" i="5"/>
  <c r="K1354" i="5"/>
  <c r="L1354" i="5" s="1"/>
  <c r="E1354" i="5"/>
  <c r="K1353" i="5"/>
  <c r="L1353" i="5" s="1"/>
  <c r="E1353" i="5"/>
  <c r="K1352" i="5"/>
  <c r="L1352" i="5" s="1"/>
  <c r="K1351" i="5"/>
  <c r="L1351" i="5" s="1"/>
  <c r="E1351" i="5"/>
  <c r="K1350" i="5"/>
  <c r="L1350" i="5" s="1"/>
  <c r="E1350" i="5"/>
  <c r="K1349" i="5"/>
  <c r="L1349" i="5" s="1"/>
  <c r="K1348" i="5"/>
  <c r="L1348" i="5" s="1"/>
  <c r="E1348" i="5"/>
  <c r="K1347" i="5"/>
  <c r="L1347" i="5" s="1"/>
  <c r="E1347" i="5"/>
  <c r="K1346" i="5"/>
  <c r="L1346" i="5" s="1"/>
  <c r="K1345" i="5"/>
  <c r="L1345" i="5" s="1"/>
  <c r="E1345" i="5"/>
  <c r="K1344" i="5"/>
  <c r="L1344" i="5" s="1"/>
  <c r="E1344" i="5"/>
  <c r="K1343" i="5"/>
  <c r="L1343" i="5" s="1"/>
  <c r="E1343" i="5"/>
  <c r="K1342" i="5"/>
  <c r="L1342" i="5" s="1"/>
  <c r="K1341" i="5"/>
  <c r="L1341" i="5" s="1"/>
  <c r="E1341" i="5"/>
  <c r="K1340" i="5"/>
  <c r="L1340" i="5" s="1"/>
  <c r="E1340" i="5"/>
  <c r="K1339" i="5"/>
  <c r="L1339" i="5" s="1"/>
  <c r="E1339" i="5"/>
  <c r="K1338" i="5"/>
  <c r="L1338" i="5" s="1"/>
  <c r="E1338" i="5"/>
  <c r="K1337" i="5"/>
  <c r="L1337" i="5" s="1"/>
  <c r="E1337" i="5"/>
  <c r="J1334" i="5"/>
  <c r="I1334" i="5"/>
  <c r="H1334" i="5"/>
  <c r="G1334" i="5"/>
  <c r="F1334" i="5"/>
  <c r="F1364" i="5" s="1"/>
  <c r="K1333" i="5"/>
  <c r="K1332" i="5"/>
  <c r="K1331" i="5"/>
  <c r="K1330" i="5"/>
  <c r="K1329" i="5"/>
  <c r="C340" i="18"/>
  <c r="B340" i="18"/>
  <c r="C319" i="2"/>
  <c r="C317" i="2"/>
  <c r="L254" i="1"/>
  <c r="G254" i="1"/>
  <c r="E1289" i="8" l="1"/>
  <c r="K1408" i="5"/>
  <c r="K1409" i="5" s="1"/>
  <c r="I1364" i="5"/>
  <c r="H1364" i="5"/>
  <c r="J1364" i="5"/>
  <c r="K1334" i="5"/>
  <c r="G1364" i="5"/>
  <c r="E1363" i="5"/>
  <c r="K1363" i="5"/>
  <c r="L1363" i="5"/>
  <c r="D704" i="26"/>
  <c r="D725" i="26" s="1"/>
  <c r="G685" i="26"/>
  <c r="C681" i="26"/>
  <c r="F724" i="26"/>
  <c r="F712" i="26"/>
  <c r="M1245" i="8"/>
  <c r="L1245" i="8"/>
  <c r="K1245" i="8"/>
  <c r="J1245" i="8"/>
  <c r="I1245" i="8"/>
  <c r="H1245" i="8"/>
  <c r="G1245" i="8"/>
  <c r="F1245" i="8"/>
  <c r="B1207" i="8"/>
  <c r="J1319" i="5"/>
  <c r="I1319" i="5"/>
  <c r="H1319" i="5"/>
  <c r="G1319" i="5"/>
  <c r="F1319" i="5"/>
  <c r="K1317" i="5"/>
  <c r="K1316" i="5"/>
  <c r="K1315" i="5"/>
  <c r="L1315" i="5" s="1"/>
  <c r="E1315" i="5"/>
  <c r="K1314" i="5"/>
  <c r="L1314" i="5" s="1"/>
  <c r="E1314" i="5"/>
  <c r="K1313" i="5"/>
  <c r="L1313" i="5" s="1"/>
  <c r="E1313" i="5"/>
  <c r="K1312" i="5"/>
  <c r="L1312" i="5" s="1"/>
  <c r="E1312" i="5"/>
  <c r="K1311" i="5"/>
  <c r="L1311" i="5" s="1"/>
  <c r="E1311" i="5"/>
  <c r="K1310" i="5"/>
  <c r="L1310" i="5" s="1"/>
  <c r="E1310" i="5"/>
  <c r="L1309" i="5"/>
  <c r="K1309" i="5"/>
  <c r="E1309" i="5"/>
  <c r="K1308" i="5"/>
  <c r="L1308" i="5" s="1"/>
  <c r="K1307" i="5"/>
  <c r="L1307" i="5" s="1"/>
  <c r="E1307" i="5"/>
  <c r="K1306" i="5"/>
  <c r="L1306" i="5" s="1"/>
  <c r="E1306" i="5"/>
  <c r="K1305" i="5"/>
  <c r="L1305" i="5" s="1"/>
  <c r="K1304" i="5"/>
  <c r="L1304" i="5" s="1"/>
  <c r="E1304" i="5"/>
  <c r="L1303" i="5"/>
  <c r="K1303" i="5"/>
  <c r="E1303" i="5"/>
  <c r="K1302" i="5"/>
  <c r="L1302" i="5" s="1"/>
  <c r="K1301" i="5"/>
  <c r="L1301" i="5" s="1"/>
  <c r="E1301" i="5"/>
  <c r="K1300" i="5"/>
  <c r="L1300" i="5" s="1"/>
  <c r="E1300" i="5"/>
  <c r="K1299" i="5"/>
  <c r="L1299" i="5" s="1"/>
  <c r="E1299" i="5"/>
  <c r="K1298" i="5"/>
  <c r="L1298" i="5" s="1"/>
  <c r="K1297" i="5"/>
  <c r="L1297" i="5" s="1"/>
  <c r="E1297" i="5"/>
  <c r="K1296" i="5"/>
  <c r="L1296" i="5" s="1"/>
  <c r="E1296" i="5"/>
  <c r="K1295" i="5"/>
  <c r="L1295" i="5" s="1"/>
  <c r="E1295" i="5"/>
  <c r="K1294" i="5"/>
  <c r="L1294" i="5" s="1"/>
  <c r="E1294" i="5"/>
  <c r="K1293" i="5"/>
  <c r="L1293" i="5" s="1"/>
  <c r="E1293" i="5"/>
  <c r="J1290" i="5"/>
  <c r="I1290" i="5"/>
  <c r="I1320" i="5" s="1"/>
  <c r="H1290" i="5"/>
  <c r="H1320" i="5" s="1"/>
  <c r="G1290" i="5"/>
  <c r="F1290" i="5"/>
  <c r="K1289" i="5"/>
  <c r="K1288" i="5"/>
  <c r="K1287" i="5"/>
  <c r="K1286" i="5"/>
  <c r="K1285" i="5"/>
  <c r="C327" i="18"/>
  <c r="B327" i="18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C409" i="2"/>
  <c r="C401" i="2"/>
  <c r="C397" i="2"/>
  <c r="C391" i="2"/>
  <c r="C385" i="2"/>
  <c r="C381" i="2"/>
  <c r="C371" i="2"/>
  <c r="L361" i="2"/>
  <c r="AI361" i="2" s="1"/>
  <c r="AW361" i="2" s="1"/>
  <c r="AW414" i="2" s="1"/>
  <c r="AL414" i="2" s="1"/>
  <c r="L414" i="2" s="1"/>
  <c r="C414" i="2" s="1"/>
  <c r="W341" i="1"/>
  <c r="N11" i="29" s="1"/>
  <c r="V341" i="1"/>
  <c r="E11" i="29" s="1"/>
  <c r="U341" i="1"/>
  <c r="S341" i="1"/>
  <c r="K11" i="29" s="1"/>
  <c r="R341" i="1"/>
  <c r="Q341" i="1"/>
  <c r="I11" i="29" s="1"/>
  <c r="P341" i="1"/>
  <c r="O341" i="1"/>
  <c r="M11" i="29" s="1"/>
  <c r="N341" i="1"/>
  <c r="L11" i="29" s="1"/>
  <c r="M341" i="1"/>
  <c r="L341" i="1"/>
  <c r="J11" i="29" s="1"/>
  <c r="K341" i="1"/>
  <c r="H11" i="29" s="1"/>
  <c r="J341" i="1"/>
  <c r="G11" i="29" s="1"/>
  <c r="I341" i="1"/>
  <c r="F11" i="29" s="1"/>
  <c r="H341" i="1"/>
  <c r="G341" i="1"/>
  <c r="D11" i="29" s="1"/>
  <c r="F341" i="1"/>
  <c r="C11" i="29" s="1"/>
  <c r="D341" i="1"/>
  <c r="E338" i="1"/>
  <c r="E341" i="1" s="1"/>
  <c r="D338" i="1"/>
  <c r="Z335" i="1"/>
  <c r="Y335" i="1"/>
  <c r="E334" i="1"/>
  <c r="D334" i="1"/>
  <c r="Z328" i="1"/>
  <c r="Y328" i="1"/>
  <c r="E327" i="1"/>
  <c r="D327" i="1"/>
  <c r="Z324" i="1"/>
  <c r="Y324" i="1"/>
  <c r="E323" i="1"/>
  <c r="D323" i="1"/>
  <c r="Z316" i="1"/>
  <c r="Y316" i="1"/>
  <c r="E315" i="1"/>
  <c r="D315" i="1"/>
  <c r="Z309" i="1"/>
  <c r="Y309" i="1"/>
  <c r="E308" i="1"/>
  <c r="D308" i="1"/>
  <c r="Z303" i="1"/>
  <c r="Y303" i="1"/>
  <c r="E302" i="1"/>
  <c r="D302" i="1"/>
  <c r="Z298" i="1"/>
  <c r="Y298" i="1"/>
  <c r="M296" i="1"/>
  <c r="V296" i="1" s="1"/>
  <c r="V343" i="1" s="1"/>
  <c r="M343" i="1" s="1"/>
  <c r="E343" i="1" s="1"/>
  <c r="W292" i="1"/>
  <c r="N10" i="29" s="1"/>
  <c r="V292" i="1"/>
  <c r="E10" i="29" s="1"/>
  <c r="U292" i="1"/>
  <c r="S292" i="1"/>
  <c r="K10" i="29" s="1"/>
  <c r="R292" i="1"/>
  <c r="Q292" i="1"/>
  <c r="I10" i="29" s="1"/>
  <c r="P292" i="1"/>
  <c r="O292" i="1"/>
  <c r="M10" i="29" s="1"/>
  <c r="N292" i="1"/>
  <c r="L10" i="29" s="1"/>
  <c r="M292" i="1"/>
  <c r="K292" i="1"/>
  <c r="J292" i="1"/>
  <c r="G10" i="29" s="1"/>
  <c r="I292" i="1"/>
  <c r="H292" i="1"/>
  <c r="G292" i="1"/>
  <c r="D10" i="29" s="1"/>
  <c r="F292" i="1"/>
  <c r="C10" i="29" s="1"/>
  <c r="E289" i="1"/>
  <c r="E292" i="1" s="1"/>
  <c r="D289" i="1"/>
  <c r="Z286" i="1"/>
  <c r="Y286" i="1"/>
  <c r="E285" i="1"/>
  <c r="D285" i="1"/>
  <c r="Z279" i="1"/>
  <c r="Y279" i="1"/>
  <c r="E278" i="1"/>
  <c r="D278" i="1"/>
  <c r="Z275" i="1"/>
  <c r="Y275" i="1"/>
  <c r="E274" i="1"/>
  <c r="D274" i="1"/>
  <c r="Z267" i="1"/>
  <c r="Y267" i="1"/>
  <c r="E266" i="1"/>
  <c r="D266" i="1"/>
  <c r="Z260" i="1"/>
  <c r="Y260" i="1"/>
  <c r="E259" i="1"/>
  <c r="D259" i="1"/>
  <c r="Z254" i="1"/>
  <c r="L292" i="1"/>
  <c r="J10" i="29" s="1"/>
  <c r="E253" i="1"/>
  <c r="D253" i="1"/>
  <c r="Z249" i="1"/>
  <c r="Y249" i="1"/>
  <c r="M247" i="1"/>
  <c r="V247" i="1" s="1"/>
  <c r="V294" i="1" s="1"/>
  <c r="M294" i="1" s="1"/>
  <c r="E294" i="1" s="1"/>
  <c r="D292" i="1" l="1"/>
  <c r="H10" i="29"/>
  <c r="F10" i="29"/>
  <c r="Y341" i="1"/>
  <c r="C411" i="2"/>
  <c r="E1246" i="8"/>
  <c r="K1364" i="5"/>
  <c r="K1365" i="5" s="1"/>
  <c r="F1320" i="5"/>
  <c r="J1320" i="5"/>
  <c r="G1320" i="5"/>
  <c r="E1319" i="5"/>
  <c r="K1319" i="5"/>
  <c r="K1290" i="5"/>
  <c r="L1319" i="5"/>
  <c r="K1320" i="5"/>
  <c r="Y254" i="1"/>
  <c r="Y292" i="1" s="1"/>
  <c r="N86" i="13"/>
  <c r="M83" i="13"/>
  <c r="N83" i="13" s="1"/>
  <c r="F83" i="13"/>
  <c r="N88" i="13"/>
  <c r="N87" i="13"/>
  <c r="N85" i="13"/>
  <c r="N84" i="13"/>
  <c r="D700" i="26"/>
  <c r="F699" i="26"/>
  <c r="F687" i="26"/>
  <c r="D675" i="26"/>
  <c r="G672" i="26"/>
  <c r="F674" i="26" s="1"/>
  <c r="G660" i="26"/>
  <c r="F662" i="26" s="1"/>
  <c r="M1202" i="8"/>
  <c r="L1202" i="8"/>
  <c r="K1202" i="8"/>
  <c r="I1202" i="8"/>
  <c r="H1202" i="8"/>
  <c r="G1202" i="8"/>
  <c r="F1202" i="8"/>
  <c r="B1164" i="8"/>
  <c r="M1159" i="8"/>
  <c r="L1159" i="8"/>
  <c r="K1159" i="8"/>
  <c r="J1159" i="8"/>
  <c r="I1159" i="8"/>
  <c r="H1159" i="8"/>
  <c r="G1159" i="8"/>
  <c r="F1159" i="8"/>
  <c r="B1121" i="8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J121" i="7" s="1"/>
  <c r="I120" i="7"/>
  <c r="H120" i="7"/>
  <c r="G120" i="7"/>
  <c r="F120" i="7"/>
  <c r="X119" i="7"/>
  <c r="W119" i="7"/>
  <c r="V119" i="7"/>
  <c r="U119" i="7"/>
  <c r="T119" i="7"/>
  <c r="T121" i="7" s="1"/>
  <c r="S119" i="7"/>
  <c r="R119" i="7"/>
  <c r="Q119" i="7"/>
  <c r="P119" i="7"/>
  <c r="P121" i="7" s="1"/>
  <c r="O119" i="7"/>
  <c r="N119" i="7"/>
  <c r="M119" i="7"/>
  <c r="M121" i="7" s="1"/>
  <c r="L119" i="7"/>
  <c r="L121" i="7" s="1"/>
  <c r="K119" i="7"/>
  <c r="J119" i="7"/>
  <c r="I119" i="7"/>
  <c r="H119" i="7"/>
  <c r="H121" i="7" s="1"/>
  <c r="G119" i="7"/>
  <c r="F119" i="7"/>
  <c r="Y118" i="7"/>
  <c r="E118" i="7"/>
  <c r="AB117" i="7"/>
  <c r="Y117" i="7"/>
  <c r="E117" i="7"/>
  <c r="Y116" i="7"/>
  <c r="E116" i="7"/>
  <c r="AB115" i="7"/>
  <c r="Y115" i="7"/>
  <c r="E115" i="7"/>
  <c r="Y114" i="7"/>
  <c r="E114" i="7"/>
  <c r="AB113" i="7"/>
  <c r="Y113" i="7"/>
  <c r="E113" i="7"/>
  <c r="Y112" i="7"/>
  <c r="E112" i="7"/>
  <c r="AB111" i="7"/>
  <c r="Y111" i="7"/>
  <c r="E111" i="7"/>
  <c r="Y110" i="7"/>
  <c r="E110" i="7"/>
  <c r="AB109" i="7"/>
  <c r="Y109" i="7"/>
  <c r="E109" i="7"/>
  <c r="Y108" i="7"/>
  <c r="E108" i="7"/>
  <c r="AB107" i="7"/>
  <c r="Y107" i="7"/>
  <c r="E107" i="7"/>
  <c r="Y106" i="7"/>
  <c r="E106" i="7"/>
  <c r="AB105" i="7"/>
  <c r="E105" i="7"/>
  <c r="E1218" i="5"/>
  <c r="E1249" i="5"/>
  <c r="J1275" i="5"/>
  <c r="I1275" i="5"/>
  <c r="H1275" i="5"/>
  <c r="G1275" i="5"/>
  <c r="F1275" i="5"/>
  <c r="K1273" i="5"/>
  <c r="K1272" i="5"/>
  <c r="K1271" i="5"/>
  <c r="L1271" i="5" s="1"/>
  <c r="E1271" i="5"/>
  <c r="K1270" i="5"/>
  <c r="L1270" i="5" s="1"/>
  <c r="E1270" i="5"/>
  <c r="L1269" i="5"/>
  <c r="K1269" i="5"/>
  <c r="E1269" i="5"/>
  <c r="K1268" i="5"/>
  <c r="L1268" i="5" s="1"/>
  <c r="E1268" i="5"/>
  <c r="L1267" i="5"/>
  <c r="K1267" i="5"/>
  <c r="E1267" i="5"/>
  <c r="K1266" i="5"/>
  <c r="L1266" i="5" s="1"/>
  <c r="E1266" i="5"/>
  <c r="K1265" i="5"/>
  <c r="L1265" i="5" s="1"/>
  <c r="E1265" i="5"/>
  <c r="K1264" i="5"/>
  <c r="L1264" i="5" s="1"/>
  <c r="K1263" i="5"/>
  <c r="L1263" i="5" s="1"/>
  <c r="E1263" i="5"/>
  <c r="K1262" i="5"/>
  <c r="L1262" i="5" s="1"/>
  <c r="E1262" i="5"/>
  <c r="K1261" i="5"/>
  <c r="L1261" i="5" s="1"/>
  <c r="K1260" i="5"/>
  <c r="L1260" i="5" s="1"/>
  <c r="E1260" i="5"/>
  <c r="K1259" i="5"/>
  <c r="L1259" i="5" s="1"/>
  <c r="E1259" i="5"/>
  <c r="K1258" i="5"/>
  <c r="L1258" i="5" s="1"/>
  <c r="K1257" i="5"/>
  <c r="L1257" i="5" s="1"/>
  <c r="E1257" i="5"/>
  <c r="K1256" i="5"/>
  <c r="L1256" i="5" s="1"/>
  <c r="E1256" i="5"/>
  <c r="K1255" i="5"/>
  <c r="L1255" i="5" s="1"/>
  <c r="E1255" i="5"/>
  <c r="K1254" i="5"/>
  <c r="L1254" i="5" s="1"/>
  <c r="L1253" i="5"/>
  <c r="K1253" i="5"/>
  <c r="E1253" i="5"/>
  <c r="K1252" i="5"/>
  <c r="L1252" i="5" s="1"/>
  <c r="E1252" i="5"/>
  <c r="K1251" i="5"/>
  <c r="L1251" i="5" s="1"/>
  <c r="E1251" i="5"/>
  <c r="K1250" i="5"/>
  <c r="L1250" i="5" s="1"/>
  <c r="E1250" i="5"/>
  <c r="K1249" i="5"/>
  <c r="L1249" i="5" s="1"/>
  <c r="J1246" i="5"/>
  <c r="I1246" i="5"/>
  <c r="H1246" i="5"/>
  <c r="G1246" i="5"/>
  <c r="G1276" i="5" s="1"/>
  <c r="F1246" i="5"/>
  <c r="K1245" i="5"/>
  <c r="K1244" i="5"/>
  <c r="K1243" i="5"/>
  <c r="K1242" i="5"/>
  <c r="K1241" i="5"/>
  <c r="E1205" i="5"/>
  <c r="J1231" i="5"/>
  <c r="I1231" i="5"/>
  <c r="H1231" i="5"/>
  <c r="G1231" i="5"/>
  <c r="F1231" i="5"/>
  <c r="K1229" i="5"/>
  <c r="K1228" i="5"/>
  <c r="K1227" i="5"/>
  <c r="L1227" i="5" s="1"/>
  <c r="E1227" i="5"/>
  <c r="K1226" i="5"/>
  <c r="L1226" i="5" s="1"/>
  <c r="E1226" i="5"/>
  <c r="L1225" i="5"/>
  <c r="K1225" i="5"/>
  <c r="E1225" i="5"/>
  <c r="K1224" i="5"/>
  <c r="L1224" i="5" s="1"/>
  <c r="E1224" i="5"/>
  <c r="K1223" i="5"/>
  <c r="L1223" i="5" s="1"/>
  <c r="E1223" i="5"/>
  <c r="K1222" i="5"/>
  <c r="L1222" i="5" s="1"/>
  <c r="E1222" i="5"/>
  <c r="K1221" i="5"/>
  <c r="L1221" i="5" s="1"/>
  <c r="E1221" i="5"/>
  <c r="K1220" i="5"/>
  <c r="L1220" i="5" s="1"/>
  <c r="K1219" i="5"/>
  <c r="L1219" i="5" s="1"/>
  <c r="E1219" i="5"/>
  <c r="K1218" i="5"/>
  <c r="L1218" i="5" s="1"/>
  <c r="K1217" i="5"/>
  <c r="L1217" i="5" s="1"/>
  <c r="K1216" i="5"/>
  <c r="L1216" i="5" s="1"/>
  <c r="E1216" i="5"/>
  <c r="K1215" i="5"/>
  <c r="L1215" i="5" s="1"/>
  <c r="E1215" i="5"/>
  <c r="K1214" i="5"/>
  <c r="L1214" i="5" s="1"/>
  <c r="K1213" i="5"/>
  <c r="L1213" i="5" s="1"/>
  <c r="E1213" i="5"/>
  <c r="L1212" i="5"/>
  <c r="K1212" i="5"/>
  <c r="E1212" i="5"/>
  <c r="K1211" i="5"/>
  <c r="L1211" i="5" s="1"/>
  <c r="E1211" i="5"/>
  <c r="K1210" i="5"/>
  <c r="L1210" i="5" s="1"/>
  <c r="K1209" i="5"/>
  <c r="L1209" i="5" s="1"/>
  <c r="E1209" i="5"/>
  <c r="K1208" i="5"/>
  <c r="L1208" i="5" s="1"/>
  <c r="E1208" i="5"/>
  <c r="K1207" i="5"/>
  <c r="L1207" i="5" s="1"/>
  <c r="E1207" i="5"/>
  <c r="K1206" i="5"/>
  <c r="L1206" i="5" s="1"/>
  <c r="E1206" i="5"/>
  <c r="K1205" i="5"/>
  <c r="L1205" i="5" s="1"/>
  <c r="J1202" i="5"/>
  <c r="J1232" i="5" s="1"/>
  <c r="I1202" i="5"/>
  <c r="H1202" i="5"/>
  <c r="H1232" i="5" s="1"/>
  <c r="G1202" i="5"/>
  <c r="F1202" i="5"/>
  <c r="K1201" i="5"/>
  <c r="K1200" i="5"/>
  <c r="K1199" i="5"/>
  <c r="K1198" i="5"/>
  <c r="K1197" i="5"/>
  <c r="C317" i="18"/>
  <c r="B317" i="18"/>
  <c r="C308" i="18"/>
  <c r="B308" i="18"/>
  <c r="J1276" i="5" l="1"/>
  <c r="V121" i="7"/>
  <c r="F1276" i="5"/>
  <c r="X121" i="7"/>
  <c r="Q121" i="7"/>
  <c r="R121" i="7"/>
  <c r="I121" i="7"/>
  <c r="U121" i="7"/>
  <c r="N121" i="7"/>
  <c r="F121" i="7"/>
  <c r="I1232" i="5"/>
  <c r="F1232" i="5"/>
  <c r="Y119" i="7"/>
  <c r="E1203" i="8"/>
  <c r="K1321" i="5"/>
  <c r="N89" i="13"/>
  <c r="E1160" i="8"/>
  <c r="E120" i="7"/>
  <c r="E119" i="7"/>
  <c r="Y120" i="7"/>
  <c r="G121" i="7"/>
  <c r="K121" i="7"/>
  <c r="O121" i="7"/>
  <c r="S121" i="7"/>
  <c r="W121" i="7"/>
  <c r="E1275" i="5"/>
  <c r="I1276" i="5"/>
  <c r="H1276" i="5"/>
  <c r="K1276" i="5" s="1"/>
  <c r="K1275" i="5"/>
  <c r="K1246" i="5"/>
  <c r="L1275" i="5"/>
  <c r="E1231" i="5"/>
  <c r="G1232" i="5"/>
  <c r="K1231" i="5"/>
  <c r="K1202" i="5"/>
  <c r="L1231" i="5"/>
  <c r="C632" i="26"/>
  <c r="M1116" i="8"/>
  <c r="L1116" i="8"/>
  <c r="K1116" i="8"/>
  <c r="J1116" i="8"/>
  <c r="I1116" i="8"/>
  <c r="H1116" i="8"/>
  <c r="G1116" i="8"/>
  <c r="F1116" i="8"/>
  <c r="B1078" i="8"/>
  <c r="E121" i="7" l="1"/>
  <c r="K1232" i="5"/>
  <c r="K1233" i="5" s="1"/>
  <c r="Y121" i="7"/>
  <c r="E1117" i="8"/>
  <c r="K1277" i="5"/>
  <c r="N76" i="13"/>
  <c r="N80" i="13" s="1"/>
  <c r="G635" i="26"/>
  <c r="F637" i="26" s="1"/>
  <c r="G647" i="26"/>
  <c r="F649" i="26" s="1"/>
  <c r="D650" i="26"/>
  <c r="E1174" i="5"/>
  <c r="F1154" i="5"/>
  <c r="J1187" i="5"/>
  <c r="I1187" i="5"/>
  <c r="H1187" i="5"/>
  <c r="G1187" i="5"/>
  <c r="F1187" i="5"/>
  <c r="K1185" i="5"/>
  <c r="K1184" i="5"/>
  <c r="K1183" i="5"/>
  <c r="L1183" i="5" s="1"/>
  <c r="E1183" i="5"/>
  <c r="K1182" i="5"/>
  <c r="L1182" i="5" s="1"/>
  <c r="E1182" i="5"/>
  <c r="L1181" i="5"/>
  <c r="K1181" i="5"/>
  <c r="E1181" i="5"/>
  <c r="K1180" i="5"/>
  <c r="L1180" i="5" s="1"/>
  <c r="E1180" i="5"/>
  <c r="K1179" i="5"/>
  <c r="L1179" i="5" s="1"/>
  <c r="E1179" i="5"/>
  <c r="K1178" i="5"/>
  <c r="L1178" i="5" s="1"/>
  <c r="E1178" i="5"/>
  <c r="L1177" i="5"/>
  <c r="K1177" i="5"/>
  <c r="E1177" i="5"/>
  <c r="K1176" i="5"/>
  <c r="L1176" i="5" s="1"/>
  <c r="K1175" i="5"/>
  <c r="L1175" i="5" s="1"/>
  <c r="E1175" i="5"/>
  <c r="K1174" i="5"/>
  <c r="L1174" i="5" s="1"/>
  <c r="K1173" i="5"/>
  <c r="L1173" i="5" s="1"/>
  <c r="K1172" i="5"/>
  <c r="L1172" i="5" s="1"/>
  <c r="E1172" i="5"/>
  <c r="K1171" i="5"/>
  <c r="L1171" i="5" s="1"/>
  <c r="E1171" i="5"/>
  <c r="K1170" i="5"/>
  <c r="L1170" i="5" s="1"/>
  <c r="K1169" i="5"/>
  <c r="L1169" i="5" s="1"/>
  <c r="E1169" i="5"/>
  <c r="K1168" i="5"/>
  <c r="L1168" i="5" s="1"/>
  <c r="E1168" i="5"/>
  <c r="K1167" i="5"/>
  <c r="L1167" i="5" s="1"/>
  <c r="E1167" i="5"/>
  <c r="K1166" i="5"/>
  <c r="L1166" i="5" s="1"/>
  <c r="K1165" i="5"/>
  <c r="L1165" i="5" s="1"/>
  <c r="E1165" i="5"/>
  <c r="K1164" i="5"/>
  <c r="L1164" i="5" s="1"/>
  <c r="E1164" i="5"/>
  <c r="K1163" i="5"/>
  <c r="L1163" i="5" s="1"/>
  <c r="E1163" i="5"/>
  <c r="K1162" i="5"/>
  <c r="L1162" i="5" s="1"/>
  <c r="E1162" i="5"/>
  <c r="K1161" i="5"/>
  <c r="L1161" i="5" s="1"/>
  <c r="E1161" i="5"/>
  <c r="J1158" i="5"/>
  <c r="I1158" i="5"/>
  <c r="H1158" i="5"/>
  <c r="G1158" i="5"/>
  <c r="F1158" i="5"/>
  <c r="K1157" i="5"/>
  <c r="K1156" i="5"/>
  <c r="K1155" i="5"/>
  <c r="K1154" i="5"/>
  <c r="K1153" i="5"/>
  <c r="C30" i="15"/>
  <c r="C34" i="15"/>
  <c r="C33" i="15"/>
  <c r="C32" i="15"/>
  <c r="C31" i="15"/>
  <c r="C298" i="18"/>
  <c r="B298" i="18"/>
  <c r="AX270" i="2"/>
  <c r="F1188" i="5" l="1"/>
  <c r="E1187" i="5"/>
  <c r="L1187" i="5"/>
  <c r="J1188" i="5"/>
  <c r="I1188" i="5"/>
  <c r="G1188" i="5"/>
  <c r="K1187" i="5"/>
  <c r="H1188" i="5"/>
  <c r="K1158" i="5"/>
  <c r="G610" i="26"/>
  <c r="F612" i="26" s="1"/>
  <c r="D607" i="26"/>
  <c r="D625" i="26" s="1"/>
  <c r="C604" i="26"/>
  <c r="G622" i="26"/>
  <c r="F624" i="26" s="1"/>
  <c r="E1130" i="5"/>
  <c r="J1143" i="5"/>
  <c r="I1143" i="5"/>
  <c r="H1143" i="5"/>
  <c r="G1143" i="5"/>
  <c r="F1143" i="5"/>
  <c r="K1141" i="5"/>
  <c r="K1140" i="5"/>
  <c r="K1139" i="5"/>
  <c r="L1139" i="5" s="1"/>
  <c r="E1139" i="5"/>
  <c r="L1138" i="5"/>
  <c r="K1138" i="5"/>
  <c r="E1138" i="5"/>
  <c r="K1137" i="5"/>
  <c r="L1137" i="5" s="1"/>
  <c r="E1137" i="5"/>
  <c r="K1136" i="5"/>
  <c r="L1136" i="5" s="1"/>
  <c r="E1136" i="5"/>
  <c r="K1135" i="5"/>
  <c r="L1135" i="5" s="1"/>
  <c r="E1135" i="5"/>
  <c r="K1134" i="5"/>
  <c r="L1134" i="5" s="1"/>
  <c r="E1134" i="5"/>
  <c r="K1133" i="5"/>
  <c r="L1133" i="5" s="1"/>
  <c r="E1133" i="5"/>
  <c r="K1132" i="5"/>
  <c r="L1132" i="5" s="1"/>
  <c r="K1131" i="5"/>
  <c r="L1131" i="5" s="1"/>
  <c r="E1131" i="5"/>
  <c r="K1130" i="5"/>
  <c r="L1130" i="5" s="1"/>
  <c r="K1129" i="5"/>
  <c r="L1129" i="5" s="1"/>
  <c r="K1128" i="5"/>
  <c r="L1128" i="5" s="1"/>
  <c r="E1128" i="5"/>
  <c r="K1127" i="5"/>
  <c r="L1127" i="5" s="1"/>
  <c r="E1127" i="5"/>
  <c r="K1126" i="5"/>
  <c r="L1126" i="5" s="1"/>
  <c r="K1125" i="5"/>
  <c r="L1125" i="5" s="1"/>
  <c r="E1125" i="5"/>
  <c r="K1124" i="5"/>
  <c r="L1124" i="5" s="1"/>
  <c r="E1124" i="5"/>
  <c r="K1123" i="5"/>
  <c r="L1123" i="5" s="1"/>
  <c r="E1123" i="5"/>
  <c r="K1122" i="5"/>
  <c r="L1122" i="5" s="1"/>
  <c r="K1121" i="5"/>
  <c r="L1121" i="5" s="1"/>
  <c r="E1121" i="5"/>
  <c r="K1120" i="5"/>
  <c r="L1120" i="5" s="1"/>
  <c r="E1120" i="5"/>
  <c r="K1119" i="5"/>
  <c r="L1119" i="5" s="1"/>
  <c r="E1119" i="5"/>
  <c r="K1118" i="5"/>
  <c r="L1118" i="5" s="1"/>
  <c r="E1118" i="5"/>
  <c r="K1117" i="5"/>
  <c r="L1117" i="5" s="1"/>
  <c r="E1117" i="5"/>
  <c r="J1114" i="5"/>
  <c r="I1114" i="5"/>
  <c r="H1114" i="5"/>
  <c r="H1144" i="5" s="1"/>
  <c r="G1114" i="5"/>
  <c r="F1114" i="5"/>
  <c r="F1144" i="5" s="1"/>
  <c r="K1113" i="5"/>
  <c r="K1112" i="5"/>
  <c r="K1111" i="5"/>
  <c r="K1110" i="5"/>
  <c r="K1109" i="5"/>
  <c r="C288" i="18"/>
  <c r="B288" i="18"/>
  <c r="J1144" i="5" l="1"/>
  <c r="K1188" i="5"/>
  <c r="K1189" i="5" s="1"/>
  <c r="G1144" i="5"/>
  <c r="E1143" i="5"/>
  <c r="I1144" i="5"/>
  <c r="K1144" i="5" s="1"/>
  <c r="K1143" i="5"/>
  <c r="K1114" i="5"/>
  <c r="L1143" i="5"/>
  <c r="G597" i="26"/>
  <c r="C582" i="26"/>
  <c r="M1073" i="8"/>
  <c r="L1073" i="8"/>
  <c r="K1073" i="8"/>
  <c r="J1073" i="8"/>
  <c r="I1073" i="8"/>
  <c r="H1073" i="8"/>
  <c r="G1073" i="8"/>
  <c r="F1073" i="8"/>
  <c r="B1035" i="8"/>
  <c r="J1099" i="5"/>
  <c r="I1099" i="5"/>
  <c r="H1099" i="5"/>
  <c r="G1099" i="5"/>
  <c r="F1099" i="5"/>
  <c r="K1097" i="5"/>
  <c r="K1096" i="5"/>
  <c r="K1095" i="5"/>
  <c r="L1095" i="5" s="1"/>
  <c r="E1095" i="5"/>
  <c r="K1094" i="5"/>
  <c r="L1094" i="5" s="1"/>
  <c r="E1094" i="5"/>
  <c r="K1093" i="5"/>
  <c r="L1093" i="5" s="1"/>
  <c r="E1093" i="5"/>
  <c r="K1092" i="5"/>
  <c r="L1092" i="5" s="1"/>
  <c r="E1092" i="5"/>
  <c r="K1091" i="5"/>
  <c r="L1091" i="5" s="1"/>
  <c r="E1091" i="5"/>
  <c r="K1090" i="5"/>
  <c r="L1090" i="5" s="1"/>
  <c r="E1090" i="5"/>
  <c r="L1089" i="5"/>
  <c r="K1089" i="5"/>
  <c r="E1089" i="5"/>
  <c r="K1088" i="5"/>
  <c r="L1088" i="5" s="1"/>
  <c r="K1087" i="5"/>
  <c r="L1087" i="5" s="1"/>
  <c r="E1087" i="5"/>
  <c r="K1086" i="5"/>
  <c r="L1086" i="5" s="1"/>
  <c r="E1086" i="5"/>
  <c r="K1085" i="5"/>
  <c r="L1085" i="5" s="1"/>
  <c r="K1084" i="5"/>
  <c r="L1084" i="5" s="1"/>
  <c r="E1084" i="5"/>
  <c r="K1083" i="5"/>
  <c r="L1083" i="5" s="1"/>
  <c r="E1083" i="5"/>
  <c r="K1082" i="5"/>
  <c r="L1082" i="5" s="1"/>
  <c r="K1081" i="5"/>
  <c r="L1081" i="5" s="1"/>
  <c r="E1081" i="5"/>
  <c r="K1080" i="5"/>
  <c r="L1080" i="5" s="1"/>
  <c r="E1080" i="5"/>
  <c r="K1079" i="5"/>
  <c r="L1079" i="5" s="1"/>
  <c r="E1079" i="5"/>
  <c r="K1078" i="5"/>
  <c r="L1078" i="5" s="1"/>
  <c r="K1077" i="5"/>
  <c r="L1077" i="5" s="1"/>
  <c r="E1077" i="5"/>
  <c r="K1076" i="5"/>
  <c r="L1076" i="5" s="1"/>
  <c r="E1076" i="5"/>
  <c r="K1075" i="5"/>
  <c r="L1075" i="5" s="1"/>
  <c r="E1075" i="5"/>
  <c r="K1074" i="5"/>
  <c r="L1074" i="5" s="1"/>
  <c r="E1074" i="5"/>
  <c r="K1073" i="5"/>
  <c r="L1073" i="5" s="1"/>
  <c r="E1073" i="5"/>
  <c r="J1070" i="5"/>
  <c r="I1070" i="5"/>
  <c r="H1070" i="5"/>
  <c r="G1070" i="5"/>
  <c r="K1069" i="5"/>
  <c r="K1068" i="5"/>
  <c r="K1067" i="5"/>
  <c r="F1066" i="5"/>
  <c r="K1066" i="5" s="1"/>
  <c r="K1065" i="5"/>
  <c r="L205" i="1"/>
  <c r="C259" i="2"/>
  <c r="C257" i="2"/>
  <c r="C282" i="18"/>
  <c r="B282" i="18"/>
  <c r="E1074" i="8" l="1"/>
  <c r="K1145" i="5"/>
  <c r="J1100" i="5"/>
  <c r="E1099" i="5"/>
  <c r="I1100" i="5"/>
  <c r="H1100" i="5"/>
  <c r="G1100" i="5"/>
  <c r="K1099" i="5"/>
  <c r="K1070" i="5"/>
  <c r="F1070" i="5"/>
  <c r="F1100" i="5" s="1"/>
  <c r="L1099" i="5"/>
  <c r="G585" i="26"/>
  <c r="F587" i="26" s="1"/>
  <c r="D600" i="26"/>
  <c r="F599" i="26"/>
  <c r="D575" i="26"/>
  <c r="G572" i="26"/>
  <c r="F574" i="26" s="1"/>
  <c r="G560" i="26"/>
  <c r="F562" i="26" s="1"/>
  <c r="M1030" i="8"/>
  <c r="L1030" i="8"/>
  <c r="K1030" i="8"/>
  <c r="J1030" i="8"/>
  <c r="I1030" i="8"/>
  <c r="H1030" i="8"/>
  <c r="G1030" i="8"/>
  <c r="F1030" i="8"/>
  <c r="B992" i="8"/>
  <c r="F1022" i="5"/>
  <c r="J1055" i="5"/>
  <c r="I1055" i="5"/>
  <c r="H1055" i="5"/>
  <c r="G1055" i="5"/>
  <c r="F1055" i="5"/>
  <c r="K1053" i="5"/>
  <c r="K1052" i="5"/>
  <c r="K1051" i="5"/>
  <c r="L1051" i="5" s="1"/>
  <c r="E1051" i="5"/>
  <c r="K1050" i="5"/>
  <c r="L1050" i="5" s="1"/>
  <c r="E1050" i="5"/>
  <c r="K1049" i="5"/>
  <c r="L1049" i="5" s="1"/>
  <c r="E1049" i="5"/>
  <c r="K1048" i="5"/>
  <c r="L1048" i="5" s="1"/>
  <c r="E1048" i="5"/>
  <c r="K1047" i="5"/>
  <c r="L1047" i="5" s="1"/>
  <c r="E1047" i="5"/>
  <c r="K1046" i="5"/>
  <c r="L1046" i="5" s="1"/>
  <c r="E1046" i="5"/>
  <c r="L1045" i="5"/>
  <c r="K1045" i="5"/>
  <c r="E1045" i="5"/>
  <c r="K1044" i="5"/>
  <c r="L1044" i="5" s="1"/>
  <c r="K1043" i="5"/>
  <c r="L1043" i="5" s="1"/>
  <c r="E1043" i="5"/>
  <c r="K1042" i="5"/>
  <c r="L1042" i="5" s="1"/>
  <c r="E1042" i="5"/>
  <c r="K1041" i="5"/>
  <c r="L1041" i="5" s="1"/>
  <c r="K1040" i="5"/>
  <c r="L1040" i="5" s="1"/>
  <c r="E1040" i="5"/>
  <c r="K1039" i="5"/>
  <c r="L1039" i="5" s="1"/>
  <c r="E1039" i="5"/>
  <c r="K1038" i="5"/>
  <c r="L1038" i="5" s="1"/>
  <c r="K1037" i="5"/>
  <c r="L1037" i="5" s="1"/>
  <c r="E1037" i="5"/>
  <c r="K1036" i="5"/>
  <c r="L1036" i="5" s="1"/>
  <c r="E1036" i="5"/>
  <c r="K1035" i="5"/>
  <c r="L1035" i="5" s="1"/>
  <c r="E1035" i="5"/>
  <c r="K1034" i="5"/>
  <c r="L1034" i="5" s="1"/>
  <c r="K1033" i="5"/>
  <c r="L1033" i="5" s="1"/>
  <c r="E1033" i="5"/>
  <c r="K1032" i="5"/>
  <c r="L1032" i="5" s="1"/>
  <c r="E1032" i="5"/>
  <c r="K1031" i="5"/>
  <c r="L1031" i="5" s="1"/>
  <c r="E1031" i="5"/>
  <c r="K1030" i="5"/>
  <c r="L1030" i="5" s="1"/>
  <c r="E1030" i="5"/>
  <c r="K1029" i="5"/>
  <c r="L1029" i="5" s="1"/>
  <c r="E1029" i="5"/>
  <c r="J1026" i="5"/>
  <c r="I1026" i="5"/>
  <c r="H1026" i="5"/>
  <c r="G1026" i="5"/>
  <c r="F1026" i="5"/>
  <c r="K1025" i="5"/>
  <c r="K1024" i="5"/>
  <c r="K1023" i="5"/>
  <c r="K1022" i="5"/>
  <c r="K1021" i="5"/>
  <c r="C267" i="18"/>
  <c r="B267" i="18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C354" i="2"/>
  <c r="C346" i="2"/>
  <c r="C342" i="2"/>
  <c r="C338" i="2"/>
  <c r="C329" i="2"/>
  <c r="C326" i="2"/>
  <c r="C316" i="2"/>
  <c r="L306" i="2"/>
  <c r="AI306" i="2" s="1"/>
  <c r="AW306" i="2" s="1"/>
  <c r="AW359" i="2" s="1"/>
  <c r="AL359" i="2" s="1"/>
  <c r="L359" i="2" s="1"/>
  <c r="C359" i="2" s="1"/>
  <c r="V243" i="1"/>
  <c r="E9" i="29" s="1"/>
  <c r="U243" i="1"/>
  <c r="S243" i="1"/>
  <c r="K9" i="29" s="1"/>
  <c r="R243" i="1"/>
  <c r="Q243" i="1"/>
  <c r="I9" i="29" s="1"/>
  <c r="P243" i="1"/>
  <c r="O243" i="1"/>
  <c r="M9" i="29" s="1"/>
  <c r="N243" i="1"/>
  <c r="L9" i="29" s="1"/>
  <c r="M243" i="1"/>
  <c r="L243" i="1"/>
  <c r="J9" i="29" s="1"/>
  <c r="K243" i="1"/>
  <c r="H9" i="29" s="1"/>
  <c r="J243" i="1"/>
  <c r="G9" i="29" s="1"/>
  <c r="I243" i="1"/>
  <c r="F9" i="29" s="1"/>
  <c r="H243" i="1"/>
  <c r="G243" i="1"/>
  <c r="D9" i="29" s="1"/>
  <c r="F243" i="1"/>
  <c r="C9" i="29" s="1"/>
  <c r="E240" i="1"/>
  <c r="D240" i="1"/>
  <c r="Z237" i="1"/>
  <c r="Y237" i="1"/>
  <c r="E236" i="1"/>
  <c r="D236" i="1"/>
  <c r="Z230" i="1"/>
  <c r="Y230" i="1"/>
  <c r="E229" i="1"/>
  <c r="D229" i="1"/>
  <c r="Z226" i="1"/>
  <c r="W243" i="1"/>
  <c r="N9" i="29" s="1"/>
  <c r="E225" i="1"/>
  <c r="D225" i="1"/>
  <c r="Z218" i="1"/>
  <c r="Y218" i="1"/>
  <c r="E217" i="1"/>
  <c r="D217" i="1"/>
  <c r="Z211" i="1"/>
  <c r="Y211" i="1"/>
  <c r="E210" i="1"/>
  <c r="D210" i="1"/>
  <c r="Z205" i="1"/>
  <c r="Y205" i="1"/>
  <c r="E204" i="1"/>
  <c r="D204" i="1"/>
  <c r="Z200" i="1"/>
  <c r="Y200" i="1"/>
  <c r="M198" i="1"/>
  <c r="V198" i="1" s="1"/>
  <c r="V245" i="1" s="1"/>
  <c r="M245" i="1" s="1"/>
  <c r="E245" i="1" s="1"/>
  <c r="E243" i="1" l="1"/>
  <c r="D243" i="1"/>
  <c r="F1056" i="5"/>
  <c r="G1056" i="5"/>
  <c r="H1056" i="5"/>
  <c r="C356" i="2"/>
  <c r="E1031" i="8"/>
  <c r="K1100" i="5"/>
  <c r="K1101" i="5" s="1"/>
  <c r="I1056" i="5"/>
  <c r="E1055" i="5"/>
  <c r="J1056" i="5"/>
  <c r="K1055" i="5"/>
  <c r="K1026" i="5"/>
  <c r="L1055" i="5"/>
  <c r="Y226" i="1"/>
  <c r="Y243" i="1" s="1"/>
  <c r="N67" i="13"/>
  <c r="N71" i="13"/>
  <c r="N66" i="13"/>
  <c r="N69" i="13"/>
  <c r="F66" i="13"/>
  <c r="N70" i="13"/>
  <c r="N68" i="13"/>
  <c r="G535" i="26"/>
  <c r="F537" i="26" s="1"/>
  <c r="F549" i="26"/>
  <c r="G547" i="26"/>
  <c r="D550" i="26"/>
  <c r="M987" i="8"/>
  <c r="L987" i="8"/>
  <c r="K987" i="8"/>
  <c r="J987" i="8"/>
  <c r="I987" i="8"/>
  <c r="H987" i="8"/>
  <c r="G987" i="8"/>
  <c r="F987" i="8"/>
  <c r="B949" i="8"/>
  <c r="J1011" i="5"/>
  <c r="I1011" i="5"/>
  <c r="H1011" i="5"/>
  <c r="G1011" i="5"/>
  <c r="F1011" i="5"/>
  <c r="K1009" i="5"/>
  <c r="K1008" i="5"/>
  <c r="K1007" i="5"/>
  <c r="L1007" i="5" s="1"/>
  <c r="E1007" i="5"/>
  <c r="K1006" i="5"/>
  <c r="L1006" i="5" s="1"/>
  <c r="E1006" i="5"/>
  <c r="K1005" i="5"/>
  <c r="L1005" i="5" s="1"/>
  <c r="E1005" i="5"/>
  <c r="K1004" i="5"/>
  <c r="L1004" i="5" s="1"/>
  <c r="E1004" i="5"/>
  <c r="K1003" i="5"/>
  <c r="L1003" i="5" s="1"/>
  <c r="E1003" i="5"/>
  <c r="K1002" i="5"/>
  <c r="L1002" i="5" s="1"/>
  <c r="E1002" i="5"/>
  <c r="K1001" i="5"/>
  <c r="L1001" i="5" s="1"/>
  <c r="E1001" i="5"/>
  <c r="K1000" i="5"/>
  <c r="L1000" i="5" s="1"/>
  <c r="K999" i="5"/>
  <c r="L999" i="5" s="1"/>
  <c r="E999" i="5"/>
  <c r="K998" i="5"/>
  <c r="L998" i="5" s="1"/>
  <c r="E998" i="5"/>
  <c r="K997" i="5"/>
  <c r="L997" i="5" s="1"/>
  <c r="K996" i="5"/>
  <c r="L996" i="5" s="1"/>
  <c r="E996" i="5"/>
  <c r="K995" i="5"/>
  <c r="L995" i="5" s="1"/>
  <c r="E995" i="5"/>
  <c r="K994" i="5"/>
  <c r="L994" i="5" s="1"/>
  <c r="K993" i="5"/>
  <c r="L993" i="5" s="1"/>
  <c r="E993" i="5"/>
  <c r="K992" i="5"/>
  <c r="L992" i="5" s="1"/>
  <c r="E992" i="5"/>
  <c r="K991" i="5"/>
  <c r="L991" i="5" s="1"/>
  <c r="E991" i="5"/>
  <c r="K990" i="5"/>
  <c r="L990" i="5" s="1"/>
  <c r="K989" i="5"/>
  <c r="L989" i="5" s="1"/>
  <c r="E989" i="5"/>
  <c r="K988" i="5"/>
  <c r="L988" i="5" s="1"/>
  <c r="E988" i="5"/>
  <c r="K987" i="5"/>
  <c r="L987" i="5" s="1"/>
  <c r="E987" i="5"/>
  <c r="K986" i="5"/>
  <c r="L986" i="5" s="1"/>
  <c r="E986" i="5"/>
  <c r="K985" i="5"/>
  <c r="L985" i="5" s="1"/>
  <c r="E985" i="5"/>
  <c r="J982" i="5"/>
  <c r="I982" i="5"/>
  <c r="H982" i="5"/>
  <c r="G982" i="5"/>
  <c r="F982" i="5"/>
  <c r="K981" i="5"/>
  <c r="K980" i="5"/>
  <c r="K979" i="5"/>
  <c r="K978" i="5"/>
  <c r="K977" i="5"/>
  <c r="G177" i="1"/>
  <c r="C258" i="18"/>
  <c r="B258" i="18"/>
  <c r="C251" i="18"/>
  <c r="B251" i="18"/>
  <c r="C243" i="18"/>
  <c r="B243" i="18"/>
  <c r="C225" i="2"/>
  <c r="W177" i="1"/>
  <c r="K1056" i="5" l="1"/>
  <c r="E988" i="8"/>
  <c r="K1057" i="5"/>
  <c r="N72" i="13"/>
  <c r="G1012" i="5"/>
  <c r="I1012" i="5"/>
  <c r="H1012" i="5"/>
  <c r="E1011" i="5"/>
  <c r="J1012" i="5"/>
  <c r="F1012" i="5"/>
  <c r="L1011" i="5"/>
  <c r="K1011" i="5"/>
  <c r="K982" i="5"/>
  <c r="N59" i="13"/>
  <c r="N63" i="13" s="1"/>
  <c r="G522" i="26"/>
  <c r="D509" i="26"/>
  <c r="C510" i="26"/>
  <c r="M944" i="8"/>
  <c r="L944" i="8"/>
  <c r="K944" i="8"/>
  <c r="J944" i="8"/>
  <c r="I944" i="8"/>
  <c r="H944" i="8"/>
  <c r="G944" i="8"/>
  <c r="F944" i="8"/>
  <c r="B906" i="8"/>
  <c r="J967" i="5"/>
  <c r="I967" i="5"/>
  <c r="H967" i="5"/>
  <c r="G967" i="5"/>
  <c r="F967" i="5"/>
  <c r="K965" i="5"/>
  <c r="K964" i="5"/>
  <c r="K963" i="5"/>
  <c r="L963" i="5" s="1"/>
  <c r="E963" i="5"/>
  <c r="K962" i="5"/>
  <c r="L962" i="5" s="1"/>
  <c r="E962" i="5"/>
  <c r="K961" i="5"/>
  <c r="L961" i="5" s="1"/>
  <c r="E961" i="5"/>
  <c r="K960" i="5"/>
  <c r="L960" i="5" s="1"/>
  <c r="E960" i="5"/>
  <c r="K959" i="5"/>
  <c r="L959" i="5" s="1"/>
  <c r="E959" i="5"/>
  <c r="K958" i="5"/>
  <c r="L958" i="5" s="1"/>
  <c r="E958" i="5"/>
  <c r="L957" i="5"/>
  <c r="K957" i="5"/>
  <c r="E957" i="5"/>
  <c r="K956" i="5"/>
  <c r="L956" i="5" s="1"/>
  <c r="K955" i="5"/>
  <c r="L955" i="5" s="1"/>
  <c r="E955" i="5"/>
  <c r="K954" i="5"/>
  <c r="L954" i="5" s="1"/>
  <c r="E954" i="5"/>
  <c r="K953" i="5"/>
  <c r="L953" i="5" s="1"/>
  <c r="K952" i="5"/>
  <c r="L952" i="5" s="1"/>
  <c r="E952" i="5"/>
  <c r="K951" i="5"/>
  <c r="L951" i="5" s="1"/>
  <c r="E951" i="5"/>
  <c r="K950" i="5"/>
  <c r="L950" i="5" s="1"/>
  <c r="K949" i="5"/>
  <c r="L949" i="5" s="1"/>
  <c r="E949" i="5"/>
  <c r="K948" i="5"/>
  <c r="L948" i="5" s="1"/>
  <c r="E948" i="5"/>
  <c r="K947" i="5"/>
  <c r="L947" i="5" s="1"/>
  <c r="E947" i="5"/>
  <c r="K946" i="5"/>
  <c r="L946" i="5" s="1"/>
  <c r="K945" i="5"/>
  <c r="L945" i="5" s="1"/>
  <c r="E945" i="5"/>
  <c r="K944" i="5"/>
  <c r="L944" i="5" s="1"/>
  <c r="E944" i="5"/>
  <c r="K943" i="5"/>
  <c r="L943" i="5" s="1"/>
  <c r="E943" i="5"/>
  <c r="K942" i="5"/>
  <c r="L942" i="5" s="1"/>
  <c r="E942" i="5"/>
  <c r="L941" i="5"/>
  <c r="K941" i="5"/>
  <c r="E941" i="5"/>
  <c r="J938" i="5"/>
  <c r="J968" i="5" s="1"/>
  <c r="I938" i="5"/>
  <c r="H938" i="5"/>
  <c r="G938" i="5"/>
  <c r="F938" i="5"/>
  <c r="F968" i="5" s="1"/>
  <c r="K937" i="5"/>
  <c r="K936" i="5"/>
  <c r="K935" i="5"/>
  <c r="K934" i="5"/>
  <c r="K933" i="5"/>
  <c r="K912" i="5"/>
  <c r="K911" i="5"/>
  <c r="K910" i="5"/>
  <c r="K909" i="5"/>
  <c r="L909" i="5" s="1"/>
  <c r="K908" i="5"/>
  <c r="K907" i="5"/>
  <c r="K906" i="5"/>
  <c r="L906" i="5" s="1"/>
  <c r="K905" i="5"/>
  <c r="L905" i="5" s="1"/>
  <c r="K904" i="5"/>
  <c r="L904" i="5" s="1"/>
  <c r="K903" i="5"/>
  <c r="K902" i="5"/>
  <c r="L902" i="5" s="1"/>
  <c r="K901" i="5"/>
  <c r="L901" i="5" s="1"/>
  <c r="K900" i="5"/>
  <c r="K899" i="5"/>
  <c r="K898" i="5"/>
  <c r="L898" i="5" s="1"/>
  <c r="K897" i="5"/>
  <c r="L897" i="5" s="1"/>
  <c r="E910" i="5"/>
  <c r="J923" i="5"/>
  <c r="I923" i="5"/>
  <c r="H923" i="5"/>
  <c r="G923" i="5"/>
  <c r="F923" i="5"/>
  <c r="K921" i="5"/>
  <c r="K920" i="5"/>
  <c r="K919" i="5"/>
  <c r="L919" i="5" s="1"/>
  <c r="E919" i="5"/>
  <c r="K918" i="5"/>
  <c r="L918" i="5" s="1"/>
  <c r="E918" i="5"/>
  <c r="K917" i="5"/>
  <c r="L917" i="5" s="1"/>
  <c r="E917" i="5"/>
  <c r="K916" i="5"/>
  <c r="L916" i="5" s="1"/>
  <c r="E916" i="5"/>
  <c r="K915" i="5"/>
  <c r="L915" i="5" s="1"/>
  <c r="E915" i="5"/>
  <c r="K914" i="5"/>
  <c r="L914" i="5" s="1"/>
  <c r="E914" i="5"/>
  <c r="K913" i="5"/>
  <c r="L913" i="5" s="1"/>
  <c r="E913" i="5"/>
  <c r="L912" i="5"/>
  <c r="L911" i="5"/>
  <c r="E911" i="5"/>
  <c r="L910" i="5"/>
  <c r="L908" i="5"/>
  <c r="E908" i="5"/>
  <c r="L907" i="5"/>
  <c r="E907" i="5"/>
  <c r="E905" i="5"/>
  <c r="E904" i="5"/>
  <c r="L903" i="5"/>
  <c r="E903" i="5"/>
  <c r="E901" i="5"/>
  <c r="L900" i="5"/>
  <c r="E900" i="5"/>
  <c r="L899" i="5"/>
  <c r="E899" i="5"/>
  <c r="E898" i="5"/>
  <c r="E897" i="5"/>
  <c r="J894" i="5"/>
  <c r="I894" i="5"/>
  <c r="H894" i="5"/>
  <c r="G894" i="5"/>
  <c r="F894" i="5"/>
  <c r="K893" i="5"/>
  <c r="K892" i="5"/>
  <c r="K891" i="5"/>
  <c r="K890" i="5"/>
  <c r="K889" i="5"/>
  <c r="C29" i="15"/>
  <c r="C233" i="18"/>
  <c r="B233" i="18"/>
  <c r="AX219" i="2"/>
  <c r="H968" i="5" l="1"/>
  <c r="E945" i="8"/>
  <c r="K1012" i="5"/>
  <c r="K1013" i="5" s="1"/>
  <c r="I968" i="5"/>
  <c r="G968" i="5"/>
  <c r="K968" i="5" s="1"/>
  <c r="E967" i="5"/>
  <c r="K967" i="5"/>
  <c r="K938" i="5"/>
  <c r="L967" i="5"/>
  <c r="J924" i="5"/>
  <c r="I924" i="5"/>
  <c r="H924" i="5"/>
  <c r="F924" i="5"/>
  <c r="L923" i="5"/>
  <c r="G924" i="5"/>
  <c r="E923" i="5"/>
  <c r="K923" i="5"/>
  <c r="K894" i="5"/>
  <c r="G510" i="26"/>
  <c r="C484" i="26"/>
  <c r="D525" i="26"/>
  <c r="F524" i="26"/>
  <c r="F512" i="26"/>
  <c r="E865" i="5"/>
  <c r="J878" i="5"/>
  <c r="I878" i="5"/>
  <c r="H878" i="5"/>
  <c r="G878" i="5"/>
  <c r="F878" i="5"/>
  <c r="K876" i="5"/>
  <c r="K875" i="5"/>
  <c r="K874" i="5"/>
  <c r="L874" i="5" s="1"/>
  <c r="E874" i="5"/>
  <c r="K873" i="5"/>
  <c r="L873" i="5" s="1"/>
  <c r="E873" i="5"/>
  <c r="K872" i="5"/>
  <c r="L872" i="5" s="1"/>
  <c r="E872" i="5"/>
  <c r="K871" i="5"/>
  <c r="L871" i="5" s="1"/>
  <c r="E871" i="5"/>
  <c r="K870" i="5"/>
  <c r="L870" i="5" s="1"/>
  <c r="E870" i="5"/>
  <c r="K869" i="5"/>
  <c r="L869" i="5" s="1"/>
  <c r="E869" i="5"/>
  <c r="K868" i="5"/>
  <c r="L868" i="5" s="1"/>
  <c r="E868" i="5"/>
  <c r="L867" i="5"/>
  <c r="L866" i="5"/>
  <c r="E866" i="5"/>
  <c r="L865" i="5"/>
  <c r="L864" i="5"/>
  <c r="L863" i="5"/>
  <c r="E863" i="5"/>
  <c r="L862" i="5"/>
  <c r="E862" i="5"/>
  <c r="L861" i="5"/>
  <c r="L860" i="5"/>
  <c r="E860" i="5"/>
  <c r="L859" i="5"/>
  <c r="E859" i="5"/>
  <c r="L858" i="5"/>
  <c r="E858" i="5"/>
  <c r="L857" i="5"/>
  <c r="L856" i="5"/>
  <c r="E856" i="5"/>
  <c r="L855" i="5"/>
  <c r="E855" i="5"/>
  <c r="L854" i="5"/>
  <c r="E854" i="5"/>
  <c r="L853" i="5"/>
  <c r="E853" i="5"/>
  <c r="L852" i="5"/>
  <c r="E852" i="5"/>
  <c r="J849" i="5"/>
  <c r="J879" i="5" s="1"/>
  <c r="I849" i="5"/>
  <c r="I879" i="5" s="1"/>
  <c r="H849" i="5"/>
  <c r="G849" i="5"/>
  <c r="F849" i="5"/>
  <c r="K848" i="5"/>
  <c r="K847" i="5"/>
  <c r="K846" i="5"/>
  <c r="K845" i="5"/>
  <c r="K844" i="5"/>
  <c r="C28" i="15"/>
  <c r="C221" i="18"/>
  <c r="B221" i="18"/>
  <c r="K878" i="5" l="1"/>
  <c r="F879" i="5"/>
  <c r="K879" i="5" s="1"/>
  <c r="K880" i="5" s="1"/>
  <c r="H879" i="5"/>
  <c r="K969" i="5"/>
  <c r="K924" i="5"/>
  <c r="K925" i="5" s="1"/>
  <c r="E878" i="5"/>
  <c r="G879" i="5"/>
  <c r="K849" i="5"/>
  <c r="L878" i="5"/>
  <c r="G497" i="26"/>
  <c r="D459" i="26"/>
  <c r="D500" i="26"/>
  <c r="F499" i="26"/>
  <c r="F487" i="26"/>
  <c r="D475" i="26"/>
  <c r="F474" i="26"/>
  <c r="G460" i="26"/>
  <c r="F462" i="26" s="1"/>
  <c r="M901" i="8"/>
  <c r="L901" i="8"/>
  <c r="K901" i="8"/>
  <c r="J901" i="8"/>
  <c r="I901" i="8"/>
  <c r="H901" i="8"/>
  <c r="G901" i="8"/>
  <c r="F901" i="8"/>
  <c r="B863" i="8"/>
  <c r="J834" i="5"/>
  <c r="I834" i="5"/>
  <c r="H834" i="5"/>
  <c r="G834" i="5"/>
  <c r="F834" i="5"/>
  <c r="K832" i="5"/>
  <c r="K831" i="5"/>
  <c r="K830" i="5"/>
  <c r="L830" i="5" s="1"/>
  <c r="E830" i="5"/>
  <c r="K829" i="5"/>
  <c r="L829" i="5" s="1"/>
  <c r="E829" i="5"/>
  <c r="K828" i="5"/>
  <c r="L828" i="5" s="1"/>
  <c r="E828" i="5"/>
  <c r="K827" i="5"/>
  <c r="L827" i="5" s="1"/>
  <c r="E827" i="5"/>
  <c r="K826" i="5"/>
  <c r="L826" i="5" s="1"/>
  <c r="E826" i="5"/>
  <c r="K825" i="5"/>
  <c r="L825" i="5" s="1"/>
  <c r="E825" i="5"/>
  <c r="K824" i="5"/>
  <c r="L824" i="5" s="1"/>
  <c r="E824" i="5"/>
  <c r="L823" i="5"/>
  <c r="L822" i="5"/>
  <c r="K822" i="5"/>
  <c r="E822" i="5"/>
  <c r="K821" i="5"/>
  <c r="L821" i="5" s="1"/>
  <c r="E821" i="5"/>
  <c r="L820" i="5"/>
  <c r="K820" i="5"/>
  <c r="K819" i="5"/>
  <c r="L819" i="5" s="1"/>
  <c r="E819" i="5"/>
  <c r="K818" i="5"/>
  <c r="L818" i="5" s="1"/>
  <c r="E818" i="5"/>
  <c r="L817" i="5"/>
  <c r="K816" i="5"/>
  <c r="L816" i="5" s="1"/>
  <c r="E816" i="5"/>
  <c r="K815" i="5"/>
  <c r="L815" i="5" s="1"/>
  <c r="E815" i="5"/>
  <c r="K814" i="5"/>
  <c r="L814" i="5" s="1"/>
  <c r="E814" i="5"/>
  <c r="L813" i="5"/>
  <c r="K812" i="5"/>
  <c r="L812" i="5" s="1"/>
  <c r="E812" i="5"/>
  <c r="L811" i="5"/>
  <c r="K811" i="5"/>
  <c r="E811" i="5"/>
  <c r="K810" i="5"/>
  <c r="L810" i="5" s="1"/>
  <c r="E810" i="5"/>
  <c r="K809" i="5"/>
  <c r="L809" i="5" s="1"/>
  <c r="E809" i="5"/>
  <c r="K808" i="5"/>
  <c r="L808" i="5" s="1"/>
  <c r="E808" i="5"/>
  <c r="J805" i="5"/>
  <c r="I805" i="5"/>
  <c r="H805" i="5"/>
  <c r="G805" i="5"/>
  <c r="F805" i="5"/>
  <c r="K804" i="5"/>
  <c r="K803" i="5"/>
  <c r="K802" i="5"/>
  <c r="K801" i="5"/>
  <c r="K800" i="5"/>
  <c r="C26" i="15"/>
  <c r="B213" i="18"/>
  <c r="C213" i="18"/>
  <c r="C206" i="2"/>
  <c r="G156" i="1"/>
  <c r="E902" i="8" l="1"/>
  <c r="J835" i="5"/>
  <c r="F835" i="5"/>
  <c r="I835" i="5"/>
  <c r="H835" i="5"/>
  <c r="G835" i="5"/>
  <c r="E834" i="5"/>
  <c r="K834" i="5"/>
  <c r="K805" i="5"/>
  <c r="L834" i="5"/>
  <c r="C430" i="26"/>
  <c r="M858" i="8"/>
  <c r="L858" i="8"/>
  <c r="K858" i="8"/>
  <c r="J858" i="8"/>
  <c r="I858" i="8"/>
  <c r="H858" i="8"/>
  <c r="G858" i="8"/>
  <c r="F858" i="8"/>
  <c r="B820" i="8"/>
  <c r="J790" i="5"/>
  <c r="I790" i="5"/>
  <c r="H790" i="5"/>
  <c r="G790" i="5"/>
  <c r="F790" i="5"/>
  <c r="K788" i="5"/>
  <c r="K787" i="5"/>
  <c r="K786" i="5"/>
  <c r="L786" i="5" s="1"/>
  <c r="E786" i="5"/>
  <c r="K785" i="5"/>
  <c r="L785" i="5" s="1"/>
  <c r="E785" i="5"/>
  <c r="L784" i="5"/>
  <c r="K784" i="5"/>
  <c r="E784" i="5"/>
  <c r="K783" i="5"/>
  <c r="L783" i="5" s="1"/>
  <c r="E783" i="5"/>
  <c r="K782" i="5"/>
  <c r="L782" i="5" s="1"/>
  <c r="E782" i="5"/>
  <c r="K781" i="5"/>
  <c r="L781" i="5" s="1"/>
  <c r="E781" i="5"/>
  <c r="K780" i="5"/>
  <c r="L780" i="5" s="1"/>
  <c r="E780" i="5"/>
  <c r="L779" i="5"/>
  <c r="K778" i="5"/>
  <c r="L778" i="5" s="1"/>
  <c r="E778" i="5"/>
  <c r="K777" i="5"/>
  <c r="L777" i="5" s="1"/>
  <c r="E777" i="5"/>
  <c r="K776" i="5"/>
  <c r="L776" i="5" s="1"/>
  <c r="K775" i="5"/>
  <c r="L775" i="5" s="1"/>
  <c r="E775" i="5"/>
  <c r="K774" i="5"/>
  <c r="L774" i="5" s="1"/>
  <c r="E774" i="5"/>
  <c r="L773" i="5"/>
  <c r="K772" i="5"/>
  <c r="L772" i="5" s="1"/>
  <c r="E772" i="5"/>
  <c r="K771" i="5"/>
  <c r="L771" i="5" s="1"/>
  <c r="E771" i="5"/>
  <c r="K770" i="5"/>
  <c r="L770" i="5" s="1"/>
  <c r="E770" i="5"/>
  <c r="L769" i="5"/>
  <c r="K768" i="5"/>
  <c r="L768" i="5" s="1"/>
  <c r="E768" i="5"/>
  <c r="L767" i="5"/>
  <c r="K767" i="5"/>
  <c r="E767" i="5"/>
  <c r="K766" i="5"/>
  <c r="L766" i="5" s="1"/>
  <c r="E766" i="5"/>
  <c r="K765" i="5"/>
  <c r="L765" i="5" s="1"/>
  <c r="E765" i="5"/>
  <c r="K764" i="5"/>
  <c r="L764" i="5" s="1"/>
  <c r="E764" i="5"/>
  <c r="J761" i="5"/>
  <c r="I761" i="5"/>
  <c r="H761" i="5"/>
  <c r="G761" i="5"/>
  <c r="F761" i="5"/>
  <c r="F791" i="5" s="1"/>
  <c r="K760" i="5"/>
  <c r="K759" i="5"/>
  <c r="K758" i="5"/>
  <c r="K757" i="5"/>
  <c r="K756" i="5"/>
  <c r="C25" i="15"/>
  <c r="C203" i="18"/>
  <c r="B203" i="18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C299" i="2"/>
  <c r="C291" i="2"/>
  <c r="C282" i="2"/>
  <c r="C275" i="2"/>
  <c r="C266" i="2"/>
  <c r="C263" i="2"/>
  <c r="C255" i="2"/>
  <c r="L246" i="2"/>
  <c r="AI246" i="2" s="1"/>
  <c r="AW246" i="2" s="1"/>
  <c r="AW304" i="2" s="1"/>
  <c r="AL304" i="2" s="1"/>
  <c r="L304" i="2" s="1"/>
  <c r="C304" i="2" s="1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M240" i="2"/>
  <c r="L240" i="2"/>
  <c r="K240" i="2"/>
  <c r="J240" i="2"/>
  <c r="I240" i="2"/>
  <c r="H240" i="2"/>
  <c r="G240" i="2"/>
  <c r="C239" i="2"/>
  <c r="C231" i="2"/>
  <c r="N240" i="2"/>
  <c r="C227" i="2"/>
  <c r="C222" i="2"/>
  <c r="C213" i="2"/>
  <c r="C209" i="2"/>
  <c r="C205" i="2"/>
  <c r="L195" i="2"/>
  <c r="AI195" i="2" s="1"/>
  <c r="AW195" i="2" s="1"/>
  <c r="AW244" i="2" s="1"/>
  <c r="AL244" i="2" s="1"/>
  <c r="L244" i="2" s="1"/>
  <c r="C244" i="2" s="1"/>
  <c r="J791" i="5" l="1"/>
  <c r="H791" i="5"/>
  <c r="C301" i="2"/>
  <c r="C241" i="2"/>
  <c r="E859" i="8"/>
  <c r="K835" i="5"/>
  <c r="K836" i="5" s="1"/>
  <c r="I791" i="5"/>
  <c r="G791" i="5"/>
  <c r="E790" i="5"/>
  <c r="K790" i="5"/>
  <c r="K761" i="5"/>
  <c r="L790" i="5"/>
  <c r="M50" i="13"/>
  <c r="N54" i="13"/>
  <c r="N50" i="13"/>
  <c r="N55" i="13"/>
  <c r="N53" i="13"/>
  <c r="N52" i="13"/>
  <c r="N51" i="13"/>
  <c r="M815" i="8"/>
  <c r="L815" i="8"/>
  <c r="K815" i="8"/>
  <c r="J815" i="8"/>
  <c r="I815" i="8"/>
  <c r="H815" i="8"/>
  <c r="G815" i="8"/>
  <c r="F815" i="8"/>
  <c r="B777" i="8"/>
  <c r="V101" i="7"/>
  <c r="F101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X99" i="7"/>
  <c r="W99" i="7"/>
  <c r="V99" i="7"/>
  <c r="U99" i="7"/>
  <c r="U101" i="7" s="1"/>
  <c r="T99" i="7"/>
  <c r="T101" i="7" s="1"/>
  <c r="S99" i="7"/>
  <c r="S101" i="7" s="1"/>
  <c r="R99" i="7"/>
  <c r="Q99" i="7"/>
  <c r="P99" i="7"/>
  <c r="O99" i="7"/>
  <c r="N99" i="7"/>
  <c r="N101" i="7" s="1"/>
  <c r="M99" i="7"/>
  <c r="M101" i="7" s="1"/>
  <c r="L99" i="7"/>
  <c r="L101" i="7" s="1"/>
  <c r="K99" i="7"/>
  <c r="K101" i="7" s="1"/>
  <c r="J99" i="7"/>
  <c r="I99" i="7"/>
  <c r="H99" i="7"/>
  <c r="G99" i="7"/>
  <c r="F99" i="7"/>
  <c r="Y98" i="7"/>
  <c r="E98" i="7"/>
  <c r="AB97" i="7"/>
  <c r="Y97" i="7"/>
  <c r="E97" i="7"/>
  <c r="Y96" i="7"/>
  <c r="E96" i="7"/>
  <c r="AB95" i="7"/>
  <c r="Y95" i="7"/>
  <c r="E95" i="7"/>
  <c r="Y94" i="7"/>
  <c r="E94" i="7"/>
  <c r="AB93" i="7"/>
  <c r="Y93" i="7"/>
  <c r="E93" i="7"/>
  <c r="Y92" i="7"/>
  <c r="E92" i="7"/>
  <c r="AB91" i="7"/>
  <c r="Y91" i="7"/>
  <c r="E91" i="7"/>
  <c r="Y90" i="7"/>
  <c r="E90" i="7"/>
  <c r="AB89" i="7"/>
  <c r="Y89" i="7"/>
  <c r="E89" i="7"/>
  <c r="Y88" i="7"/>
  <c r="E88" i="7"/>
  <c r="AB87" i="7"/>
  <c r="Y87" i="7"/>
  <c r="E87" i="7"/>
  <c r="Y86" i="7"/>
  <c r="E86" i="7"/>
  <c r="AB85" i="7"/>
  <c r="E85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J81" i="7" s="1"/>
  <c r="I80" i="7"/>
  <c r="H80" i="7"/>
  <c r="G80" i="7"/>
  <c r="F80" i="7"/>
  <c r="X79" i="7"/>
  <c r="W79" i="7"/>
  <c r="V79" i="7"/>
  <c r="V81" i="7" s="1"/>
  <c r="U79" i="7"/>
  <c r="U81" i="7" s="1"/>
  <c r="T79" i="7"/>
  <c r="T81" i="7" s="1"/>
  <c r="S79" i="7"/>
  <c r="S81" i="7" s="1"/>
  <c r="R79" i="7"/>
  <c r="Q79" i="7"/>
  <c r="P79" i="7"/>
  <c r="O79" i="7"/>
  <c r="N79" i="7"/>
  <c r="N81" i="7" s="1"/>
  <c r="M79" i="7"/>
  <c r="M81" i="7" s="1"/>
  <c r="L79" i="7"/>
  <c r="L81" i="7" s="1"/>
  <c r="K79" i="7"/>
  <c r="K81" i="7" s="1"/>
  <c r="J79" i="7"/>
  <c r="I79" i="7"/>
  <c r="H79" i="7"/>
  <c r="G79" i="7"/>
  <c r="F79" i="7"/>
  <c r="F81" i="7" s="1"/>
  <c r="Y78" i="7"/>
  <c r="E78" i="7"/>
  <c r="AB77" i="7"/>
  <c r="Y77" i="7"/>
  <c r="E77" i="7"/>
  <c r="Y76" i="7"/>
  <c r="E76" i="7"/>
  <c r="AB75" i="7"/>
  <c r="Y75" i="7"/>
  <c r="E75" i="7"/>
  <c r="Y74" i="7"/>
  <c r="E74" i="7"/>
  <c r="AB73" i="7"/>
  <c r="Y73" i="7"/>
  <c r="E73" i="7"/>
  <c r="Y72" i="7"/>
  <c r="E72" i="7"/>
  <c r="AB71" i="7"/>
  <c r="Y71" i="7"/>
  <c r="E71" i="7"/>
  <c r="Y70" i="7"/>
  <c r="E70" i="7"/>
  <c r="AB69" i="7"/>
  <c r="Y69" i="7"/>
  <c r="E69" i="7"/>
  <c r="Y68" i="7"/>
  <c r="E68" i="7"/>
  <c r="AB67" i="7"/>
  <c r="Y67" i="7"/>
  <c r="E67" i="7"/>
  <c r="Y66" i="7"/>
  <c r="E66" i="7"/>
  <c r="AB65" i="7"/>
  <c r="E65" i="7"/>
  <c r="J745" i="5"/>
  <c r="I745" i="5"/>
  <c r="H745" i="5"/>
  <c r="G745" i="5"/>
  <c r="F745" i="5"/>
  <c r="K743" i="5"/>
  <c r="K742" i="5"/>
  <c r="K741" i="5"/>
  <c r="L741" i="5" s="1"/>
  <c r="E741" i="5"/>
  <c r="K740" i="5"/>
  <c r="L740" i="5" s="1"/>
  <c r="E740" i="5"/>
  <c r="K739" i="5"/>
  <c r="L739" i="5" s="1"/>
  <c r="E739" i="5"/>
  <c r="K738" i="5"/>
  <c r="L738" i="5" s="1"/>
  <c r="E738" i="5"/>
  <c r="K737" i="5"/>
  <c r="L737" i="5" s="1"/>
  <c r="E737" i="5"/>
  <c r="K736" i="5"/>
  <c r="L736" i="5" s="1"/>
  <c r="E736" i="5"/>
  <c r="K735" i="5"/>
  <c r="L735" i="5" s="1"/>
  <c r="E735" i="5"/>
  <c r="L734" i="5"/>
  <c r="L733" i="5"/>
  <c r="K733" i="5"/>
  <c r="E733" i="5"/>
  <c r="K732" i="5"/>
  <c r="L732" i="5" s="1"/>
  <c r="E732" i="5"/>
  <c r="K731" i="5"/>
  <c r="L731" i="5" s="1"/>
  <c r="K730" i="5"/>
  <c r="L730" i="5" s="1"/>
  <c r="E730" i="5"/>
  <c r="K729" i="5"/>
  <c r="L729" i="5" s="1"/>
  <c r="E729" i="5"/>
  <c r="L728" i="5"/>
  <c r="K727" i="5"/>
  <c r="L727" i="5" s="1"/>
  <c r="E727" i="5"/>
  <c r="K726" i="5"/>
  <c r="L726" i="5" s="1"/>
  <c r="E726" i="5"/>
  <c r="K725" i="5"/>
  <c r="L725" i="5" s="1"/>
  <c r="E725" i="5"/>
  <c r="L724" i="5"/>
  <c r="K723" i="5"/>
  <c r="L723" i="5" s="1"/>
  <c r="E723" i="5"/>
  <c r="K722" i="5"/>
  <c r="L722" i="5" s="1"/>
  <c r="E722" i="5"/>
  <c r="K721" i="5"/>
  <c r="L721" i="5" s="1"/>
  <c r="E721" i="5"/>
  <c r="K720" i="5"/>
  <c r="L720" i="5" s="1"/>
  <c r="E720" i="5"/>
  <c r="K719" i="5"/>
  <c r="L719" i="5" s="1"/>
  <c r="E719" i="5"/>
  <c r="J716" i="5"/>
  <c r="I716" i="5"/>
  <c r="H716" i="5"/>
  <c r="G716" i="5"/>
  <c r="F716" i="5"/>
  <c r="F746" i="5" s="1"/>
  <c r="K715" i="5"/>
  <c r="K714" i="5"/>
  <c r="K713" i="5"/>
  <c r="K712" i="5"/>
  <c r="K711" i="5"/>
  <c r="G435" i="26"/>
  <c r="F437" i="26" s="1"/>
  <c r="D450" i="26"/>
  <c r="F449" i="26"/>
  <c r="C405" i="26"/>
  <c r="C24" i="15"/>
  <c r="B24" i="15"/>
  <c r="R81" i="7" l="1"/>
  <c r="R101" i="7"/>
  <c r="K791" i="5"/>
  <c r="E100" i="7"/>
  <c r="J746" i="5"/>
  <c r="G81" i="7"/>
  <c r="O81" i="7"/>
  <c r="W81" i="7"/>
  <c r="Y100" i="7"/>
  <c r="G101" i="7"/>
  <c r="O101" i="7"/>
  <c r="W101" i="7"/>
  <c r="H81" i="7"/>
  <c r="P81" i="7"/>
  <c r="X81" i="7"/>
  <c r="H101" i="7"/>
  <c r="P101" i="7"/>
  <c r="X101" i="7"/>
  <c r="Q81" i="7"/>
  <c r="Q101" i="7"/>
  <c r="J101" i="7"/>
  <c r="I101" i="7"/>
  <c r="I81" i="7"/>
  <c r="Y99" i="7"/>
  <c r="Y101" i="7" s="1"/>
  <c r="E99" i="7"/>
  <c r="Y79" i="7"/>
  <c r="Y81" i="7" s="1"/>
  <c r="E816" i="8"/>
  <c r="K792" i="5"/>
  <c r="N56" i="13"/>
  <c r="E101" i="7"/>
  <c r="E80" i="7"/>
  <c r="E79" i="7"/>
  <c r="Y80" i="7"/>
  <c r="E745" i="5"/>
  <c r="I746" i="5"/>
  <c r="H746" i="5"/>
  <c r="G746" i="5"/>
  <c r="K746" i="5" s="1"/>
  <c r="L745" i="5"/>
  <c r="K745" i="5"/>
  <c r="K716" i="5"/>
  <c r="G410" i="26"/>
  <c r="F412" i="26" s="1"/>
  <c r="G397" i="26"/>
  <c r="F399" i="26" s="1"/>
  <c r="G360" i="26"/>
  <c r="G422" i="26"/>
  <c r="C382" i="26"/>
  <c r="D425" i="26"/>
  <c r="F424" i="26"/>
  <c r="D400" i="26"/>
  <c r="F387" i="26"/>
  <c r="M772" i="8"/>
  <c r="L772" i="8"/>
  <c r="K772" i="8"/>
  <c r="J772" i="8"/>
  <c r="I772" i="8"/>
  <c r="H772" i="8"/>
  <c r="G772" i="8"/>
  <c r="F772" i="8"/>
  <c r="B734" i="8"/>
  <c r="J701" i="5"/>
  <c r="I701" i="5"/>
  <c r="H701" i="5"/>
  <c r="G701" i="5"/>
  <c r="F701" i="5"/>
  <c r="K699" i="5"/>
  <c r="K698" i="5"/>
  <c r="K697" i="5"/>
  <c r="L697" i="5" s="1"/>
  <c r="E697" i="5"/>
  <c r="K696" i="5"/>
  <c r="L696" i="5" s="1"/>
  <c r="E696" i="5"/>
  <c r="L695" i="5"/>
  <c r="K695" i="5"/>
  <c r="E695" i="5"/>
  <c r="K694" i="5"/>
  <c r="L694" i="5" s="1"/>
  <c r="E694" i="5"/>
  <c r="K693" i="5"/>
  <c r="L693" i="5" s="1"/>
  <c r="E693" i="5"/>
  <c r="K692" i="5"/>
  <c r="L692" i="5" s="1"/>
  <c r="E692" i="5"/>
  <c r="K691" i="5"/>
  <c r="L691" i="5" s="1"/>
  <c r="E691" i="5"/>
  <c r="L690" i="5"/>
  <c r="K689" i="5"/>
  <c r="L689" i="5" s="1"/>
  <c r="E689" i="5"/>
  <c r="K688" i="5"/>
  <c r="L688" i="5" s="1"/>
  <c r="E688" i="5"/>
  <c r="K687" i="5"/>
  <c r="L687" i="5" s="1"/>
  <c r="K686" i="5"/>
  <c r="L686" i="5" s="1"/>
  <c r="E686" i="5"/>
  <c r="K685" i="5"/>
  <c r="L685" i="5" s="1"/>
  <c r="E685" i="5"/>
  <c r="L684" i="5"/>
  <c r="K683" i="5"/>
  <c r="L683" i="5" s="1"/>
  <c r="E683" i="5"/>
  <c r="K682" i="5"/>
  <c r="L682" i="5" s="1"/>
  <c r="E682" i="5"/>
  <c r="K681" i="5"/>
  <c r="L681" i="5" s="1"/>
  <c r="E681" i="5"/>
  <c r="L680" i="5"/>
  <c r="K679" i="5"/>
  <c r="L679" i="5" s="1"/>
  <c r="E679" i="5"/>
  <c r="L678" i="5"/>
  <c r="K678" i="5"/>
  <c r="E678" i="5"/>
  <c r="K677" i="5"/>
  <c r="L677" i="5" s="1"/>
  <c r="E677" i="5"/>
  <c r="K676" i="5"/>
  <c r="L676" i="5" s="1"/>
  <c r="E676" i="5"/>
  <c r="K675" i="5"/>
  <c r="L675" i="5" s="1"/>
  <c r="E675" i="5"/>
  <c r="J672" i="5"/>
  <c r="I672" i="5"/>
  <c r="H672" i="5"/>
  <c r="G672" i="5"/>
  <c r="F672" i="5"/>
  <c r="F702" i="5" s="1"/>
  <c r="K671" i="5"/>
  <c r="K670" i="5"/>
  <c r="K669" i="5"/>
  <c r="K668" i="5"/>
  <c r="K667" i="5"/>
  <c r="C22" i="15"/>
  <c r="C190" i="18"/>
  <c r="C191" i="18" s="1"/>
  <c r="B191" i="18"/>
  <c r="C181" i="18"/>
  <c r="B181" i="18"/>
  <c r="N174" i="2"/>
  <c r="I702" i="5" l="1"/>
  <c r="J702" i="5"/>
  <c r="H702" i="5"/>
  <c r="E81" i="7"/>
  <c r="E773" i="8"/>
  <c r="K747" i="5"/>
  <c r="E701" i="5"/>
  <c r="G702" i="5"/>
  <c r="K702" i="5" s="1"/>
  <c r="K703" i="5" s="1"/>
  <c r="K701" i="5"/>
  <c r="K672" i="5"/>
  <c r="L701" i="5"/>
  <c r="M729" i="8"/>
  <c r="L729" i="8"/>
  <c r="K729" i="8"/>
  <c r="J729" i="8"/>
  <c r="I729" i="8"/>
  <c r="H729" i="8"/>
  <c r="G729" i="8"/>
  <c r="F729" i="8"/>
  <c r="B691" i="8"/>
  <c r="M686" i="8"/>
  <c r="L686" i="8"/>
  <c r="K686" i="8"/>
  <c r="J686" i="8"/>
  <c r="I686" i="8"/>
  <c r="H686" i="8"/>
  <c r="G686" i="8"/>
  <c r="F686" i="8"/>
  <c r="B648" i="8"/>
  <c r="K43" i="13"/>
  <c r="N43" i="13" s="1"/>
  <c r="N47" i="13" s="1"/>
  <c r="G347" i="26"/>
  <c r="C330" i="26"/>
  <c r="G335" i="26"/>
  <c r="D375" i="26"/>
  <c r="F374" i="26"/>
  <c r="F362" i="26"/>
  <c r="J657" i="5"/>
  <c r="I657" i="5"/>
  <c r="H657" i="5"/>
  <c r="G657" i="5"/>
  <c r="F657" i="5"/>
  <c r="K655" i="5"/>
  <c r="K654" i="5"/>
  <c r="K653" i="5"/>
  <c r="L653" i="5" s="1"/>
  <c r="E653" i="5"/>
  <c r="K652" i="5"/>
  <c r="L652" i="5" s="1"/>
  <c r="E652" i="5"/>
  <c r="K651" i="5"/>
  <c r="L651" i="5" s="1"/>
  <c r="E651" i="5"/>
  <c r="K650" i="5"/>
  <c r="L650" i="5" s="1"/>
  <c r="E650" i="5"/>
  <c r="K649" i="5"/>
  <c r="L649" i="5" s="1"/>
  <c r="E649" i="5"/>
  <c r="K648" i="5"/>
  <c r="L648" i="5" s="1"/>
  <c r="E648" i="5"/>
  <c r="L647" i="5"/>
  <c r="K647" i="5"/>
  <c r="E647" i="5"/>
  <c r="L646" i="5"/>
  <c r="K645" i="5"/>
  <c r="L645" i="5" s="1"/>
  <c r="E645" i="5"/>
  <c r="K644" i="5"/>
  <c r="L644" i="5" s="1"/>
  <c r="E644" i="5"/>
  <c r="K643" i="5"/>
  <c r="L643" i="5" s="1"/>
  <c r="K642" i="5"/>
  <c r="L642" i="5" s="1"/>
  <c r="E642" i="5"/>
  <c r="K641" i="5"/>
  <c r="L641" i="5" s="1"/>
  <c r="E641" i="5"/>
  <c r="L640" i="5"/>
  <c r="K639" i="5"/>
  <c r="L639" i="5" s="1"/>
  <c r="E639" i="5"/>
  <c r="K638" i="5"/>
  <c r="L638" i="5" s="1"/>
  <c r="E638" i="5"/>
  <c r="K637" i="5"/>
  <c r="L637" i="5" s="1"/>
  <c r="E637" i="5"/>
  <c r="L636" i="5"/>
  <c r="K635" i="5"/>
  <c r="L635" i="5" s="1"/>
  <c r="E635" i="5"/>
  <c r="K634" i="5"/>
  <c r="L634" i="5" s="1"/>
  <c r="E634" i="5"/>
  <c r="K633" i="5"/>
  <c r="L633" i="5" s="1"/>
  <c r="E633" i="5"/>
  <c r="K632" i="5"/>
  <c r="L632" i="5" s="1"/>
  <c r="E632" i="5"/>
  <c r="K631" i="5"/>
  <c r="L631" i="5" s="1"/>
  <c r="E631" i="5"/>
  <c r="J628" i="5"/>
  <c r="I628" i="5"/>
  <c r="H628" i="5"/>
  <c r="G628" i="5"/>
  <c r="F628" i="5"/>
  <c r="K627" i="5"/>
  <c r="K626" i="5"/>
  <c r="K625" i="5"/>
  <c r="K624" i="5"/>
  <c r="K623" i="5"/>
  <c r="C175" i="18"/>
  <c r="B175" i="18"/>
  <c r="I658" i="5" l="1"/>
  <c r="E730" i="8"/>
  <c r="E687" i="8"/>
  <c r="J658" i="5"/>
  <c r="F658" i="5"/>
  <c r="G658" i="5"/>
  <c r="E657" i="5"/>
  <c r="H658" i="5"/>
  <c r="L657" i="5"/>
  <c r="K657" i="5"/>
  <c r="K628" i="5"/>
  <c r="D350" i="26"/>
  <c r="F349" i="26"/>
  <c r="F337" i="26"/>
  <c r="C20" i="15"/>
  <c r="K658" i="5" l="1"/>
  <c r="K659" i="5" s="1"/>
  <c r="C282" i="26"/>
  <c r="G322" i="26"/>
  <c r="D279" i="26"/>
  <c r="D325" i="26"/>
  <c r="F324" i="26"/>
  <c r="F312" i="26"/>
  <c r="M643" i="8"/>
  <c r="L643" i="8"/>
  <c r="K643" i="8"/>
  <c r="J643" i="8"/>
  <c r="I643" i="8"/>
  <c r="H643" i="8"/>
  <c r="G643" i="8"/>
  <c r="F643" i="8"/>
  <c r="B605" i="8"/>
  <c r="J613" i="5"/>
  <c r="I613" i="5"/>
  <c r="H613" i="5"/>
  <c r="G613" i="5"/>
  <c r="F613" i="5"/>
  <c r="K611" i="5"/>
  <c r="K610" i="5"/>
  <c r="K609" i="5"/>
  <c r="L609" i="5" s="1"/>
  <c r="E609" i="5"/>
  <c r="K608" i="5"/>
  <c r="L608" i="5" s="1"/>
  <c r="E608" i="5"/>
  <c r="K607" i="5"/>
  <c r="L607" i="5" s="1"/>
  <c r="E607" i="5"/>
  <c r="K606" i="5"/>
  <c r="L606" i="5" s="1"/>
  <c r="E606" i="5"/>
  <c r="K605" i="5"/>
  <c r="L605" i="5" s="1"/>
  <c r="E605" i="5"/>
  <c r="K604" i="5"/>
  <c r="L604" i="5" s="1"/>
  <c r="E604" i="5"/>
  <c r="K603" i="5"/>
  <c r="L603" i="5" s="1"/>
  <c r="E603" i="5"/>
  <c r="L602" i="5"/>
  <c r="L601" i="5"/>
  <c r="K601" i="5"/>
  <c r="E601" i="5"/>
  <c r="K600" i="5"/>
  <c r="L600" i="5" s="1"/>
  <c r="E600" i="5"/>
  <c r="K599" i="5"/>
  <c r="L599" i="5" s="1"/>
  <c r="K598" i="5"/>
  <c r="L598" i="5" s="1"/>
  <c r="E598" i="5"/>
  <c r="K597" i="5"/>
  <c r="L597" i="5" s="1"/>
  <c r="E597" i="5"/>
  <c r="L596" i="5"/>
  <c r="K595" i="5"/>
  <c r="L595" i="5" s="1"/>
  <c r="E595" i="5"/>
  <c r="K594" i="5"/>
  <c r="L594" i="5" s="1"/>
  <c r="E594" i="5"/>
  <c r="K593" i="5"/>
  <c r="L593" i="5" s="1"/>
  <c r="E593" i="5"/>
  <c r="L592" i="5"/>
  <c r="K591" i="5"/>
  <c r="L591" i="5" s="1"/>
  <c r="E591" i="5"/>
  <c r="K590" i="5"/>
  <c r="L590" i="5" s="1"/>
  <c r="E590" i="5"/>
  <c r="K589" i="5"/>
  <c r="L589" i="5" s="1"/>
  <c r="E589" i="5"/>
  <c r="K588" i="5"/>
  <c r="L588" i="5" s="1"/>
  <c r="E588" i="5"/>
  <c r="K587" i="5"/>
  <c r="L587" i="5" s="1"/>
  <c r="E587" i="5"/>
  <c r="J584" i="5"/>
  <c r="I584" i="5"/>
  <c r="H584" i="5"/>
  <c r="G584" i="5"/>
  <c r="F584" i="5"/>
  <c r="K583" i="5"/>
  <c r="K582" i="5"/>
  <c r="K581" i="5"/>
  <c r="K580" i="5"/>
  <c r="K579" i="5"/>
  <c r="C18" i="15"/>
  <c r="C159" i="18"/>
  <c r="B159" i="18"/>
  <c r="G107" i="1"/>
  <c r="J614" i="5" l="1"/>
  <c r="E644" i="8"/>
  <c r="H614" i="5"/>
  <c r="K613" i="5"/>
  <c r="I614" i="5"/>
  <c r="F614" i="5"/>
  <c r="G614" i="5"/>
  <c r="E613" i="5"/>
  <c r="K584" i="5"/>
  <c r="L613" i="5"/>
  <c r="C4" i="15"/>
  <c r="C6" i="15"/>
  <c r="C7" i="15"/>
  <c r="C9" i="15"/>
  <c r="C12" i="15"/>
  <c r="C14" i="15"/>
  <c r="C17" i="15"/>
  <c r="C13" i="15"/>
  <c r="C10" i="15"/>
  <c r="C15" i="15"/>
  <c r="M600" i="8"/>
  <c r="L600" i="8"/>
  <c r="K600" i="8"/>
  <c r="J600" i="8"/>
  <c r="I600" i="8"/>
  <c r="H600" i="8"/>
  <c r="G600" i="8"/>
  <c r="F600" i="8"/>
  <c r="B562" i="8"/>
  <c r="M557" i="8"/>
  <c r="L557" i="8"/>
  <c r="K557" i="8"/>
  <c r="J557" i="8"/>
  <c r="I557" i="8"/>
  <c r="H557" i="8"/>
  <c r="G557" i="8"/>
  <c r="F557" i="8"/>
  <c r="B519" i="8"/>
  <c r="M514" i="8"/>
  <c r="L514" i="8"/>
  <c r="K514" i="8"/>
  <c r="J514" i="8"/>
  <c r="I514" i="8"/>
  <c r="H514" i="8"/>
  <c r="G514" i="8"/>
  <c r="F514" i="8"/>
  <c r="B476" i="8"/>
  <c r="M471" i="8"/>
  <c r="L471" i="8"/>
  <c r="K471" i="8"/>
  <c r="J471" i="8"/>
  <c r="I471" i="8"/>
  <c r="H471" i="8"/>
  <c r="G471" i="8"/>
  <c r="F471" i="8"/>
  <c r="B433" i="8"/>
  <c r="M428" i="8"/>
  <c r="L428" i="8"/>
  <c r="K428" i="8"/>
  <c r="J428" i="8"/>
  <c r="I428" i="8"/>
  <c r="H428" i="8"/>
  <c r="G428" i="8"/>
  <c r="F428" i="8"/>
  <c r="B390" i="8"/>
  <c r="M385" i="8"/>
  <c r="L385" i="8"/>
  <c r="K385" i="8"/>
  <c r="J385" i="8"/>
  <c r="I385" i="8"/>
  <c r="H385" i="8"/>
  <c r="G385" i="8"/>
  <c r="F385" i="8"/>
  <c r="B347" i="8"/>
  <c r="M342" i="8"/>
  <c r="L342" i="8"/>
  <c r="K342" i="8"/>
  <c r="J342" i="8"/>
  <c r="I342" i="8"/>
  <c r="H342" i="8"/>
  <c r="G342" i="8"/>
  <c r="F342" i="8"/>
  <c r="B304" i="8"/>
  <c r="M299" i="8"/>
  <c r="L299" i="8"/>
  <c r="K299" i="8"/>
  <c r="J299" i="8"/>
  <c r="I299" i="8"/>
  <c r="H299" i="8"/>
  <c r="G299" i="8"/>
  <c r="F299" i="8"/>
  <c r="B261" i="8"/>
  <c r="M256" i="8"/>
  <c r="L256" i="8"/>
  <c r="K256" i="8"/>
  <c r="J256" i="8"/>
  <c r="I256" i="8"/>
  <c r="H256" i="8"/>
  <c r="G256" i="8"/>
  <c r="F256" i="8"/>
  <c r="B218" i="8"/>
  <c r="M213" i="8"/>
  <c r="L213" i="8"/>
  <c r="K213" i="8"/>
  <c r="J213" i="8"/>
  <c r="I213" i="8"/>
  <c r="H213" i="8"/>
  <c r="G213" i="8"/>
  <c r="F213" i="8"/>
  <c r="B175" i="8"/>
  <c r="M170" i="8"/>
  <c r="L170" i="8"/>
  <c r="K170" i="8"/>
  <c r="J170" i="8"/>
  <c r="I170" i="8"/>
  <c r="H170" i="8"/>
  <c r="G170" i="8"/>
  <c r="F170" i="8"/>
  <c r="B132" i="8"/>
  <c r="M127" i="8"/>
  <c r="L127" i="8"/>
  <c r="K127" i="8"/>
  <c r="J127" i="8"/>
  <c r="I127" i="8"/>
  <c r="H127" i="8"/>
  <c r="G127" i="8"/>
  <c r="F127" i="8"/>
  <c r="B89" i="8"/>
  <c r="M84" i="8"/>
  <c r="L84" i="8"/>
  <c r="K84" i="8"/>
  <c r="J84" i="8"/>
  <c r="I84" i="8"/>
  <c r="H84" i="8"/>
  <c r="G84" i="8"/>
  <c r="F84" i="8"/>
  <c r="B46" i="8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X59" i="7"/>
  <c r="W59" i="7"/>
  <c r="V59" i="7"/>
  <c r="V61" i="7" s="1"/>
  <c r="U59" i="7"/>
  <c r="T59" i="7"/>
  <c r="S59" i="7"/>
  <c r="R59" i="7"/>
  <c r="R61" i="7" s="1"/>
  <c r="Q59" i="7"/>
  <c r="Q61" i="7" s="1"/>
  <c r="P59" i="7"/>
  <c r="O59" i="7"/>
  <c r="N59" i="7"/>
  <c r="N61" i="7" s="1"/>
  <c r="M59" i="7"/>
  <c r="L59" i="7"/>
  <c r="K59" i="7"/>
  <c r="J59" i="7"/>
  <c r="I59" i="7"/>
  <c r="I61" i="7" s="1"/>
  <c r="H59" i="7"/>
  <c r="G59" i="7"/>
  <c r="F59" i="7"/>
  <c r="F61" i="7" s="1"/>
  <c r="Y58" i="7"/>
  <c r="E58" i="7"/>
  <c r="AB57" i="7"/>
  <c r="Y57" i="7"/>
  <c r="E57" i="7"/>
  <c r="Y56" i="7"/>
  <c r="E56" i="7"/>
  <c r="AB55" i="7"/>
  <c r="Y55" i="7"/>
  <c r="E55" i="7"/>
  <c r="Y54" i="7"/>
  <c r="E54" i="7"/>
  <c r="AB53" i="7"/>
  <c r="Y53" i="7"/>
  <c r="E53" i="7"/>
  <c r="Y52" i="7"/>
  <c r="E52" i="7"/>
  <c r="AB51" i="7"/>
  <c r="Y51" i="7"/>
  <c r="E51" i="7"/>
  <c r="Y50" i="7"/>
  <c r="E50" i="7"/>
  <c r="AB49" i="7"/>
  <c r="Y49" i="7"/>
  <c r="E49" i="7"/>
  <c r="Y48" i="7"/>
  <c r="E48" i="7"/>
  <c r="AB47" i="7"/>
  <c r="Y47" i="7"/>
  <c r="E47" i="7"/>
  <c r="Y46" i="7"/>
  <c r="E46" i="7"/>
  <c r="E60" i="7" s="1"/>
  <c r="AB45" i="7"/>
  <c r="E45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X39" i="7"/>
  <c r="W39" i="7"/>
  <c r="V39" i="7"/>
  <c r="V41" i="7" s="1"/>
  <c r="U39" i="7"/>
  <c r="T39" i="7"/>
  <c r="S39" i="7"/>
  <c r="R39" i="7"/>
  <c r="R41" i="7" s="1"/>
  <c r="Q39" i="7"/>
  <c r="Q41" i="7" s="1"/>
  <c r="P39" i="7"/>
  <c r="O39" i="7"/>
  <c r="N39" i="7"/>
  <c r="N41" i="7" s="1"/>
  <c r="M39" i="7"/>
  <c r="L39" i="7"/>
  <c r="K39" i="7"/>
  <c r="J39" i="7"/>
  <c r="I39" i="7"/>
  <c r="I41" i="7" s="1"/>
  <c r="H39" i="7"/>
  <c r="G39" i="7"/>
  <c r="F39" i="7"/>
  <c r="F41" i="7" s="1"/>
  <c r="Y38" i="7"/>
  <c r="E38" i="7"/>
  <c r="AB37" i="7"/>
  <c r="Y37" i="7"/>
  <c r="E37" i="7"/>
  <c r="Y36" i="7"/>
  <c r="E36" i="7"/>
  <c r="AB35" i="7"/>
  <c r="Y35" i="7"/>
  <c r="E35" i="7"/>
  <c r="Y34" i="7"/>
  <c r="E34" i="7"/>
  <c r="AB33" i="7"/>
  <c r="Y33" i="7"/>
  <c r="E33" i="7"/>
  <c r="Y32" i="7"/>
  <c r="E32" i="7"/>
  <c r="AB31" i="7"/>
  <c r="Y31" i="7"/>
  <c r="E31" i="7"/>
  <c r="Y30" i="7"/>
  <c r="E30" i="7"/>
  <c r="AB29" i="7"/>
  <c r="Y29" i="7"/>
  <c r="E29" i="7"/>
  <c r="Y28" i="7"/>
  <c r="E28" i="7"/>
  <c r="AB27" i="7"/>
  <c r="Y27" i="7"/>
  <c r="E27" i="7"/>
  <c r="Y26" i="7"/>
  <c r="E26" i="7"/>
  <c r="AB25" i="7"/>
  <c r="E25" i="7"/>
  <c r="M41" i="7" l="1"/>
  <c r="U41" i="7"/>
  <c r="M61" i="7"/>
  <c r="U61" i="7"/>
  <c r="G61" i="7"/>
  <c r="W61" i="7"/>
  <c r="P41" i="7"/>
  <c r="H61" i="7"/>
  <c r="X61" i="7"/>
  <c r="O61" i="7"/>
  <c r="H41" i="7"/>
  <c r="X41" i="7"/>
  <c r="P61" i="7"/>
  <c r="K61" i="7"/>
  <c r="S61" i="7"/>
  <c r="L41" i="7"/>
  <c r="T41" i="7"/>
  <c r="L61" i="7"/>
  <c r="T61" i="7"/>
  <c r="J61" i="7"/>
  <c r="Y60" i="7"/>
  <c r="E601" i="8"/>
  <c r="Y59" i="7"/>
  <c r="Y61" i="7" s="1"/>
  <c r="K614" i="5"/>
  <c r="K615" i="5" s="1"/>
  <c r="E558" i="8"/>
  <c r="E515" i="8"/>
  <c r="E59" i="7"/>
  <c r="E61" i="7" s="1"/>
  <c r="E472" i="8"/>
  <c r="E429" i="8"/>
  <c r="J41" i="7"/>
  <c r="Y39" i="7"/>
  <c r="W41" i="7"/>
  <c r="E386" i="8"/>
  <c r="G41" i="7"/>
  <c r="E343" i="8"/>
  <c r="S41" i="7"/>
  <c r="O41" i="7"/>
  <c r="E300" i="8"/>
  <c r="K41" i="7"/>
  <c r="E257" i="8"/>
  <c r="E214" i="8"/>
  <c r="E171" i="8"/>
  <c r="E128" i="8"/>
  <c r="E85" i="8"/>
  <c r="E39" i="7"/>
  <c r="Y40" i="7"/>
  <c r="E40" i="7"/>
  <c r="C256" i="26"/>
  <c r="D300" i="26"/>
  <c r="F299" i="26"/>
  <c r="F287" i="26"/>
  <c r="E566" i="5"/>
  <c r="J569" i="5"/>
  <c r="I569" i="5"/>
  <c r="H569" i="5"/>
  <c r="G569" i="5"/>
  <c r="F569" i="5"/>
  <c r="K567" i="5"/>
  <c r="K566" i="5"/>
  <c r="K565" i="5"/>
  <c r="L565" i="5" s="1"/>
  <c r="E565" i="5"/>
  <c r="K564" i="5"/>
  <c r="L564" i="5" s="1"/>
  <c r="E564" i="5"/>
  <c r="L563" i="5"/>
  <c r="K563" i="5"/>
  <c r="E563" i="5"/>
  <c r="K562" i="5"/>
  <c r="L562" i="5" s="1"/>
  <c r="E562" i="5"/>
  <c r="K561" i="5"/>
  <c r="L561" i="5" s="1"/>
  <c r="E561" i="5"/>
  <c r="K560" i="5"/>
  <c r="L560" i="5" s="1"/>
  <c r="E560" i="5"/>
  <c r="K559" i="5"/>
  <c r="L559" i="5" s="1"/>
  <c r="E559" i="5"/>
  <c r="L558" i="5"/>
  <c r="L557" i="5"/>
  <c r="K557" i="5"/>
  <c r="E557" i="5"/>
  <c r="K556" i="5"/>
  <c r="L556" i="5" s="1"/>
  <c r="E556" i="5"/>
  <c r="K555" i="5"/>
  <c r="L555" i="5" s="1"/>
  <c r="K554" i="5"/>
  <c r="L554" i="5" s="1"/>
  <c r="E554" i="5"/>
  <c r="K553" i="5"/>
  <c r="L553" i="5" s="1"/>
  <c r="E553" i="5"/>
  <c r="L552" i="5"/>
  <c r="K551" i="5"/>
  <c r="L551" i="5" s="1"/>
  <c r="E551" i="5"/>
  <c r="K550" i="5"/>
  <c r="L550" i="5" s="1"/>
  <c r="E550" i="5"/>
  <c r="L549" i="5"/>
  <c r="K549" i="5"/>
  <c r="E549" i="5"/>
  <c r="L548" i="5"/>
  <c r="L547" i="5"/>
  <c r="K547" i="5"/>
  <c r="E547" i="5"/>
  <c r="K546" i="5"/>
  <c r="L546" i="5" s="1"/>
  <c r="E546" i="5"/>
  <c r="K545" i="5"/>
  <c r="L545" i="5" s="1"/>
  <c r="E545" i="5"/>
  <c r="K544" i="5"/>
  <c r="L544" i="5" s="1"/>
  <c r="E544" i="5"/>
  <c r="K543" i="5"/>
  <c r="L543" i="5" s="1"/>
  <c r="E543" i="5"/>
  <c r="J540" i="5"/>
  <c r="J570" i="5" s="1"/>
  <c r="I540" i="5"/>
  <c r="H540" i="5"/>
  <c r="G540" i="5"/>
  <c r="F540" i="5"/>
  <c r="K539" i="5"/>
  <c r="K538" i="5"/>
  <c r="K537" i="5"/>
  <c r="K536" i="5"/>
  <c r="K535" i="5"/>
  <c r="C143" i="18"/>
  <c r="B143" i="18"/>
  <c r="C141" i="2"/>
  <c r="C146" i="2" s="1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C188" i="2"/>
  <c r="C180" i="2"/>
  <c r="C171" i="2"/>
  <c r="C164" i="2"/>
  <c r="C159" i="2"/>
  <c r="C156" i="2"/>
  <c r="L136" i="2"/>
  <c r="AI136" i="2" s="1"/>
  <c r="AW136" i="2" s="1"/>
  <c r="AW193" i="2" s="1"/>
  <c r="AL193" i="2" s="1"/>
  <c r="L193" i="2" s="1"/>
  <c r="C193" i="2" s="1"/>
  <c r="L102" i="1"/>
  <c r="W194" i="1"/>
  <c r="N6" i="29" s="1"/>
  <c r="V194" i="1"/>
  <c r="E6" i="29" s="1"/>
  <c r="U194" i="1"/>
  <c r="S194" i="1"/>
  <c r="K6" i="29" s="1"/>
  <c r="R194" i="1"/>
  <c r="Q194" i="1"/>
  <c r="I6" i="29" s="1"/>
  <c r="P194" i="1"/>
  <c r="O194" i="1"/>
  <c r="M6" i="29" s="1"/>
  <c r="N194" i="1"/>
  <c r="L6" i="29" s="1"/>
  <c r="M194" i="1"/>
  <c r="L194" i="1"/>
  <c r="J6" i="29" s="1"/>
  <c r="K194" i="1"/>
  <c r="H6" i="29" s="1"/>
  <c r="J194" i="1"/>
  <c r="G6" i="29" s="1"/>
  <c r="I194" i="1"/>
  <c r="F6" i="29" s="1"/>
  <c r="H194" i="1"/>
  <c r="G194" i="1"/>
  <c r="D6" i="29" s="1"/>
  <c r="F194" i="1"/>
  <c r="C6" i="29" s="1"/>
  <c r="E191" i="1"/>
  <c r="D191" i="1"/>
  <c r="Z188" i="1"/>
  <c r="Y188" i="1"/>
  <c r="E187" i="1"/>
  <c r="D187" i="1"/>
  <c r="Z181" i="1"/>
  <c r="Y181" i="1"/>
  <c r="E180" i="1"/>
  <c r="D180" i="1"/>
  <c r="Z177" i="1"/>
  <c r="Y177" i="1"/>
  <c r="E176" i="1"/>
  <c r="D176" i="1"/>
  <c r="Z169" i="1"/>
  <c r="Y169" i="1"/>
  <c r="E168" i="1"/>
  <c r="D168" i="1"/>
  <c r="Z162" i="1"/>
  <c r="Y162" i="1"/>
  <c r="E161" i="1"/>
  <c r="D161" i="1"/>
  <c r="Z156" i="1"/>
  <c r="Y156" i="1"/>
  <c r="E155" i="1"/>
  <c r="D155" i="1"/>
  <c r="Z151" i="1"/>
  <c r="Y151" i="1"/>
  <c r="M149" i="1"/>
  <c r="V149" i="1" s="1"/>
  <c r="V196" i="1" s="1"/>
  <c r="M196" i="1" s="1"/>
  <c r="E196" i="1" s="1"/>
  <c r="V145" i="1"/>
  <c r="E5" i="29" s="1"/>
  <c r="U145" i="1"/>
  <c r="S145" i="1"/>
  <c r="K5" i="29" s="1"/>
  <c r="R145" i="1"/>
  <c r="Q145" i="1"/>
  <c r="I5" i="29" s="1"/>
  <c r="P145" i="1"/>
  <c r="O145" i="1"/>
  <c r="M5" i="29" s="1"/>
  <c r="N145" i="1"/>
  <c r="L5" i="29" s="1"/>
  <c r="M145" i="1"/>
  <c r="K145" i="1"/>
  <c r="H5" i="29" s="1"/>
  <c r="J145" i="1"/>
  <c r="G5" i="29" s="1"/>
  <c r="I145" i="1"/>
  <c r="F5" i="29" s="1"/>
  <c r="H145" i="1"/>
  <c r="F145" i="1"/>
  <c r="C5" i="29" s="1"/>
  <c r="E142" i="1"/>
  <c r="D142" i="1"/>
  <c r="Z139" i="1"/>
  <c r="L145" i="1"/>
  <c r="J5" i="29" s="1"/>
  <c r="E138" i="1"/>
  <c r="D138" i="1"/>
  <c r="D145" i="1" s="1"/>
  <c r="Z132" i="1"/>
  <c r="Y132" i="1"/>
  <c r="E131" i="1"/>
  <c r="D131" i="1"/>
  <c r="Z128" i="1"/>
  <c r="Y128" i="1"/>
  <c r="E127" i="1"/>
  <c r="D127" i="1"/>
  <c r="Z120" i="1"/>
  <c r="Y120" i="1"/>
  <c r="E119" i="1"/>
  <c r="D119" i="1"/>
  <c r="Z113" i="1"/>
  <c r="Y113" i="1"/>
  <c r="E112" i="1"/>
  <c r="D112" i="1"/>
  <c r="Z107" i="1"/>
  <c r="W145" i="1"/>
  <c r="N5" i="29" s="1"/>
  <c r="Y107" i="1"/>
  <c r="E106" i="1"/>
  <c r="D106" i="1"/>
  <c r="Z102" i="1"/>
  <c r="Y102" i="1"/>
  <c r="M100" i="1"/>
  <c r="V100" i="1" s="1"/>
  <c r="V147" i="1" s="1"/>
  <c r="M147" i="1" s="1"/>
  <c r="E147" i="1" s="1"/>
  <c r="E569" i="5" l="1"/>
  <c r="D194" i="1"/>
  <c r="K540" i="5"/>
  <c r="E194" i="1"/>
  <c r="E145" i="1"/>
  <c r="Y41" i="7"/>
  <c r="Y194" i="1"/>
  <c r="E41" i="7"/>
  <c r="I570" i="5"/>
  <c r="G570" i="5"/>
  <c r="L569" i="5"/>
  <c r="K569" i="5"/>
  <c r="H570" i="5"/>
  <c r="F570" i="5"/>
  <c r="C190" i="2"/>
  <c r="G145" i="1"/>
  <c r="D5" i="29" s="1"/>
  <c r="Y139" i="1"/>
  <c r="Y145" i="1" s="1"/>
  <c r="N38" i="13"/>
  <c r="N37" i="13"/>
  <c r="N35" i="13"/>
  <c r="M36" i="13"/>
  <c r="N36" i="13" s="1"/>
  <c r="M34" i="13"/>
  <c r="N34" i="13" s="1"/>
  <c r="F34" i="13"/>
  <c r="N39" i="13"/>
  <c r="C132" i="18"/>
  <c r="B132" i="18"/>
  <c r="C123" i="18"/>
  <c r="B123" i="18"/>
  <c r="C115" i="18"/>
  <c r="B115" i="18"/>
  <c r="C123" i="2"/>
  <c r="L90" i="1"/>
  <c r="D275" i="26"/>
  <c r="F274" i="26"/>
  <c r="G260" i="26"/>
  <c r="F262" i="26" s="1"/>
  <c r="G247" i="26"/>
  <c r="J525" i="5"/>
  <c r="I525" i="5"/>
  <c r="H525" i="5"/>
  <c r="G525" i="5"/>
  <c r="F525" i="5"/>
  <c r="K523" i="5"/>
  <c r="K522" i="5"/>
  <c r="K521" i="5"/>
  <c r="L521" i="5" s="1"/>
  <c r="E521" i="5"/>
  <c r="K520" i="5"/>
  <c r="L520" i="5" s="1"/>
  <c r="E520" i="5"/>
  <c r="L519" i="5"/>
  <c r="K519" i="5"/>
  <c r="E519" i="5"/>
  <c r="K518" i="5"/>
  <c r="L518" i="5" s="1"/>
  <c r="E518" i="5"/>
  <c r="K517" i="5"/>
  <c r="L517" i="5" s="1"/>
  <c r="E517" i="5"/>
  <c r="K516" i="5"/>
  <c r="L516" i="5" s="1"/>
  <c r="E516" i="5"/>
  <c r="L515" i="5"/>
  <c r="K515" i="5"/>
  <c r="E515" i="5"/>
  <c r="L514" i="5"/>
  <c r="K513" i="5"/>
  <c r="L513" i="5" s="1"/>
  <c r="E513" i="5"/>
  <c r="K512" i="5"/>
  <c r="L512" i="5" s="1"/>
  <c r="E512" i="5"/>
  <c r="K511" i="5"/>
  <c r="L511" i="5" s="1"/>
  <c r="K510" i="5"/>
  <c r="L510" i="5" s="1"/>
  <c r="E510" i="5"/>
  <c r="K509" i="5"/>
  <c r="L509" i="5" s="1"/>
  <c r="E509" i="5"/>
  <c r="L508" i="5"/>
  <c r="K507" i="5"/>
  <c r="L507" i="5" s="1"/>
  <c r="E507" i="5"/>
  <c r="K506" i="5"/>
  <c r="L506" i="5" s="1"/>
  <c r="E506" i="5"/>
  <c r="K505" i="5"/>
  <c r="L505" i="5" s="1"/>
  <c r="E505" i="5"/>
  <c r="L504" i="5"/>
  <c r="K503" i="5"/>
  <c r="L503" i="5" s="1"/>
  <c r="E503" i="5"/>
  <c r="K502" i="5"/>
  <c r="L502" i="5" s="1"/>
  <c r="E502" i="5"/>
  <c r="K501" i="5"/>
  <c r="L501" i="5" s="1"/>
  <c r="E501" i="5"/>
  <c r="K500" i="5"/>
  <c r="L500" i="5" s="1"/>
  <c r="E500" i="5"/>
  <c r="K499" i="5"/>
  <c r="L499" i="5" s="1"/>
  <c r="E499" i="5"/>
  <c r="J496" i="5"/>
  <c r="I496" i="5"/>
  <c r="H496" i="5"/>
  <c r="G496" i="5"/>
  <c r="F496" i="5"/>
  <c r="F526" i="5" s="1"/>
  <c r="K495" i="5"/>
  <c r="K494" i="5"/>
  <c r="K493" i="5"/>
  <c r="K492" i="5"/>
  <c r="K491" i="5"/>
  <c r="J481" i="5"/>
  <c r="I481" i="5"/>
  <c r="H481" i="5"/>
  <c r="G481" i="5"/>
  <c r="F481" i="5"/>
  <c r="K479" i="5"/>
  <c r="K478" i="5"/>
  <c r="K477" i="5"/>
  <c r="L477" i="5" s="1"/>
  <c r="E477" i="5"/>
  <c r="K476" i="5"/>
  <c r="L476" i="5" s="1"/>
  <c r="E476" i="5"/>
  <c r="L475" i="5"/>
  <c r="K475" i="5"/>
  <c r="E475" i="5"/>
  <c r="K474" i="5"/>
  <c r="L474" i="5" s="1"/>
  <c r="E474" i="5"/>
  <c r="K473" i="5"/>
  <c r="L473" i="5" s="1"/>
  <c r="E473" i="5"/>
  <c r="K472" i="5"/>
  <c r="L472" i="5" s="1"/>
  <c r="E472" i="5"/>
  <c r="K471" i="5"/>
  <c r="L471" i="5" s="1"/>
  <c r="E471" i="5"/>
  <c r="L470" i="5"/>
  <c r="K469" i="5"/>
  <c r="L469" i="5" s="1"/>
  <c r="E469" i="5"/>
  <c r="K468" i="5"/>
  <c r="L468" i="5" s="1"/>
  <c r="E468" i="5"/>
  <c r="K467" i="5"/>
  <c r="L467" i="5" s="1"/>
  <c r="K466" i="5"/>
  <c r="L466" i="5" s="1"/>
  <c r="E466" i="5"/>
  <c r="K465" i="5"/>
  <c r="L465" i="5" s="1"/>
  <c r="E465" i="5"/>
  <c r="L464" i="5"/>
  <c r="K463" i="5"/>
  <c r="L463" i="5" s="1"/>
  <c r="E463" i="5"/>
  <c r="K462" i="5"/>
  <c r="L462" i="5" s="1"/>
  <c r="E462" i="5"/>
  <c r="K461" i="5"/>
  <c r="L461" i="5" s="1"/>
  <c r="E461" i="5"/>
  <c r="L460" i="5"/>
  <c r="K459" i="5"/>
  <c r="L459" i="5" s="1"/>
  <c r="E459" i="5"/>
  <c r="K458" i="5"/>
  <c r="L458" i="5" s="1"/>
  <c r="E458" i="5"/>
  <c r="K457" i="5"/>
  <c r="L457" i="5" s="1"/>
  <c r="E457" i="5"/>
  <c r="K456" i="5"/>
  <c r="L456" i="5" s="1"/>
  <c r="E456" i="5"/>
  <c r="K455" i="5"/>
  <c r="L455" i="5" s="1"/>
  <c r="E455" i="5"/>
  <c r="J452" i="5"/>
  <c r="I452" i="5"/>
  <c r="G452" i="5"/>
  <c r="F452" i="5"/>
  <c r="F482" i="5" s="1"/>
  <c r="K451" i="5"/>
  <c r="K450" i="5"/>
  <c r="K449" i="5"/>
  <c r="K448" i="5"/>
  <c r="H452" i="5"/>
  <c r="K447" i="5"/>
  <c r="J526" i="5" l="1"/>
  <c r="I482" i="5"/>
  <c r="J482" i="5"/>
  <c r="K570" i="5"/>
  <c r="K571" i="5" s="1"/>
  <c r="N40" i="13"/>
  <c r="H526" i="5"/>
  <c r="I526" i="5"/>
  <c r="G526" i="5"/>
  <c r="E525" i="5"/>
  <c r="K525" i="5"/>
  <c r="K496" i="5"/>
  <c r="L525" i="5"/>
  <c r="H482" i="5"/>
  <c r="E481" i="5"/>
  <c r="G482" i="5"/>
  <c r="K482" i="5" s="1"/>
  <c r="K481" i="5"/>
  <c r="K452" i="5"/>
  <c r="L481" i="5"/>
  <c r="N27" i="13"/>
  <c r="N31" i="13" s="1"/>
  <c r="G235" i="26"/>
  <c r="F237" i="26" s="1"/>
  <c r="C207" i="26"/>
  <c r="D250" i="26"/>
  <c r="F249" i="26"/>
  <c r="H404" i="5"/>
  <c r="E424" i="5"/>
  <c r="J437" i="5"/>
  <c r="I437" i="5"/>
  <c r="H437" i="5"/>
  <c r="G437" i="5"/>
  <c r="F437" i="5"/>
  <c r="K435" i="5"/>
  <c r="K434" i="5"/>
  <c r="K433" i="5"/>
  <c r="L433" i="5" s="1"/>
  <c r="E433" i="5"/>
  <c r="K432" i="5"/>
  <c r="L432" i="5" s="1"/>
  <c r="E432" i="5"/>
  <c r="K431" i="5"/>
  <c r="L431" i="5" s="1"/>
  <c r="E431" i="5"/>
  <c r="K430" i="5"/>
  <c r="L430" i="5" s="1"/>
  <c r="E430" i="5"/>
  <c r="K429" i="5"/>
  <c r="L429" i="5" s="1"/>
  <c r="E429" i="5"/>
  <c r="K428" i="5"/>
  <c r="L428" i="5" s="1"/>
  <c r="E428" i="5"/>
  <c r="K427" i="5"/>
  <c r="L427" i="5" s="1"/>
  <c r="E427" i="5"/>
  <c r="L426" i="5"/>
  <c r="K425" i="5"/>
  <c r="L425" i="5" s="1"/>
  <c r="E425" i="5"/>
  <c r="K424" i="5"/>
  <c r="L424" i="5" s="1"/>
  <c r="K423" i="5"/>
  <c r="L423" i="5" s="1"/>
  <c r="K422" i="5"/>
  <c r="L422" i="5" s="1"/>
  <c r="E422" i="5"/>
  <c r="K421" i="5"/>
  <c r="L421" i="5" s="1"/>
  <c r="E421" i="5"/>
  <c r="L420" i="5"/>
  <c r="K419" i="5"/>
  <c r="L419" i="5" s="1"/>
  <c r="E419" i="5"/>
  <c r="K418" i="5"/>
  <c r="L418" i="5" s="1"/>
  <c r="E418" i="5"/>
  <c r="K417" i="5"/>
  <c r="L417" i="5" s="1"/>
  <c r="E417" i="5"/>
  <c r="L416" i="5"/>
  <c r="K415" i="5"/>
  <c r="L415" i="5" s="1"/>
  <c r="E415" i="5"/>
  <c r="K414" i="5"/>
  <c r="L414" i="5" s="1"/>
  <c r="E414" i="5"/>
  <c r="K413" i="5"/>
  <c r="L413" i="5" s="1"/>
  <c r="E413" i="5"/>
  <c r="K412" i="5"/>
  <c r="L412" i="5" s="1"/>
  <c r="E412" i="5"/>
  <c r="K411" i="5"/>
  <c r="L411" i="5" s="1"/>
  <c r="E411" i="5"/>
  <c r="J408" i="5"/>
  <c r="I408" i="5"/>
  <c r="H408" i="5"/>
  <c r="G408" i="5"/>
  <c r="F408" i="5"/>
  <c r="K407" i="5"/>
  <c r="K406" i="5"/>
  <c r="K405" i="5"/>
  <c r="K404" i="5"/>
  <c r="K403" i="5"/>
  <c r="W72" i="1"/>
  <c r="C109" i="18"/>
  <c r="B109" i="18"/>
  <c r="G71" i="1"/>
  <c r="K526" i="5" l="1"/>
  <c r="K527" i="5"/>
  <c r="K483" i="5"/>
  <c r="H438" i="5"/>
  <c r="J438" i="5"/>
  <c r="I438" i="5"/>
  <c r="F438" i="5"/>
  <c r="K408" i="5"/>
  <c r="E437" i="5"/>
  <c r="L437" i="5"/>
  <c r="G438" i="5"/>
  <c r="K437" i="5"/>
  <c r="D225" i="26"/>
  <c r="G222" i="26"/>
  <c r="F224" i="26" s="1"/>
  <c r="F212" i="26"/>
  <c r="G210" i="26"/>
  <c r="D200" i="26"/>
  <c r="G197" i="26"/>
  <c r="F199" i="26" s="1"/>
  <c r="F187" i="26"/>
  <c r="F174" i="26"/>
  <c r="F162" i="26"/>
  <c r="C157" i="26"/>
  <c r="D154" i="26"/>
  <c r="D175" i="26" s="1"/>
  <c r="D150" i="26"/>
  <c r="F149" i="26"/>
  <c r="F137" i="26"/>
  <c r="D125" i="26"/>
  <c r="F124" i="26"/>
  <c r="F112" i="26"/>
  <c r="D100" i="26"/>
  <c r="F99" i="26"/>
  <c r="F87" i="26"/>
  <c r="D75" i="26"/>
  <c r="F74" i="26"/>
  <c r="F62" i="26"/>
  <c r="F49" i="26"/>
  <c r="F37" i="26"/>
  <c r="D32" i="26"/>
  <c r="D50" i="26" s="1"/>
  <c r="D25" i="26"/>
  <c r="F24" i="26"/>
  <c r="F12" i="26"/>
  <c r="C25" i="26"/>
  <c r="E25" i="26" l="1"/>
  <c r="C28" i="26" s="1"/>
  <c r="C50" i="26" s="1"/>
  <c r="E50" i="26" s="1"/>
  <c r="C53" i="26" s="1"/>
  <c r="C75" i="26" s="1"/>
  <c r="E75" i="26" s="1"/>
  <c r="C78" i="26" s="1"/>
  <c r="C100" i="26" s="1"/>
  <c r="E100" i="26" s="1"/>
  <c r="C103" i="26" s="1"/>
  <c r="C125" i="26" s="1"/>
  <c r="E125" i="26" s="1"/>
  <c r="C128" i="26" s="1"/>
  <c r="C150" i="26" s="1"/>
  <c r="E150" i="26" s="1"/>
  <c r="C153" i="26" s="1"/>
  <c r="C175" i="26" s="1"/>
  <c r="E175" i="26" s="1"/>
  <c r="C178" i="26" s="1"/>
  <c r="C200" i="26" s="1"/>
  <c r="E200" i="26" s="1"/>
  <c r="C203" i="26" s="1"/>
  <c r="C225" i="26" s="1"/>
  <c r="E225" i="26" s="1"/>
  <c r="C228" i="26" s="1"/>
  <c r="C250" i="26" s="1"/>
  <c r="E250" i="26" s="1"/>
  <c r="C253" i="26" s="1"/>
  <c r="C275" i="26" s="1"/>
  <c r="E275" i="26" s="1"/>
  <c r="C278" i="26" s="1"/>
  <c r="C300" i="26" s="1"/>
  <c r="E300" i="26" s="1"/>
  <c r="C303" i="26" s="1"/>
  <c r="C325" i="26" s="1"/>
  <c r="E325" i="26" s="1"/>
  <c r="C328" i="26" s="1"/>
  <c r="C350" i="26" s="1"/>
  <c r="E350" i="26" s="1"/>
  <c r="C353" i="26" s="1"/>
  <c r="C375" i="26" s="1"/>
  <c r="E375" i="26" s="1"/>
  <c r="C378" i="26" s="1"/>
  <c r="C400" i="26" s="1"/>
  <c r="E400" i="26" s="1"/>
  <c r="C403" i="26" s="1"/>
  <c r="C425" i="26" s="1"/>
  <c r="E425" i="26" s="1"/>
  <c r="C428" i="26" s="1"/>
  <c r="C450" i="26" s="1"/>
  <c r="E450" i="26" s="1"/>
  <c r="C453" i="26" s="1"/>
  <c r="C475" i="26" s="1"/>
  <c r="E475" i="26" s="1"/>
  <c r="C478" i="26" s="1"/>
  <c r="C500" i="26" s="1"/>
  <c r="E500" i="26" s="1"/>
  <c r="C503" i="26" s="1"/>
  <c r="C525" i="26" s="1"/>
  <c r="E525" i="26" s="1"/>
  <c r="C528" i="26" s="1"/>
  <c r="C550" i="26" s="1"/>
  <c r="E550" i="26" s="1"/>
  <c r="C553" i="26" s="1"/>
  <c r="C575" i="26" s="1"/>
  <c r="E575" i="26" s="1"/>
  <c r="C578" i="26" s="1"/>
  <c r="C600" i="26" s="1"/>
  <c r="E600" i="26" s="1"/>
  <c r="C603" i="26" s="1"/>
  <c r="C625" i="26" s="1"/>
  <c r="E625" i="26" s="1"/>
  <c r="C628" i="26" s="1"/>
  <c r="C650" i="26" s="1"/>
  <c r="E650" i="26" s="1"/>
  <c r="C653" i="26" s="1"/>
  <c r="C675" i="26" s="1"/>
  <c r="E675" i="26" s="1"/>
  <c r="C678" i="26" s="1"/>
  <c r="C700" i="26" s="1"/>
  <c r="E700" i="26" s="1"/>
  <c r="C703" i="26" s="1"/>
  <c r="C725" i="26" s="1"/>
  <c r="E725" i="26" s="1"/>
  <c r="C728" i="26" s="1"/>
  <c r="C750" i="26" s="1"/>
  <c r="E750" i="26" s="1"/>
  <c r="C753" i="26" s="1"/>
  <c r="C775" i="26" s="1"/>
  <c r="E775" i="26" s="1"/>
  <c r="C778" i="26" s="1"/>
  <c r="C800" i="26" s="1"/>
  <c r="E800" i="26" s="1"/>
  <c r="C803" i="26" s="1"/>
  <c r="C825" i="26" s="1"/>
  <c r="E825" i="26" s="1"/>
  <c r="C828" i="26" s="1"/>
  <c r="C850" i="26" s="1"/>
  <c r="E850" i="26" s="1"/>
  <c r="C853" i="26" s="1"/>
  <c r="C875" i="26" s="1"/>
  <c r="E875" i="26" s="1"/>
  <c r="C878" i="26" s="1"/>
  <c r="C900" i="26" s="1"/>
  <c r="E900" i="26" s="1"/>
  <c r="C903" i="26" s="1"/>
  <c r="C925" i="26" s="1"/>
  <c r="E925" i="26" s="1"/>
  <c r="C928" i="26" s="1"/>
  <c r="C950" i="26" s="1"/>
  <c r="E950" i="26" s="1"/>
  <c r="C953" i="26" s="1"/>
  <c r="C975" i="26" s="1"/>
  <c r="E975" i="26" s="1"/>
  <c r="C978" i="26" s="1"/>
  <c r="C1000" i="26" s="1"/>
  <c r="E1000" i="26" s="1"/>
  <c r="C1003" i="26" s="1"/>
  <c r="C1025" i="26" s="1"/>
  <c r="E1025" i="26" s="1"/>
  <c r="C1028" i="26" s="1"/>
  <c r="C1050" i="26" s="1"/>
  <c r="E1050" i="26" s="1"/>
  <c r="C1053" i="26" s="1"/>
  <c r="C1075" i="26" s="1"/>
  <c r="E1075" i="26" s="1"/>
  <c r="C1078" i="26" s="1"/>
  <c r="C1100" i="26" s="1"/>
  <c r="E1100" i="26" s="1"/>
  <c r="C1103" i="26" s="1"/>
  <c r="C1125" i="26" s="1"/>
  <c r="E1125" i="26" s="1"/>
  <c r="C1128" i="26" s="1"/>
  <c r="C1150" i="26" s="1"/>
  <c r="E1150" i="26" s="1"/>
  <c r="C1153" i="26" s="1"/>
  <c r="C1175" i="26" s="1"/>
  <c r="E1175" i="26" s="1"/>
  <c r="C1178" i="26" s="1"/>
  <c r="C1200" i="26" s="1"/>
  <c r="E1200" i="26" s="1"/>
  <c r="C1203" i="26" s="1"/>
  <c r="C1225" i="26" s="1"/>
  <c r="E1225" i="26" s="1"/>
  <c r="C1228" i="26" s="1"/>
  <c r="C1250" i="26" s="1"/>
  <c r="E1250" i="26" s="1"/>
  <c r="C1253" i="26" s="1"/>
  <c r="C1275" i="26" s="1"/>
  <c r="E1275" i="26" s="1"/>
  <c r="C1278" i="26" s="1"/>
  <c r="C1300" i="26" s="1"/>
  <c r="E1300" i="26" s="1"/>
  <c r="C1303" i="26" s="1"/>
  <c r="C1325" i="26" s="1"/>
  <c r="E1325" i="26" s="1"/>
  <c r="C1328" i="26" s="1"/>
  <c r="C1350" i="26" s="1"/>
  <c r="E1350" i="26" s="1"/>
  <c r="C1353" i="26" s="1"/>
  <c r="C1375" i="26" s="1"/>
  <c r="E1375" i="26" s="1"/>
  <c r="C1378" i="26" s="1"/>
  <c r="C1400" i="26" s="1"/>
  <c r="E1400" i="26" s="1"/>
  <c r="C1403" i="26" s="1"/>
  <c r="C1425" i="26" s="1"/>
  <c r="E1425" i="26" s="1"/>
  <c r="C1428" i="26" s="1"/>
  <c r="C1450" i="26" s="1"/>
  <c r="E1450" i="26" s="1"/>
  <c r="C1453" i="26" s="1"/>
  <c r="C1475" i="26" s="1"/>
  <c r="E1475" i="26" s="1"/>
  <c r="C1478" i="26" s="1"/>
  <c r="C1500" i="26" s="1"/>
  <c r="E1500" i="26" s="1"/>
  <c r="C1503" i="26" s="1"/>
  <c r="C1525" i="26" s="1"/>
  <c r="E1525" i="26" s="1"/>
  <c r="C1528" i="26" s="1"/>
  <c r="C1550" i="26" s="1"/>
  <c r="E1550" i="26" s="1"/>
  <c r="C1553" i="26" s="1"/>
  <c r="C1575" i="26" s="1"/>
  <c r="E1575" i="26" s="1"/>
  <c r="C1578" i="26" s="1"/>
  <c r="C1600" i="26" s="1"/>
  <c r="E1600" i="26" s="1"/>
  <c r="C1603" i="26" s="1"/>
  <c r="C1625" i="26" s="1"/>
  <c r="E1625" i="26" s="1"/>
  <c r="C1628" i="26" s="1"/>
  <c r="C1650" i="26" s="1"/>
  <c r="E1650" i="26" s="1"/>
  <c r="C1653" i="26" s="1"/>
  <c r="C1675" i="26" s="1"/>
  <c r="E1675" i="26" s="1"/>
  <c r="C1678" i="26" s="1"/>
  <c r="C1700" i="26" s="1"/>
  <c r="E1700" i="26" s="1"/>
  <c r="C1703" i="26" s="1"/>
  <c r="C1725" i="26" s="1"/>
  <c r="E1725" i="26" s="1"/>
  <c r="C1728" i="26" s="1"/>
  <c r="C1750" i="26" s="1"/>
  <c r="E1750" i="26" s="1"/>
  <c r="C1753" i="26" s="1"/>
  <c r="C1775" i="26" s="1"/>
  <c r="E1775" i="26" s="1"/>
  <c r="C1778" i="26" s="1"/>
  <c r="C1800" i="26" s="1"/>
  <c r="E1800" i="26" s="1"/>
  <c r="C1803" i="26" s="1"/>
  <c r="C1825" i="26" s="1"/>
  <c r="E1825" i="26" s="1"/>
  <c r="C1828" i="26" s="1"/>
  <c r="C1850" i="26" s="1"/>
  <c r="E1850" i="26" s="1"/>
  <c r="C1853" i="26" s="1"/>
  <c r="C1875" i="26" s="1"/>
  <c r="E1875" i="26" s="1"/>
  <c r="C1878" i="26" s="1"/>
  <c r="C1900" i="26" s="1"/>
  <c r="E1900" i="26" s="1"/>
  <c r="C1903" i="26" s="1"/>
  <c r="C1925" i="26" s="1"/>
  <c r="E1925" i="26" s="1"/>
  <c r="C1928" i="26" s="1"/>
  <c r="C1950" i="26" s="1"/>
  <c r="E1950" i="26" s="1"/>
  <c r="C1953" i="26" s="1"/>
  <c r="C1975" i="26" s="1"/>
  <c r="E1975" i="26" s="1"/>
  <c r="C1978" i="26" s="1"/>
  <c r="C2000" i="26" s="1"/>
  <c r="E2000" i="26" s="1"/>
  <c r="C2003" i="26" s="1"/>
  <c r="C2025" i="26" s="1"/>
  <c r="E2025" i="26" s="1"/>
  <c r="C2028" i="26" s="1"/>
  <c r="C2050" i="26" s="1"/>
  <c r="E2050" i="26" s="1"/>
  <c r="C2053" i="26" s="1"/>
  <c r="C2075" i="26" s="1"/>
  <c r="E2075" i="26" s="1"/>
  <c r="C2078" i="26" s="1"/>
  <c r="C2100" i="26" s="1"/>
  <c r="E2100" i="26" s="1"/>
  <c r="C2103" i="26" s="1"/>
  <c r="C2125" i="26" s="1"/>
  <c r="E2125" i="26" s="1"/>
  <c r="C2128" i="26" s="1"/>
  <c r="C2150" i="26" s="1"/>
  <c r="E2150" i="26" s="1"/>
  <c r="C2153" i="26" s="1"/>
  <c r="C2175" i="26" s="1"/>
  <c r="E2175" i="26" s="1"/>
  <c r="C2178" i="26" s="1"/>
  <c r="C2200" i="26" s="1"/>
  <c r="E2200" i="26" s="1"/>
  <c r="C2203" i="26" s="1"/>
  <c r="C2225" i="26" s="1"/>
  <c r="E2225" i="26" s="1"/>
  <c r="C2228" i="26" s="1"/>
  <c r="C2250" i="26" s="1"/>
  <c r="E2250" i="26" s="1"/>
  <c r="C2253" i="26" s="1"/>
  <c r="C2275" i="26" s="1"/>
  <c r="E2275" i="26" s="1"/>
  <c r="C2278" i="26" s="1"/>
  <c r="C2300" i="26" s="1"/>
  <c r="E2300" i="26" s="1"/>
  <c r="C2303" i="26" s="1"/>
  <c r="C2325" i="26" s="1"/>
  <c r="E2325" i="26" s="1"/>
  <c r="C2328" i="26" s="1"/>
  <c r="C2350" i="26" s="1"/>
  <c r="E2350" i="26" s="1"/>
  <c r="C2353" i="26" s="1"/>
  <c r="C2375" i="26" s="1"/>
  <c r="E2375" i="26" s="1"/>
  <c r="C2378" i="26" s="1"/>
  <c r="C2400" i="26" s="1"/>
  <c r="E2400" i="26" s="1"/>
  <c r="C2403" i="26" s="1"/>
  <c r="C2425" i="26" s="1"/>
  <c r="E2425" i="26" s="1"/>
  <c r="C2428" i="26" s="1"/>
  <c r="C2450" i="26" s="1"/>
  <c r="E2450" i="26" s="1"/>
  <c r="C2453" i="26" s="1"/>
  <c r="C2475" i="26" s="1"/>
  <c r="E2475" i="26" s="1"/>
  <c r="C2478" i="26" s="1"/>
  <c r="C2500" i="26" s="1"/>
  <c r="E2500" i="26" s="1"/>
  <c r="C2503" i="26" s="1"/>
  <c r="C2525" i="26" s="1"/>
  <c r="E2525" i="26" s="1"/>
  <c r="C2528" i="26" s="1"/>
  <c r="C2550" i="26" s="1"/>
  <c r="E2550" i="26" s="1"/>
  <c r="C2553" i="26" s="1"/>
  <c r="C2575" i="26" s="1"/>
  <c r="E2575" i="26" s="1"/>
  <c r="C2578" i="26" s="1"/>
  <c r="C2600" i="26" s="1"/>
  <c r="E2600" i="26" s="1"/>
  <c r="C2603" i="26" s="1"/>
  <c r="C2625" i="26" s="1"/>
  <c r="E2625" i="26" s="1"/>
  <c r="C2628" i="26" s="1"/>
  <c r="C2650" i="26" s="1"/>
  <c r="E2650" i="26" s="1"/>
  <c r="C2653" i="26" s="1"/>
  <c r="C2675" i="26" s="1"/>
  <c r="E2675" i="26" s="1"/>
  <c r="K438" i="5"/>
  <c r="K439" i="5" s="1"/>
  <c r="O6" i="29"/>
  <c r="E380" i="5" l="1"/>
  <c r="J393" i="5"/>
  <c r="I393" i="5"/>
  <c r="H393" i="5"/>
  <c r="G393" i="5"/>
  <c r="F393" i="5"/>
  <c r="K391" i="5"/>
  <c r="K390" i="5"/>
  <c r="K389" i="5"/>
  <c r="L389" i="5" s="1"/>
  <c r="E389" i="5"/>
  <c r="K388" i="5"/>
  <c r="L388" i="5" s="1"/>
  <c r="E388" i="5"/>
  <c r="K387" i="5"/>
  <c r="L387" i="5" s="1"/>
  <c r="E387" i="5"/>
  <c r="K386" i="5"/>
  <c r="L386" i="5" s="1"/>
  <c r="E386" i="5"/>
  <c r="K385" i="5"/>
  <c r="L385" i="5" s="1"/>
  <c r="E385" i="5"/>
  <c r="K384" i="5"/>
  <c r="L384" i="5" s="1"/>
  <c r="E384" i="5"/>
  <c r="K383" i="5"/>
  <c r="L383" i="5" s="1"/>
  <c r="E383" i="5"/>
  <c r="L382" i="5"/>
  <c r="K381" i="5"/>
  <c r="L381" i="5" s="1"/>
  <c r="E381" i="5"/>
  <c r="K380" i="5"/>
  <c r="L380" i="5" s="1"/>
  <c r="K379" i="5"/>
  <c r="L379" i="5" s="1"/>
  <c r="K378" i="5"/>
  <c r="L378" i="5" s="1"/>
  <c r="E378" i="5"/>
  <c r="K377" i="5"/>
  <c r="L377" i="5" s="1"/>
  <c r="E377" i="5"/>
  <c r="L376" i="5"/>
  <c r="K375" i="5"/>
  <c r="L375" i="5" s="1"/>
  <c r="E375" i="5"/>
  <c r="K374" i="5"/>
  <c r="L374" i="5" s="1"/>
  <c r="E374" i="5"/>
  <c r="K373" i="5"/>
  <c r="L373" i="5" s="1"/>
  <c r="E373" i="5"/>
  <c r="L372" i="5"/>
  <c r="K371" i="5"/>
  <c r="L371" i="5" s="1"/>
  <c r="E371" i="5"/>
  <c r="K370" i="5"/>
  <c r="L370" i="5" s="1"/>
  <c r="E370" i="5"/>
  <c r="K369" i="5"/>
  <c r="L369" i="5" s="1"/>
  <c r="E369" i="5"/>
  <c r="K368" i="5"/>
  <c r="L368" i="5" s="1"/>
  <c r="E368" i="5"/>
  <c r="K367" i="5"/>
  <c r="L367" i="5" s="1"/>
  <c r="E367" i="5"/>
  <c r="J364" i="5"/>
  <c r="I364" i="5"/>
  <c r="H364" i="5"/>
  <c r="G364" i="5"/>
  <c r="F364" i="5"/>
  <c r="F394" i="5" s="1"/>
  <c r="K363" i="5"/>
  <c r="K362" i="5"/>
  <c r="K361" i="5"/>
  <c r="K360" i="5"/>
  <c r="K359" i="5"/>
  <c r="C94" i="18"/>
  <c r="B94" i="18"/>
  <c r="J394" i="5" l="1"/>
  <c r="E393" i="5"/>
  <c r="G394" i="5"/>
  <c r="H394" i="5"/>
  <c r="I394" i="5"/>
  <c r="K393" i="5"/>
  <c r="K364" i="5"/>
  <c r="L393" i="5"/>
  <c r="J349" i="5"/>
  <c r="I349" i="5"/>
  <c r="H349" i="5"/>
  <c r="G349" i="5"/>
  <c r="F349" i="5"/>
  <c r="K347" i="5"/>
  <c r="K346" i="5"/>
  <c r="K345" i="5"/>
  <c r="L345" i="5" s="1"/>
  <c r="E345" i="5"/>
  <c r="K344" i="5"/>
  <c r="L344" i="5" s="1"/>
  <c r="E344" i="5"/>
  <c r="K343" i="5"/>
  <c r="L343" i="5" s="1"/>
  <c r="E343" i="5"/>
  <c r="K342" i="5"/>
  <c r="L342" i="5" s="1"/>
  <c r="E342" i="5"/>
  <c r="K341" i="5"/>
  <c r="L341" i="5" s="1"/>
  <c r="E341" i="5"/>
  <c r="K340" i="5"/>
  <c r="L340" i="5" s="1"/>
  <c r="E340" i="5"/>
  <c r="K339" i="5"/>
  <c r="L339" i="5" s="1"/>
  <c r="E339" i="5"/>
  <c r="L338" i="5"/>
  <c r="L337" i="5"/>
  <c r="K337" i="5"/>
  <c r="E337" i="5"/>
  <c r="K336" i="5"/>
  <c r="L336" i="5" s="1"/>
  <c r="E336" i="5"/>
  <c r="K335" i="5"/>
  <c r="L335" i="5" s="1"/>
  <c r="K334" i="5"/>
  <c r="L334" i="5" s="1"/>
  <c r="E334" i="5"/>
  <c r="K333" i="5"/>
  <c r="L333" i="5" s="1"/>
  <c r="E333" i="5"/>
  <c r="L332" i="5"/>
  <c r="K331" i="5"/>
  <c r="L331" i="5" s="1"/>
  <c r="E331" i="5"/>
  <c r="K330" i="5"/>
  <c r="L330" i="5" s="1"/>
  <c r="E330" i="5"/>
  <c r="K329" i="5"/>
  <c r="L329" i="5" s="1"/>
  <c r="E329" i="5"/>
  <c r="L328" i="5"/>
  <c r="K327" i="5"/>
  <c r="L327" i="5" s="1"/>
  <c r="E327" i="5"/>
  <c r="K326" i="5"/>
  <c r="L326" i="5" s="1"/>
  <c r="E326" i="5"/>
  <c r="K325" i="5"/>
  <c r="L325" i="5" s="1"/>
  <c r="E325" i="5"/>
  <c r="K324" i="5"/>
  <c r="L324" i="5" s="1"/>
  <c r="E324" i="5"/>
  <c r="K323" i="5"/>
  <c r="L323" i="5" s="1"/>
  <c r="E323" i="5"/>
  <c r="J320" i="5"/>
  <c r="J350" i="5" s="1"/>
  <c r="I320" i="5"/>
  <c r="H320" i="5"/>
  <c r="G320" i="5"/>
  <c r="F320" i="5"/>
  <c r="F350" i="5" s="1"/>
  <c r="K319" i="5"/>
  <c r="K318" i="5"/>
  <c r="K317" i="5"/>
  <c r="K316" i="5"/>
  <c r="K315" i="5"/>
  <c r="C88" i="18"/>
  <c r="B88" i="18"/>
  <c r="C83" i="2"/>
  <c r="W58" i="1"/>
  <c r="G58" i="1"/>
  <c r="K394" i="5" l="1"/>
  <c r="K395" i="5" s="1"/>
  <c r="I350" i="5"/>
  <c r="H350" i="5"/>
  <c r="K320" i="5"/>
  <c r="G350" i="5"/>
  <c r="E349" i="5"/>
  <c r="L349" i="5"/>
  <c r="K349" i="5"/>
  <c r="J305" i="5"/>
  <c r="I305" i="5"/>
  <c r="H305" i="5"/>
  <c r="G305" i="5"/>
  <c r="F305" i="5"/>
  <c r="K303" i="5"/>
  <c r="K302" i="5"/>
  <c r="L301" i="5"/>
  <c r="K301" i="5"/>
  <c r="E301" i="5"/>
  <c r="K300" i="5"/>
  <c r="L300" i="5" s="1"/>
  <c r="E300" i="5"/>
  <c r="K299" i="5"/>
  <c r="L299" i="5" s="1"/>
  <c r="E299" i="5"/>
  <c r="K298" i="5"/>
  <c r="L298" i="5" s="1"/>
  <c r="E298" i="5"/>
  <c r="K297" i="5"/>
  <c r="L297" i="5" s="1"/>
  <c r="E297" i="5"/>
  <c r="K296" i="5"/>
  <c r="L296" i="5" s="1"/>
  <c r="E296" i="5"/>
  <c r="K295" i="5"/>
  <c r="L295" i="5" s="1"/>
  <c r="E295" i="5"/>
  <c r="L294" i="5"/>
  <c r="K293" i="5"/>
  <c r="L293" i="5" s="1"/>
  <c r="E293" i="5"/>
  <c r="K292" i="5"/>
  <c r="L292" i="5" s="1"/>
  <c r="E292" i="5"/>
  <c r="K291" i="5"/>
  <c r="L291" i="5" s="1"/>
  <c r="K290" i="5"/>
  <c r="L290" i="5" s="1"/>
  <c r="E290" i="5"/>
  <c r="K289" i="5"/>
  <c r="L289" i="5" s="1"/>
  <c r="E289" i="5"/>
  <c r="L288" i="5"/>
  <c r="K287" i="5"/>
  <c r="L287" i="5" s="1"/>
  <c r="E287" i="5"/>
  <c r="K286" i="5"/>
  <c r="L286" i="5" s="1"/>
  <c r="E286" i="5"/>
  <c r="K285" i="5"/>
  <c r="L285" i="5" s="1"/>
  <c r="E285" i="5"/>
  <c r="L284" i="5"/>
  <c r="K283" i="5"/>
  <c r="L283" i="5" s="1"/>
  <c r="E283" i="5"/>
  <c r="K282" i="5"/>
  <c r="L282" i="5" s="1"/>
  <c r="E282" i="5"/>
  <c r="K281" i="5"/>
  <c r="L281" i="5" s="1"/>
  <c r="E281" i="5"/>
  <c r="K280" i="5"/>
  <c r="L280" i="5" s="1"/>
  <c r="E280" i="5"/>
  <c r="K279" i="5"/>
  <c r="L279" i="5" s="1"/>
  <c r="E279" i="5"/>
  <c r="J276" i="5"/>
  <c r="J306" i="5" s="1"/>
  <c r="I276" i="5"/>
  <c r="H276" i="5"/>
  <c r="H306" i="5" s="1"/>
  <c r="G276" i="5"/>
  <c r="F276" i="5"/>
  <c r="K275" i="5"/>
  <c r="K274" i="5"/>
  <c r="K273" i="5"/>
  <c r="K272" i="5"/>
  <c r="K271" i="5"/>
  <c r="C71" i="18"/>
  <c r="B71" i="18"/>
  <c r="BF130" i="2"/>
  <c r="BE7" i="30" s="1"/>
  <c r="BE130" i="2"/>
  <c r="BD7" i="30" s="1"/>
  <c r="BD130" i="2"/>
  <c r="BC7" i="30" s="1"/>
  <c r="BC130" i="2"/>
  <c r="BB7" i="30" s="1"/>
  <c r="BB130" i="2"/>
  <c r="BA7" i="30" s="1"/>
  <c r="BA130" i="2"/>
  <c r="AZ7" i="30" s="1"/>
  <c r="AZ130" i="2"/>
  <c r="AY7" i="30" s="1"/>
  <c r="AY130" i="2"/>
  <c r="AX7" i="30" s="1"/>
  <c r="AX130" i="2"/>
  <c r="AW7" i="30" s="1"/>
  <c r="AW130" i="2"/>
  <c r="AV7" i="30" s="1"/>
  <c r="AV130" i="2"/>
  <c r="AU7" i="30" s="1"/>
  <c r="AU130" i="2"/>
  <c r="AT7" i="30" s="1"/>
  <c r="AT130" i="2"/>
  <c r="AS7" i="30" s="1"/>
  <c r="AS130" i="2"/>
  <c r="AR7" i="30" s="1"/>
  <c r="AR130" i="2"/>
  <c r="AQ7" i="30" s="1"/>
  <c r="AQ130" i="2"/>
  <c r="AP7" i="30" s="1"/>
  <c r="AP130" i="2"/>
  <c r="AO7" i="30" s="1"/>
  <c r="AO130" i="2"/>
  <c r="AN7" i="30" s="1"/>
  <c r="AN130" i="2"/>
  <c r="AM7" i="30" s="1"/>
  <c r="AM130" i="2"/>
  <c r="AL7" i="30" s="1"/>
  <c r="AL130" i="2"/>
  <c r="AK7" i="30" s="1"/>
  <c r="AK130" i="2"/>
  <c r="AJ7" i="30" s="1"/>
  <c r="AJ130" i="2"/>
  <c r="AI7" i="30" s="1"/>
  <c r="AI130" i="2"/>
  <c r="AH7" i="30" s="1"/>
  <c r="AH130" i="2"/>
  <c r="AG7" i="30" s="1"/>
  <c r="AG130" i="2"/>
  <c r="AF7" i="30" s="1"/>
  <c r="AF130" i="2"/>
  <c r="AE7" i="30" s="1"/>
  <c r="AE130" i="2"/>
  <c r="AD7" i="30" s="1"/>
  <c r="AD130" i="2"/>
  <c r="AC7" i="30" s="1"/>
  <c r="AC130" i="2"/>
  <c r="AB7" i="30" s="1"/>
  <c r="AB130" i="2"/>
  <c r="AA7" i="30" s="1"/>
  <c r="AA130" i="2"/>
  <c r="Z7" i="30" s="1"/>
  <c r="Z130" i="2"/>
  <c r="Y7" i="30" s="1"/>
  <c r="Y130" i="2"/>
  <c r="X7" i="30" s="1"/>
  <c r="X130" i="2"/>
  <c r="W7" i="30" s="1"/>
  <c r="W130" i="2"/>
  <c r="V7" i="30" s="1"/>
  <c r="V130" i="2"/>
  <c r="U7" i="30" s="1"/>
  <c r="U130" i="2"/>
  <c r="T7" i="30" s="1"/>
  <c r="T130" i="2"/>
  <c r="S7" i="30" s="1"/>
  <c r="S130" i="2"/>
  <c r="R7" i="30" s="1"/>
  <c r="R130" i="2"/>
  <c r="Q7" i="30" s="1"/>
  <c r="Q130" i="2"/>
  <c r="P7" i="30" s="1"/>
  <c r="P130" i="2"/>
  <c r="O7" i="30" s="1"/>
  <c r="O130" i="2"/>
  <c r="N7" i="30" s="1"/>
  <c r="N130" i="2"/>
  <c r="M7" i="30" s="1"/>
  <c r="M130" i="2"/>
  <c r="L7" i="30" s="1"/>
  <c r="L130" i="2"/>
  <c r="K7" i="30" s="1"/>
  <c r="K130" i="2"/>
  <c r="J7" i="30" s="1"/>
  <c r="J130" i="2"/>
  <c r="I7" i="30" s="1"/>
  <c r="I130" i="2"/>
  <c r="H7" i="30" s="1"/>
  <c r="H130" i="2"/>
  <c r="G7" i="30" s="1"/>
  <c r="G130" i="2"/>
  <c r="F7" i="30" s="1"/>
  <c r="C129" i="2"/>
  <c r="C121" i="2"/>
  <c r="C112" i="2"/>
  <c r="C105" i="2"/>
  <c r="C94" i="2"/>
  <c r="C91" i="2"/>
  <c r="C81" i="2"/>
  <c r="L66" i="2"/>
  <c r="AI66" i="2" s="1"/>
  <c r="AW66" i="2" s="1"/>
  <c r="AW134" i="2" s="1"/>
  <c r="AL134" i="2" s="1"/>
  <c r="L134" i="2" s="1"/>
  <c r="C134" i="2" s="1"/>
  <c r="W96" i="1"/>
  <c r="N4" i="29" s="1"/>
  <c r="V96" i="1"/>
  <c r="E4" i="29" s="1"/>
  <c r="U96" i="1"/>
  <c r="S96" i="1"/>
  <c r="K4" i="29" s="1"/>
  <c r="R96" i="1"/>
  <c r="Q96" i="1"/>
  <c r="I4" i="29" s="1"/>
  <c r="N96" i="1"/>
  <c r="M96" i="1"/>
  <c r="L96" i="1"/>
  <c r="J4" i="29" s="1"/>
  <c r="K96" i="1"/>
  <c r="H4" i="29" s="1"/>
  <c r="J96" i="1"/>
  <c r="G4" i="29" s="1"/>
  <c r="I96" i="1"/>
  <c r="F4" i="29" s="1"/>
  <c r="H96" i="1"/>
  <c r="G96" i="1"/>
  <c r="D4" i="29" s="1"/>
  <c r="F96" i="1"/>
  <c r="C4" i="29" s="1"/>
  <c r="E93" i="1"/>
  <c r="D93" i="1"/>
  <c r="Z90" i="1"/>
  <c r="Y90" i="1"/>
  <c r="E89" i="1"/>
  <c r="D89" i="1"/>
  <c r="Z83" i="1"/>
  <c r="Y83" i="1"/>
  <c r="E82" i="1"/>
  <c r="D82" i="1"/>
  <c r="Z79" i="1"/>
  <c r="Y79" i="1"/>
  <c r="E78" i="1"/>
  <c r="D78" i="1"/>
  <c r="Z71" i="1"/>
  <c r="Y71" i="1"/>
  <c r="E70" i="1"/>
  <c r="D70" i="1"/>
  <c r="Z64" i="1"/>
  <c r="Y64" i="1"/>
  <c r="E63" i="1"/>
  <c r="D63" i="1"/>
  <c r="Z58" i="1"/>
  <c r="Y58" i="1"/>
  <c r="E57" i="1"/>
  <c r="D57" i="1"/>
  <c r="Z53" i="1"/>
  <c r="Y53" i="1"/>
  <c r="P96" i="1"/>
  <c r="M51" i="1"/>
  <c r="V51" i="1" s="1"/>
  <c r="V98" i="1" s="1"/>
  <c r="M98" i="1" s="1"/>
  <c r="E98" i="1" s="1"/>
  <c r="L4" i="29" l="1"/>
  <c r="M4" i="29"/>
  <c r="F306" i="5"/>
  <c r="K350" i="5"/>
  <c r="K351" i="5" s="1"/>
  <c r="D96" i="1"/>
  <c r="E96" i="1"/>
  <c r="Y96" i="1"/>
  <c r="I306" i="5"/>
  <c r="G306" i="5"/>
  <c r="E305" i="5"/>
  <c r="K305" i="5"/>
  <c r="K276" i="5"/>
  <c r="L305" i="5"/>
  <c r="C131" i="2"/>
  <c r="O96" i="1"/>
  <c r="N22" i="13"/>
  <c r="M23" i="13"/>
  <c r="N23" i="13" s="1"/>
  <c r="M18" i="13"/>
  <c r="N18" i="13" s="1"/>
  <c r="F18" i="13"/>
  <c r="N20" i="13"/>
  <c r="N21" i="13"/>
  <c r="N19" i="13"/>
  <c r="J261" i="5"/>
  <c r="I261" i="5"/>
  <c r="H261" i="5"/>
  <c r="G261" i="5"/>
  <c r="F261" i="5"/>
  <c r="K259" i="5"/>
  <c r="K258" i="5"/>
  <c r="K257" i="5"/>
  <c r="L257" i="5" s="1"/>
  <c r="E257" i="5"/>
  <c r="K256" i="5"/>
  <c r="L256" i="5" s="1"/>
  <c r="E256" i="5"/>
  <c r="K255" i="5"/>
  <c r="L255" i="5" s="1"/>
  <c r="E255" i="5"/>
  <c r="K254" i="5"/>
  <c r="L254" i="5" s="1"/>
  <c r="E254" i="5"/>
  <c r="K253" i="5"/>
  <c r="L253" i="5" s="1"/>
  <c r="E253" i="5"/>
  <c r="K252" i="5"/>
  <c r="L252" i="5" s="1"/>
  <c r="E252" i="5"/>
  <c r="K251" i="5"/>
  <c r="L251" i="5" s="1"/>
  <c r="E251" i="5"/>
  <c r="L250" i="5"/>
  <c r="K249" i="5"/>
  <c r="L249" i="5" s="1"/>
  <c r="E249" i="5"/>
  <c r="K248" i="5"/>
  <c r="L248" i="5" s="1"/>
  <c r="E248" i="5"/>
  <c r="K247" i="5"/>
  <c r="L247" i="5" s="1"/>
  <c r="K246" i="5"/>
  <c r="L246" i="5" s="1"/>
  <c r="E246" i="5"/>
  <c r="K245" i="5"/>
  <c r="L245" i="5" s="1"/>
  <c r="E245" i="5"/>
  <c r="L244" i="5"/>
  <c r="K243" i="5"/>
  <c r="L243" i="5" s="1"/>
  <c r="E243" i="5"/>
  <c r="K242" i="5"/>
  <c r="L242" i="5" s="1"/>
  <c r="E242" i="5"/>
  <c r="K241" i="5"/>
  <c r="L241" i="5" s="1"/>
  <c r="E241" i="5"/>
  <c r="L240" i="5"/>
  <c r="L239" i="5"/>
  <c r="K239" i="5"/>
  <c r="E239" i="5"/>
  <c r="K238" i="5"/>
  <c r="L238" i="5" s="1"/>
  <c r="E238" i="5"/>
  <c r="K237" i="5"/>
  <c r="L237" i="5" s="1"/>
  <c r="E237" i="5"/>
  <c r="K236" i="5"/>
  <c r="L236" i="5" s="1"/>
  <c r="E236" i="5"/>
  <c r="K235" i="5"/>
  <c r="L235" i="5" s="1"/>
  <c r="E235" i="5"/>
  <c r="J232" i="5"/>
  <c r="J262" i="5" s="1"/>
  <c r="I232" i="5"/>
  <c r="H232" i="5"/>
  <c r="G232" i="5"/>
  <c r="F232" i="5"/>
  <c r="F262" i="5" s="1"/>
  <c r="K231" i="5"/>
  <c r="K230" i="5"/>
  <c r="K229" i="5"/>
  <c r="K228" i="5"/>
  <c r="K227" i="5"/>
  <c r="J217" i="5"/>
  <c r="I217" i="5"/>
  <c r="H217" i="5"/>
  <c r="G217" i="5"/>
  <c r="F217" i="5"/>
  <c r="K215" i="5"/>
  <c r="K214" i="5"/>
  <c r="K213" i="5"/>
  <c r="L213" i="5" s="1"/>
  <c r="E213" i="5"/>
  <c r="K212" i="5"/>
  <c r="L212" i="5" s="1"/>
  <c r="E212" i="5"/>
  <c r="K211" i="5"/>
  <c r="L211" i="5" s="1"/>
  <c r="E211" i="5"/>
  <c r="K210" i="5"/>
  <c r="L210" i="5" s="1"/>
  <c r="E210" i="5"/>
  <c r="K209" i="5"/>
  <c r="L209" i="5" s="1"/>
  <c r="E209" i="5"/>
  <c r="K208" i="5"/>
  <c r="L208" i="5" s="1"/>
  <c r="E208" i="5"/>
  <c r="L207" i="5"/>
  <c r="K207" i="5"/>
  <c r="E207" i="5"/>
  <c r="L206" i="5"/>
  <c r="K205" i="5"/>
  <c r="L205" i="5" s="1"/>
  <c r="E205" i="5"/>
  <c r="K204" i="5"/>
  <c r="L204" i="5" s="1"/>
  <c r="E204" i="5"/>
  <c r="L203" i="5"/>
  <c r="K203" i="5"/>
  <c r="K202" i="5"/>
  <c r="L202" i="5" s="1"/>
  <c r="E202" i="5"/>
  <c r="K201" i="5"/>
  <c r="L201" i="5" s="1"/>
  <c r="E201" i="5"/>
  <c r="L200" i="5"/>
  <c r="K199" i="5"/>
  <c r="L199" i="5" s="1"/>
  <c r="E199" i="5"/>
  <c r="K198" i="5"/>
  <c r="L198" i="5" s="1"/>
  <c r="E198" i="5"/>
  <c r="K197" i="5"/>
  <c r="L197" i="5" s="1"/>
  <c r="E197" i="5"/>
  <c r="L196" i="5"/>
  <c r="K195" i="5"/>
  <c r="L195" i="5" s="1"/>
  <c r="E195" i="5"/>
  <c r="K194" i="5"/>
  <c r="L194" i="5" s="1"/>
  <c r="E194" i="5"/>
  <c r="K193" i="5"/>
  <c r="L193" i="5" s="1"/>
  <c r="E193" i="5"/>
  <c r="K192" i="5"/>
  <c r="L192" i="5" s="1"/>
  <c r="E192" i="5"/>
  <c r="K191" i="5"/>
  <c r="L191" i="5" s="1"/>
  <c r="E191" i="5"/>
  <c r="J188" i="5"/>
  <c r="J218" i="5" s="1"/>
  <c r="I188" i="5"/>
  <c r="H188" i="5"/>
  <c r="G188" i="5"/>
  <c r="K187" i="5"/>
  <c r="K186" i="5"/>
  <c r="K185" i="5"/>
  <c r="F188" i="5"/>
  <c r="F218" i="5" s="1"/>
  <c r="K183" i="5"/>
  <c r="C57" i="18"/>
  <c r="B57" i="18"/>
  <c r="C49" i="18"/>
  <c r="B49" i="18"/>
  <c r="C39" i="18"/>
  <c r="B39" i="18"/>
  <c r="AF37" i="2"/>
  <c r="O34" i="1"/>
  <c r="H218" i="5" l="1"/>
  <c r="K306" i="5"/>
  <c r="K307" i="5" s="1"/>
  <c r="N24" i="13"/>
  <c r="I262" i="5"/>
  <c r="H262" i="5"/>
  <c r="E261" i="5"/>
  <c r="G262" i="5"/>
  <c r="K262" i="5" s="1"/>
  <c r="K261" i="5"/>
  <c r="K232" i="5"/>
  <c r="L261" i="5"/>
  <c r="I218" i="5"/>
  <c r="G218" i="5"/>
  <c r="E217" i="5"/>
  <c r="K217" i="5"/>
  <c r="L217" i="5"/>
  <c r="K218" i="5"/>
  <c r="K184" i="5"/>
  <c r="K188" i="5" s="1"/>
  <c r="N11" i="13"/>
  <c r="N15" i="13" s="1"/>
  <c r="N6" i="13"/>
  <c r="N3" i="13"/>
  <c r="N5" i="13"/>
  <c r="N7" i="13"/>
  <c r="N4" i="13"/>
  <c r="N2" i="13"/>
  <c r="F2" i="13"/>
  <c r="K219" i="5" l="1"/>
  <c r="K263" i="5"/>
  <c r="N8" i="13"/>
  <c r="F140" i="5"/>
  <c r="F144" i="5" s="1"/>
  <c r="J173" i="5"/>
  <c r="I173" i="5"/>
  <c r="H173" i="5"/>
  <c r="G173" i="5"/>
  <c r="F173" i="5"/>
  <c r="K171" i="5"/>
  <c r="K170" i="5"/>
  <c r="K169" i="5"/>
  <c r="L169" i="5" s="1"/>
  <c r="E169" i="5"/>
  <c r="K168" i="5"/>
  <c r="L168" i="5" s="1"/>
  <c r="E168" i="5"/>
  <c r="K167" i="5"/>
  <c r="L167" i="5" s="1"/>
  <c r="E167" i="5"/>
  <c r="K166" i="5"/>
  <c r="L166" i="5" s="1"/>
  <c r="E166" i="5"/>
  <c r="K165" i="5"/>
  <c r="L165" i="5" s="1"/>
  <c r="E165" i="5"/>
  <c r="K164" i="5"/>
  <c r="L164" i="5" s="1"/>
  <c r="E164" i="5"/>
  <c r="K163" i="5"/>
  <c r="L163" i="5" s="1"/>
  <c r="E163" i="5"/>
  <c r="L162" i="5"/>
  <c r="K161" i="5"/>
  <c r="L161" i="5" s="1"/>
  <c r="E161" i="5"/>
  <c r="K160" i="5"/>
  <c r="L160" i="5" s="1"/>
  <c r="E160" i="5"/>
  <c r="K159" i="5"/>
  <c r="L159" i="5" s="1"/>
  <c r="K158" i="5"/>
  <c r="L158" i="5" s="1"/>
  <c r="E158" i="5"/>
  <c r="K157" i="5"/>
  <c r="L157" i="5" s="1"/>
  <c r="E157" i="5"/>
  <c r="L156" i="5"/>
  <c r="K155" i="5"/>
  <c r="L155" i="5" s="1"/>
  <c r="E155" i="5"/>
  <c r="K154" i="5"/>
  <c r="L154" i="5" s="1"/>
  <c r="E154" i="5"/>
  <c r="K153" i="5"/>
  <c r="L153" i="5" s="1"/>
  <c r="E153" i="5"/>
  <c r="L152" i="5"/>
  <c r="K151" i="5"/>
  <c r="L151" i="5" s="1"/>
  <c r="E151" i="5"/>
  <c r="K150" i="5"/>
  <c r="L150" i="5" s="1"/>
  <c r="E150" i="5"/>
  <c r="K149" i="5"/>
  <c r="L149" i="5" s="1"/>
  <c r="E149" i="5"/>
  <c r="K148" i="5"/>
  <c r="L148" i="5" s="1"/>
  <c r="E148" i="5"/>
  <c r="K147" i="5"/>
  <c r="L147" i="5" s="1"/>
  <c r="E147" i="5"/>
  <c r="J144" i="5"/>
  <c r="I144" i="5"/>
  <c r="H144" i="5"/>
  <c r="G144" i="5"/>
  <c r="K143" i="5"/>
  <c r="K142" i="5"/>
  <c r="K141" i="5"/>
  <c r="K139" i="5"/>
  <c r="C32" i="18"/>
  <c r="B32" i="18"/>
  <c r="K140" i="5" l="1"/>
  <c r="I174" i="5"/>
  <c r="J174" i="5"/>
  <c r="F174" i="5"/>
  <c r="H174" i="5"/>
  <c r="G174" i="5"/>
  <c r="E173" i="5"/>
  <c r="K173" i="5"/>
  <c r="K144" i="5"/>
  <c r="L173" i="5"/>
  <c r="X20" i="7"/>
  <c r="W20" i="7"/>
  <c r="V20" i="7"/>
  <c r="V21" i="7" s="1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X19" i="7"/>
  <c r="X21" i="7" s="1"/>
  <c r="W19" i="7"/>
  <c r="V19" i="7"/>
  <c r="U19" i="7"/>
  <c r="T19" i="7"/>
  <c r="S19" i="7"/>
  <c r="S21" i="7" s="1"/>
  <c r="R19" i="7"/>
  <c r="Q19" i="7"/>
  <c r="P19" i="7"/>
  <c r="P21" i="7" s="1"/>
  <c r="O19" i="7"/>
  <c r="N19" i="7"/>
  <c r="M19" i="7"/>
  <c r="L19" i="7"/>
  <c r="K19" i="7"/>
  <c r="K21" i="7" s="1"/>
  <c r="J19" i="7"/>
  <c r="J21" i="7" s="1"/>
  <c r="I19" i="7"/>
  <c r="H19" i="7"/>
  <c r="H21" i="7" s="1"/>
  <c r="G19" i="7"/>
  <c r="F19" i="7"/>
  <c r="Y18" i="7"/>
  <c r="E18" i="7"/>
  <c r="AB17" i="7"/>
  <c r="Y17" i="7"/>
  <c r="E17" i="7"/>
  <c r="Y16" i="7"/>
  <c r="E16" i="7"/>
  <c r="AB15" i="7"/>
  <c r="Y15" i="7"/>
  <c r="E15" i="7"/>
  <c r="Y14" i="7"/>
  <c r="E14" i="7"/>
  <c r="AB13" i="7"/>
  <c r="Y13" i="7"/>
  <c r="E13" i="7"/>
  <c r="Y12" i="7"/>
  <c r="E12" i="7"/>
  <c r="AB11" i="7"/>
  <c r="Y11" i="7"/>
  <c r="E11" i="7"/>
  <c r="Y10" i="7"/>
  <c r="E10" i="7"/>
  <c r="AB9" i="7"/>
  <c r="Y9" i="7"/>
  <c r="E9" i="7"/>
  <c r="Y8" i="7"/>
  <c r="E8" i="7"/>
  <c r="AB7" i="7"/>
  <c r="Y7" i="7"/>
  <c r="E7" i="7"/>
  <c r="Y6" i="7"/>
  <c r="E6" i="7"/>
  <c r="AB5" i="7"/>
  <c r="E5" i="7"/>
  <c r="J129" i="5"/>
  <c r="I129" i="5"/>
  <c r="H129" i="5"/>
  <c r="G129" i="5"/>
  <c r="F129" i="5"/>
  <c r="K127" i="5"/>
  <c r="K126" i="5"/>
  <c r="K125" i="5"/>
  <c r="L125" i="5" s="1"/>
  <c r="E125" i="5"/>
  <c r="K124" i="5"/>
  <c r="L124" i="5" s="1"/>
  <c r="E124" i="5"/>
  <c r="K123" i="5"/>
  <c r="L123" i="5" s="1"/>
  <c r="E123" i="5"/>
  <c r="K122" i="5"/>
  <c r="L122" i="5" s="1"/>
  <c r="E122" i="5"/>
  <c r="K121" i="5"/>
  <c r="L121" i="5" s="1"/>
  <c r="E121" i="5"/>
  <c r="K120" i="5"/>
  <c r="L120" i="5" s="1"/>
  <c r="E120" i="5"/>
  <c r="K119" i="5"/>
  <c r="L119" i="5" s="1"/>
  <c r="E119" i="5"/>
  <c r="L118" i="5"/>
  <c r="K117" i="5"/>
  <c r="L117" i="5" s="1"/>
  <c r="E117" i="5"/>
  <c r="K116" i="5"/>
  <c r="L116" i="5" s="1"/>
  <c r="E116" i="5"/>
  <c r="K115" i="5"/>
  <c r="L115" i="5" s="1"/>
  <c r="K114" i="5"/>
  <c r="L114" i="5" s="1"/>
  <c r="E114" i="5"/>
  <c r="K113" i="5"/>
  <c r="L113" i="5" s="1"/>
  <c r="E113" i="5"/>
  <c r="L112" i="5"/>
  <c r="K111" i="5"/>
  <c r="L111" i="5" s="1"/>
  <c r="E111" i="5"/>
  <c r="K110" i="5"/>
  <c r="L110" i="5" s="1"/>
  <c r="E110" i="5"/>
  <c r="K109" i="5"/>
  <c r="L109" i="5" s="1"/>
  <c r="E109" i="5"/>
  <c r="L108" i="5"/>
  <c r="K107" i="5"/>
  <c r="L107" i="5" s="1"/>
  <c r="E107" i="5"/>
  <c r="K106" i="5"/>
  <c r="L106" i="5" s="1"/>
  <c r="E106" i="5"/>
  <c r="K105" i="5"/>
  <c r="L105" i="5" s="1"/>
  <c r="E105" i="5"/>
  <c r="K104" i="5"/>
  <c r="L104" i="5" s="1"/>
  <c r="E104" i="5"/>
  <c r="K103" i="5"/>
  <c r="L103" i="5" s="1"/>
  <c r="E103" i="5"/>
  <c r="J100" i="5"/>
  <c r="J130" i="5" s="1"/>
  <c r="I100" i="5"/>
  <c r="H100" i="5"/>
  <c r="G100" i="5"/>
  <c r="F100" i="5"/>
  <c r="K99" i="5"/>
  <c r="K98" i="5"/>
  <c r="K97" i="5"/>
  <c r="K96" i="5"/>
  <c r="K95" i="5"/>
  <c r="J85" i="5"/>
  <c r="I85" i="5"/>
  <c r="H85" i="5"/>
  <c r="G85" i="5"/>
  <c r="F85" i="5"/>
  <c r="K83" i="5"/>
  <c r="K82" i="5"/>
  <c r="K81" i="5"/>
  <c r="L81" i="5" s="1"/>
  <c r="E81" i="5"/>
  <c r="K80" i="5"/>
  <c r="L80" i="5" s="1"/>
  <c r="E80" i="5"/>
  <c r="K79" i="5"/>
  <c r="L79" i="5" s="1"/>
  <c r="E79" i="5"/>
  <c r="K78" i="5"/>
  <c r="L78" i="5" s="1"/>
  <c r="E78" i="5"/>
  <c r="K77" i="5"/>
  <c r="L77" i="5" s="1"/>
  <c r="E77" i="5"/>
  <c r="K76" i="5"/>
  <c r="L76" i="5" s="1"/>
  <c r="E76" i="5"/>
  <c r="K75" i="5"/>
  <c r="L75" i="5" s="1"/>
  <c r="E75" i="5"/>
  <c r="L74" i="5"/>
  <c r="K73" i="5"/>
  <c r="L73" i="5" s="1"/>
  <c r="E73" i="5"/>
  <c r="K72" i="5"/>
  <c r="L72" i="5" s="1"/>
  <c r="E72" i="5"/>
  <c r="K71" i="5"/>
  <c r="L71" i="5" s="1"/>
  <c r="K70" i="5"/>
  <c r="L70" i="5" s="1"/>
  <c r="E70" i="5"/>
  <c r="K69" i="5"/>
  <c r="L69" i="5" s="1"/>
  <c r="E69" i="5"/>
  <c r="L68" i="5"/>
  <c r="K67" i="5"/>
  <c r="L67" i="5" s="1"/>
  <c r="E67" i="5"/>
  <c r="K66" i="5"/>
  <c r="L66" i="5" s="1"/>
  <c r="E66" i="5"/>
  <c r="K65" i="5"/>
  <c r="L65" i="5" s="1"/>
  <c r="E65" i="5"/>
  <c r="L64" i="5"/>
  <c r="K63" i="5"/>
  <c r="L63" i="5" s="1"/>
  <c r="E63" i="5"/>
  <c r="K62" i="5"/>
  <c r="L62" i="5" s="1"/>
  <c r="E62" i="5"/>
  <c r="K61" i="5"/>
  <c r="L61" i="5" s="1"/>
  <c r="E61" i="5"/>
  <c r="K60" i="5"/>
  <c r="L60" i="5" s="1"/>
  <c r="E60" i="5"/>
  <c r="K59" i="5"/>
  <c r="L59" i="5" s="1"/>
  <c r="E59" i="5"/>
  <c r="J56" i="5"/>
  <c r="J86" i="5" s="1"/>
  <c r="I56" i="5"/>
  <c r="H56" i="5"/>
  <c r="G56" i="5"/>
  <c r="F56" i="5"/>
  <c r="F86" i="5" s="1"/>
  <c r="K55" i="5"/>
  <c r="K54" i="5"/>
  <c r="K53" i="5"/>
  <c r="K52" i="5"/>
  <c r="K51" i="5"/>
  <c r="J41" i="5"/>
  <c r="I41" i="5"/>
  <c r="H41" i="5"/>
  <c r="G41" i="5"/>
  <c r="F41" i="5"/>
  <c r="K39" i="5"/>
  <c r="K38" i="5"/>
  <c r="K37" i="5"/>
  <c r="L37" i="5" s="1"/>
  <c r="E37" i="5"/>
  <c r="K36" i="5"/>
  <c r="L36" i="5" s="1"/>
  <c r="E36" i="5"/>
  <c r="K35" i="5"/>
  <c r="L35" i="5" s="1"/>
  <c r="E35" i="5"/>
  <c r="K34" i="5"/>
  <c r="L34" i="5" s="1"/>
  <c r="E34" i="5"/>
  <c r="K33" i="5"/>
  <c r="L33" i="5" s="1"/>
  <c r="E33" i="5"/>
  <c r="K32" i="5"/>
  <c r="L32" i="5" s="1"/>
  <c r="E32" i="5"/>
  <c r="K31" i="5"/>
  <c r="L31" i="5" s="1"/>
  <c r="E31" i="5"/>
  <c r="L30" i="5"/>
  <c r="K29" i="5"/>
  <c r="L29" i="5" s="1"/>
  <c r="E29" i="5"/>
  <c r="K28" i="5"/>
  <c r="L28" i="5" s="1"/>
  <c r="E28" i="5"/>
  <c r="K27" i="5"/>
  <c r="L27" i="5" s="1"/>
  <c r="K26" i="5"/>
  <c r="L26" i="5" s="1"/>
  <c r="E26" i="5"/>
  <c r="K25" i="5"/>
  <c r="L25" i="5" s="1"/>
  <c r="E25" i="5"/>
  <c r="L24" i="5"/>
  <c r="K23" i="5"/>
  <c r="L23" i="5" s="1"/>
  <c r="E23" i="5"/>
  <c r="K22" i="5"/>
  <c r="L22" i="5" s="1"/>
  <c r="E22" i="5"/>
  <c r="K21" i="5"/>
  <c r="L21" i="5" s="1"/>
  <c r="E21" i="5"/>
  <c r="L20" i="5"/>
  <c r="K19" i="5"/>
  <c r="L19" i="5" s="1"/>
  <c r="E19" i="5"/>
  <c r="K18" i="5"/>
  <c r="L18" i="5" s="1"/>
  <c r="E18" i="5"/>
  <c r="K17" i="5"/>
  <c r="L17" i="5" s="1"/>
  <c r="E17" i="5"/>
  <c r="K16" i="5"/>
  <c r="L16" i="5" s="1"/>
  <c r="E16" i="5"/>
  <c r="K15" i="5"/>
  <c r="L15" i="5" s="1"/>
  <c r="E15" i="5"/>
  <c r="J12" i="5"/>
  <c r="J42" i="5" s="1"/>
  <c r="I12" i="5"/>
  <c r="H12" i="5"/>
  <c r="G12" i="5"/>
  <c r="F12" i="5"/>
  <c r="K11" i="5"/>
  <c r="K10" i="5"/>
  <c r="K9" i="5"/>
  <c r="K8" i="5"/>
  <c r="K7" i="5"/>
  <c r="C23" i="18"/>
  <c r="B23" i="18"/>
  <c r="C16" i="18"/>
  <c r="B16" i="18"/>
  <c r="C18" i="2"/>
  <c r="G9" i="1"/>
  <c r="F42" i="5" l="1"/>
  <c r="G21" i="7"/>
  <c r="O21" i="7"/>
  <c r="W21" i="7"/>
  <c r="L21" i="7"/>
  <c r="T21" i="7"/>
  <c r="F130" i="5"/>
  <c r="M21" i="7"/>
  <c r="U21" i="7"/>
  <c r="E20" i="7"/>
  <c r="F21" i="7"/>
  <c r="N21" i="7"/>
  <c r="R21" i="7"/>
  <c r="I21" i="7"/>
  <c r="Q21" i="7"/>
  <c r="Y20" i="7"/>
  <c r="K174" i="5"/>
  <c r="K175" i="5" s="1"/>
  <c r="Y19" i="7"/>
  <c r="E19" i="7"/>
  <c r="E21" i="7" s="1"/>
  <c r="I130" i="5"/>
  <c r="K100" i="5"/>
  <c r="G130" i="5"/>
  <c r="H130" i="5"/>
  <c r="E129" i="5"/>
  <c r="K129" i="5"/>
  <c r="L129" i="5"/>
  <c r="I86" i="5"/>
  <c r="K56" i="5"/>
  <c r="G86" i="5"/>
  <c r="K86" i="5" s="1"/>
  <c r="E85" i="5"/>
  <c r="H86" i="5"/>
  <c r="K85" i="5"/>
  <c r="L85" i="5"/>
  <c r="H42" i="5"/>
  <c r="I42" i="5"/>
  <c r="G42" i="5"/>
  <c r="K42" i="5" s="1"/>
  <c r="E41" i="5"/>
  <c r="L41" i="5"/>
  <c r="K41" i="5"/>
  <c r="K12" i="5"/>
  <c r="C13" i="2"/>
  <c r="P12" i="2"/>
  <c r="BF60" i="2"/>
  <c r="BE6" i="30" s="1"/>
  <c r="BE60" i="2"/>
  <c r="BD6" i="30" s="1"/>
  <c r="BD60" i="2"/>
  <c r="BC6" i="30" s="1"/>
  <c r="BC60" i="2"/>
  <c r="BB6" i="30" s="1"/>
  <c r="BB60" i="2"/>
  <c r="BA6" i="30" s="1"/>
  <c r="BA60" i="2"/>
  <c r="AZ6" i="30" s="1"/>
  <c r="AZ60" i="2"/>
  <c r="AY6" i="30" s="1"/>
  <c r="AY60" i="2"/>
  <c r="AX6" i="30" s="1"/>
  <c r="AX60" i="2"/>
  <c r="AW6" i="30" s="1"/>
  <c r="AW60" i="2"/>
  <c r="AV6" i="30" s="1"/>
  <c r="AV60" i="2"/>
  <c r="AU6" i="30" s="1"/>
  <c r="AU60" i="2"/>
  <c r="AT6" i="30" s="1"/>
  <c r="AT60" i="2"/>
  <c r="AS6" i="30" s="1"/>
  <c r="AS60" i="2"/>
  <c r="AR6" i="30" s="1"/>
  <c r="AR60" i="2"/>
  <c r="AQ6" i="30" s="1"/>
  <c r="AQ60" i="2"/>
  <c r="AP6" i="30" s="1"/>
  <c r="AP60" i="2"/>
  <c r="AO6" i="30" s="1"/>
  <c r="AO60" i="2"/>
  <c r="AN6" i="30" s="1"/>
  <c r="AN60" i="2"/>
  <c r="AM6" i="30" s="1"/>
  <c r="AM60" i="2"/>
  <c r="AL6" i="30" s="1"/>
  <c r="AL60" i="2"/>
  <c r="AK6" i="30" s="1"/>
  <c r="AK60" i="2"/>
  <c r="AJ6" i="30" s="1"/>
  <c r="AJ60" i="2"/>
  <c r="AI6" i="30" s="1"/>
  <c r="AI60" i="2"/>
  <c r="AH6" i="30" s="1"/>
  <c r="AH60" i="2"/>
  <c r="AG6" i="30" s="1"/>
  <c r="AG60" i="2"/>
  <c r="AF6" i="30" s="1"/>
  <c r="AF60" i="2"/>
  <c r="AE6" i="30" s="1"/>
  <c r="AE60" i="2"/>
  <c r="AD6" i="30" s="1"/>
  <c r="AD60" i="2"/>
  <c r="AC6" i="30" s="1"/>
  <c r="AC60" i="2"/>
  <c r="AB6" i="30" s="1"/>
  <c r="AB60" i="2"/>
  <c r="AA6" i="30" s="1"/>
  <c r="AA60" i="2"/>
  <c r="Z6" i="30" s="1"/>
  <c r="Z60" i="2"/>
  <c r="Y6" i="30" s="1"/>
  <c r="Y60" i="2"/>
  <c r="X6" i="30" s="1"/>
  <c r="V60" i="2"/>
  <c r="U6" i="30" s="1"/>
  <c r="U60" i="2"/>
  <c r="T6" i="30" s="1"/>
  <c r="T60" i="2"/>
  <c r="S6" i="30" s="1"/>
  <c r="S60" i="2"/>
  <c r="R6" i="30" s="1"/>
  <c r="R60" i="2"/>
  <c r="Q6" i="30" s="1"/>
  <c r="Q60" i="2"/>
  <c r="P6" i="30" s="1"/>
  <c r="P60" i="2"/>
  <c r="O6" i="30" s="1"/>
  <c r="O60" i="2"/>
  <c r="N6" i="30" s="1"/>
  <c r="N60" i="2"/>
  <c r="M6" i="30" s="1"/>
  <c r="M60" i="2"/>
  <c r="L6" i="30" s="1"/>
  <c r="L60" i="2"/>
  <c r="K6" i="30" s="1"/>
  <c r="K60" i="2"/>
  <c r="J6" i="30" s="1"/>
  <c r="I60" i="2"/>
  <c r="H6" i="30" s="1"/>
  <c r="H60" i="2"/>
  <c r="G6" i="30" s="1"/>
  <c r="G60" i="2"/>
  <c r="F6" i="30" s="1"/>
  <c r="C59" i="2"/>
  <c r="C51" i="2"/>
  <c r="C42" i="2"/>
  <c r="X60" i="2"/>
  <c r="W6" i="30" s="1"/>
  <c r="W60" i="2"/>
  <c r="V6" i="30" s="1"/>
  <c r="J60" i="2"/>
  <c r="I6" i="30" s="1"/>
  <c r="C35" i="2"/>
  <c r="C30" i="2"/>
  <c r="C27" i="2"/>
  <c r="C17" i="2"/>
  <c r="L2" i="2"/>
  <c r="AI2" i="2" s="1"/>
  <c r="AW2" i="2" s="1"/>
  <c r="AW64" i="2" s="1"/>
  <c r="AL64" i="2" s="1"/>
  <c r="L64" i="2" s="1"/>
  <c r="C64" i="2" s="1"/>
  <c r="P4" i="1"/>
  <c r="G4" i="1"/>
  <c r="Y4" i="1" s="1"/>
  <c r="V47" i="1"/>
  <c r="E3" i="29" s="1"/>
  <c r="U47" i="1"/>
  <c r="S47" i="1"/>
  <c r="K3" i="29" s="1"/>
  <c r="R47" i="1"/>
  <c r="Q47" i="1"/>
  <c r="I3" i="29" s="1"/>
  <c r="P47" i="1"/>
  <c r="O47" i="1"/>
  <c r="M3" i="29" s="1"/>
  <c r="N47" i="1"/>
  <c r="L3" i="29" s="1"/>
  <c r="M47" i="1"/>
  <c r="K47" i="1"/>
  <c r="H3" i="29" s="1"/>
  <c r="J47" i="1"/>
  <c r="G3" i="29" s="1"/>
  <c r="I47" i="1"/>
  <c r="F3" i="29" s="1"/>
  <c r="H47" i="1"/>
  <c r="F47" i="1"/>
  <c r="C3" i="29" s="1"/>
  <c r="E44" i="1"/>
  <c r="D44" i="1"/>
  <c r="Z41" i="1"/>
  <c r="Y41" i="1"/>
  <c r="E40" i="1"/>
  <c r="D40" i="1"/>
  <c r="Z34" i="1"/>
  <c r="Y34" i="1"/>
  <c r="E33" i="1"/>
  <c r="D33" i="1"/>
  <c r="Z30" i="1"/>
  <c r="Y30" i="1"/>
  <c r="E29" i="1"/>
  <c r="D29" i="1"/>
  <c r="Z22" i="1"/>
  <c r="Y22" i="1"/>
  <c r="E21" i="1"/>
  <c r="D21" i="1"/>
  <c r="Z15" i="1"/>
  <c r="Y15" i="1"/>
  <c r="E14" i="1"/>
  <c r="D14" i="1"/>
  <c r="Z9" i="1"/>
  <c r="W47" i="1"/>
  <c r="N3" i="29" s="1"/>
  <c r="E8" i="1"/>
  <c r="D8" i="1"/>
  <c r="Z4" i="1"/>
  <c r="M2" i="1"/>
  <c r="V2" i="1" s="1"/>
  <c r="V49" i="1" s="1"/>
  <c r="M49" i="1" s="1"/>
  <c r="E49" i="1" s="1"/>
  <c r="G47" i="1" l="1"/>
  <c r="D3" i="29" s="1"/>
  <c r="Y21" i="7"/>
  <c r="K130" i="5"/>
  <c r="K131" i="5" s="1"/>
  <c r="D47" i="1"/>
  <c r="E47" i="1"/>
  <c r="K87" i="5"/>
  <c r="K43" i="5"/>
  <c r="C61" i="2"/>
  <c r="Y9" i="1"/>
  <c r="Y47" i="1" s="1"/>
  <c r="L47" i="1"/>
  <c r="J3" i="29" s="1"/>
  <c r="Q3" i="29" s="1"/>
  <c r="M41" i="8" l="1"/>
  <c r="L41" i="8"/>
  <c r="K41" i="8"/>
  <c r="J41" i="8"/>
  <c r="I41" i="8"/>
  <c r="H41" i="8"/>
  <c r="G41" i="8"/>
  <c r="F41" i="8"/>
  <c r="B3" i="8"/>
  <c r="E42" i="8" l="1"/>
  <c r="AE7" i="33" l="1"/>
  <c r="AE2" i="33" l="1"/>
  <c r="AE14" i="33"/>
  <c r="AE13" i="33"/>
  <c r="AE12" i="33"/>
  <c r="AE11" i="33"/>
  <c r="AE10" i="33"/>
  <c r="AE9" i="33"/>
  <c r="AE8" i="33"/>
  <c r="AE6" i="33"/>
  <c r="AE5" i="33"/>
  <c r="AE4" i="33"/>
  <c r="AE3" i="33"/>
  <c r="V27" i="33"/>
  <c r="L27" i="33"/>
  <c r="P27" i="33"/>
  <c r="F27" i="33"/>
  <c r="X27" i="33"/>
  <c r="O27" i="33"/>
  <c r="N27" i="33"/>
  <c r="E27" i="33"/>
  <c r="D27" i="33"/>
  <c r="H27" i="33"/>
  <c r="AA26" i="33"/>
  <c r="AA27" i="33" s="1"/>
  <c r="Z26" i="33"/>
  <c r="Z27" i="33" s="1"/>
  <c r="Y26" i="33"/>
  <c r="Y27" i="33" s="1"/>
  <c r="X26" i="33"/>
  <c r="W26" i="33"/>
  <c r="W27" i="33" s="1"/>
  <c r="V26" i="33"/>
  <c r="U26" i="33"/>
  <c r="U27" i="33" s="1"/>
  <c r="T26" i="33"/>
  <c r="T27" i="33" s="1"/>
  <c r="S26" i="33"/>
  <c r="S27" i="33" s="1"/>
  <c r="R26" i="33"/>
  <c r="R27" i="33" s="1"/>
  <c r="Q26" i="33"/>
  <c r="Q27" i="33" s="1"/>
  <c r="P26" i="33"/>
  <c r="O26" i="33"/>
  <c r="N26" i="33"/>
  <c r="M26" i="33"/>
  <c r="M27" i="33" s="1"/>
  <c r="L26" i="33"/>
  <c r="K26" i="33"/>
  <c r="K27" i="33" s="1"/>
  <c r="J26" i="33"/>
  <c r="J27" i="33" s="1"/>
  <c r="I26" i="33"/>
  <c r="I27" i="33" s="1"/>
  <c r="H26" i="33"/>
  <c r="G26" i="33"/>
  <c r="G27" i="33" s="1"/>
  <c r="F26" i="33"/>
  <c r="E26" i="33"/>
  <c r="D26" i="33"/>
  <c r="C26" i="33"/>
  <c r="C27" i="33" s="1"/>
  <c r="Q15" i="33"/>
  <c r="N15" i="33"/>
  <c r="J15" i="33"/>
  <c r="G15" i="33"/>
  <c r="O15" i="33"/>
  <c r="Q14" i="33"/>
  <c r="P14" i="33"/>
  <c r="P15" i="33" s="1"/>
  <c r="O14" i="33"/>
  <c r="N14" i="33"/>
  <c r="M14" i="33"/>
  <c r="M15" i="33" s="1"/>
  <c r="L14" i="33"/>
  <c r="L15" i="33" s="1"/>
  <c r="K14" i="33"/>
  <c r="K15" i="33" s="1"/>
  <c r="J14" i="33"/>
  <c r="I14" i="33"/>
  <c r="I15" i="33" s="1"/>
  <c r="H14" i="33"/>
  <c r="H15" i="33" s="1"/>
  <c r="G14" i="33"/>
  <c r="F14" i="33"/>
  <c r="F15" i="33" s="1"/>
  <c r="E14" i="33"/>
  <c r="E15" i="33" s="1"/>
  <c r="D14" i="33"/>
  <c r="D15" i="33" s="1"/>
  <c r="C14" i="33"/>
  <c r="C15" i="33" s="1"/>
  <c r="AE15" i="33" l="1"/>
  <c r="L5260" i="7" l="1"/>
  <c r="BG14" i="30" l="1"/>
  <c r="I163" i="14" l="1"/>
  <c r="C156" i="14"/>
  <c r="C155" i="14"/>
  <c r="C154" i="14"/>
  <c r="C153" i="14"/>
  <c r="C152" i="14"/>
  <c r="C151" i="14"/>
  <c r="C150" i="14"/>
  <c r="C149" i="14"/>
  <c r="C148" i="14"/>
  <c r="C145" i="14"/>
  <c r="C144" i="14"/>
  <c r="C143" i="14"/>
  <c r="C142" i="14"/>
  <c r="C141" i="14"/>
  <c r="C140" i="14"/>
  <c r="I130" i="14"/>
  <c r="I97" i="14"/>
  <c r="D11" i="15" l="1"/>
  <c r="BS11" i="15"/>
  <c r="BR11" i="15"/>
  <c r="BQ11" i="15"/>
  <c r="BP11" i="15"/>
  <c r="BM11" i="15"/>
  <c r="BL11" i="15"/>
  <c r="BK11" i="15"/>
  <c r="BJ11" i="15"/>
  <c r="BG11" i="15"/>
  <c r="BF11" i="15"/>
  <c r="BE11" i="15"/>
  <c r="BD11" i="15"/>
  <c r="BA11" i="15"/>
  <c r="AZ11" i="15"/>
  <c r="AY11" i="15"/>
  <c r="AX11" i="15"/>
  <c r="AU11" i="15"/>
  <c r="AT11" i="15"/>
  <c r="AS11" i="15"/>
  <c r="AR11" i="15"/>
  <c r="AO11" i="15"/>
  <c r="AN11" i="15"/>
  <c r="AM11" i="15"/>
  <c r="AL11" i="15"/>
  <c r="AI11" i="15"/>
  <c r="AH11" i="15"/>
  <c r="AG11" i="15"/>
  <c r="AF11" i="15"/>
  <c r="AC11" i="15"/>
  <c r="AB11" i="15"/>
  <c r="AA11" i="15"/>
  <c r="Z11" i="15"/>
  <c r="W11" i="15"/>
  <c r="V11" i="15"/>
  <c r="U11" i="15"/>
  <c r="T11" i="15"/>
  <c r="Q11" i="15"/>
  <c r="P11" i="15"/>
  <c r="O11" i="15"/>
  <c r="N11" i="15"/>
  <c r="Q27" i="15"/>
  <c r="P27" i="15"/>
  <c r="O27" i="15"/>
  <c r="N27" i="15"/>
  <c r="Q19" i="15"/>
  <c r="P19" i="15"/>
  <c r="O19" i="15"/>
  <c r="N19" i="15"/>
  <c r="W27" i="15"/>
  <c r="V27" i="15"/>
  <c r="U27" i="15"/>
  <c r="T27" i="15"/>
  <c r="W19" i="15"/>
  <c r="V19" i="15"/>
  <c r="U19" i="15"/>
  <c r="T19" i="15"/>
  <c r="AC27" i="15"/>
  <c r="AB27" i="15"/>
  <c r="AA27" i="15"/>
  <c r="Z27" i="15"/>
  <c r="AC19" i="15"/>
  <c r="AB19" i="15"/>
  <c r="AA19" i="15"/>
  <c r="Z19" i="15"/>
  <c r="AI27" i="15"/>
  <c r="AH27" i="15"/>
  <c r="AG27" i="15"/>
  <c r="AF27" i="15"/>
  <c r="AI19" i="15"/>
  <c r="AH19" i="15"/>
  <c r="AG19" i="15"/>
  <c r="AF19" i="15"/>
  <c r="AO27" i="15"/>
  <c r="AN27" i="15"/>
  <c r="AM27" i="15"/>
  <c r="AL27" i="15"/>
  <c r="AO19" i="15"/>
  <c r="AN19" i="15"/>
  <c r="AM19" i="15"/>
  <c r="AL19" i="15"/>
  <c r="AU27" i="15"/>
  <c r="AT27" i="15"/>
  <c r="AS27" i="15"/>
  <c r="AR27" i="15"/>
  <c r="AU19" i="15"/>
  <c r="AT19" i="15"/>
  <c r="AS19" i="15"/>
  <c r="AR19" i="15"/>
  <c r="BS19" i="15"/>
  <c r="BR19" i="15"/>
  <c r="BQ19" i="15"/>
  <c r="BP19" i="15"/>
  <c r="BM19" i="15"/>
  <c r="BL19" i="15"/>
  <c r="BK19" i="15"/>
  <c r="BJ19" i="15"/>
  <c r="BG19" i="15"/>
  <c r="BF19" i="15"/>
  <c r="BE19" i="15"/>
  <c r="BD19" i="15"/>
  <c r="BA19" i="15"/>
  <c r="AZ19" i="15"/>
  <c r="AY19" i="15"/>
  <c r="AX19" i="15"/>
  <c r="BA27" i="15"/>
  <c r="AZ27" i="15"/>
  <c r="AY27" i="15"/>
  <c r="AX27" i="15"/>
  <c r="BE27" i="15"/>
  <c r="BF27" i="15"/>
  <c r="BD27" i="15"/>
  <c r="BG27" i="15"/>
  <c r="BM27" i="15"/>
  <c r="BL27" i="15"/>
  <c r="BK27" i="15"/>
  <c r="BJ27" i="15"/>
  <c r="BS27" i="15"/>
  <c r="BR27" i="15"/>
  <c r="BQ27" i="15"/>
  <c r="BP27" i="15"/>
  <c r="BS35" i="15"/>
  <c r="BR35" i="15"/>
  <c r="BQ35" i="15"/>
  <c r="BP35" i="15"/>
  <c r="BM35" i="15"/>
  <c r="BL35" i="15"/>
  <c r="BK35" i="15"/>
  <c r="BJ35" i="15"/>
  <c r="BG35" i="15"/>
  <c r="BF35" i="15"/>
  <c r="BE35" i="15"/>
  <c r="BD35" i="15"/>
  <c r="BA35" i="15"/>
  <c r="AZ35" i="15"/>
  <c r="AY35" i="15"/>
  <c r="AX35" i="15"/>
  <c r="AT35" i="15"/>
  <c r="AS35" i="15"/>
  <c r="AU35" i="15"/>
  <c r="AR35" i="15"/>
  <c r="AO35" i="15"/>
  <c r="AN35" i="15"/>
  <c r="AM35" i="15"/>
  <c r="AL35" i="15"/>
  <c r="AI35" i="15"/>
  <c r="AH35" i="15"/>
  <c r="AG35" i="15"/>
  <c r="AF35" i="15"/>
  <c r="AC35" i="15"/>
  <c r="AB35" i="15"/>
  <c r="AA35" i="15"/>
  <c r="Z35" i="15"/>
  <c r="W35" i="15"/>
  <c r="V35" i="15"/>
  <c r="U35" i="15"/>
  <c r="T35" i="15"/>
  <c r="Q35" i="15"/>
  <c r="P35" i="15"/>
  <c r="O35" i="15"/>
  <c r="N35" i="15"/>
  <c r="BS39" i="15"/>
  <c r="BR39" i="15"/>
  <c r="BQ39" i="15"/>
  <c r="BP39" i="15"/>
  <c r="BM39" i="15"/>
  <c r="BL39" i="15"/>
  <c r="BK39" i="15"/>
  <c r="BJ39" i="15"/>
  <c r="BG39" i="15"/>
  <c r="BF39" i="15"/>
  <c r="BE39" i="15"/>
  <c r="BD39" i="15"/>
  <c r="BD40" i="15" s="1"/>
  <c r="BA39" i="15"/>
  <c r="BA40" i="15" s="1"/>
  <c r="AZ39" i="15"/>
  <c r="AY39" i="15"/>
  <c r="AX39" i="15"/>
  <c r="AU39" i="15"/>
  <c r="AT39" i="15"/>
  <c r="AS39" i="15"/>
  <c r="AR39" i="15"/>
  <c r="AO39" i="15"/>
  <c r="AN39" i="15"/>
  <c r="AM39" i="15"/>
  <c r="AL39" i="15"/>
  <c r="AI39" i="15"/>
  <c r="AH39" i="15"/>
  <c r="AG39" i="15"/>
  <c r="AF39" i="15"/>
  <c r="AC39" i="15"/>
  <c r="AB39" i="15"/>
  <c r="AA39" i="15"/>
  <c r="Z39" i="15"/>
  <c r="W39" i="15"/>
  <c r="V39" i="15"/>
  <c r="U39" i="15"/>
  <c r="T39" i="15"/>
  <c r="Q39" i="15"/>
  <c r="P39" i="15"/>
  <c r="O39" i="15"/>
  <c r="N39" i="15"/>
  <c r="K39" i="15"/>
  <c r="J39" i="15"/>
  <c r="I39" i="15"/>
  <c r="H39" i="15"/>
  <c r="E39" i="15"/>
  <c r="D39" i="15"/>
  <c r="B39" i="15"/>
  <c r="K35" i="15"/>
  <c r="J35" i="15"/>
  <c r="H35" i="15"/>
  <c r="E35" i="15"/>
  <c r="D35" i="15"/>
  <c r="B35" i="15"/>
  <c r="K27" i="15"/>
  <c r="J27" i="15"/>
  <c r="H27" i="15"/>
  <c r="E27" i="15"/>
  <c r="D27" i="15"/>
  <c r="B27" i="15"/>
  <c r="K19" i="15"/>
  <c r="J19" i="15"/>
  <c r="H19" i="15"/>
  <c r="E19" i="15"/>
  <c r="D19" i="15"/>
  <c r="B19" i="15"/>
  <c r="K11" i="15"/>
  <c r="J11" i="15"/>
  <c r="H11" i="15"/>
  <c r="E11" i="15"/>
  <c r="B11" i="15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BE90" i="30"/>
  <c r="BD90" i="30"/>
  <c r="BC90" i="30"/>
  <c r="BB90" i="30"/>
  <c r="BA90" i="30"/>
  <c r="AZ90" i="30"/>
  <c r="AY90" i="30"/>
  <c r="AX90" i="30"/>
  <c r="AW90" i="30"/>
  <c r="AV90" i="30"/>
  <c r="AU90" i="30"/>
  <c r="AT90" i="30"/>
  <c r="AS90" i="30"/>
  <c r="AR90" i="30"/>
  <c r="AQ90" i="30"/>
  <c r="AP90" i="30"/>
  <c r="AO90" i="30"/>
  <c r="AN90" i="30"/>
  <c r="AM90" i="30"/>
  <c r="AL90" i="30"/>
  <c r="AK90" i="30"/>
  <c r="AJ90" i="30"/>
  <c r="AI90" i="30"/>
  <c r="AH90" i="30"/>
  <c r="AG90" i="30"/>
  <c r="AF90" i="30"/>
  <c r="AE90" i="30"/>
  <c r="AD90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J90" i="30"/>
  <c r="I90" i="30"/>
  <c r="H90" i="30"/>
  <c r="G90" i="30"/>
  <c r="F90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BE66" i="30"/>
  <c r="BD66" i="30"/>
  <c r="BC66" i="30"/>
  <c r="BB66" i="30"/>
  <c r="BA66" i="30"/>
  <c r="AZ66" i="30"/>
  <c r="AY66" i="30"/>
  <c r="AX66" i="30"/>
  <c r="AW66" i="30"/>
  <c r="AV66" i="30"/>
  <c r="AU66" i="30"/>
  <c r="AT66" i="30"/>
  <c r="AS66" i="30"/>
  <c r="AR66" i="30"/>
  <c r="AQ66" i="30"/>
  <c r="AP66" i="30"/>
  <c r="AO66" i="30"/>
  <c r="AN66" i="30"/>
  <c r="AM66" i="30"/>
  <c r="AL66" i="30"/>
  <c r="AK66" i="30"/>
  <c r="AJ66" i="30"/>
  <c r="AI66" i="30"/>
  <c r="AH66" i="30"/>
  <c r="AG66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BE58" i="30"/>
  <c r="BD58" i="30"/>
  <c r="BC58" i="30"/>
  <c r="BB58" i="30"/>
  <c r="BA58" i="30"/>
  <c r="AZ58" i="30"/>
  <c r="AY58" i="30"/>
  <c r="AX58" i="30"/>
  <c r="AW58" i="30"/>
  <c r="AV58" i="30"/>
  <c r="AU58" i="30"/>
  <c r="AT58" i="30"/>
  <c r="AS58" i="30"/>
  <c r="AR58" i="30"/>
  <c r="AQ58" i="30"/>
  <c r="AP58" i="30"/>
  <c r="AO58" i="30"/>
  <c r="AN58" i="30"/>
  <c r="AM58" i="30"/>
  <c r="AL58" i="30"/>
  <c r="AK58" i="30"/>
  <c r="AJ58" i="30"/>
  <c r="AI58" i="30"/>
  <c r="AH58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BE26" i="30"/>
  <c r="BD26" i="30"/>
  <c r="BC26" i="30"/>
  <c r="BB26" i="30"/>
  <c r="BA26" i="30"/>
  <c r="AZ26" i="30"/>
  <c r="AY26" i="30"/>
  <c r="AX26" i="30"/>
  <c r="AW26" i="30"/>
  <c r="AV26" i="30"/>
  <c r="AU26" i="30"/>
  <c r="AT26" i="30"/>
  <c r="AS26" i="30"/>
  <c r="AR26" i="30"/>
  <c r="AQ26" i="30"/>
  <c r="AP26" i="30"/>
  <c r="AO26" i="30"/>
  <c r="AN26" i="30"/>
  <c r="AM26" i="30"/>
  <c r="AL26" i="30"/>
  <c r="AK26" i="30"/>
  <c r="AJ26" i="30"/>
  <c r="AI26" i="30"/>
  <c r="AH26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Q72" i="29"/>
  <c r="Q71" i="29"/>
  <c r="Q70" i="29"/>
  <c r="Q69" i="29"/>
  <c r="Q66" i="29"/>
  <c r="Q65" i="29"/>
  <c r="Q64" i="29"/>
  <c r="Q63" i="29"/>
  <c r="Q60" i="29"/>
  <c r="Q59" i="29"/>
  <c r="Q58" i="29"/>
  <c r="Q57" i="29"/>
  <c r="Q54" i="29"/>
  <c r="Q53" i="29"/>
  <c r="Q52" i="29"/>
  <c r="Q51" i="29"/>
  <c r="Q48" i="29"/>
  <c r="Q47" i="29"/>
  <c r="Q46" i="29"/>
  <c r="Q45" i="29"/>
  <c r="Q42" i="29"/>
  <c r="Q41" i="29"/>
  <c r="Q40" i="29"/>
  <c r="Q39" i="29"/>
  <c r="Q36" i="29"/>
  <c r="Q35" i="29"/>
  <c r="Q34" i="29"/>
  <c r="Q33" i="29"/>
  <c r="Q30" i="29"/>
  <c r="Q29" i="29"/>
  <c r="Q28" i="29"/>
  <c r="Q27" i="29"/>
  <c r="Q24" i="29"/>
  <c r="Q23" i="29"/>
  <c r="Q22" i="29"/>
  <c r="Q21" i="29"/>
  <c r="Q18" i="29"/>
  <c r="Q17" i="29"/>
  <c r="Q16" i="29"/>
  <c r="Q15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O72" i="29"/>
  <c r="O71" i="29"/>
  <c r="O70" i="29"/>
  <c r="O69" i="29"/>
  <c r="O66" i="29"/>
  <c r="O65" i="29"/>
  <c r="O64" i="29"/>
  <c r="O63" i="29"/>
  <c r="O60" i="29"/>
  <c r="O59" i="29"/>
  <c r="O58" i="29"/>
  <c r="O57" i="29"/>
  <c r="O54" i="29"/>
  <c r="O53" i="29"/>
  <c r="O52" i="29"/>
  <c r="O51" i="29"/>
  <c r="O48" i="29"/>
  <c r="O47" i="29"/>
  <c r="O46" i="29"/>
  <c r="O45" i="29"/>
  <c r="O42" i="29"/>
  <c r="O41" i="29"/>
  <c r="O40" i="29"/>
  <c r="O39" i="29"/>
  <c r="O36" i="29"/>
  <c r="O35" i="29"/>
  <c r="O34" i="29"/>
  <c r="O33" i="29"/>
  <c r="O30" i="29"/>
  <c r="O29" i="29"/>
  <c r="O28" i="29"/>
  <c r="O27" i="29"/>
  <c r="O24" i="29"/>
  <c r="O23" i="29"/>
  <c r="O22" i="29"/>
  <c r="O21" i="29"/>
  <c r="O18" i="29"/>
  <c r="O17" i="29"/>
  <c r="O16" i="29"/>
  <c r="O15" i="29"/>
  <c r="O12" i="29"/>
  <c r="O11" i="29"/>
  <c r="O10" i="29"/>
  <c r="O9" i="29"/>
  <c r="O5" i="29"/>
  <c r="O4" i="29"/>
  <c r="O3" i="29"/>
  <c r="AI40" i="15" l="1"/>
  <c r="BS40" i="15"/>
  <c r="BJ40" i="15"/>
  <c r="O19" i="29"/>
  <c r="D40" i="15"/>
  <c r="AL40" i="15"/>
  <c r="T40" i="15"/>
  <c r="AA40" i="15"/>
  <c r="AS40" i="15"/>
  <c r="BK40" i="15"/>
  <c r="U40" i="15"/>
  <c r="AM40" i="15"/>
  <c r="BE40" i="15"/>
  <c r="E40" i="15"/>
  <c r="AB40" i="15"/>
  <c r="AT40" i="15"/>
  <c r="BL40" i="15"/>
  <c r="V40" i="15"/>
  <c r="AN40" i="15"/>
  <c r="BF40" i="15"/>
  <c r="B40" i="15"/>
  <c r="AC40" i="15"/>
  <c r="AU40" i="15"/>
  <c r="BM40" i="15"/>
  <c r="W40" i="15"/>
  <c r="AO40" i="15"/>
  <c r="BG40" i="15"/>
  <c r="AF40" i="15"/>
  <c r="AX40" i="15"/>
  <c r="BP40" i="15"/>
  <c r="Z40" i="15"/>
  <c r="AR40" i="15"/>
  <c r="AG40" i="15"/>
  <c r="AY40" i="15"/>
  <c r="BQ40" i="15"/>
  <c r="AH40" i="15"/>
  <c r="AZ40" i="15"/>
  <c r="BR40" i="15"/>
  <c r="H40" i="15"/>
  <c r="J40" i="15"/>
  <c r="K40" i="15"/>
  <c r="Q55" i="29"/>
  <c r="Q40" i="15"/>
  <c r="O40" i="15"/>
  <c r="P40" i="15"/>
  <c r="N40" i="15"/>
  <c r="Q31" i="29"/>
  <c r="O25" i="29"/>
  <c r="O31" i="29"/>
  <c r="O37" i="29"/>
  <c r="O43" i="29"/>
  <c r="O49" i="29"/>
  <c r="O55" i="29"/>
  <c r="O61" i="29"/>
  <c r="O67" i="29"/>
  <c r="O73" i="29"/>
  <c r="Q19" i="29"/>
  <c r="Q25" i="29"/>
  <c r="Q37" i="29"/>
  <c r="Q43" i="29"/>
  <c r="Q49" i="29"/>
  <c r="Q61" i="29"/>
  <c r="Q67" i="29"/>
  <c r="Q73" i="29"/>
  <c r="BI41" i="15" l="1"/>
  <c r="G41" i="15"/>
  <c r="A41" i="15"/>
  <c r="AE41" i="15"/>
  <c r="S41" i="15"/>
  <c r="Y41" i="15"/>
  <c r="BO41" i="15"/>
  <c r="M41" i="15"/>
  <c r="I35" i="15"/>
  <c r="I27" i="15" l="1"/>
  <c r="Q12" i="29" l="1"/>
  <c r="Q11" i="29" l="1"/>
  <c r="I19" i="15" l="1"/>
  <c r="Q10" i="29" l="1"/>
  <c r="I11" i="15"/>
  <c r="I40" i="15" s="1"/>
  <c r="C39" i="15" l="1"/>
  <c r="BE18" i="30"/>
  <c r="BD18" i="30"/>
  <c r="BC18" i="30"/>
  <c r="BB18" i="30"/>
  <c r="BA18" i="30"/>
  <c r="AZ18" i="30"/>
  <c r="AY18" i="30"/>
  <c r="AX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L18" i="30"/>
  <c r="K18" i="30"/>
  <c r="J18" i="30"/>
  <c r="I18" i="30"/>
  <c r="H18" i="30"/>
  <c r="G18" i="30"/>
  <c r="F18" i="30"/>
  <c r="AW18" i="30"/>
  <c r="M18" i="30"/>
  <c r="E13" i="29" l="1"/>
  <c r="K13" i="29"/>
  <c r="I13" i="29"/>
  <c r="M13" i="29"/>
  <c r="L13" i="29"/>
  <c r="H13" i="29"/>
  <c r="G13" i="29"/>
  <c r="F13" i="29"/>
  <c r="N13" i="29"/>
  <c r="J13" i="29"/>
  <c r="D13" i="29"/>
  <c r="C13" i="29" l="1"/>
  <c r="O13" i="29" s="1"/>
  <c r="Q9" i="29"/>
  <c r="Q13" i="29" s="1"/>
  <c r="C35" i="15" l="1"/>
  <c r="Q6" i="29" l="1"/>
  <c r="C27" i="15" l="1"/>
  <c r="Q5" i="29" l="1"/>
  <c r="C19" i="15" l="1"/>
  <c r="Q4" i="29" l="1"/>
  <c r="C11" i="15" l="1"/>
  <c r="C40" i="15" s="1"/>
  <c r="E40" i="14" l="1"/>
  <c r="BE10" i="30" l="1"/>
  <c r="BD10" i="30"/>
  <c r="BC10" i="30"/>
  <c r="BB10" i="30"/>
  <c r="BA10" i="30"/>
  <c r="AZ10" i="30"/>
  <c r="AY10" i="30"/>
  <c r="AX10" i="30"/>
  <c r="AV10" i="30"/>
  <c r="AU10" i="30"/>
  <c r="AT10" i="30"/>
  <c r="AS10" i="30"/>
  <c r="AR10" i="30"/>
  <c r="AQ10" i="30"/>
  <c r="AP10" i="30"/>
  <c r="AN10" i="30"/>
  <c r="AM10" i="30"/>
  <c r="AL10" i="30"/>
  <c r="AK10" i="30"/>
  <c r="AJ10" i="30"/>
  <c r="AI10" i="30"/>
  <c r="AH10" i="30"/>
  <c r="AG10" i="30"/>
  <c r="AF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AW10" i="30"/>
  <c r="AE10" i="30"/>
  <c r="AO10" i="30"/>
  <c r="E7" i="29"/>
  <c r="K7" i="29"/>
  <c r="I7" i="29"/>
  <c r="M7" i="29"/>
  <c r="L7" i="29"/>
  <c r="H7" i="29"/>
  <c r="G7" i="29"/>
  <c r="D7" i="29"/>
  <c r="J7" i="29"/>
  <c r="N7" i="29"/>
  <c r="F7" i="29"/>
  <c r="Q7" i="29" l="1"/>
  <c r="C7" i="29"/>
  <c r="O7" i="29" s="1"/>
  <c r="T163" i="14"/>
  <c r="N159" i="14"/>
  <c r="N160" i="14"/>
  <c r="N161" i="14"/>
  <c r="N162" i="14"/>
  <c r="N158" i="14"/>
  <c r="C159" i="14"/>
  <c r="C160" i="14"/>
  <c r="C161" i="14"/>
  <c r="C162" i="14"/>
  <c r="C158" i="14"/>
  <c r="C128" i="14"/>
  <c r="C129" i="14"/>
  <c r="C93" i="14"/>
  <c r="C94" i="14"/>
  <c r="C95" i="14"/>
  <c r="C96" i="14"/>
  <c r="C92" i="14"/>
  <c r="C60" i="14"/>
  <c r="C61" i="14"/>
  <c r="C62" i="14"/>
  <c r="C63" i="14"/>
  <c r="C59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I57" i="14"/>
  <c r="I64" i="14" s="1"/>
  <c r="N140" i="14"/>
  <c r="I30" i="14" l="1"/>
  <c r="C29" i="9" l="1"/>
  <c r="C38" i="9"/>
  <c r="BC41" i="15" l="1"/>
  <c r="AW41" i="15" l="1"/>
  <c r="C33" i="24" l="1"/>
  <c r="C34" i="24"/>
  <c r="C32" i="24"/>
  <c r="C30" i="24"/>
  <c r="C29" i="24"/>
  <c r="C28" i="24"/>
  <c r="C27" i="24"/>
  <c r="C26" i="24"/>
  <c r="C25" i="24"/>
  <c r="C24" i="24"/>
  <c r="C23" i="24"/>
  <c r="C22" i="24"/>
  <c r="C21" i="24"/>
  <c r="C20" i="24"/>
  <c r="S165" i="14" l="1"/>
  <c r="S167" i="14" s="1"/>
  <c r="C31" i="24" l="1"/>
  <c r="C35" i="24" s="1"/>
  <c r="AK41" i="15" l="1"/>
  <c r="AQ41" i="15"/>
  <c r="H165" i="14" l="1"/>
  <c r="H167" i="14" s="1"/>
  <c r="H132" i="14"/>
  <c r="H134" i="14" s="1"/>
  <c r="H99" i="14"/>
  <c r="H101" i="14" s="1"/>
  <c r="H66" i="14"/>
  <c r="H68" i="14" s="1"/>
  <c r="CL92" i="19" l="1"/>
  <c r="CB92" i="19"/>
  <c r="BR92" i="19"/>
  <c r="BH92" i="19"/>
  <c r="AX92" i="19"/>
  <c r="AN92" i="19"/>
  <c r="AD92" i="19"/>
  <c r="T92" i="19"/>
  <c r="J92" i="19"/>
  <c r="CL91" i="19"/>
  <c r="CB91" i="19"/>
  <c r="BU93" i="19" s="1"/>
  <c r="BR91" i="19"/>
  <c r="BK93" i="19" s="1"/>
  <c r="BH91" i="19"/>
  <c r="AX91" i="19"/>
  <c r="AN91" i="19"/>
  <c r="AD91" i="19"/>
  <c r="T91" i="19"/>
  <c r="L91" i="19"/>
  <c r="V91" i="19" s="1"/>
  <c r="AF91" i="19" s="1"/>
  <c r="AP91" i="19" s="1"/>
  <c r="AZ91" i="19" s="1"/>
  <c r="BJ91" i="19" s="1"/>
  <c r="BT91" i="19" s="1"/>
  <c r="CD91" i="19" s="1"/>
  <c r="J91" i="19"/>
  <c r="CL89" i="19"/>
  <c r="CB89" i="19"/>
  <c r="BR89" i="19"/>
  <c r="BH89" i="19"/>
  <c r="AX89" i="19"/>
  <c r="AN89" i="19"/>
  <c r="AD89" i="19"/>
  <c r="T89" i="19"/>
  <c r="J89" i="19"/>
  <c r="CL88" i="19"/>
  <c r="CB88" i="19"/>
  <c r="BR88" i="19"/>
  <c r="BH88" i="19"/>
  <c r="AX88" i="19"/>
  <c r="AN88" i="19"/>
  <c r="AG90" i="19" s="1"/>
  <c r="AD88" i="19"/>
  <c r="W90" i="19" s="1"/>
  <c r="T88" i="19"/>
  <c r="L88" i="19"/>
  <c r="V88" i="19" s="1"/>
  <c r="AF88" i="19" s="1"/>
  <c r="AP88" i="19" s="1"/>
  <c r="AZ88" i="19" s="1"/>
  <c r="BJ88" i="19" s="1"/>
  <c r="BT88" i="19" s="1"/>
  <c r="CD88" i="19" s="1"/>
  <c r="J88" i="19"/>
  <c r="CL86" i="19"/>
  <c r="CB86" i="19"/>
  <c r="BR86" i="19"/>
  <c r="BH86" i="19"/>
  <c r="AX86" i="19"/>
  <c r="AN86" i="19"/>
  <c r="AD86" i="19"/>
  <c r="T86" i="19"/>
  <c r="J86" i="19"/>
  <c r="CL85" i="19"/>
  <c r="CB85" i="19"/>
  <c r="BR85" i="19"/>
  <c r="BH85" i="19"/>
  <c r="AX85" i="19"/>
  <c r="AN85" i="19"/>
  <c r="AD85" i="19"/>
  <c r="T85" i="19"/>
  <c r="L85" i="19"/>
  <c r="V85" i="19" s="1"/>
  <c r="AF85" i="19" s="1"/>
  <c r="AP85" i="19" s="1"/>
  <c r="AZ85" i="19" s="1"/>
  <c r="BJ85" i="19" s="1"/>
  <c r="BT85" i="19" s="1"/>
  <c r="CD85" i="19" s="1"/>
  <c r="J85" i="19"/>
  <c r="CL83" i="19"/>
  <c r="CB83" i="19"/>
  <c r="BR83" i="19"/>
  <c r="BH83" i="19"/>
  <c r="AX83" i="19"/>
  <c r="AN83" i="19"/>
  <c r="AD83" i="19"/>
  <c r="T83" i="19"/>
  <c r="J83" i="19"/>
  <c r="CL82" i="19"/>
  <c r="CB82" i="19"/>
  <c r="BR82" i="19"/>
  <c r="BH82" i="19"/>
  <c r="BA84" i="19" s="1"/>
  <c r="AX82" i="19"/>
  <c r="AQ84" i="19" s="1"/>
  <c r="AN82" i="19"/>
  <c r="AD82" i="19"/>
  <c r="T82" i="19"/>
  <c r="L82" i="19"/>
  <c r="V82" i="19" s="1"/>
  <c r="AF82" i="19" s="1"/>
  <c r="AP82" i="19" s="1"/>
  <c r="AZ82" i="19" s="1"/>
  <c r="BJ82" i="19" s="1"/>
  <c r="BT82" i="19" s="1"/>
  <c r="CD82" i="19" s="1"/>
  <c r="J82" i="19"/>
  <c r="CL80" i="19"/>
  <c r="CB80" i="19"/>
  <c r="BR80" i="19"/>
  <c r="BH80" i="19"/>
  <c r="AX80" i="19"/>
  <c r="AN80" i="19"/>
  <c r="AD80" i="19"/>
  <c r="T80" i="19"/>
  <c r="J80" i="19"/>
  <c r="CL79" i="19"/>
  <c r="CB79" i="19"/>
  <c r="BR79" i="19"/>
  <c r="BH79" i="19"/>
  <c r="AX79" i="19"/>
  <c r="AN79" i="19"/>
  <c r="AD79" i="19"/>
  <c r="T79" i="19"/>
  <c r="L79" i="19"/>
  <c r="V79" i="19" s="1"/>
  <c r="AF79" i="19" s="1"/>
  <c r="AP79" i="19" s="1"/>
  <c r="AZ79" i="19" s="1"/>
  <c r="BJ79" i="19" s="1"/>
  <c r="BT79" i="19" s="1"/>
  <c r="CD79" i="19" s="1"/>
  <c r="J79" i="19"/>
  <c r="CL77" i="19"/>
  <c r="CB77" i="19"/>
  <c r="BR77" i="19"/>
  <c r="BH77" i="19"/>
  <c r="AX77" i="19"/>
  <c r="AN77" i="19"/>
  <c r="AD77" i="19"/>
  <c r="T77" i="19"/>
  <c r="J77" i="19"/>
  <c r="CL76" i="19"/>
  <c r="CB76" i="19"/>
  <c r="BR76" i="19"/>
  <c r="BH76" i="19"/>
  <c r="AX76" i="19"/>
  <c r="AN76" i="19"/>
  <c r="AD76" i="19"/>
  <c r="T76" i="19"/>
  <c r="L76" i="19"/>
  <c r="V76" i="19" s="1"/>
  <c r="AF76" i="19" s="1"/>
  <c r="AP76" i="19" s="1"/>
  <c r="AZ76" i="19" s="1"/>
  <c r="BJ76" i="19" s="1"/>
  <c r="BT76" i="19" s="1"/>
  <c r="CD76" i="19" s="1"/>
  <c r="J76" i="19"/>
  <c r="CL74" i="19"/>
  <c r="CB74" i="19"/>
  <c r="BR74" i="19"/>
  <c r="BH74" i="19"/>
  <c r="AX74" i="19"/>
  <c r="AN74" i="19"/>
  <c r="AD74" i="19"/>
  <c r="T74" i="19"/>
  <c r="J74" i="19"/>
  <c r="CL73" i="19"/>
  <c r="CB73" i="19"/>
  <c r="BR73" i="19"/>
  <c r="BH73" i="19"/>
  <c r="AX73" i="19"/>
  <c r="AN73" i="19"/>
  <c r="AD73" i="19"/>
  <c r="T73" i="19"/>
  <c r="L73" i="19"/>
  <c r="V73" i="19" s="1"/>
  <c r="AF73" i="19" s="1"/>
  <c r="AP73" i="19" s="1"/>
  <c r="AZ73" i="19" s="1"/>
  <c r="BJ73" i="19" s="1"/>
  <c r="BT73" i="19" s="1"/>
  <c r="CD73" i="19" s="1"/>
  <c r="J73" i="19"/>
  <c r="A70" i="19"/>
  <c r="AN64" i="19"/>
  <c r="AD64" i="19"/>
  <c r="T64" i="19"/>
  <c r="J64" i="19"/>
  <c r="AN63" i="19"/>
  <c r="AD63" i="19"/>
  <c r="T63" i="19"/>
  <c r="L63" i="19"/>
  <c r="V63" i="19" s="1"/>
  <c r="AF63" i="19" s="1"/>
  <c r="J63" i="19"/>
  <c r="AN61" i="19"/>
  <c r="AD61" i="19"/>
  <c r="T61" i="19"/>
  <c r="J61" i="19"/>
  <c r="AN60" i="19"/>
  <c r="AD60" i="19"/>
  <c r="T60" i="19"/>
  <c r="L60" i="19"/>
  <c r="V60" i="19" s="1"/>
  <c r="AF60" i="19" s="1"/>
  <c r="J60" i="19"/>
  <c r="AN58" i="19"/>
  <c r="AD58" i="19"/>
  <c r="T58" i="19"/>
  <c r="J58" i="19"/>
  <c r="AN57" i="19"/>
  <c r="AD57" i="19"/>
  <c r="T57" i="19"/>
  <c r="L57" i="19"/>
  <c r="V57" i="19" s="1"/>
  <c r="AF57" i="19" s="1"/>
  <c r="J57" i="19"/>
  <c r="AN55" i="19"/>
  <c r="AD55" i="19"/>
  <c r="T55" i="19"/>
  <c r="J55" i="19"/>
  <c r="AN54" i="19"/>
  <c r="AG56" i="19" s="1"/>
  <c r="AD54" i="19"/>
  <c r="T54" i="19"/>
  <c r="L54" i="19"/>
  <c r="V54" i="19" s="1"/>
  <c r="AF54" i="19" s="1"/>
  <c r="J54" i="19"/>
  <c r="AN52" i="19"/>
  <c r="AD52" i="19"/>
  <c r="T52" i="19"/>
  <c r="J52" i="19"/>
  <c r="AN51" i="19"/>
  <c r="AD51" i="19"/>
  <c r="T51" i="19"/>
  <c r="L51" i="19"/>
  <c r="V51" i="19" s="1"/>
  <c r="AF51" i="19" s="1"/>
  <c r="J51" i="19"/>
  <c r="AN49" i="19"/>
  <c r="AD49" i="19"/>
  <c r="T49" i="19"/>
  <c r="J49" i="19"/>
  <c r="AN48" i="19"/>
  <c r="AD48" i="19"/>
  <c r="T48" i="19"/>
  <c r="L48" i="19"/>
  <c r="V48" i="19" s="1"/>
  <c r="AF48" i="19" s="1"/>
  <c r="J48" i="19"/>
  <c r="AN46" i="19"/>
  <c r="AD46" i="19"/>
  <c r="T46" i="19"/>
  <c r="AN45" i="19"/>
  <c r="AD45" i="19"/>
  <c r="T45" i="19"/>
  <c r="L45" i="19"/>
  <c r="V45" i="19" s="1"/>
  <c r="AF45" i="19" s="1"/>
  <c r="K42" i="19"/>
  <c r="K70" i="19" s="1"/>
  <c r="U70" i="19" s="1"/>
  <c r="AE70" i="19" s="1"/>
  <c r="AO70" i="19" s="1"/>
  <c r="AY70" i="19" s="1"/>
  <c r="BI70" i="19" s="1"/>
  <c r="BS70" i="19" s="1"/>
  <c r="CC70" i="19" s="1"/>
  <c r="C53" i="19" l="1"/>
  <c r="M53" i="19"/>
  <c r="BK84" i="19"/>
  <c r="BK75" i="19"/>
  <c r="M81" i="19"/>
  <c r="W81" i="19"/>
  <c r="AG65" i="19"/>
  <c r="AG81" i="19"/>
  <c r="W62" i="19"/>
  <c r="BU75" i="19"/>
  <c r="M93" i="19"/>
  <c r="AG62" i="19"/>
  <c r="W59" i="19"/>
  <c r="AG47" i="19"/>
  <c r="AG59" i="19"/>
  <c r="M56" i="19"/>
  <c r="AQ81" i="19"/>
  <c r="BA81" i="19"/>
  <c r="M87" i="19"/>
  <c r="BK90" i="19"/>
  <c r="BU90" i="19"/>
  <c r="L95" i="19"/>
  <c r="B94" i="19"/>
  <c r="B96" i="19" s="1"/>
  <c r="AG87" i="19"/>
  <c r="AF95" i="19"/>
  <c r="M84" i="19"/>
  <c r="AQ87" i="19"/>
  <c r="L67" i="19"/>
  <c r="M78" i="19"/>
  <c r="BA90" i="19"/>
  <c r="W87" i="19"/>
  <c r="V95" i="19"/>
  <c r="AP95" i="19"/>
  <c r="AZ95" i="19"/>
  <c r="CE78" i="19"/>
  <c r="W84" i="19"/>
  <c r="BK87" i="19"/>
  <c r="C90" i="19"/>
  <c r="AG93" i="19"/>
  <c r="AQ78" i="19"/>
  <c r="AG75" i="19"/>
  <c r="BU84" i="19"/>
  <c r="B95" i="19"/>
  <c r="W78" i="19"/>
  <c r="BK81" i="19"/>
  <c r="C50" i="19"/>
  <c r="AG78" i="19"/>
  <c r="BU81" i="19"/>
  <c r="AG53" i="19"/>
  <c r="C65" i="19"/>
  <c r="BA87" i="19"/>
  <c r="W93" i="19"/>
  <c r="W75" i="19"/>
  <c r="BA78" i="19"/>
  <c r="W50" i="19"/>
  <c r="C62" i="19"/>
  <c r="M65" i="19"/>
  <c r="BJ95" i="19"/>
  <c r="BK78" i="19"/>
  <c r="AG84" i="19"/>
  <c r="BU87" i="19"/>
  <c r="W47" i="19"/>
  <c r="AG50" i="19"/>
  <c r="C59" i="19"/>
  <c r="AP94" i="19"/>
  <c r="BT95" i="19"/>
  <c r="BU78" i="19"/>
  <c r="M90" i="19"/>
  <c r="BA93" i="19"/>
  <c r="B66" i="19"/>
  <c r="V67" i="19"/>
  <c r="CE75" i="19"/>
  <c r="BJ94" i="19"/>
  <c r="BJ96" i="19" s="1"/>
  <c r="C56" i="19"/>
  <c r="W56" i="19"/>
  <c r="V66" i="19"/>
  <c r="C78" i="19"/>
  <c r="C84" i="19"/>
  <c r="CE84" i="19"/>
  <c r="AQ90" i="19"/>
  <c r="CE90" i="19"/>
  <c r="U42" i="19"/>
  <c r="AE42" i="19" s="1"/>
  <c r="B67" i="19"/>
  <c r="M50" i="19"/>
  <c r="AO54" i="19"/>
  <c r="M59" i="19"/>
  <c r="M62" i="19"/>
  <c r="AQ75" i="19"/>
  <c r="C93" i="19"/>
  <c r="AQ93" i="19"/>
  <c r="CE93" i="19"/>
  <c r="CD95" i="19"/>
  <c r="W53" i="19"/>
  <c r="W65" i="19"/>
  <c r="C81" i="19"/>
  <c r="CE81" i="19"/>
  <c r="C87" i="19"/>
  <c r="CE87" i="19"/>
  <c r="V94" i="19"/>
  <c r="AO48" i="19"/>
  <c r="AZ94" i="19"/>
  <c r="BA75" i="19"/>
  <c r="AO51" i="19"/>
  <c r="AO63" i="19"/>
  <c r="AF94" i="19"/>
  <c r="L94" i="19"/>
  <c r="M75" i="19"/>
  <c r="CM88" i="19"/>
  <c r="AO60" i="19"/>
  <c r="AF66" i="19"/>
  <c r="CM73" i="19"/>
  <c r="CM76" i="19"/>
  <c r="CM79" i="19"/>
  <c r="CM82" i="19"/>
  <c r="CM85" i="19"/>
  <c r="CM91" i="19"/>
  <c r="L66" i="19"/>
  <c r="M47" i="19"/>
  <c r="AO45" i="19"/>
  <c r="AF67" i="19"/>
  <c r="AO57" i="19"/>
  <c r="BT94" i="19"/>
  <c r="C75" i="19"/>
  <c r="C47" i="19"/>
  <c r="CD94" i="19"/>
  <c r="CD96" i="19" s="1"/>
  <c r="L96" i="19" l="1"/>
  <c r="CM95" i="19"/>
  <c r="AO67" i="19"/>
  <c r="B68" i="19"/>
  <c r="AP96" i="19"/>
  <c r="V68" i="19"/>
  <c r="BT96" i="19"/>
  <c r="V96" i="19"/>
  <c r="CM94" i="19"/>
  <c r="L68" i="19"/>
  <c r="AF96" i="19"/>
  <c r="AZ96" i="19"/>
  <c r="AO66" i="19"/>
  <c r="AF68" i="19"/>
  <c r="CM96" i="19" l="1"/>
  <c r="AO68" i="19"/>
  <c r="H32" i="14"/>
  <c r="H34" i="14" s="1"/>
</calcChain>
</file>

<file path=xl/sharedStrings.xml><?xml version="1.0" encoding="utf-8"?>
<sst xmlns="http://schemas.openxmlformats.org/spreadsheetml/2006/main" count="22095" uniqueCount="1117">
  <si>
    <t>SHOPS</t>
  </si>
  <si>
    <t>DAILY CASH INCOME</t>
  </si>
  <si>
    <t>WEEKLY INCOME</t>
  </si>
  <si>
    <t>ELECTRICITY</t>
  </si>
  <si>
    <t>FUEL/TOLL</t>
  </si>
  <si>
    <t>BAKELS</t>
  </si>
  <si>
    <t>CHIPKINS</t>
  </si>
  <si>
    <t>BAKERSBIN</t>
  </si>
  <si>
    <t>CAVALIERI</t>
  </si>
  <si>
    <t>WASI</t>
  </si>
  <si>
    <t>OBC</t>
  </si>
  <si>
    <t>MAKRO</t>
  </si>
  <si>
    <t>WAGES</t>
  </si>
  <si>
    <t>T/BANTU SWEETS</t>
  </si>
  <si>
    <t>SHOPRITE</t>
  </si>
  <si>
    <t>COMPANY EXPENSES</t>
  </si>
  <si>
    <t>KIA TRUCK PAYM REF</t>
  </si>
  <si>
    <t>HYPER SWEETS</t>
  </si>
  <si>
    <t>OTHER</t>
  </si>
  <si>
    <t>TOTALS</t>
  </si>
  <si>
    <t>MON</t>
  </si>
  <si>
    <t>TUES</t>
  </si>
  <si>
    <t>WED</t>
  </si>
  <si>
    <t>THU</t>
  </si>
  <si>
    <t>FRI</t>
  </si>
  <si>
    <t>SAT</t>
  </si>
  <si>
    <t>SUN</t>
  </si>
  <si>
    <t xml:space="preserve">Week </t>
  </si>
  <si>
    <t>22 - 28 MARCH 2021</t>
  </si>
  <si>
    <t>Flour</t>
  </si>
  <si>
    <t>Wsugar</t>
  </si>
  <si>
    <t>Bsugar</t>
  </si>
  <si>
    <t>Oil</t>
  </si>
  <si>
    <t>Eggs</t>
  </si>
  <si>
    <t>Wspoon</t>
  </si>
  <si>
    <t>IcingS</t>
  </si>
  <si>
    <t xml:space="preserve">Bpowder </t>
  </si>
  <si>
    <t xml:space="preserve">Bicarb </t>
  </si>
  <si>
    <t xml:space="preserve">Cocoa </t>
  </si>
  <si>
    <t>Milk</t>
  </si>
  <si>
    <t>Carrots</t>
  </si>
  <si>
    <t>Ccheese</t>
  </si>
  <si>
    <t>Salt</t>
  </si>
  <si>
    <t>Vanilla</t>
  </si>
  <si>
    <t>Domes</t>
  </si>
  <si>
    <t>Vinegar</t>
  </si>
  <si>
    <t>Pecan Nuts</t>
  </si>
  <si>
    <t>Date</t>
  </si>
  <si>
    <t>Total</t>
  </si>
  <si>
    <t>Supplier</t>
  </si>
  <si>
    <t>12.5kg</t>
  </si>
  <si>
    <t>10kg</t>
  </si>
  <si>
    <t>5LITRES</t>
  </si>
  <si>
    <t>750G</t>
  </si>
  <si>
    <t>25kg</t>
  </si>
  <si>
    <t>20kg</t>
  </si>
  <si>
    <t>6 x 1litres</t>
  </si>
  <si>
    <t>5kg</t>
  </si>
  <si>
    <t>1kg</t>
  </si>
  <si>
    <t>5litres</t>
  </si>
  <si>
    <t>Amount</t>
  </si>
  <si>
    <t>OTHERS</t>
  </si>
  <si>
    <t>Price item</t>
  </si>
  <si>
    <t>MONDAY</t>
  </si>
  <si>
    <t>TUESDAY</t>
  </si>
  <si>
    <t>WEDNESDAY</t>
  </si>
  <si>
    <t>THURSDAY</t>
  </si>
  <si>
    <t>FRIDAY</t>
  </si>
  <si>
    <t>SATURDAY</t>
  </si>
  <si>
    <t>SUNDAY</t>
  </si>
  <si>
    <t>TUISBEDRYF</t>
  </si>
  <si>
    <t>ERMELO CHECKERS</t>
  </si>
  <si>
    <t>KLIPFONTEIN</t>
  </si>
  <si>
    <t>MIDDELBURG</t>
  </si>
  <si>
    <t>BEN FLEUR</t>
  </si>
  <si>
    <t>COUNTRY KING</t>
  </si>
  <si>
    <t>DATE</t>
  </si>
  <si>
    <t>BATCHES</t>
  </si>
  <si>
    <t>CHOC</t>
  </si>
  <si>
    <t>VAN</t>
  </si>
  <si>
    <t>BF</t>
  </si>
  <si>
    <t>COF</t>
  </si>
  <si>
    <t>CT</t>
  </si>
  <si>
    <t>DAY</t>
  </si>
  <si>
    <t>TOTAL</t>
  </si>
  <si>
    <t>DM</t>
  </si>
  <si>
    <t>VANILLA</t>
  </si>
  <si>
    <t>CARROT</t>
  </si>
  <si>
    <t>COFFEE</t>
  </si>
  <si>
    <t>RETURNS</t>
  </si>
  <si>
    <t>TUE</t>
  </si>
  <si>
    <t>GRAND TOTAL</t>
  </si>
  <si>
    <t>Cremora</t>
  </si>
  <si>
    <t>Units</t>
  </si>
  <si>
    <t>6am</t>
  </si>
  <si>
    <t>6pm</t>
  </si>
  <si>
    <t>Use</t>
  </si>
  <si>
    <t>Write down the electricity use</t>
  </si>
  <si>
    <t>BAKED DAY SHIFT</t>
  </si>
  <si>
    <t>BAKED NIGHT SHIFT</t>
  </si>
  <si>
    <t>FLOPS</t>
  </si>
  <si>
    <t>CASH SALES</t>
  </si>
  <si>
    <t>LEFT PREVIOUS DAY</t>
  </si>
  <si>
    <t>DELIVERIES</t>
  </si>
  <si>
    <t>CHOCOLATE</t>
  </si>
  <si>
    <t>BARBERTON PNP</t>
  </si>
  <si>
    <t>RIVERSIDE MALL CHECKERS</t>
  </si>
  <si>
    <t>VILLAGE SPAR</t>
  </si>
  <si>
    <t>HYPER CHECKERS ORCHADS</t>
  </si>
  <si>
    <t>WITRIVIER CHECKERS</t>
  </si>
  <si>
    <t>HAZYVIEW CHECKERS</t>
  </si>
  <si>
    <t>MIDDELBRUG CHECKERS</t>
  </si>
  <si>
    <t>SAVEWAYS</t>
  </si>
  <si>
    <t>TOTAL CAKES LEFT AFTER</t>
  </si>
  <si>
    <t>R/MALL</t>
  </si>
  <si>
    <t>HYPER CHECKERS</t>
  </si>
  <si>
    <t>ERMELO</t>
  </si>
  <si>
    <t>AMOUNT</t>
  </si>
  <si>
    <t>BTON PNP</t>
  </si>
  <si>
    <t>INV TOTALS</t>
  </si>
  <si>
    <t>RETURNS TOTAL</t>
  </si>
  <si>
    <t>ACTUAL INCOME</t>
  </si>
  <si>
    <t>TIME</t>
  </si>
  <si>
    <t>BOX</t>
  </si>
  <si>
    <t>CUPCAKES</t>
  </si>
  <si>
    <t>NOTES</t>
  </si>
  <si>
    <t>IN</t>
  </si>
  <si>
    <t>OUT</t>
  </si>
  <si>
    <t>Stock List Control</t>
  </si>
  <si>
    <t xml:space="preserve">Date: </t>
  </si>
  <si>
    <t>Day:</t>
  </si>
  <si>
    <t>Ingredient</t>
  </si>
  <si>
    <t>Price</t>
  </si>
  <si>
    <t>Quanitity</t>
  </si>
  <si>
    <t>Amount of Quantity</t>
  </si>
  <si>
    <t>Morning Quantity</t>
  </si>
  <si>
    <t>Baking Quantity</t>
  </si>
  <si>
    <t>Stock Bought</t>
  </si>
  <si>
    <t>Night Quantity</t>
  </si>
  <si>
    <t xml:space="preserve"> Baking:</t>
  </si>
  <si>
    <t>5L</t>
  </si>
  <si>
    <t>Coffee</t>
  </si>
  <si>
    <t>750g</t>
  </si>
  <si>
    <t>Cleaning:</t>
  </si>
  <si>
    <t>Dishwash Liquid</t>
  </si>
  <si>
    <t>Mop Caps</t>
  </si>
  <si>
    <t>Toilet Paper</t>
  </si>
  <si>
    <t>Towling Hands</t>
  </si>
  <si>
    <t>Handy Andy</t>
  </si>
  <si>
    <t>Toppings:</t>
  </si>
  <si>
    <t>Cinnamon</t>
  </si>
  <si>
    <t>Red Cherries</t>
  </si>
  <si>
    <t>Extra Baking:</t>
  </si>
  <si>
    <t>Bicarb</t>
  </si>
  <si>
    <t>Cocoa</t>
  </si>
  <si>
    <t>6L</t>
  </si>
  <si>
    <t>3L</t>
  </si>
  <si>
    <t>Lemon Juice</t>
  </si>
  <si>
    <t>2l</t>
  </si>
  <si>
    <t>Packaging:</t>
  </si>
  <si>
    <t>Fomos</t>
  </si>
  <si>
    <t>Cellotapes</t>
  </si>
  <si>
    <t>ICING BUCKETS:</t>
  </si>
  <si>
    <t>Chocolate</t>
  </si>
  <si>
    <t>Dark Moist</t>
  </si>
  <si>
    <t>Carrot</t>
  </si>
  <si>
    <t>Black Forest Cream</t>
  </si>
  <si>
    <t>Batches</t>
  </si>
  <si>
    <t>250ml</t>
  </si>
  <si>
    <t>15ml</t>
  </si>
  <si>
    <t>5ml</t>
  </si>
  <si>
    <t>1l</t>
  </si>
  <si>
    <t xml:space="preserve">Domes </t>
  </si>
  <si>
    <t>80ml</t>
  </si>
  <si>
    <t>Baking</t>
  </si>
  <si>
    <t>12,5kg</t>
  </si>
  <si>
    <t>5liter</t>
  </si>
  <si>
    <t>3liter</t>
  </si>
  <si>
    <t>6liter</t>
  </si>
  <si>
    <t>Packaging</t>
  </si>
  <si>
    <t>Stock</t>
  </si>
  <si>
    <t>Cost</t>
  </si>
  <si>
    <t>Size</t>
  </si>
  <si>
    <t>Life</t>
  </si>
  <si>
    <t>x Life</t>
  </si>
  <si>
    <t>Life Size</t>
  </si>
  <si>
    <t>DIESEL</t>
  </si>
  <si>
    <t>MARCO</t>
  </si>
  <si>
    <t>BOY</t>
  </si>
  <si>
    <t>EMPLOYEE</t>
  </si>
  <si>
    <t>SALARY</t>
  </si>
  <si>
    <t>ZANDILE1</t>
  </si>
  <si>
    <t>GOODNESS</t>
  </si>
  <si>
    <t>PRIMROSE</t>
  </si>
  <si>
    <t>LINDIE</t>
  </si>
  <si>
    <t>DAYS WORKED</t>
  </si>
  <si>
    <t>PEPPY</t>
  </si>
  <si>
    <t>ANGEL</t>
  </si>
  <si>
    <t>LUCY</t>
  </si>
  <si>
    <t>THANDIWE</t>
  </si>
  <si>
    <t>GROVE SPAR</t>
  </si>
  <si>
    <t>TOTAL COST FOR 1 BATCH:</t>
  </si>
  <si>
    <t xml:space="preserve">TOTAL COST FOR 1 DOUBLE LAYER CAKE WITHOUT ICING: </t>
  </si>
  <si>
    <t>DARK MOIST CAKE</t>
  </si>
  <si>
    <t>HAZYV CHECK</t>
  </si>
  <si>
    <t>EXPENSES</t>
  </si>
  <si>
    <t>Shop</t>
  </si>
  <si>
    <t>Totals</t>
  </si>
  <si>
    <t>VAT</t>
  </si>
  <si>
    <t>SPES</t>
  </si>
  <si>
    <t>RET</t>
  </si>
  <si>
    <t>WEEK</t>
  </si>
  <si>
    <t>BIG TOTAL</t>
  </si>
  <si>
    <t>BAKERS</t>
  </si>
  <si>
    <t>Water</t>
  </si>
  <si>
    <t>HAZYVIEW PICK AND PAY</t>
  </si>
  <si>
    <t>WHITERIVER CHECKERS</t>
  </si>
  <si>
    <t>HAZYVIEWCHECKERS</t>
  </si>
  <si>
    <t>MIDDELBURG CHECKERS</t>
  </si>
  <si>
    <t>SAVEWAYS CHECKERS</t>
  </si>
  <si>
    <t>BEN FLEUR CHECKERS</t>
  </si>
  <si>
    <t>COUNTRYKING</t>
  </si>
  <si>
    <t>JABU</t>
  </si>
  <si>
    <t>GEORGE</t>
  </si>
  <si>
    <t>LOAN</t>
  </si>
  <si>
    <t>CLARA</t>
  </si>
  <si>
    <t>CARROT CAKE</t>
  </si>
  <si>
    <t>COFFEE CAKE</t>
  </si>
  <si>
    <t>VANILLA CAKE</t>
  </si>
  <si>
    <t>CHOCOLATE CAKE</t>
  </si>
  <si>
    <t>DEPARTMENT</t>
  </si>
  <si>
    <t>HEAD BAKER</t>
  </si>
  <si>
    <t>BAKER</t>
  </si>
  <si>
    <t>HEAD ICER</t>
  </si>
  <si>
    <t>CLEANER</t>
  </si>
  <si>
    <t>ICER</t>
  </si>
  <si>
    <t>ADMIN</t>
  </si>
  <si>
    <t>INCOME</t>
  </si>
  <si>
    <t>MONTH</t>
  </si>
  <si>
    <t>TYPE</t>
  </si>
  <si>
    <t>SALE</t>
  </si>
  <si>
    <t>CAKE TYPE</t>
  </si>
  <si>
    <t>Dark Moist Cake</t>
  </si>
  <si>
    <t>Chocolate Cake</t>
  </si>
  <si>
    <t>Vanilla Cake</t>
  </si>
  <si>
    <t>Coffee Cake</t>
  </si>
  <si>
    <t>Carrot Cake</t>
  </si>
  <si>
    <t>Ricoffy</t>
  </si>
  <si>
    <t>Choc Slabs</t>
  </si>
  <si>
    <t>Van Slabs</t>
  </si>
  <si>
    <t>Bases</t>
  </si>
  <si>
    <t>Bpowder</t>
  </si>
  <si>
    <t>STHABILE</t>
  </si>
  <si>
    <t>CAPITEC</t>
  </si>
  <si>
    <t>ZANDILE 2</t>
  </si>
  <si>
    <t>MONTHLY SALARY</t>
  </si>
  <si>
    <t>NHLANHLA</t>
  </si>
  <si>
    <t>NAME</t>
  </si>
  <si>
    <t>BANK</t>
  </si>
  <si>
    <t>ACCOUNT NO.</t>
  </si>
  <si>
    <t>BRANCH CODE</t>
  </si>
  <si>
    <t>TYME BANK</t>
  </si>
  <si>
    <t>CLARAH</t>
  </si>
  <si>
    <t>Refuse Bags</t>
  </si>
  <si>
    <t>Labels Sell by date</t>
  </si>
  <si>
    <t xml:space="preserve">Labels </t>
  </si>
  <si>
    <t>Boxcakes Boxes</t>
  </si>
  <si>
    <t xml:space="preserve">Clothes </t>
  </si>
  <si>
    <t>QUANTITY</t>
  </si>
  <si>
    <t>HAZYVIEW SPAR</t>
  </si>
  <si>
    <t xml:space="preserve">ERMELO CHECKERS </t>
  </si>
  <si>
    <t>Starting  Quantity</t>
  </si>
  <si>
    <t>Finishing Quantity</t>
  </si>
  <si>
    <t>ZANDILE TAMATIE</t>
  </si>
  <si>
    <t>ERMELO MERINO MALL</t>
  </si>
  <si>
    <t>ZANDILE 1</t>
  </si>
  <si>
    <t>LYDENBURG CHECKERS</t>
  </si>
  <si>
    <t>EXTRA HELPER</t>
  </si>
  <si>
    <t>CAROLINA SPAR</t>
  </si>
  <si>
    <t>PNP</t>
  </si>
  <si>
    <t>SLIP NUMBER</t>
  </si>
  <si>
    <t>DRIVER</t>
  </si>
  <si>
    <t>CO DRIVER</t>
  </si>
  <si>
    <t>PAID TO: /RECEIVED FROM:</t>
  </si>
  <si>
    <t>AMOUNT       IN</t>
  </si>
  <si>
    <t>AMOUNT OUT       CASH</t>
  </si>
  <si>
    <t>PHYSICAL CASH BREAKDOWN</t>
  </si>
  <si>
    <t>BBF</t>
  </si>
  <si>
    <t>PHYSICAL CASH BEGINNING OF DAY</t>
  </si>
  <si>
    <t>R20</t>
  </si>
  <si>
    <t>R10</t>
  </si>
  <si>
    <t>COINS</t>
  </si>
  <si>
    <t>CARD</t>
  </si>
  <si>
    <t>PHYSICAL CASH END OF DAY</t>
  </si>
  <si>
    <t>CAKE SALES</t>
  </si>
  <si>
    <t>SALES</t>
  </si>
  <si>
    <t>DIESEL/TOLL GATES</t>
  </si>
  <si>
    <t>FAMILY STORE</t>
  </si>
  <si>
    <t>ARNO</t>
  </si>
  <si>
    <t>EXTRA BATCHES</t>
  </si>
  <si>
    <t>3 LITRE</t>
  </si>
  <si>
    <t>2 L</t>
  </si>
  <si>
    <t>6 KG</t>
  </si>
  <si>
    <t>ZANDILE</t>
  </si>
  <si>
    <t>Ellis Brown</t>
  </si>
  <si>
    <t>3kg</t>
  </si>
  <si>
    <t>60ml</t>
  </si>
  <si>
    <t>EXTRA SHIFT</t>
  </si>
  <si>
    <t>OWE</t>
  </si>
  <si>
    <t>SARS</t>
  </si>
  <si>
    <t>NKOSI</t>
  </si>
  <si>
    <t>SPICE AND PACK</t>
  </si>
  <si>
    <t>HOURS WORKED</t>
  </si>
  <si>
    <t>DATES OF DAYS WORKED</t>
  </si>
  <si>
    <t>SHIFTS WORKED</t>
  </si>
  <si>
    <t>CEBSILE</t>
  </si>
  <si>
    <t>CAR</t>
  </si>
  <si>
    <t>3KG</t>
  </si>
  <si>
    <t>15KG</t>
  </si>
  <si>
    <t>6KG</t>
  </si>
  <si>
    <t>,</t>
  </si>
  <si>
    <t>Nuts</t>
  </si>
  <si>
    <t>icing</t>
  </si>
  <si>
    <t>Lables</t>
  </si>
  <si>
    <t>Sleeves</t>
  </si>
  <si>
    <t>Icing</t>
  </si>
  <si>
    <t>DECEMBER</t>
  </si>
  <si>
    <t>INDLOVU SUPERSPAR</t>
  </si>
  <si>
    <t>CHECKERS</t>
  </si>
  <si>
    <t>WEEKLY GRAND TOTAL</t>
  </si>
  <si>
    <t>GRAND TOTALS</t>
  </si>
  <si>
    <t>MERINO MALL</t>
  </si>
  <si>
    <t>TOLL GATE</t>
  </si>
  <si>
    <t>HAZYV SPAR</t>
  </si>
  <si>
    <t>TBANTU</t>
  </si>
  <si>
    <t>INCOME VAT</t>
  </si>
  <si>
    <t>EXPENSES VAT</t>
  </si>
  <si>
    <t>VINEGAR</t>
  </si>
  <si>
    <t>OIL</t>
  </si>
  <si>
    <t>CELLOTAPE</t>
  </si>
  <si>
    <t xml:space="preserve"> </t>
  </si>
  <si>
    <t>Thursday</t>
  </si>
  <si>
    <t>STOCK</t>
  </si>
  <si>
    <t>ACE</t>
  </si>
  <si>
    <t>XOLILE</t>
  </si>
  <si>
    <t>NATHI</t>
  </si>
  <si>
    <t>CAVALIRI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</si>
  <si>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</si>
  <si>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</si>
  <si>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</si>
  <si>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</si>
  <si>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</si>
  <si>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</si>
  <si>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</si>
  <si>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</si>
  <si>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</si>
  <si>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</si>
  <si>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</si>
  <si>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MONTHLY EXPENSES</t>
  </si>
  <si>
    <t>SPICE&amp; PACK</t>
  </si>
  <si>
    <t>ELEC</t>
  </si>
  <si>
    <t>FUEL/TOLL GATES</t>
  </si>
  <si>
    <t>WEEKLY DATES</t>
  </si>
  <si>
    <t>WEEKLY TOTALS</t>
  </si>
  <si>
    <t>MONTHLY STOCK</t>
  </si>
  <si>
    <t>INC - EXP</t>
  </si>
  <si>
    <t>RATES</t>
  </si>
  <si>
    <t>R400 PER DAY</t>
  </si>
  <si>
    <t>R380 PER DAY</t>
  </si>
  <si>
    <t>R200 PER DAY</t>
  </si>
  <si>
    <t>R300 PER DAY R30 PER EXTRA BATCH</t>
  </si>
  <si>
    <t>R225 PER DAY R30 PER EXTRA BATCH</t>
  </si>
  <si>
    <t>R250 PER DAY R30 PER EXTRA BATCH</t>
  </si>
  <si>
    <t xml:space="preserve">R225 PER DAY </t>
  </si>
  <si>
    <t>MILK</t>
  </si>
  <si>
    <t xml:space="preserve">TOTAL COST FOR 1 DOUBLE LAYER CAKE WITH ICING: </t>
  </si>
  <si>
    <t>labels</t>
  </si>
  <si>
    <t>BACK 2 BASICS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</si>
  <si>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</si>
  <si>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R260 PER DAY R30 PER EXTRA BATCH</t>
  </si>
  <si>
    <t>EXTRA</t>
  </si>
  <si>
    <t>LYDENBURG PNP</t>
  </si>
  <si>
    <t>PLAZA SPAR</t>
  </si>
  <si>
    <t>CHOC 7</t>
  </si>
  <si>
    <t>VAN 7</t>
  </si>
  <si>
    <t>COFFEE7</t>
  </si>
  <si>
    <t>CARROT 11</t>
  </si>
  <si>
    <t>DM 9</t>
  </si>
  <si>
    <t>Order no</t>
  </si>
  <si>
    <t>CRATES</t>
  </si>
  <si>
    <t>Tuisbedryf</t>
  </si>
  <si>
    <t>Grove Spar Riverside</t>
  </si>
  <si>
    <t>Plaza Spar Nelspruit</t>
  </si>
  <si>
    <t>RIVERSIDE CHECKERS</t>
  </si>
  <si>
    <t>HAZYVIEW SPAR NDLOVU</t>
  </si>
  <si>
    <t>MIDDELBURG MALL CHECKERS</t>
  </si>
  <si>
    <t>SOAP CENTRE</t>
  </si>
  <si>
    <t>NHLELELO</t>
  </si>
  <si>
    <t xml:space="preserve">      </t>
  </si>
  <si>
    <t>LYD CHECK</t>
  </si>
  <si>
    <t>LYD PNP</t>
  </si>
  <si>
    <t>HYPER NELS CHECK</t>
  </si>
  <si>
    <t>W/RIVER</t>
  </si>
  <si>
    <t>GIFT TRUCK</t>
  </si>
  <si>
    <t>INV 54</t>
  </si>
  <si>
    <t>INV 19</t>
  </si>
  <si>
    <t>INV 55</t>
  </si>
  <si>
    <t>+</t>
  </si>
  <si>
    <t>INV 53</t>
  </si>
  <si>
    <t>EGGS</t>
  </si>
  <si>
    <t>DONELL</t>
  </si>
  <si>
    <t>AE BARB CS</t>
  </si>
  <si>
    <t xml:space="preserve">                                     </t>
  </si>
  <si>
    <t>WELCOME</t>
  </si>
  <si>
    <t>FLOUR</t>
  </si>
  <si>
    <t>CARROTS</t>
  </si>
  <si>
    <t>INV 71</t>
  </si>
  <si>
    <t>INV 75</t>
  </si>
  <si>
    <t>INV 76</t>
  </si>
  <si>
    <t>SALT</t>
  </si>
  <si>
    <t>PORTIA</t>
  </si>
  <si>
    <t>HOUSEKEEPER</t>
  </si>
  <si>
    <t>R300 PER DAY</t>
  </si>
  <si>
    <t>RICOFFY</t>
  </si>
  <si>
    <t>diesel</t>
  </si>
  <si>
    <t>STEILTES SPAR</t>
  </si>
  <si>
    <t>AE BARB</t>
  </si>
  <si>
    <t>INV 69</t>
  </si>
  <si>
    <t>ERMELO MERINO MALL CHECKERS</t>
  </si>
  <si>
    <t>KLIPFONTEIN CHECKERS</t>
  </si>
  <si>
    <t>TOTAL BATCHES</t>
  </si>
  <si>
    <t>BAK POWD</t>
  </si>
  <si>
    <t>BSUGAR</t>
  </si>
  <si>
    <t>WSUGAR</t>
  </si>
  <si>
    <t>ELLIS BROWN</t>
  </si>
  <si>
    <t>HEIDEL EGGS</t>
  </si>
  <si>
    <t>DAMAGES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</si>
  <si>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</si>
  <si>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 DECEMBER - 5 JANUARY 2025</t>
  </si>
  <si>
    <t>REPLACEMENTS KLIPFONTEIN &amp; ERMELO</t>
  </si>
  <si>
    <t>1167008473/1167621277</t>
  </si>
  <si>
    <t>1167621273</t>
  </si>
  <si>
    <t>1167621276</t>
  </si>
  <si>
    <t>1167008471</t>
  </si>
  <si>
    <t>1168944385</t>
  </si>
  <si>
    <t>1168944428</t>
  </si>
  <si>
    <t>11665334513</t>
  </si>
  <si>
    <t>1165334515/1167013338</t>
  </si>
  <si>
    <t>1165334511</t>
  </si>
  <si>
    <t>1164812356/1165334514</t>
  </si>
  <si>
    <t>1164812355</t>
  </si>
  <si>
    <t>1167013337</t>
  </si>
  <si>
    <t>1167013335</t>
  </si>
  <si>
    <t>1167013336</t>
  </si>
  <si>
    <t>1166603061/1163764490</t>
  </si>
  <si>
    <t>SAT - MON (21 DEC-23) THU - FRI(26 - 2 7 DEC) THU (2 JAN)</t>
  </si>
  <si>
    <t>MON - FRI (30 DEC - 3 JAN)</t>
  </si>
  <si>
    <t>REFUSE BAGS</t>
  </si>
  <si>
    <t>WAS STORE</t>
  </si>
  <si>
    <t>1169789074/1166603059</t>
  </si>
  <si>
    <t>1169787924</t>
  </si>
  <si>
    <t>1169787922</t>
  </si>
  <si>
    <t>1169787925</t>
  </si>
  <si>
    <t>1169787923</t>
  </si>
  <si>
    <t>TUE(26 DEC) SUN-TUE(29 - 31 DEC) THU(2 JAN) SUN(5 JAN)</t>
  </si>
  <si>
    <t>TUE(26 DEC) SUN-TUE(29 - 31 DEC) THU - FRI(2-3 JAN) SUN(5 JAN)</t>
  </si>
  <si>
    <t>6 - 12 JANUARY 2025</t>
  </si>
  <si>
    <t>SHOP 2 SHOP</t>
  </si>
  <si>
    <t>1169787499</t>
  </si>
  <si>
    <t>1169789002</t>
  </si>
  <si>
    <t>1169789001</t>
  </si>
  <si>
    <t>PP</t>
  </si>
  <si>
    <t>ae barb cs</t>
  </si>
  <si>
    <t>AE CAROLINA</t>
  </si>
  <si>
    <t>PROBUILD</t>
  </si>
  <si>
    <t>DIESL/TOLL GATES</t>
  </si>
  <si>
    <t>DIESL/PETROL</t>
  </si>
  <si>
    <t>1169789526</t>
  </si>
  <si>
    <t>1169789524</t>
  </si>
  <si>
    <t>1169789527</t>
  </si>
  <si>
    <t>1169789525</t>
  </si>
  <si>
    <t>inv 38</t>
  </si>
  <si>
    <t>1169789073</t>
  </si>
  <si>
    <t>BAKING POWDER</t>
  </si>
  <si>
    <t>STAFF</t>
  </si>
  <si>
    <t>TAXI MONEY</t>
  </si>
  <si>
    <t>INV 73</t>
  </si>
  <si>
    <t>TOLL GATES/DIESEL</t>
  </si>
  <si>
    <t>TYRE REPAIR KIT</t>
  </si>
  <si>
    <t>JABU&amp;DONELL</t>
  </si>
  <si>
    <t>FOOD</t>
  </si>
  <si>
    <t>INV 21</t>
  </si>
  <si>
    <t>CASH NOT ACCOUNTED FOR</t>
  </si>
  <si>
    <t>TOLL GATES</t>
  </si>
  <si>
    <t>HOME&amp;PARTY STORE</t>
  </si>
  <si>
    <t>WRAPPING PAPER</t>
  </si>
  <si>
    <t>AVON</t>
  </si>
  <si>
    <t>COELETT</t>
  </si>
  <si>
    <t>diesel/toll gates</t>
  </si>
  <si>
    <t>HOME &amp; PARTY STORE</t>
  </si>
  <si>
    <t>POINT S</t>
  </si>
  <si>
    <t>GROVE SPAR REPLACEMENTS</t>
  </si>
  <si>
    <t>INV</t>
  </si>
  <si>
    <t>INV 128</t>
  </si>
  <si>
    <t>1169788966</t>
  </si>
  <si>
    <t>1169788964</t>
  </si>
  <si>
    <t>1169788967</t>
  </si>
  <si>
    <t>1169788965</t>
  </si>
  <si>
    <t>WRAPPERS</t>
  </si>
  <si>
    <t>BOY'S TEAM</t>
  </si>
  <si>
    <t>TRANSPORT</t>
  </si>
  <si>
    <t>MON - FRI(6 - 10 JAN 2025)</t>
  </si>
  <si>
    <t>INV 56</t>
  </si>
  <si>
    <t>1170259162</t>
  </si>
  <si>
    <t>1170259159</t>
  </si>
  <si>
    <t>1170259161</t>
  </si>
  <si>
    <t>1170259160</t>
  </si>
  <si>
    <t>SCOURER POT</t>
  </si>
  <si>
    <t>CASH OVER</t>
  </si>
  <si>
    <t>INV 80</t>
  </si>
  <si>
    <t>INV 81</t>
  </si>
  <si>
    <t>DUNLOP</t>
  </si>
  <si>
    <t>AE ABRB/ELECTRICITY</t>
  </si>
  <si>
    <t>AE BARB/ELECTRICITY</t>
  </si>
  <si>
    <t>INV 79</t>
  </si>
  <si>
    <t>FRI(3 JAN) MON - TUE(6 - 7 JAN) THU(9 JAN) SUN - MON(12 - 13 JAN)</t>
  </si>
  <si>
    <t>MON - TUE(6 - 7 JAN) THU(9 JAN) SUN - MON(12 - 13 JAN)</t>
  </si>
  <si>
    <t>13 - 19 JANUARY 2025</t>
  </si>
  <si>
    <t>PETROL</t>
  </si>
  <si>
    <t>INV 84</t>
  </si>
  <si>
    <t>1170260104</t>
  </si>
  <si>
    <t>1170260107</t>
  </si>
  <si>
    <t>1170260106</t>
  </si>
  <si>
    <t>30 DEC - 5 JAN 2025</t>
  </si>
  <si>
    <t>6 - 12 JAN 2025</t>
  </si>
  <si>
    <t>13 - 19 JAN 2025</t>
  </si>
  <si>
    <t>AFROLO</t>
  </si>
  <si>
    <t>BACK2BASICS</t>
  </si>
  <si>
    <t>CRAZY STORE</t>
  </si>
  <si>
    <t>INV 85</t>
  </si>
  <si>
    <t>RIVERSIDE REPLACEMENT</t>
  </si>
  <si>
    <t>1170259556</t>
  </si>
  <si>
    <t>1170259554</t>
  </si>
  <si>
    <t>1170259557</t>
  </si>
  <si>
    <t>1170259555</t>
  </si>
  <si>
    <t>CUPCAKE WRAPPERS</t>
  </si>
  <si>
    <t>PEPPYS TEAM</t>
  </si>
  <si>
    <t>NHELELO</t>
  </si>
  <si>
    <t>OUTSTANDING WAGES</t>
  </si>
  <si>
    <t>RETURNS SOLD</t>
  </si>
  <si>
    <t xml:space="preserve">ARNO </t>
  </si>
  <si>
    <t>family store</t>
  </si>
  <si>
    <t>CLOCK/BATTERIES</t>
  </si>
  <si>
    <t>MON - FRI(13 - 17 JAN)</t>
  </si>
  <si>
    <t>MON - FRI(13 - 17 JAN) SUN(19 JAN)</t>
  </si>
  <si>
    <t>1170263971</t>
  </si>
  <si>
    <t>1170263969</t>
  </si>
  <si>
    <t>1170263974</t>
  </si>
  <si>
    <t>1170263970</t>
  </si>
  <si>
    <t>INV 129</t>
  </si>
  <si>
    <t>HYPER REPLACEMENTS</t>
  </si>
  <si>
    <t>INV 87</t>
  </si>
  <si>
    <t>INV 89</t>
  </si>
  <si>
    <t>INV 90</t>
  </si>
  <si>
    <t>1170259868/1170742056</t>
  </si>
  <si>
    <t>WAGES FOR SATURDAY</t>
  </si>
  <si>
    <t>PEPPY'S TEAM</t>
  </si>
  <si>
    <t>FOR FOOD</t>
  </si>
  <si>
    <t>PLASTICS</t>
  </si>
  <si>
    <t>PLAZA REPLACEMENTS</t>
  </si>
  <si>
    <t>INV 92</t>
  </si>
  <si>
    <t>INV 93</t>
  </si>
  <si>
    <t>INV 57</t>
  </si>
  <si>
    <t>1170745206</t>
  </si>
  <si>
    <t>1170744098</t>
  </si>
  <si>
    <t>1170745208</t>
  </si>
  <si>
    <t>1170745202</t>
  </si>
  <si>
    <t>FOMOS</t>
  </si>
  <si>
    <t>THU ( 9 JAN) TUE (14 JAN) THU (16 JAN) SAT - MON ( 18 - 20 JAN)</t>
  </si>
  <si>
    <t xml:space="preserve"> TUE (14 JAN) THU (16 JAN) SUN - MON ( 19 - 20 JAN)</t>
  </si>
  <si>
    <t>20 - 26 JANUARY 2025</t>
  </si>
  <si>
    <t>INV 95</t>
  </si>
  <si>
    <t>1170744606</t>
  </si>
  <si>
    <t>1170744620</t>
  </si>
  <si>
    <t>1170744615</t>
  </si>
  <si>
    <t>1170742935</t>
  </si>
  <si>
    <t>1170742923</t>
  </si>
  <si>
    <t>1170742940</t>
  </si>
  <si>
    <t>1170742929</t>
  </si>
  <si>
    <t>INV 96</t>
  </si>
  <si>
    <t>COLORING</t>
  </si>
  <si>
    <t>CLEANING STUFF</t>
  </si>
  <si>
    <t>LOWVELD PACKAGING</t>
  </si>
  <si>
    <t>INV 39</t>
  </si>
  <si>
    <t>1170742053</t>
  </si>
  <si>
    <t xml:space="preserve">MARCO </t>
  </si>
  <si>
    <t>CLEANERS</t>
  </si>
  <si>
    <t>CAR WASH</t>
  </si>
  <si>
    <t>1170741933</t>
  </si>
  <si>
    <t>1170741922</t>
  </si>
  <si>
    <t>1170741937</t>
  </si>
  <si>
    <t>1170741927</t>
  </si>
  <si>
    <t>LOAFS PACK, FOMOS</t>
  </si>
  <si>
    <t>MON - FRI (20 - 24 JAN 2025)</t>
  </si>
  <si>
    <t>MON - SAT(20 - 25 JAN 2025)</t>
  </si>
  <si>
    <t>LOWVELD PACK</t>
  </si>
  <si>
    <t>TOTAL SHELL</t>
  </si>
  <si>
    <t>ALZU</t>
  </si>
  <si>
    <t>INV 33</t>
  </si>
  <si>
    <t>INV 130</t>
  </si>
  <si>
    <t>INV 58</t>
  </si>
  <si>
    <t>1171292894</t>
  </si>
  <si>
    <t>1171292892</t>
  </si>
  <si>
    <t>1171292895</t>
  </si>
  <si>
    <t>1171292893</t>
  </si>
  <si>
    <t>AIRTIME</t>
  </si>
  <si>
    <t>THU(16 JAN) TUE(21 JAN) THU(23 JAN) SUN-MON(26-27 JAN)</t>
  </si>
  <si>
    <t>27 JANUARY - 2 FEBRUARY 2025</t>
  </si>
  <si>
    <t>MULTISAVE</t>
  </si>
  <si>
    <t>ERMELO FOR CLIENT</t>
  </si>
  <si>
    <t>1171572619</t>
  </si>
  <si>
    <t>1171572622</t>
  </si>
  <si>
    <t>1171572621</t>
  </si>
  <si>
    <t>RETRUNS SOLD</t>
  </si>
  <si>
    <t>TOLL GATES AND FOOD</t>
  </si>
  <si>
    <t>ELECTRICITY/AE BARB CS</t>
  </si>
  <si>
    <t>INV 35</t>
  </si>
  <si>
    <t>INV 36</t>
  </si>
  <si>
    <t>1171292992</t>
  </si>
  <si>
    <t>1171292990</t>
  </si>
  <si>
    <t>1171292993</t>
  </si>
  <si>
    <t>1171292991</t>
  </si>
  <si>
    <t>MDU</t>
  </si>
  <si>
    <t>GLUCOSE BLUE</t>
  </si>
  <si>
    <t>INV 40</t>
  </si>
  <si>
    <t>1171293062</t>
  </si>
  <si>
    <t>DIESEL, CAR WASH</t>
  </si>
  <si>
    <t>OBARO</t>
  </si>
  <si>
    <t>20 - 26 JAN 2025</t>
  </si>
  <si>
    <t>MON - SUN (27 JAN - 2 FEB 2025)</t>
  </si>
  <si>
    <t>MON - FRI (27 JAN - 31 JAN)</t>
  </si>
  <si>
    <t>INV 38</t>
  </si>
  <si>
    <t>INV 59</t>
  </si>
  <si>
    <t>1171293419</t>
  </si>
  <si>
    <t>1171293422</t>
  </si>
  <si>
    <t>1171293420</t>
  </si>
  <si>
    <t>1171293421</t>
  </si>
  <si>
    <t>PLAZA SPAR REPLACEMENTS</t>
  </si>
  <si>
    <t>27 JAN - 2 FEB 2025</t>
  </si>
  <si>
    <t>1171883623/1171293063</t>
  </si>
  <si>
    <t>INV 43</t>
  </si>
  <si>
    <t>INV 41</t>
  </si>
  <si>
    <t>INV 44</t>
  </si>
  <si>
    <t>INV 45</t>
  </si>
  <si>
    <t>INV 60</t>
  </si>
  <si>
    <t>1171883348</t>
  </si>
  <si>
    <t>1171883346</t>
  </si>
  <si>
    <t>1171883350</t>
  </si>
  <si>
    <t>1171883347</t>
  </si>
  <si>
    <t>WATER</t>
  </si>
  <si>
    <t>TUE (28 JAN) THU - FRI(30 - 31 JAN) SUN - MON(2 - 3 FEB)</t>
  </si>
  <si>
    <t>TUE (28 JAN) THU (30 JAN) SUN - MON(2 - 3 FEB)</t>
  </si>
  <si>
    <t>3 - 9 FEBRUARY 2025</t>
  </si>
  <si>
    <t>DIESEL/OIL</t>
  </si>
  <si>
    <t>1171883702</t>
  </si>
  <si>
    <t>1171883705</t>
  </si>
  <si>
    <t>1171883704</t>
  </si>
  <si>
    <t xml:space="preserve">                                   </t>
  </si>
  <si>
    <t>VAN ESS</t>
  </si>
  <si>
    <t>xtreme motor spares</t>
  </si>
  <si>
    <t>XTREME MOTOR SPARES</t>
  </si>
  <si>
    <t>INV 48</t>
  </si>
  <si>
    <t>INV 131</t>
  </si>
  <si>
    <t>1171883130</t>
  </si>
  <si>
    <t>1171883128</t>
  </si>
  <si>
    <t>1171883131</t>
  </si>
  <si>
    <t>1171883129</t>
  </si>
  <si>
    <t>BISCUITS</t>
  </si>
  <si>
    <t>CASH SHORT</t>
  </si>
  <si>
    <t>1171883622</t>
  </si>
  <si>
    <t>INV 49</t>
  </si>
  <si>
    <t>BASIN</t>
  </si>
  <si>
    <t>EGGS, WATER, ARNO</t>
  </si>
  <si>
    <t>MON - FRI(3 - 7 FEB 2025)</t>
  </si>
  <si>
    <t>INV 62</t>
  </si>
  <si>
    <t>1171293064/1171883624</t>
  </si>
  <si>
    <t>1171293061/1171883620</t>
  </si>
  <si>
    <t>1171883625/1171293065</t>
  </si>
  <si>
    <t>1162561446</t>
  </si>
  <si>
    <t>10 - 16 FEBRUARY 2025</t>
  </si>
  <si>
    <t>1172651703</t>
  </si>
  <si>
    <t>1172651702</t>
  </si>
  <si>
    <t>1172650700</t>
  </si>
  <si>
    <t>TUE(4 FEB) THU(6 FEB) SUN-MON(9 - 10 FEB)</t>
  </si>
  <si>
    <t>MAGNITE SERVICE</t>
  </si>
  <si>
    <t>DEEP SIX PEST CONTROL</t>
  </si>
  <si>
    <t>1172650589</t>
  </si>
  <si>
    <t>1172650587</t>
  </si>
  <si>
    <t>1172650590</t>
  </si>
  <si>
    <t>1172650588</t>
  </si>
  <si>
    <t>LYD CHECKERS REPLACEMENTS</t>
  </si>
  <si>
    <t>1172651735</t>
  </si>
  <si>
    <t>CAR WASH/FOOD</t>
  </si>
  <si>
    <t>TOILET PAPER</t>
  </si>
  <si>
    <t>TOLL GATES/FOOD</t>
  </si>
  <si>
    <t>INV 61</t>
  </si>
  <si>
    <t>1172649795</t>
  </si>
  <si>
    <t>1172649793</t>
  </si>
  <si>
    <t>1172649796</t>
  </si>
  <si>
    <t>1172666590</t>
  </si>
  <si>
    <t>MICA</t>
  </si>
  <si>
    <t>SLIDING DOOR WHEELS</t>
  </si>
  <si>
    <t>BOEMELAAR</t>
  </si>
  <si>
    <t>CLEANING</t>
  </si>
  <si>
    <t>COOLDRINK</t>
  </si>
  <si>
    <t>PEPPY &amp; WELCOME</t>
  </si>
  <si>
    <t>EXTRA BATCH FOR MARCO</t>
  </si>
  <si>
    <t>MON - SUN(9 - 16 FEB 2025)</t>
  </si>
  <si>
    <t>INV 63</t>
  </si>
  <si>
    <t>INV 64</t>
  </si>
  <si>
    <t>1170259870/1169789075</t>
  </si>
  <si>
    <t>1169789072/1172651734</t>
  </si>
  <si>
    <t>1169789076/1170259871</t>
  </si>
  <si>
    <t>1172649794</t>
  </si>
  <si>
    <t>DISHWASH LIQ</t>
  </si>
  <si>
    <t>TUE(11 FEB)THU-FRI(13 - 14 FEB) SUN-MON(16 - 17 FEB)</t>
  </si>
  <si>
    <t>TUE(11 FEB) THU(13  FEB) SUN-MON(16 - 17 FEB)</t>
  </si>
  <si>
    <t>17 - 23 FEBRUARY 2025</t>
  </si>
  <si>
    <t xml:space="preserve">     </t>
  </si>
  <si>
    <t>RIVERSIDE EMPORIUM</t>
  </si>
  <si>
    <t>RIVERSIDE SPICE EMPORIUM</t>
  </si>
  <si>
    <t>RIVERS SPICE EMPORIUM</t>
  </si>
  <si>
    <t>INV 66</t>
  </si>
  <si>
    <t>INV 68</t>
  </si>
  <si>
    <t>INV 133</t>
  </si>
  <si>
    <t>1173201455</t>
  </si>
  <si>
    <t>1173201453</t>
  </si>
  <si>
    <t>1173201456</t>
  </si>
  <si>
    <t>1173201454</t>
  </si>
  <si>
    <t>TUISBEDRYF REPLACEMENTS</t>
  </si>
  <si>
    <t>LABELPRO</t>
  </si>
  <si>
    <t>1173200500</t>
  </si>
  <si>
    <t>1172666592</t>
  </si>
  <si>
    <t>1173201703</t>
  </si>
  <si>
    <t>1173201702</t>
  </si>
  <si>
    <t>LABELS</t>
  </si>
  <si>
    <t>TOLLGATES&amp;FOOD</t>
  </si>
  <si>
    <t>cash &amp; carry</t>
  </si>
  <si>
    <t>CASH &amp; CARRY</t>
  </si>
  <si>
    <t>PNP/ELECTRICITY</t>
  </si>
  <si>
    <t>EASY SPICE &amp; PACK</t>
  </si>
  <si>
    <t>INV 65</t>
  </si>
  <si>
    <t>1173203007</t>
  </si>
  <si>
    <t>1173203005</t>
  </si>
  <si>
    <t>1173203008</t>
  </si>
  <si>
    <t>1173203006</t>
  </si>
  <si>
    <t>MON - SUN(17 - 21 FEB 2025)</t>
  </si>
  <si>
    <t>AE BARB CS/ELECTRICITY</t>
  </si>
  <si>
    <t>1173438890</t>
  </si>
  <si>
    <t>1173438887</t>
  </si>
  <si>
    <t>1173438891</t>
  </si>
  <si>
    <t>1173438888</t>
  </si>
  <si>
    <t>24 FEBRUARY - 2 MARCH 2025</t>
  </si>
  <si>
    <t>MISS SUPERMARKET</t>
  </si>
  <si>
    <t>WESTVAAL</t>
  </si>
  <si>
    <t>INV 78</t>
  </si>
  <si>
    <t>1173439350</t>
  </si>
  <si>
    <t>1173439348</t>
  </si>
  <si>
    <t>1173439351</t>
  </si>
  <si>
    <t>1173439349</t>
  </si>
  <si>
    <t>ALLY CATS</t>
  </si>
  <si>
    <t>CCS COMPUTERS</t>
  </si>
  <si>
    <t>INV 42</t>
  </si>
  <si>
    <t>1173439191</t>
  </si>
  <si>
    <t>1173439455</t>
  </si>
  <si>
    <t>1173439458</t>
  </si>
  <si>
    <t>1173439457</t>
  </si>
  <si>
    <t>CAVALIERI CHEESE</t>
  </si>
  <si>
    <t>EASY SPICE AND PACK</t>
  </si>
  <si>
    <t>INV87</t>
  </si>
  <si>
    <t>INV 134</t>
  </si>
  <si>
    <t>INV 67</t>
  </si>
  <si>
    <t>1173442805</t>
  </si>
  <si>
    <t>1173442803</t>
  </si>
  <si>
    <t>1173442806</t>
  </si>
  <si>
    <t>1173442804</t>
  </si>
  <si>
    <t>WED - THU(19 -20 FEB) SUN - MON(23 - 24 FEB)</t>
  </si>
  <si>
    <t>MON -SUN(17-23 FEB)</t>
  </si>
  <si>
    <t>MON - FRI(17 - 21 FEB)</t>
  </si>
  <si>
    <t>INV 32</t>
  </si>
  <si>
    <t>1174029227</t>
  </si>
  <si>
    <t>1174029222</t>
  </si>
  <si>
    <t>1174029230</t>
  </si>
  <si>
    <t>1174029223</t>
  </si>
  <si>
    <t>3 - 9 MARCH 2025</t>
  </si>
  <si>
    <t>MAGIC STORE</t>
  </si>
  <si>
    <t>1174029683</t>
  </si>
  <si>
    <t>1174029687</t>
  </si>
  <si>
    <t>1174029686</t>
  </si>
  <si>
    <t>FOMOS, POT SCOURERS</t>
  </si>
  <si>
    <t>SPOONS</t>
  </si>
  <si>
    <t>DISHWASH LIQUID</t>
  </si>
  <si>
    <t>home &amp; party store</t>
  </si>
  <si>
    <t>DIESEL/TOLL GATE</t>
  </si>
  <si>
    <t>INV 135</t>
  </si>
  <si>
    <t>1174029369</t>
  </si>
  <si>
    <t>1174029367</t>
  </si>
  <si>
    <t>1174029370</t>
  </si>
  <si>
    <t>1174029368</t>
  </si>
  <si>
    <t>NHELELEO</t>
  </si>
  <si>
    <t>1174029945</t>
  </si>
  <si>
    <t>PLAZA SPAR REPLACEMENT</t>
  </si>
  <si>
    <t>INV 37</t>
  </si>
  <si>
    <t>1174031425</t>
  </si>
  <si>
    <t>1174031423</t>
  </si>
  <si>
    <t>1174031426</t>
  </si>
  <si>
    <t>1174031424</t>
  </si>
  <si>
    <t>CARWASH</t>
  </si>
  <si>
    <t>TUE - THU( 25 - 27 FEB) SUN - MON( 2 - 3 MAR)</t>
  </si>
  <si>
    <t>MON - FRI (3 - 7 MAR)</t>
  </si>
  <si>
    <t>ALPHA - PHARM</t>
  </si>
  <si>
    <t>ALPHA-PHARM</t>
  </si>
  <si>
    <t>Sunday</t>
  </si>
  <si>
    <t>Monday</t>
  </si>
  <si>
    <t>1174487313</t>
  </si>
  <si>
    <t>1174487311</t>
  </si>
  <si>
    <t>1174487314</t>
  </si>
  <si>
    <t>1174487312</t>
  </si>
  <si>
    <t>INV 136</t>
  </si>
  <si>
    <t>10 - 16 MARCH 2025</t>
  </si>
  <si>
    <t>1174486787</t>
  </si>
  <si>
    <t>1174486790</t>
  </si>
  <si>
    <t>1174486789</t>
  </si>
  <si>
    <t>shoprite</t>
  </si>
  <si>
    <t>wasi</t>
  </si>
  <si>
    <t>spice and pack</t>
  </si>
  <si>
    <t>1174488126</t>
  </si>
  <si>
    <t>1174488124</t>
  </si>
  <si>
    <t>1174488127</t>
  </si>
  <si>
    <t>1174488125</t>
  </si>
  <si>
    <t>1174488651</t>
  </si>
  <si>
    <t>1174488649</t>
  </si>
  <si>
    <t>1174488652</t>
  </si>
  <si>
    <t>1174488650</t>
  </si>
  <si>
    <t>TUE (4 MAR) THU (6 MAR) SAT-MON(8 - 10 MAR)</t>
  </si>
  <si>
    <t>MON - WED(10-12 MAR) FRI-SUN(14-16 MAR)</t>
  </si>
  <si>
    <t>SUN - FRI(9 - 14 MAR)</t>
  </si>
  <si>
    <t>MON - FRI(10 - 14 MAR)</t>
  </si>
  <si>
    <t>INV 50</t>
  </si>
  <si>
    <t>1175036712</t>
  </si>
  <si>
    <t>1175036710</t>
  </si>
  <si>
    <t>1175036713</t>
  </si>
  <si>
    <t>1175036711</t>
  </si>
  <si>
    <t>INV 137</t>
  </si>
  <si>
    <t>COINS THAT GOT STOLEN</t>
  </si>
  <si>
    <t>17 - 23 MARCH 2025</t>
  </si>
  <si>
    <t>1175036359</t>
  </si>
  <si>
    <t>1175036362</t>
  </si>
  <si>
    <t>1175036361</t>
  </si>
  <si>
    <t>TOLLGATES/FOOD</t>
  </si>
  <si>
    <t>PEPPY TEAM</t>
  </si>
  <si>
    <t>TRANSPORT/FOOD</t>
  </si>
  <si>
    <t>`</t>
  </si>
  <si>
    <t>3 - 9 FEB 2025</t>
  </si>
  <si>
    <t>10 - 16 FEB 2025</t>
  </si>
  <si>
    <t>17 - 23 FEB 2025</t>
  </si>
  <si>
    <t>24 FEB - 2 MAR 2025</t>
  </si>
  <si>
    <t>3 - 9 MAR 2025</t>
  </si>
  <si>
    <t>10 - 16 MAR 2025</t>
  </si>
  <si>
    <t>1175037995</t>
  </si>
  <si>
    <t>1175037993</t>
  </si>
  <si>
    <t>1175037996</t>
  </si>
  <si>
    <t>1175037994</t>
  </si>
  <si>
    <t>1174487861/1175039647</t>
  </si>
  <si>
    <t>BLEACH</t>
  </si>
  <si>
    <t>24'S</t>
  </si>
  <si>
    <t>Green cherries</t>
  </si>
  <si>
    <t>6kg</t>
  </si>
  <si>
    <t>INV 72</t>
  </si>
  <si>
    <t>1175040047</t>
  </si>
  <si>
    <t>1175040045</t>
  </si>
  <si>
    <t>1175040048</t>
  </si>
  <si>
    <t>1175040046</t>
  </si>
  <si>
    <t>TUE(11 MAR) THU(13 MAR) SUN - MON (16 - 17 MAR)</t>
  </si>
  <si>
    <t>MON - FRI (17 - 21 MAR)</t>
  </si>
  <si>
    <t>1175582803</t>
  </si>
  <si>
    <t>1175582801</t>
  </si>
  <si>
    <t>1175582804</t>
  </si>
  <si>
    <t>1175039648/1174029946</t>
  </si>
  <si>
    <t>CARROTS, CHOC MILK</t>
  </si>
  <si>
    <t>24 - 30 march 2025</t>
  </si>
  <si>
    <t>24 - 30 MARCH 2025</t>
  </si>
  <si>
    <t>1175582336</t>
  </si>
  <si>
    <t>1175582339</t>
  </si>
  <si>
    <t>1175582338</t>
  </si>
  <si>
    <t>1175582465</t>
  </si>
  <si>
    <t>1175582463</t>
  </si>
  <si>
    <t>1175582466</t>
  </si>
  <si>
    <t>1175582464</t>
  </si>
  <si>
    <t>PRIIMROSE</t>
  </si>
  <si>
    <t>1175590747</t>
  </si>
  <si>
    <t xml:space="preserve">INV </t>
  </si>
  <si>
    <t>INV 138</t>
  </si>
  <si>
    <t>1175590486</t>
  </si>
  <si>
    <t>1175590484</t>
  </si>
  <si>
    <t>1175590487</t>
  </si>
  <si>
    <t>1175590485</t>
  </si>
  <si>
    <t>PEPPY;S TEAM</t>
  </si>
  <si>
    <t>24 - 30 MARCH (MON-SUN)</t>
  </si>
  <si>
    <t>TUE(18 MAR) THU(20 MAR) SUN - MON(23 - 24 MAR)</t>
  </si>
  <si>
    <t>1175590748</t>
  </si>
  <si>
    <t>INV 74</t>
  </si>
  <si>
    <t>1176164036</t>
  </si>
  <si>
    <t>1176164033</t>
  </si>
  <si>
    <t>1176164037</t>
  </si>
  <si>
    <t>1176164034</t>
  </si>
  <si>
    <t>TAXI &amp; FOR CAKE BAKED</t>
  </si>
  <si>
    <t>DISHWASH LIQ &amp; TOILET PAPER</t>
  </si>
  <si>
    <t>CAKE BAKED</t>
  </si>
  <si>
    <t>MOP CAPS</t>
  </si>
  <si>
    <t>31 MAR - 6 APR 2025</t>
  </si>
  <si>
    <t>FUNCHAL CAFÉ&amp;SUPERMARKET</t>
  </si>
  <si>
    <t>FUNCHAL CAFÉ</t>
  </si>
  <si>
    <t>HOME&amp;PARTY STORR</t>
  </si>
  <si>
    <t>FUNCHAL CAFÉ &amp; SUPERMARKET</t>
  </si>
  <si>
    <t>1176164321</t>
  </si>
  <si>
    <t>1176164324</t>
  </si>
  <si>
    <t>1176164323</t>
  </si>
  <si>
    <t>POT SCOURER'S</t>
  </si>
  <si>
    <t>TOLL GATES &amp; FOOD</t>
  </si>
  <si>
    <t>diesl/toll gates</t>
  </si>
  <si>
    <t>1176164067</t>
  </si>
  <si>
    <t>1176164065</t>
  </si>
  <si>
    <t>1176164068</t>
  </si>
  <si>
    <t>1176164066</t>
  </si>
  <si>
    <t>COLOR YELLOW</t>
  </si>
  <si>
    <t>1176165039</t>
  </si>
  <si>
    <t>pnp</t>
  </si>
  <si>
    <t>27</t>
  </si>
  <si>
    <t>INV 70</t>
  </si>
  <si>
    <t>INV 139</t>
  </si>
  <si>
    <t>1176165607</t>
  </si>
  <si>
    <t>1176165605</t>
  </si>
  <si>
    <t>1176165608</t>
  </si>
  <si>
    <t>1176165606</t>
  </si>
  <si>
    <t>MAGARINE, REFUSE BAGS</t>
  </si>
  <si>
    <t>25 MAR(TUE) 27 MAR(THU) 29-31 MAR(SAT-MON)</t>
  </si>
  <si>
    <t>25 MAR(TUE) 27 MAR(THU) 29-30 MAR(SUN-MON)</t>
  </si>
  <si>
    <t>31 MAR - 4 APR(MON-FRI)</t>
  </si>
  <si>
    <t>BOSBOK GAS</t>
  </si>
  <si>
    <t>1172651736</t>
  </si>
  <si>
    <t>1176165041/1174029947</t>
  </si>
  <si>
    <t>1176165038/1174029944</t>
  </si>
  <si>
    <t>1176165042/1174029948</t>
  </si>
  <si>
    <t>1176165040/1173201953</t>
  </si>
  <si>
    <t>7 - 13 april 2025</t>
  </si>
  <si>
    <t>7- 13 APRIL 2025</t>
  </si>
  <si>
    <t>1176689052</t>
  </si>
  <si>
    <t>1176689055</t>
  </si>
  <si>
    <t>1176689054</t>
  </si>
  <si>
    <t>PRO MATTRON</t>
  </si>
  <si>
    <t>INV 77</t>
  </si>
  <si>
    <t>INV 140</t>
  </si>
  <si>
    <t>1176690121</t>
  </si>
  <si>
    <t>1176690119</t>
  </si>
  <si>
    <t>1176690122</t>
  </si>
  <si>
    <t>1176690120</t>
  </si>
  <si>
    <t>FOMOS, BISCUITS</t>
  </si>
  <si>
    <t>1176689463</t>
  </si>
  <si>
    <t>WAGES OUTSTANDING</t>
  </si>
  <si>
    <t xml:space="preserve">DELIVERED </t>
  </si>
  <si>
    <t>TOTAL BEFORE RETURNS</t>
  </si>
  <si>
    <t>RETURN TOTAL</t>
  </si>
  <si>
    <t>GRAND TOTAL AFTER RETURNS</t>
  </si>
  <si>
    <t>ELEC/AE BARB CS</t>
  </si>
  <si>
    <t>1176690926</t>
  </si>
  <si>
    <t>1176690909</t>
  </si>
  <si>
    <t>1176690935</t>
  </si>
  <si>
    <t>1176690920</t>
  </si>
  <si>
    <t>LOAF PACKAGING</t>
  </si>
  <si>
    <t>TUE(1 APR) THU(3 APR) SUN-MON(6-7 APR)</t>
  </si>
  <si>
    <t>7 - 13 APR (MON - SUN)</t>
  </si>
  <si>
    <t>7 - 11 APR (MON - FRI)</t>
  </si>
  <si>
    <t>DARKM</t>
  </si>
  <si>
    <t>INV 83</t>
  </si>
  <si>
    <t>1176689018</t>
  </si>
  <si>
    <t>1176689016</t>
  </si>
  <si>
    <t>1176689019</t>
  </si>
  <si>
    <t>1176689017</t>
  </si>
  <si>
    <t>BAK POWD, REFUSE BAGS</t>
  </si>
  <si>
    <t>7 - 13 APR 2025</t>
  </si>
  <si>
    <t>14 - 20 APRIL 2025</t>
  </si>
  <si>
    <t>PLAASKOMBUIS</t>
  </si>
  <si>
    <t>1177201246</t>
  </si>
  <si>
    <t>1177201249</t>
  </si>
  <si>
    <t>1177201248</t>
  </si>
  <si>
    <t>DIESEL,TOLLGATES</t>
  </si>
  <si>
    <t>PLASTICS, COLORING</t>
  </si>
  <si>
    <t>CARZY STORE</t>
  </si>
  <si>
    <t>DIESEL/FUEL</t>
  </si>
  <si>
    <t>ANNA</t>
  </si>
  <si>
    <t>1177200872</t>
  </si>
  <si>
    <t>1177200870</t>
  </si>
  <si>
    <t>1177200873</t>
  </si>
  <si>
    <t>1177201303/1177200871</t>
  </si>
  <si>
    <t>AUTOZONE</t>
  </si>
  <si>
    <t>HAZYVIEW MARKET DAY</t>
  </si>
  <si>
    <t>1177200771</t>
  </si>
  <si>
    <t>1177200768</t>
  </si>
  <si>
    <t>1177203089/1176689464/1173439192</t>
  </si>
  <si>
    <t>1177200772</t>
  </si>
  <si>
    <t>1177200777</t>
  </si>
  <si>
    <t>DIESEL/PETROL</t>
  </si>
  <si>
    <t>1177203090</t>
  </si>
  <si>
    <t>1177203091</t>
  </si>
  <si>
    <t>1177203088</t>
  </si>
  <si>
    <t>ADAM</t>
  </si>
  <si>
    <t>TRIFLE PACKAGING</t>
  </si>
  <si>
    <t xml:space="preserve">LINDIE </t>
  </si>
  <si>
    <t>SAT(5 APR) TUE(8 APR) THU(10 APR) SUN - THU (13 - 17 APR)</t>
  </si>
  <si>
    <t>TUE(8 APR) THU(10 APR) SUN - THU (13 - 17 APR)</t>
  </si>
  <si>
    <t>MON - FRI(14 - 18 APR)</t>
  </si>
  <si>
    <t>1177681770</t>
  </si>
  <si>
    <t>1177681778</t>
  </si>
  <si>
    <t>1177681771</t>
  </si>
  <si>
    <t>1177681775</t>
  </si>
  <si>
    <t>14 - 20 APR 2025</t>
  </si>
  <si>
    <t>21 - 27 APRIL 2025</t>
  </si>
  <si>
    <t>1177682384</t>
  </si>
  <si>
    <t>1177682050</t>
  </si>
  <si>
    <t>1177682386</t>
  </si>
  <si>
    <t>GROVE SPAR REPLACEMENT</t>
  </si>
  <si>
    <t>INV 94</t>
  </si>
  <si>
    <t>INV 141</t>
  </si>
  <si>
    <t>1177682471</t>
  </si>
  <si>
    <t>1177682469</t>
  </si>
  <si>
    <t>1177682474</t>
  </si>
  <si>
    <t>1177682470</t>
  </si>
  <si>
    <t>inv 96</t>
  </si>
  <si>
    <t>1177682387</t>
  </si>
  <si>
    <t>CAR WASH, INV BOOKS</t>
  </si>
  <si>
    <t>INV 1</t>
  </si>
  <si>
    <t>INV 2</t>
  </si>
  <si>
    <t>1177683764</t>
  </si>
  <si>
    <t>1177683767</t>
  </si>
  <si>
    <t>1177683765</t>
  </si>
  <si>
    <t>1177683766</t>
  </si>
  <si>
    <t>FOR HOUSE</t>
  </si>
  <si>
    <t>TUE-WED(15-16 APR) FRI(18 APR)MON-TUE(21-22 APR) THU(24 APR)</t>
  </si>
  <si>
    <t>MON - SUN(21 - 27 APR)</t>
  </si>
  <si>
    <t>MON - FRI(21 - 25 APR)</t>
  </si>
  <si>
    <t>INV 4</t>
  </si>
  <si>
    <t>INV 142</t>
  </si>
  <si>
    <t>1178147152</t>
  </si>
  <si>
    <t>1178147150</t>
  </si>
  <si>
    <t>1178147153</t>
  </si>
  <si>
    <t>1178147151</t>
  </si>
  <si>
    <t>FOMOS,PLASTIC BAGS</t>
  </si>
  <si>
    <t>21 - 27 APR 2025</t>
  </si>
  <si>
    <t>28 APRIL - 4 MAY 2025</t>
  </si>
  <si>
    <t>1178147976</t>
  </si>
  <si>
    <t>1178147979</t>
  </si>
  <si>
    <t>1178147978</t>
  </si>
  <si>
    <t>FOMOS,VINEGAR</t>
  </si>
  <si>
    <t>RIVESIDE SPICE EMPORIUM</t>
  </si>
  <si>
    <t>INV 6</t>
  </si>
  <si>
    <t>INV 7</t>
  </si>
  <si>
    <t>1178148273</t>
  </si>
  <si>
    <t>1178148271</t>
  </si>
  <si>
    <t>1178148275</t>
  </si>
  <si>
    <t>1178148984</t>
  </si>
  <si>
    <t>1178148983</t>
  </si>
  <si>
    <t>INV 8</t>
  </si>
  <si>
    <t>1178150526</t>
  </si>
  <si>
    <t>1178150523</t>
  </si>
  <si>
    <t>1178150527</t>
  </si>
  <si>
    <t>1178148272/1178150524</t>
  </si>
  <si>
    <t>MON - SUN(28 APR -4 MAY)</t>
  </si>
  <si>
    <t>MON - FRI(28 APR - 2 MAY)</t>
  </si>
  <si>
    <t>MON - TUE(28 - 29 APR) THU-FRI(1-2 MAY) SUN(4 MAY)</t>
  </si>
  <si>
    <t>INV 10</t>
  </si>
  <si>
    <t>1178532707/1177200770</t>
  </si>
  <si>
    <t>INV 11</t>
  </si>
  <si>
    <t>INV 12</t>
  </si>
  <si>
    <t>INV 143</t>
  </si>
  <si>
    <t>INV 82</t>
  </si>
  <si>
    <t>1178530932</t>
  </si>
  <si>
    <t>1178530929</t>
  </si>
  <si>
    <t>1178530934</t>
  </si>
  <si>
    <t>1178530931</t>
  </si>
  <si>
    <t>FOOD &amp; TRANSPORT</t>
  </si>
  <si>
    <t>BROOM</t>
  </si>
  <si>
    <t>28 APR - 4 MAY 2025</t>
  </si>
  <si>
    <t>5 - 11 MAY 2025</t>
  </si>
  <si>
    <t>1178532705</t>
  </si>
  <si>
    <t>1177684112</t>
  </si>
  <si>
    <t>1178531253</t>
  </si>
  <si>
    <t>1178531256</t>
  </si>
  <si>
    <t>1178531255</t>
  </si>
  <si>
    <t>INV 13</t>
  </si>
  <si>
    <t>INV 14</t>
  </si>
  <si>
    <t>1178530297</t>
  </si>
  <si>
    <t>1178530298</t>
  </si>
  <si>
    <t>1178532706</t>
  </si>
  <si>
    <t xml:space="preserve">                                               </t>
  </si>
  <si>
    <t>INV 16</t>
  </si>
  <si>
    <t>1178532533</t>
  </si>
  <si>
    <t>1178532531</t>
  </si>
  <si>
    <t>1178532534</t>
  </si>
  <si>
    <t>1178532532</t>
  </si>
  <si>
    <t>DIESEL/TOLL GATES/FOOD</t>
  </si>
  <si>
    <t>17-23 MAR 2025</t>
  </si>
  <si>
    <t>24 - 30 MAR 2025</t>
  </si>
  <si>
    <t>17 - 23 MAR 2025</t>
  </si>
  <si>
    <t>358.2+928.8</t>
  </si>
  <si>
    <t>MON-TUE(5-6 MAY) THU(8 MAY) SUN(11 MAY)</t>
  </si>
  <si>
    <t>MON - FRI(5 - 9 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</si>
</sst>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[$R-1C09]#,##0.00"/>
    <numFmt numFmtId="168" formatCode="_-[$R-1C09]* #,##0.00_-;\-[$R-1C09]* #,##0.00_-;_-[$R-1C09]* &quot;-&quot;??_-;_-@_-"/>
    <numFmt numFmtId="169" formatCode="[$R-433]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89">
    <xf numFmtId="0" fontId="0" fillId="0" borderId="0" xfId="0"/>
    <xf numFmtId="167" fontId="2" fillId="3" borderId="2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right"/>
    </xf>
    <xf numFmtId="14" fontId="2" fillId="0" borderId="6" xfId="0" applyNumberFormat="1" applyFont="1" applyBorder="1" applyAlignment="1">
      <alignment horizontal="right"/>
    </xf>
    <xf numFmtId="14" fontId="2" fillId="0" borderId="12" xfId="0" applyNumberFormat="1" applyFont="1" applyBorder="1" applyAlignment="1">
      <alignment horizontal="right"/>
    </xf>
    <xf numFmtId="167" fontId="2" fillId="0" borderId="10" xfId="0" applyNumberFormat="1" applyFont="1" applyBorder="1" applyAlignment="1">
      <alignment horizontal="center" vertical="center"/>
    </xf>
    <xf numFmtId="167" fontId="2" fillId="3" borderId="19" xfId="0" applyNumberFormat="1" applyFont="1" applyFill="1" applyBorder="1" applyAlignment="1">
      <alignment horizontal="center" vertical="center"/>
    </xf>
    <xf numFmtId="167" fontId="2" fillId="0" borderId="20" xfId="0" applyNumberFormat="1" applyFont="1" applyBorder="1" applyAlignment="1">
      <alignment horizontal="center" vertical="center"/>
    </xf>
    <xf numFmtId="167" fontId="2" fillId="0" borderId="21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0" fontId="0" fillId="0" borderId="33" xfId="0" applyBorder="1"/>
    <xf numFmtId="0" fontId="0" fillId="0" borderId="3" xfId="0" applyBorder="1"/>
    <xf numFmtId="0" fontId="4" fillId="0" borderId="2" xfId="0" applyFont="1" applyBorder="1"/>
    <xf numFmtId="0" fontId="0" fillId="0" borderId="1" xfId="0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5" fillId="0" borderId="12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5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12" borderId="41" xfId="0" applyFont="1" applyFill="1" applyBorder="1" applyAlignment="1">
      <alignment horizontal="center" vertical="center" wrapText="1"/>
    </xf>
    <xf numFmtId="0" fontId="20" fillId="12" borderId="42" xfId="0" applyFont="1" applyFill="1" applyBorder="1" applyAlignment="1">
      <alignment horizontal="center" vertical="center" wrapText="1"/>
    </xf>
    <xf numFmtId="0" fontId="20" fillId="12" borderId="54" xfId="0" applyFont="1" applyFill="1" applyBorder="1" applyAlignment="1">
      <alignment horizontal="center" vertical="center" wrapText="1"/>
    </xf>
    <xf numFmtId="0" fontId="20" fillId="12" borderId="43" xfId="0" applyFont="1" applyFill="1" applyBorder="1" applyAlignment="1">
      <alignment horizontal="center" vertical="center" wrapText="1"/>
    </xf>
    <xf numFmtId="0" fontId="0" fillId="4" borderId="67" xfId="0" applyFill="1" applyBorder="1"/>
    <xf numFmtId="167" fontId="0" fillId="0" borderId="65" xfId="0" applyNumberFormat="1" applyBorder="1"/>
    <xf numFmtId="0" fontId="0" fillId="0" borderId="65" xfId="0" applyBorder="1" applyAlignment="1">
      <alignment horizontal="center"/>
    </xf>
    <xf numFmtId="0" fontId="0" fillId="0" borderId="65" xfId="0" applyBorder="1"/>
    <xf numFmtId="0" fontId="0" fillId="0" borderId="36" xfId="0" applyBorder="1"/>
    <xf numFmtId="0" fontId="0" fillId="0" borderId="70" xfId="0" applyBorder="1"/>
    <xf numFmtId="0" fontId="0" fillId="4" borderId="45" xfId="0" applyFill="1" applyBorder="1"/>
    <xf numFmtId="167" fontId="0" fillId="0" borderId="1" xfId="0" applyNumberFormat="1" applyBorder="1"/>
    <xf numFmtId="0" fontId="0" fillId="0" borderId="20" xfId="0" applyBorder="1"/>
    <xf numFmtId="0" fontId="0" fillId="0" borderId="61" xfId="0" applyBorder="1"/>
    <xf numFmtId="0" fontId="0" fillId="4" borderId="1" xfId="0" applyFill="1" applyBorder="1" applyAlignment="1">
      <alignment horizontal="center"/>
    </xf>
    <xf numFmtId="0" fontId="0" fillId="4" borderId="46" xfId="0" applyFill="1" applyBorder="1"/>
    <xf numFmtId="167" fontId="0" fillId="0" borderId="47" xfId="0" applyNumberFormat="1" applyBorder="1"/>
    <xf numFmtId="0" fontId="0" fillId="0" borderId="47" xfId="0" applyBorder="1" applyAlignment="1">
      <alignment horizontal="center"/>
    </xf>
    <xf numFmtId="0" fontId="0" fillId="0" borderId="47" xfId="0" applyBorder="1"/>
    <xf numFmtId="0" fontId="0" fillId="0" borderId="31" xfId="0" applyBorder="1"/>
    <xf numFmtId="0" fontId="0" fillId="0" borderId="68" xfId="0" applyBorder="1"/>
    <xf numFmtId="168" fontId="0" fillId="0" borderId="65" xfId="1" applyNumberFormat="1" applyFont="1" applyBorder="1" applyAlignment="1">
      <alignment horizontal="right"/>
    </xf>
    <xf numFmtId="168" fontId="0" fillId="0" borderId="1" xfId="1" applyNumberFormat="1" applyFont="1" applyBorder="1" applyAlignment="1">
      <alignment horizontal="right"/>
    </xf>
    <xf numFmtId="168" fontId="0" fillId="0" borderId="47" xfId="1" applyNumberFormat="1" applyFont="1" applyBorder="1"/>
    <xf numFmtId="0" fontId="0" fillId="4" borderId="62" xfId="0" applyFill="1" applyBorder="1"/>
    <xf numFmtId="167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21" xfId="0" applyBorder="1"/>
    <xf numFmtId="0" fontId="0" fillId="0" borderId="63" xfId="0" applyBorder="1"/>
    <xf numFmtId="0" fontId="0" fillId="4" borderId="44" xfId="0" applyFill="1" applyBorder="1"/>
    <xf numFmtId="167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59" xfId="0" applyBorder="1"/>
    <xf numFmtId="167" fontId="0" fillId="0" borderId="4" xfId="0" applyNumberFormat="1" applyBorder="1" applyAlignment="1">
      <alignment horizontal="right"/>
    </xf>
    <xf numFmtId="0" fontId="0" fillId="12" borderId="44" xfId="0" applyFill="1" applyBorder="1"/>
    <xf numFmtId="167" fontId="0" fillId="8" borderId="3" xfId="0" applyNumberFormat="1" applyFill="1" applyBorder="1"/>
    <xf numFmtId="0" fontId="0" fillId="12" borderId="3" xfId="0" applyFill="1" applyBorder="1" applyAlignment="1">
      <alignment horizontal="left"/>
    </xf>
    <xf numFmtId="0" fontId="0" fillId="8" borderId="5" xfId="0" applyFill="1" applyBorder="1"/>
    <xf numFmtId="0" fontId="23" fillId="7" borderId="17" xfId="0" applyFont="1" applyFill="1" applyBorder="1"/>
    <xf numFmtId="0" fontId="0" fillId="8" borderId="6" xfId="0" applyFill="1" applyBorder="1"/>
    <xf numFmtId="0" fontId="0" fillId="12" borderId="5" xfId="0" applyFill="1" applyBorder="1" applyAlignment="1">
      <alignment horizontal="right"/>
    </xf>
    <xf numFmtId="0" fontId="0" fillId="12" borderId="45" xfId="0" applyFill="1" applyBorder="1"/>
    <xf numFmtId="167" fontId="0" fillId="8" borderId="1" xfId="0" applyNumberFormat="1" applyFill="1" applyBorder="1"/>
    <xf numFmtId="0" fontId="0" fillId="12" borderId="1" xfId="0" applyFill="1" applyBorder="1" applyAlignment="1">
      <alignment horizontal="left"/>
    </xf>
    <xf numFmtId="0" fontId="0" fillId="8" borderId="20" xfId="0" applyFill="1" applyBorder="1"/>
    <xf numFmtId="0" fontId="23" fillId="7" borderId="14" xfId="0" applyFont="1" applyFill="1" applyBorder="1"/>
    <xf numFmtId="0" fontId="0" fillId="8" borderId="12" xfId="0" applyFill="1" applyBorder="1"/>
    <xf numFmtId="0" fontId="0" fillId="12" borderId="20" xfId="0" applyFill="1" applyBorder="1" applyAlignment="1">
      <alignment horizontal="right"/>
    </xf>
    <xf numFmtId="167" fontId="0" fillId="8" borderId="1" xfId="0" applyNumberFormat="1" applyFill="1" applyBorder="1" applyAlignment="1">
      <alignment horizontal="right"/>
    </xf>
    <xf numFmtId="0" fontId="24" fillId="7" borderId="14" xfId="0" applyFont="1" applyFill="1" applyBorder="1"/>
    <xf numFmtId="0" fontId="0" fillId="12" borderId="62" xfId="0" applyFill="1" applyBorder="1"/>
    <xf numFmtId="167" fontId="0" fillId="8" borderId="4" xfId="0" applyNumberFormat="1" applyFill="1" applyBorder="1"/>
    <xf numFmtId="0" fontId="0" fillId="12" borderId="4" xfId="0" applyFill="1" applyBorder="1" applyAlignment="1">
      <alignment horizontal="left"/>
    </xf>
    <xf numFmtId="0" fontId="0" fillId="8" borderId="21" xfId="0" applyFill="1" applyBorder="1"/>
    <xf numFmtId="0" fontId="23" fillId="7" borderId="15" xfId="0" applyFont="1" applyFill="1" applyBorder="1"/>
    <xf numFmtId="0" fontId="0" fillId="8" borderId="7" xfId="0" applyFill="1" applyBorder="1"/>
    <xf numFmtId="0" fontId="0" fillId="12" borderId="21" xfId="0" applyFill="1" applyBorder="1" applyAlignment="1">
      <alignment horizontal="right"/>
    </xf>
    <xf numFmtId="0" fontId="2" fillId="0" borderId="0" xfId="0" applyFont="1"/>
    <xf numFmtId="167" fontId="2" fillId="0" borderId="0" xfId="0" applyNumberFormat="1" applyFont="1"/>
    <xf numFmtId="167" fontId="2" fillId="10" borderId="2" xfId="0" applyNumberFormat="1" applyFont="1" applyFill="1" applyBorder="1" applyAlignment="1">
      <alignment horizontal="center" vertical="center"/>
    </xf>
    <xf numFmtId="167" fontId="2" fillId="10" borderId="27" xfId="0" applyNumberFormat="1" applyFont="1" applyFill="1" applyBorder="1" applyAlignment="1">
      <alignment horizontal="center" vertical="center"/>
    </xf>
    <xf numFmtId="167" fontId="2" fillId="11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6" fillId="0" borderId="8" xfId="0" applyFont="1" applyBorder="1"/>
    <xf numFmtId="0" fontId="0" fillId="17" borderId="25" xfId="0" applyFill="1" applyBorder="1"/>
    <xf numFmtId="0" fontId="26" fillId="0" borderId="0" xfId="0" applyFont="1"/>
    <xf numFmtId="0" fontId="6" fillId="0" borderId="56" xfId="0" applyFont="1" applyBorder="1"/>
    <xf numFmtId="0" fontId="6" fillId="0" borderId="57" xfId="0" applyFont="1" applyBorder="1"/>
    <xf numFmtId="0" fontId="0" fillId="0" borderId="58" xfId="0" applyBorder="1"/>
    <xf numFmtId="0" fontId="0" fillId="17" borderId="1" xfId="0" applyFill="1" applyBorder="1"/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2" fillId="17" borderId="2" xfId="0" applyFont="1" applyFill="1" applyBorder="1"/>
    <xf numFmtId="0" fontId="22" fillId="18" borderId="2" xfId="0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/>
    </xf>
    <xf numFmtId="0" fontId="4" fillId="18" borderId="14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22" fillId="18" borderId="52" xfId="0" applyFont="1" applyFill="1" applyBorder="1" applyAlignment="1">
      <alignment horizontal="center" vertical="center"/>
    </xf>
    <xf numFmtId="0" fontId="22" fillId="18" borderId="53" xfId="0" applyFont="1" applyFill="1" applyBorder="1" applyAlignment="1">
      <alignment horizontal="center" vertical="center"/>
    </xf>
    <xf numFmtId="0" fontId="22" fillId="18" borderId="50" xfId="0" applyFont="1" applyFill="1" applyBorder="1" applyAlignment="1">
      <alignment horizontal="center" vertical="center"/>
    </xf>
    <xf numFmtId="0" fontId="2" fillId="18" borderId="55" xfId="0" applyFont="1" applyFill="1" applyBorder="1" applyAlignment="1">
      <alignment horizontal="center" vertical="center"/>
    </xf>
    <xf numFmtId="0" fontId="0" fillId="0" borderId="2" xfId="0" applyBorder="1"/>
    <xf numFmtId="0" fontId="7" fillId="17" borderId="2" xfId="0" applyFont="1" applyFill="1" applyBorder="1" applyAlignment="1">
      <alignment horizontal="center" vertical="center" wrapText="1"/>
    </xf>
    <xf numFmtId="14" fontId="2" fillId="17" borderId="13" xfId="0" applyNumberFormat="1" applyFont="1" applyFill="1" applyBorder="1" applyAlignment="1">
      <alignment horizontal="right"/>
    </xf>
    <xf numFmtId="0" fontId="2" fillId="17" borderId="14" xfId="0" applyFont="1" applyFill="1" applyBorder="1" applyAlignment="1">
      <alignment horizontal="right"/>
    </xf>
    <xf numFmtId="0" fontId="2" fillId="17" borderId="15" xfId="0" applyFont="1" applyFill="1" applyBorder="1" applyAlignment="1">
      <alignment horizontal="right"/>
    </xf>
    <xf numFmtId="14" fontId="2" fillId="17" borderId="17" xfId="0" applyNumberFormat="1" applyFont="1" applyFill="1" applyBorder="1" applyAlignment="1">
      <alignment horizontal="right"/>
    </xf>
    <xf numFmtId="0" fontId="27" fillId="9" borderId="16" xfId="0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 wrapText="1"/>
    </xf>
    <xf numFmtId="14" fontId="2" fillId="0" borderId="67" xfId="0" applyNumberFormat="1" applyFont="1" applyBorder="1" applyAlignment="1">
      <alignment horizontal="right"/>
    </xf>
    <xf numFmtId="0" fontId="2" fillId="0" borderId="69" xfId="0" applyFont="1" applyBorder="1" applyAlignment="1">
      <alignment horizontal="right"/>
    </xf>
    <xf numFmtId="0" fontId="2" fillId="0" borderId="47" xfId="0" applyFont="1" applyBorder="1" applyAlignment="1">
      <alignment horizontal="center" vertical="center"/>
    </xf>
    <xf numFmtId="167" fontId="2" fillId="0" borderId="65" xfId="0" applyNumberFormat="1" applyFont="1" applyBorder="1" applyAlignment="1">
      <alignment horizontal="center" vertical="center"/>
    </xf>
    <xf numFmtId="167" fontId="2" fillId="0" borderId="65" xfId="0" applyNumberFormat="1" applyFont="1" applyBorder="1" applyAlignment="1">
      <alignment horizontal="center" vertical="center" wrapText="1"/>
    </xf>
    <xf numFmtId="167" fontId="2" fillId="0" borderId="3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67" fontId="2" fillId="0" borderId="1" xfId="0" applyNumberFormat="1" applyFont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left" vertical="center"/>
    </xf>
    <xf numFmtId="167" fontId="2" fillId="0" borderId="1" xfId="1" applyNumberFormat="1" applyFont="1" applyBorder="1" applyAlignment="1">
      <alignment horizontal="center" vertical="center"/>
    </xf>
    <xf numFmtId="0" fontId="2" fillId="0" borderId="12" xfId="0" applyFont="1" applyBorder="1"/>
    <xf numFmtId="167" fontId="2" fillId="2" borderId="2" xfId="0" applyNumberFormat="1" applyFont="1" applyFill="1" applyBorder="1" applyAlignment="1">
      <alignment horizontal="center" vertical="center"/>
    </xf>
    <xf numFmtId="14" fontId="7" fillId="17" borderId="2" xfId="0" applyNumberFormat="1" applyFont="1" applyFill="1" applyBorder="1" applyAlignment="1">
      <alignment horizontal="center" vertical="center" wrapText="1"/>
    </xf>
    <xf numFmtId="167" fontId="2" fillId="11" borderId="2" xfId="0" applyNumberFormat="1" applyFont="1" applyFill="1" applyBorder="1" applyAlignment="1">
      <alignment horizontal="center" vertical="center"/>
    </xf>
    <xf numFmtId="0" fontId="22" fillId="4" borderId="2" xfId="0" applyFont="1" applyFill="1" applyBorder="1"/>
    <xf numFmtId="0" fontId="22" fillId="0" borderId="0" xfId="0" applyFont="1"/>
    <xf numFmtId="0" fontId="22" fillId="4" borderId="30" xfId="0" applyFont="1" applyFill="1" applyBorder="1"/>
    <xf numFmtId="168" fontId="22" fillId="3" borderId="2" xfId="0" applyNumberFormat="1" applyFont="1" applyFill="1" applyBorder="1" applyAlignment="1">
      <alignment horizontal="left"/>
    </xf>
    <xf numFmtId="168" fontId="22" fillId="3" borderId="2" xfId="0" applyNumberFormat="1" applyFont="1" applyFill="1" applyBorder="1"/>
    <xf numFmtId="0" fontId="22" fillId="4" borderId="0" xfId="0" applyFont="1" applyFill="1"/>
    <xf numFmtId="0" fontId="22" fillId="4" borderId="40" xfId="0" applyFont="1" applyFill="1" applyBorder="1"/>
    <xf numFmtId="0" fontId="22" fillId="0" borderId="0" xfId="0" applyFont="1" applyAlignment="1">
      <alignment horizontal="center"/>
    </xf>
    <xf numFmtId="0" fontId="22" fillId="0" borderId="28" xfId="0" applyFont="1" applyBorder="1"/>
    <xf numFmtId="169" fontId="0" fillId="0" borderId="1" xfId="0" applyNumberFormat="1" applyBorder="1"/>
    <xf numFmtId="169" fontId="0" fillId="0" borderId="4" xfId="0" applyNumberFormat="1" applyBorder="1" applyAlignment="1">
      <alignment horizontal="right" vertical="center"/>
    </xf>
    <xf numFmtId="169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4" fillId="18" borderId="26" xfId="0" applyFont="1" applyFill="1" applyBorder="1" applyAlignment="1">
      <alignment horizontal="center" vertical="center"/>
    </xf>
    <xf numFmtId="169" fontId="2" fillId="0" borderId="29" xfId="0" applyNumberFormat="1" applyFont="1" applyBorder="1" applyAlignment="1">
      <alignment horizontal="center" vertical="center"/>
    </xf>
    <xf numFmtId="167" fontId="2" fillId="3" borderId="25" xfId="0" applyNumberFormat="1" applyFont="1" applyFill="1" applyBorder="1" applyAlignment="1">
      <alignment horizontal="center" vertical="center"/>
    </xf>
    <xf numFmtId="167" fontId="2" fillId="0" borderId="47" xfId="0" applyNumberFormat="1" applyFont="1" applyBorder="1" applyAlignment="1">
      <alignment horizontal="left" vertical="center"/>
    </xf>
    <xf numFmtId="0" fontId="2" fillId="5" borderId="48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2" fillId="18" borderId="8" xfId="0" applyFont="1" applyFill="1" applyBorder="1" applyAlignment="1">
      <alignment horizontal="center" vertical="center"/>
    </xf>
    <xf numFmtId="14" fontId="22" fillId="18" borderId="2" xfId="0" applyNumberFormat="1" applyFont="1" applyFill="1" applyBorder="1" applyAlignment="1">
      <alignment horizontal="center" vertical="center"/>
    </xf>
    <xf numFmtId="0" fontId="2" fillId="19" borderId="2" xfId="0" applyFont="1" applyFill="1" applyBorder="1"/>
    <xf numFmtId="168" fontId="2" fillId="4" borderId="3" xfId="0" applyNumberFormat="1" applyFont="1" applyFill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168" fontId="0" fillId="0" borderId="4" xfId="1" applyNumberFormat="1" applyFont="1" applyBorder="1" applyAlignment="1">
      <alignment horizontal="right"/>
    </xf>
    <xf numFmtId="0" fontId="0" fillId="0" borderId="53" xfId="0" applyBorder="1"/>
    <xf numFmtId="167" fontId="2" fillId="0" borderId="5" xfId="0" applyNumberFormat="1" applyFont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top"/>
    </xf>
    <xf numFmtId="167" fontId="2" fillId="9" borderId="2" xfId="1" applyNumberFormat="1" applyFont="1" applyFill="1" applyBorder="1" applyAlignment="1">
      <alignment horizontal="center" vertical="center"/>
    </xf>
    <xf numFmtId="166" fontId="2" fillId="9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7" fontId="2" fillId="0" borderId="7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7" fontId="2" fillId="4" borderId="6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4" fillId="18" borderId="60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2" xfId="0" applyFont="1" applyBorder="1"/>
    <xf numFmtId="14" fontId="2" fillId="17" borderId="2" xfId="0" applyNumberFormat="1" applyFont="1" applyFill="1" applyBorder="1" applyAlignment="1">
      <alignment horizontal="right"/>
    </xf>
    <xf numFmtId="0" fontId="2" fillId="17" borderId="25" xfId="0" applyFont="1" applyFill="1" applyBorder="1" applyAlignment="1">
      <alignment horizontal="right"/>
    </xf>
    <xf numFmtId="0" fontId="2" fillId="17" borderId="2" xfId="0" applyFont="1" applyFill="1" applyBorder="1" applyAlignment="1">
      <alignment horizontal="right"/>
    </xf>
    <xf numFmtId="14" fontId="2" fillId="17" borderId="8" xfId="0" applyNumberFormat="1" applyFont="1" applyFill="1" applyBorder="1" applyAlignment="1">
      <alignment horizontal="right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2" fillId="0" borderId="44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center" vertical="center" wrapText="1"/>
    </xf>
    <xf numFmtId="0" fontId="0" fillId="0" borderId="25" xfId="0" applyBorder="1"/>
    <xf numFmtId="14" fontId="2" fillId="17" borderId="25" xfId="0" applyNumberFormat="1" applyFont="1" applyFill="1" applyBorder="1" applyAlignment="1">
      <alignment horizontal="right"/>
    </xf>
    <xf numFmtId="14" fontId="2" fillId="0" borderId="9" xfId="0" applyNumberFormat="1" applyFont="1" applyBorder="1" applyAlignment="1">
      <alignment horizontal="right"/>
    </xf>
    <xf numFmtId="14" fontId="2" fillId="17" borderId="18" xfId="0" applyNumberFormat="1" applyFont="1" applyFill="1" applyBorder="1" applyAlignment="1">
      <alignment horizontal="right"/>
    </xf>
    <xf numFmtId="0" fontId="0" fillId="12" borderId="75" xfId="0" applyFill="1" applyBorder="1"/>
    <xf numFmtId="167" fontId="0" fillId="8" borderId="10" xfId="0" applyNumberFormat="1" applyFill="1" applyBorder="1"/>
    <xf numFmtId="0" fontId="0" fillId="12" borderId="10" xfId="0" applyFill="1" applyBorder="1" applyAlignment="1">
      <alignment horizontal="left"/>
    </xf>
    <xf numFmtId="0" fontId="0" fillId="8" borderId="24" xfId="0" applyFill="1" applyBorder="1"/>
    <xf numFmtId="0" fontId="23" fillId="7" borderId="18" xfId="0" applyFont="1" applyFill="1" applyBorder="1"/>
    <xf numFmtId="0" fontId="0" fillId="8" borderId="9" xfId="0" applyFill="1" applyBorder="1"/>
    <xf numFmtId="0" fontId="0" fillId="12" borderId="24" xfId="0" applyFill="1" applyBorder="1" applyAlignment="1">
      <alignment horizontal="right"/>
    </xf>
    <xf numFmtId="167" fontId="0" fillId="0" borderId="10" xfId="0" applyNumberFormat="1" applyBorder="1"/>
    <xf numFmtId="0" fontId="0" fillId="12" borderId="1" xfId="0" applyFill="1" applyBorder="1"/>
    <xf numFmtId="0" fontId="0" fillId="8" borderId="1" xfId="0" applyFill="1" applyBorder="1"/>
    <xf numFmtId="0" fontId="23" fillId="7" borderId="1" xfId="0" applyFont="1" applyFill="1" applyBorder="1"/>
    <xf numFmtId="0" fontId="0" fillId="12" borderId="1" xfId="0" applyFill="1" applyBorder="1" applyAlignment="1">
      <alignment horizontal="right"/>
    </xf>
    <xf numFmtId="0" fontId="2" fillId="4" borderId="2" xfId="0" applyFont="1" applyFill="1" applyBorder="1"/>
    <xf numFmtId="0" fontId="2" fillId="16" borderId="38" xfId="0" applyFont="1" applyFill="1" applyBorder="1"/>
    <xf numFmtId="0" fontId="2" fillId="16" borderId="25" xfId="0" applyFont="1" applyFill="1" applyBorder="1"/>
    <xf numFmtId="0" fontId="2" fillId="16" borderId="29" xfId="0" applyFont="1" applyFill="1" applyBorder="1"/>
    <xf numFmtId="0" fontId="2" fillId="16" borderId="39" xfId="0" applyFont="1" applyFill="1" applyBorder="1"/>
    <xf numFmtId="167" fontId="2" fillId="3" borderId="39" xfId="0" applyNumberFormat="1" applyFont="1" applyFill="1" applyBorder="1"/>
    <xf numFmtId="0" fontId="2" fillId="4" borderId="27" xfId="0" applyFont="1" applyFill="1" applyBorder="1"/>
    <xf numFmtId="0" fontId="2" fillId="4" borderId="1" xfId="0" applyFont="1" applyFill="1" applyBorder="1"/>
    <xf numFmtId="0" fontId="0" fillId="0" borderId="11" xfId="0" applyBorder="1" applyAlignment="1">
      <alignment horizontal="center" vertical="center"/>
    </xf>
    <xf numFmtId="14" fontId="0" fillId="0" borderId="26" xfId="0" applyNumberFormat="1" applyBorder="1" applyAlignment="1">
      <alignment horizontal="center"/>
    </xf>
    <xf numFmtId="0" fontId="0" fillId="0" borderId="26" xfId="0" applyBorder="1"/>
    <xf numFmtId="0" fontId="26" fillId="0" borderId="26" xfId="0" applyFont="1" applyBorder="1"/>
    <xf numFmtId="0" fontId="0" fillId="0" borderId="28" xfId="0" applyBorder="1"/>
    <xf numFmtId="0" fontId="0" fillId="0" borderId="11" xfId="0" applyBorder="1"/>
    <xf numFmtId="14" fontId="0" fillId="0" borderId="0" xfId="0" applyNumberFormat="1"/>
    <xf numFmtId="0" fontId="2" fillId="9" borderId="19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167" fontId="2" fillId="3" borderId="8" xfId="0" applyNumberFormat="1" applyFont="1" applyFill="1" applyBorder="1" applyAlignment="1">
      <alignment horizontal="center" vertical="center"/>
    </xf>
    <xf numFmtId="167" fontId="2" fillId="3" borderId="13" xfId="0" applyNumberFormat="1" applyFont="1" applyFill="1" applyBorder="1" applyAlignment="1">
      <alignment horizontal="center" vertical="center"/>
    </xf>
    <xf numFmtId="167" fontId="2" fillId="0" borderId="40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0" fontId="2" fillId="0" borderId="40" xfId="0" applyFont="1" applyBorder="1"/>
    <xf numFmtId="167" fontId="2" fillId="0" borderId="32" xfId="0" applyNumberFormat="1" applyFont="1" applyBorder="1" applyAlignment="1">
      <alignment horizontal="center" vertical="center"/>
    </xf>
    <xf numFmtId="167" fontId="2" fillId="0" borderId="4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2" fillId="4" borderId="3" xfId="0" applyNumberFormat="1" applyFont="1" applyFill="1" applyBorder="1" applyAlignment="1">
      <alignment horizontal="left"/>
    </xf>
    <xf numFmtId="167" fontId="2" fillId="0" borderId="3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right"/>
    </xf>
    <xf numFmtId="0" fontId="2" fillId="0" borderId="47" xfId="0" applyFont="1" applyBorder="1" applyAlignment="1">
      <alignment horizontal="left"/>
    </xf>
    <xf numFmtId="167" fontId="2" fillId="4" borderId="31" xfId="0" applyNumberFormat="1" applyFont="1" applyFill="1" applyBorder="1" applyAlignment="1">
      <alignment horizontal="center" vertical="center"/>
    </xf>
    <xf numFmtId="167" fontId="2" fillId="0" borderId="7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2" fillId="0" borderId="29" xfId="0" applyNumberFormat="1" applyFont="1" applyBorder="1" applyAlignment="1">
      <alignment horizontal="center" vertical="center"/>
    </xf>
    <xf numFmtId="0" fontId="2" fillId="0" borderId="69" xfId="0" applyFont="1" applyBorder="1"/>
    <xf numFmtId="0" fontId="0" fillId="0" borderId="40" xfId="0" applyBorder="1"/>
    <xf numFmtId="0" fontId="2" fillId="0" borderId="29" xfId="0" applyFont="1" applyBorder="1" applyAlignment="1">
      <alignment horizontal="right"/>
    </xf>
    <xf numFmtId="0" fontId="7" fillId="17" borderId="25" xfId="0" applyFont="1" applyFill="1" applyBorder="1" applyAlignment="1">
      <alignment horizontal="center" vertical="center" wrapText="1"/>
    </xf>
    <xf numFmtId="0" fontId="7" fillId="17" borderId="38" xfId="0" applyFont="1" applyFill="1" applyBorder="1" applyAlignment="1">
      <alignment horizontal="center" vertical="center" wrapText="1"/>
    </xf>
    <xf numFmtId="167" fontId="7" fillId="17" borderId="2" xfId="0" applyNumberFormat="1" applyFont="1" applyFill="1" applyBorder="1" applyAlignment="1">
      <alignment horizontal="center" vertical="center" wrapText="1"/>
    </xf>
    <xf numFmtId="167" fontId="7" fillId="17" borderId="0" xfId="0" applyNumberFormat="1" applyFont="1" applyFill="1" applyAlignment="1">
      <alignment horizontal="center" vertical="center" wrapText="1"/>
    </xf>
    <xf numFmtId="167" fontId="7" fillId="17" borderId="19" xfId="0" applyNumberFormat="1" applyFont="1" applyFill="1" applyBorder="1" applyAlignment="1">
      <alignment horizontal="center" vertical="center" wrapText="1"/>
    </xf>
    <xf numFmtId="167" fontId="7" fillId="17" borderId="38" xfId="0" applyNumberFormat="1" applyFont="1" applyFill="1" applyBorder="1" applyAlignment="1">
      <alignment horizontal="center" vertical="center" wrapText="1"/>
    </xf>
    <xf numFmtId="167" fontId="7" fillId="17" borderId="38" xfId="0" applyNumberFormat="1" applyFont="1" applyFill="1" applyBorder="1"/>
    <xf numFmtId="0" fontId="7" fillId="17" borderId="25" xfId="0" applyFont="1" applyFill="1" applyBorder="1" applyAlignment="1">
      <alignment horizontal="center" vertical="center"/>
    </xf>
    <xf numFmtId="0" fontId="7" fillId="17" borderId="2" xfId="0" applyFont="1" applyFill="1" applyBorder="1"/>
    <xf numFmtId="0" fontId="2" fillId="17" borderId="25" xfId="0" applyFont="1" applyFill="1" applyBorder="1"/>
    <xf numFmtId="0" fontId="2" fillId="17" borderId="2" xfId="0" applyFont="1" applyFill="1" applyBorder="1"/>
    <xf numFmtId="14" fontId="2" fillId="17" borderId="51" xfId="0" applyNumberFormat="1" applyFont="1" applyFill="1" applyBorder="1" applyAlignment="1">
      <alignment horizontal="right"/>
    </xf>
    <xf numFmtId="168" fontId="22" fillId="4" borderId="2" xfId="0" applyNumberFormat="1" applyFont="1" applyFill="1" applyBorder="1" applyAlignment="1">
      <alignment horizontal="left"/>
    </xf>
    <xf numFmtId="0" fontId="22" fillId="0" borderId="2" xfId="0" applyFont="1" applyBorder="1"/>
    <xf numFmtId="14" fontId="22" fillId="4" borderId="13" xfId="0" applyNumberFormat="1" applyFont="1" applyFill="1" applyBorder="1"/>
    <xf numFmtId="0" fontId="22" fillId="4" borderId="16" xfId="0" applyFont="1" applyFill="1" applyBorder="1"/>
    <xf numFmtId="168" fontId="22" fillId="4" borderId="13" xfId="0" applyNumberFormat="1" applyFont="1" applyFill="1" applyBorder="1" applyAlignment="1">
      <alignment horizontal="left"/>
    </xf>
    <xf numFmtId="168" fontId="22" fillId="4" borderId="17" xfId="0" applyNumberFormat="1" applyFont="1" applyFill="1" applyBorder="1" applyAlignment="1">
      <alignment horizontal="left"/>
    </xf>
    <xf numFmtId="0" fontId="22" fillId="4" borderId="13" xfId="0" applyFont="1" applyFill="1" applyBorder="1"/>
    <xf numFmtId="0" fontId="22" fillId="4" borderId="14" xfId="0" applyFont="1" applyFill="1" applyBorder="1"/>
    <xf numFmtId="0" fontId="22" fillId="0" borderId="77" xfId="0" applyFont="1" applyBorder="1"/>
    <xf numFmtId="0" fontId="22" fillId="0" borderId="78" xfId="0" applyFont="1" applyBorder="1"/>
    <xf numFmtId="0" fontId="22" fillId="0" borderId="37" xfId="0" applyFont="1" applyBorder="1"/>
    <xf numFmtId="0" fontId="22" fillId="0" borderId="27" xfId="0" applyFont="1" applyBorder="1" applyAlignment="1">
      <alignment horizontal="left"/>
    </xf>
    <xf numFmtId="0" fontId="22" fillId="4" borderId="51" xfId="0" applyFont="1" applyFill="1" applyBorder="1"/>
    <xf numFmtId="0" fontId="22" fillId="4" borderId="27" xfId="0" applyFont="1" applyFill="1" applyBorder="1"/>
    <xf numFmtId="168" fontId="22" fillId="0" borderId="78" xfId="0" applyNumberFormat="1" applyFont="1" applyBorder="1" applyAlignment="1">
      <alignment horizontal="left"/>
    </xf>
    <xf numFmtId="168" fontId="22" fillId="4" borderId="76" xfId="0" applyNumberFormat="1" applyFont="1" applyFill="1" applyBorder="1" applyAlignment="1">
      <alignment horizontal="left"/>
    </xf>
    <xf numFmtId="0" fontId="22" fillId="4" borderId="37" xfId="0" applyFont="1" applyFill="1" applyBorder="1"/>
    <xf numFmtId="168" fontId="22" fillId="4" borderId="78" xfId="0" applyNumberFormat="1" applyFont="1" applyFill="1" applyBorder="1" applyAlignment="1">
      <alignment horizontal="left"/>
    </xf>
    <xf numFmtId="14" fontId="22" fillId="4" borderId="14" xfId="0" applyNumberFormat="1" applyFont="1" applyFill="1" applyBorder="1" applyAlignment="1">
      <alignment horizontal="left"/>
    </xf>
    <xf numFmtId="14" fontId="22" fillId="4" borderId="17" xfId="0" applyNumberFormat="1" applyFont="1" applyFill="1" applyBorder="1" applyAlignment="1">
      <alignment horizontal="left"/>
    </xf>
    <xf numFmtId="168" fontId="22" fillId="4" borderId="14" xfId="0" applyNumberFormat="1" applyFont="1" applyFill="1" applyBorder="1" applyAlignment="1">
      <alignment horizontal="left"/>
    </xf>
    <xf numFmtId="168" fontId="22" fillId="0" borderId="14" xfId="0" applyNumberFormat="1" applyFont="1" applyBorder="1" applyAlignment="1">
      <alignment horizontal="left"/>
    </xf>
    <xf numFmtId="14" fontId="22" fillId="4" borderId="2" xfId="0" applyNumberFormat="1" applyFont="1" applyFill="1" applyBorder="1" applyAlignment="1">
      <alignment horizontal="left"/>
    </xf>
    <xf numFmtId="0" fontId="22" fillId="0" borderId="14" xfId="0" applyFont="1" applyBorder="1"/>
    <xf numFmtId="0" fontId="22" fillId="0" borderId="15" xfId="0" applyFont="1" applyBorder="1"/>
    <xf numFmtId="167" fontId="2" fillId="0" borderId="76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/>
    </xf>
    <xf numFmtId="0" fontId="22" fillId="0" borderId="27" xfId="0" applyFont="1" applyBorder="1"/>
    <xf numFmtId="14" fontId="22" fillId="4" borderId="18" xfId="0" applyNumberFormat="1" applyFont="1" applyFill="1" applyBorder="1" applyAlignment="1">
      <alignment horizontal="left"/>
    </xf>
    <xf numFmtId="168" fontId="22" fillId="0" borderId="76" xfId="0" applyNumberFormat="1" applyFont="1" applyBorder="1" applyAlignment="1">
      <alignment horizontal="left"/>
    </xf>
    <xf numFmtId="168" fontId="22" fillId="0" borderId="17" xfId="0" applyNumberFormat="1" applyFont="1" applyBorder="1" applyAlignment="1">
      <alignment horizontal="left"/>
    </xf>
    <xf numFmtId="0" fontId="22" fillId="0" borderId="13" xfId="0" applyFont="1" applyBorder="1"/>
    <xf numFmtId="0" fontId="22" fillId="0" borderId="17" xfId="0" applyFont="1" applyBorder="1"/>
    <xf numFmtId="0" fontId="22" fillId="0" borderId="76" xfId="0" applyFont="1" applyBorder="1"/>
    <xf numFmtId="168" fontId="22" fillId="4" borderId="72" xfId="0" applyNumberFormat="1" applyFont="1" applyFill="1" applyBorder="1" applyAlignment="1">
      <alignment horizontal="left"/>
    </xf>
    <xf numFmtId="0" fontId="22" fillId="0" borderId="16" xfId="0" applyFont="1" applyBorder="1"/>
    <xf numFmtId="0" fontId="22" fillId="5" borderId="2" xfId="0" applyFont="1" applyFill="1" applyBorder="1" applyAlignment="1">
      <alignment horizontal="center"/>
    </xf>
    <xf numFmtId="167" fontId="22" fillId="5" borderId="2" xfId="0" applyNumberFormat="1" applyFont="1" applyFill="1" applyBorder="1" applyAlignment="1">
      <alignment horizontal="center"/>
    </xf>
    <xf numFmtId="0" fontId="22" fillId="5" borderId="2" xfId="0" applyFont="1" applyFill="1" applyBorder="1"/>
    <xf numFmtId="0" fontId="22" fillId="0" borderId="2" xfId="0" applyFont="1" applyBorder="1" applyAlignment="1">
      <alignment horizontal="center"/>
    </xf>
    <xf numFmtId="167" fontId="22" fillId="0" borderId="2" xfId="0" applyNumberFormat="1" applyFont="1" applyBorder="1" applyAlignment="1">
      <alignment horizontal="center"/>
    </xf>
    <xf numFmtId="168" fontId="22" fillId="4" borderId="22" xfId="0" applyNumberFormat="1" applyFont="1" applyFill="1" applyBorder="1"/>
    <xf numFmtId="168" fontId="22" fillId="4" borderId="2" xfId="0" applyNumberFormat="1" applyFont="1" applyFill="1" applyBorder="1"/>
    <xf numFmtId="0" fontId="0" fillId="0" borderId="6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76" xfId="0" applyBorder="1"/>
    <xf numFmtId="0" fontId="0" fillId="0" borderId="78" xfId="0" applyBorder="1"/>
    <xf numFmtId="0" fontId="26" fillId="0" borderId="2" xfId="0" applyFont="1" applyBorder="1"/>
    <xf numFmtId="0" fontId="0" fillId="0" borderId="17" xfId="0" applyBorder="1"/>
    <xf numFmtId="0" fontId="0" fillId="0" borderId="16" xfId="0" applyBorder="1"/>
    <xf numFmtId="14" fontId="0" fillId="0" borderId="2" xfId="0" applyNumberFormat="1" applyBorder="1" applyAlignment="1">
      <alignment horizontal="center"/>
    </xf>
    <xf numFmtId="0" fontId="0" fillId="0" borderId="15" xfId="0" applyBorder="1"/>
    <xf numFmtId="0" fontId="0" fillId="0" borderId="23" xfId="0" applyBorder="1"/>
    <xf numFmtId="0" fontId="0" fillId="0" borderId="37" xfId="0" applyBorder="1"/>
    <xf numFmtId="0" fontId="0" fillId="0" borderId="8" xfId="0" applyBorder="1"/>
    <xf numFmtId="0" fontId="21" fillId="0" borderId="26" xfId="0" applyFont="1" applyBorder="1"/>
    <xf numFmtId="0" fontId="21" fillId="0" borderId="2" xfId="0" applyFont="1" applyBorder="1"/>
    <xf numFmtId="0" fontId="0" fillId="0" borderId="18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7" fillId="5" borderId="64" xfId="0" applyNumberFormat="1" applyFont="1" applyFill="1" applyBorder="1" applyAlignment="1">
      <alignment horizontal="center" vertical="center"/>
    </xf>
    <xf numFmtId="14" fontId="27" fillId="5" borderId="13" xfId="0" applyNumberFormat="1" applyFont="1" applyFill="1" applyBorder="1" applyAlignment="1">
      <alignment horizontal="center" vertical="center"/>
    </xf>
    <xf numFmtId="14" fontId="27" fillId="5" borderId="17" xfId="0" applyNumberFormat="1" applyFont="1" applyFill="1" applyBorder="1" applyAlignment="1">
      <alignment horizontal="center" vertical="center"/>
    </xf>
    <xf numFmtId="0" fontId="27" fillId="5" borderId="17" xfId="0" applyFont="1" applyFill="1" applyBorder="1" applyAlignment="1">
      <alignment horizontal="center" vertical="center"/>
    </xf>
    <xf numFmtId="0" fontId="27" fillId="9" borderId="69" xfId="0" applyFont="1" applyFill="1" applyBorder="1" applyAlignment="1">
      <alignment horizontal="center" vertical="center"/>
    </xf>
    <xf numFmtId="0" fontId="27" fillId="5" borderId="38" xfId="0" applyFont="1" applyFill="1" applyBorder="1" applyAlignment="1">
      <alignment horizontal="center" vertical="center"/>
    </xf>
    <xf numFmtId="0" fontId="27" fillId="5" borderId="25" xfId="0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9" fillId="5" borderId="25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7" fillId="9" borderId="19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9" borderId="73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7" fillId="5" borderId="19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8" fillId="4" borderId="28" xfId="0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 vertical="center"/>
    </xf>
    <xf numFmtId="0" fontId="27" fillId="5" borderId="26" xfId="0" applyFont="1" applyFill="1" applyBorder="1" applyAlignment="1">
      <alignment horizontal="center" vertical="center"/>
    </xf>
    <xf numFmtId="0" fontId="27" fillId="9" borderId="26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/>
    </xf>
    <xf numFmtId="0" fontId="29" fillId="5" borderId="27" xfId="0" applyFont="1" applyFill="1" applyBorder="1" applyAlignment="1">
      <alignment horizontal="center" vertical="center"/>
    </xf>
    <xf numFmtId="0" fontId="29" fillId="9" borderId="27" xfId="0" applyFont="1" applyFill="1" applyBorder="1" applyAlignment="1">
      <alignment horizontal="center" vertical="center"/>
    </xf>
    <xf numFmtId="0" fontId="29" fillId="5" borderId="39" xfId="0" applyFont="1" applyFill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7" fillId="9" borderId="40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14" fontId="27" fillId="5" borderId="34" xfId="0" applyNumberFormat="1" applyFont="1" applyFill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/>
    </xf>
    <xf numFmtId="0" fontId="28" fillId="4" borderId="49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2" fontId="22" fillId="0" borderId="2" xfId="0" applyNumberFormat="1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18" borderId="72" xfId="0" applyFont="1" applyFill="1" applyBorder="1" applyAlignment="1">
      <alignment horizontal="center" vertical="center"/>
    </xf>
    <xf numFmtId="0" fontId="4" fillId="18" borderId="16" xfId="0" applyFont="1" applyFill="1" applyBorder="1" applyAlignment="1">
      <alignment horizontal="center" vertical="center"/>
    </xf>
    <xf numFmtId="2" fontId="4" fillId="18" borderId="2" xfId="0" applyNumberFormat="1" applyFont="1" applyFill="1" applyBorder="1" applyAlignment="1">
      <alignment horizontal="center" vertical="center"/>
    </xf>
    <xf numFmtId="2" fontId="5" fillId="4" borderId="27" xfId="0" applyNumberFormat="1" applyFont="1" applyFill="1" applyBorder="1" applyAlignment="1">
      <alignment horizontal="center" vertical="center"/>
    </xf>
    <xf numFmtId="0" fontId="4" fillId="0" borderId="27" xfId="0" applyFont="1" applyBorder="1"/>
    <xf numFmtId="20" fontId="5" fillId="0" borderId="17" xfId="0" applyNumberFormat="1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" fontId="22" fillId="0" borderId="26" xfId="0" applyNumberFormat="1" applyFont="1" applyBorder="1" applyAlignment="1">
      <alignment horizontal="center" vertical="center"/>
    </xf>
    <xf numFmtId="20" fontId="5" fillId="0" borderId="28" xfId="0" applyNumberFormat="1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22" fillId="18" borderId="18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2" fillId="18" borderId="40" xfId="0" applyFont="1" applyFill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167" fontId="2" fillId="9" borderId="27" xfId="1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left" vertical="top"/>
    </xf>
    <xf numFmtId="0" fontId="0" fillId="4" borderId="14" xfId="0" applyFill="1" applyBorder="1" applyAlignment="1">
      <alignment horizontal="left" vertical="center"/>
    </xf>
    <xf numFmtId="167" fontId="0" fillId="4" borderId="28" xfId="1" applyNumberFormat="1" applyFont="1" applyFill="1" applyBorder="1" applyAlignment="1">
      <alignment horizontal="center" vertical="center"/>
    </xf>
    <xf numFmtId="167" fontId="0" fillId="4" borderId="11" xfId="1" applyNumberFormat="1" applyFont="1" applyFill="1" applyBorder="1" applyAlignment="1">
      <alignment horizontal="center" vertical="center"/>
    </xf>
    <xf numFmtId="167" fontId="0" fillId="4" borderId="11" xfId="0" applyNumberFormat="1" applyFill="1" applyBorder="1" applyAlignment="1">
      <alignment horizontal="center" vertical="center"/>
    </xf>
    <xf numFmtId="167" fontId="0" fillId="4" borderId="14" xfId="1" applyNumberFormat="1" applyFont="1" applyFill="1" applyBorder="1" applyAlignment="1">
      <alignment horizontal="center" vertical="center"/>
    </xf>
    <xf numFmtId="167" fontId="0" fillId="4" borderId="17" xfId="1" applyNumberFormat="1" applyFont="1" applyFill="1" applyBorder="1" applyAlignment="1">
      <alignment horizontal="center" vertical="center"/>
    </xf>
    <xf numFmtId="167" fontId="0" fillId="4" borderId="16" xfId="1" applyNumberFormat="1" applyFont="1" applyFill="1" applyBorder="1" applyAlignment="1">
      <alignment horizontal="center" vertical="center"/>
    </xf>
    <xf numFmtId="166" fontId="2" fillId="9" borderId="27" xfId="0" applyNumberFormat="1" applyFont="1" applyFill="1" applyBorder="1" applyAlignment="1">
      <alignment horizontal="center" vertical="center"/>
    </xf>
    <xf numFmtId="13" fontId="0" fillId="4" borderId="14" xfId="1" applyNumberFormat="1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 wrapText="1"/>
    </xf>
    <xf numFmtId="13" fontId="0" fillId="4" borderId="14" xfId="1" applyNumberFormat="1" applyFont="1" applyFill="1" applyBorder="1" applyAlignment="1">
      <alignment horizontal="left" vertical="top" wrapText="1"/>
    </xf>
    <xf numFmtId="13" fontId="0" fillId="4" borderId="14" xfId="1" applyNumberFormat="1" applyFont="1" applyFill="1" applyBorder="1" applyAlignment="1">
      <alignment horizontal="left" vertical="top"/>
    </xf>
    <xf numFmtId="167" fontId="2" fillId="9" borderId="77" xfId="1" applyNumberFormat="1" applyFont="1" applyFill="1" applyBorder="1" applyAlignment="1">
      <alignment horizontal="center" vertical="center"/>
    </xf>
    <xf numFmtId="167" fontId="2" fillId="9" borderId="78" xfId="1" applyNumberFormat="1" applyFont="1" applyFill="1" applyBorder="1" applyAlignment="1">
      <alignment horizontal="center" vertical="center"/>
    </xf>
    <xf numFmtId="167" fontId="2" fillId="9" borderId="37" xfId="1" applyNumberFormat="1" applyFont="1" applyFill="1" applyBorder="1" applyAlignment="1">
      <alignment horizontal="center" vertical="center"/>
    </xf>
    <xf numFmtId="164" fontId="2" fillId="9" borderId="13" xfId="0" applyNumberFormat="1" applyFont="1" applyFill="1" applyBorder="1" applyAlignment="1">
      <alignment horizontal="center" vertical="center"/>
    </xf>
    <xf numFmtId="164" fontId="2" fillId="9" borderId="14" xfId="0" applyNumberFormat="1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4" borderId="76" xfId="0" applyFont="1" applyFill="1" applyBorder="1" applyAlignment="1">
      <alignment horizontal="center" vertical="center"/>
    </xf>
    <xf numFmtId="0" fontId="2" fillId="4" borderId="72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2" fillId="4" borderId="64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4" borderId="17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7" fontId="0" fillId="4" borderId="2" xfId="1" applyNumberFormat="1" applyFont="1" applyFill="1" applyBorder="1" applyAlignment="1">
      <alignment horizontal="center" vertical="center"/>
    </xf>
    <xf numFmtId="13" fontId="0" fillId="4" borderId="17" xfId="1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7" fontId="0" fillId="4" borderId="13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69" fontId="0" fillId="0" borderId="12" xfId="0" applyNumberFormat="1" applyBorder="1"/>
    <xf numFmtId="0" fontId="0" fillId="0" borderId="71" xfId="0" applyBorder="1"/>
    <xf numFmtId="169" fontId="2" fillId="0" borderId="25" xfId="0" applyNumberFormat="1" applyFont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center" vertical="center"/>
    </xf>
    <xf numFmtId="167" fontId="0" fillId="0" borderId="2" xfId="0" applyNumberForma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69" fontId="2" fillId="0" borderId="43" xfId="0" applyNumberFormat="1" applyFont="1" applyBorder="1" applyAlignment="1">
      <alignment horizontal="center" vertical="center"/>
    </xf>
    <xf numFmtId="169" fontId="2" fillId="0" borderId="8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right" vertical="center"/>
    </xf>
    <xf numFmtId="169" fontId="0" fillId="0" borderId="3" xfId="0" applyNumberFormat="1" applyBorder="1" applyAlignment="1">
      <alignment horizontal="right" vertical="center"/>
    </xf>
    <xf numFmtId="169" fontId="2" fillId="0" borderId="18" xfId="0" applyNumberFormat="1" applyFont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 wrapText="1"/>
    </xf>
    <xf numFmtId="0" fontId="2" fillId="5" borderId="42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0" fillId="0" borderId="79" xfId="0" applyBorder="1"/>
    <xf numFmtId="0" fontId="2" fillId="0" borderId="1" xfId="0" applyFont="1" applyBorder="1" applyAlignment="1">
      <alignment horizontal="center" vertical="center"/>
    </xf>
    <xf numFmtId="14" fontId="2" fillId="17" borderId="27" xfId="0" applyNumberFormat="1" applyFont="1" applyFill="1" applyBorder="1" applyAlignment="1">
      <alignment horizontal="right"/>
    </xf>
    <xf numFmtId="0" fontId="2" fillId="17" borderId="27" xfId="0" applyFont="1" applyFill="1" applyBorder="1" applyAlignment="1">
      <alignment horizontal="right"/>
    </xf>
    <xf numFmtId="0" fontId="0" fillId="0" borderId="72" xfId="0" applyBorder="1"/>
    <xf numFmtId="169" fontId="0" fillId="0" borderId="7" xfId="0" applyNumberFormat="1" applyBorder="1"/>
    <xf numFmtId="169" fontId="0" fillId="0" borderId="4" xfId="0" applyNumberFormat="1" applyBorder="1"/>
    <xf numFmtId="0" fontId="0" fillId="0" borderId="25" xfId="0" applyBorder="1" applyAlignment="1">
      <alignment horizontal="center" vertical="center" wrapText="1"/>
    </xf>
    <xf numFmtId="169" fontId="0" fillId="0" borderId="6" xfId="0" applyNumberFormat="1" applyBorder="1"/>
    <xf numFmtId="169" fontId="0" fillId="0" borderId="3" xfId="0" applyNumberFormat="1" applyBorder="1"/>
    <xf numFmtId="169" fontId="0" fillId="0" borderId="42" xfId="0" applyNumberFormat="1" applyBorder="1"/>
    <xf numFmtId="0" fontId="0" fillId="0" borderId="2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9" fontId="0" fillId="0" borderId="48" xfId="0" applyNumberFormat="1" applyBorder="1"/>
    <xf numFmtId="0" fontId="2" fillId="17" borderId="18" xfId="0" applyFont="1" applyFill="1" applyBorder="1" applyAlignment="1">
      <alignment horizontal="right"/>
    </xf>
    <xf numFmtId="169" fontId="0" fillId="0" borderId="20" xfId="0" applyNumberFormat="1" applyBorder="1"/>
    <xf numFmtId="169" fontId="0" fillId="0" borderId="2" xfId="0" applyNumberFormat="1" applyBorder="1" applyAlignment="1">
      <alignment horizontal="center" vertical="center"/>
    </xf>
    <xf numFmtId="14" fontId="22" fillId="4" borderId="1" xfId="0" applyNumberFormat="1" applyFont="1" applyFill="1" applyBorder="1" applyAlignment="1">
      <alignment horizontal="left"/>
    </xf>
    <xf numFmtId="0" fontId="2" fillId="5" borderId="19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4" borderId="0" xfId="0" applyFill="1"/>
    <xf numFmtId="2" fontId="4" fillId="0" borderId="39" xfId="0" applyNumberFormat="1" applyFont="1" applyBorder="1"/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5" xfId="0" applyFont="1" applyBorder="1"/>
    <xf numFmtId="167" fontId="2" fillId="5" borderId="8" xfId="0" applyNumberFormat="1" applyFont="1" applyFill="1" applyBorder="1" applyAlignment="1">
      <alignment horizontal="center"/>
    </xf>
    <xf numFmtId="0" fontId="4" fillId="0" borderId="19" xfId="0" applyFont="1" applyBorder="1"/>
    <xf numFmtId="167" fontId="2" fillId="5" borderId="2" xfId="0" applyNumberFormat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167" fontId="0" fillId="0" borderId="77" xfId="0" applyNumberFormat="1" applyBorder="1"/>
    <xf numFmtId="167" fontId="0" fillId="0" borderId="78" xfId="0" applyNumberFormat="1" applyBorder="1"/>
    <xf numFmtId="167" fontId="0" fillId="0" borderId="72" xfId="0" applyNumberFormat="1" applyBorder="1"/>
    <xf numFmtId="167" fontId="4" fillId="20" borderId="2" xfId="0" applyNumberFormat="1" applyFont="1" applyFill="1" applyBorder="1"/>
    <xf numFmtId="167" fontId="0" fillId="0" borderId="14" xfId="0" applyNumberFormat="1" applyBorder="1"/>
    <xf numFmtId="167" fontId="0" fillId="0" borderId="15" xfId="0" applyNumberFormat="1" applyBorder="1"/>
    <xf numFmtId="167" fontId="0" fillId="0" borderId="17" xfId="0" applyNumberFormat="1" applyBorder="1"/>
    <xf numFmtId="167" fontId="5" fillId="0" borderId="15" xfId="0" applyNumberFormat="1" applyFont="1" applyBorder="1"/>
    <xf numFmtId="167" fontId="2" fillId="20" borderId="2" xfId="0" applyNumberFormat="1" applyFont="1" applyFill="1" applyBorder="1"/>
    <xf numFmtId="167" fontId="4" fillId="20" borderId="16" xfId="0" applyNumberFormat="1" applyFont="1" applyFill="1" applyBorder="1"/>
    <xf numFmtId="167" fontId="4" fillId="5" borderId="27" xfId="0" applyNumberFormat="1" applyFont="1" applyFill="1" applyBorder="1"/>
    <xf numFmtId="0" fontId="2" fillId="0" borderId="2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7" fontId="4" fillId="20" borderId="2" xfId="0" applyNumberFormat="1" applyFont="1" applyFill="1" applyBorder="1" applyAlignment="1">
      <alignment horizontal="center" vertical="center"/>
    </xf>
    <xf numFmtId="167" fontId="2" fillId="20" borderId="25" xfId="0" applyNumberFormat="1" applyFont="1" applyFill="1" applyBorder="1" applyAlignment="1">
      <alignment horizontal="center" vertical="center"/>
    </xf>
    <xf numFmtId="167" fontId="2" fillId="0" borderId="26" xfId="0" applyNumberFormat="1" applyFont="1" applyBorder="1" applyAlignment="1">
      <alignment horizontal="center" vertical="center" wrapText="1"/>
    </xf>
    <xf numFmtId="0" fontId="0" fillId="0" borderId="74" xfId="0" applyBorder="1"/>
    <xf numFmtId="167" fontId="4" fillId="0" borderId="26" xfId="0" applyNumberFormat="1" applyFont="1" applyBorder="1" applyAlignment="1">
      <alignment horizontal="center" vertical="center"/>
    </xf>
    <xf numFmtId="167" fontId="4" fillId="20" borderId="26" xfId="0" applyNumberFormat="1" applyFont="1" applyFill="1" applyBorder="1" applyAlignment="1">
      <alignment horizontal="center" vertical="center"/>
    </xf>
    <xf numFmtId="0" fontId="5" fillId="0" borderId="23" xfId="0" applyFont="1" applyBorder="1"/>
    <xf numFmtId="167" fontId="2" fillId="20" borderId="29" xfId="0" applyNumberFormat="1" applyFont="1" applyFill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2" fontId="0" fillId="0" borderId="17" xfId="0" applyNumberFormat="1" applyBorder="1"/>
    <xf numFmtId="2" fontId="0" fillId="0" borderId="14" xfId="0" applyNumberFormat="1" applyBorder="1"/>
    <xf numFmtId="2" fontId="0" fillId="0" borderId="16" xfId="0" applyNumberFormat="1" applyBorder="1"/>
    <xf numFmtId="167" fontId="0" fillId="0" borderId="18" xfId="0" applyNumberFormat="1" applyBorder="1"/>
    <xf numFmtId="167" fontId="4" fillId="5" borderId="39" xfId="0" applyNumberFormat="1" applyFont="1" applyFill="1" applyBorder="1"/>
    <xf numFmtId="167" fontId="4" fillId="5" borderId="51" xfId="0" applyNumberFormat="1" applyFont="1" applyFill="1" applyBorder="1"/>
    <xf numFmtId="167" fontId="2" fillId="0" borderId="27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2" fillId="0" borderId="26" xfId="0" applyNumberFormat="1" applyFont="1" applyBorder="1" applyAlignment="1">
      <alignment horizontal="center" vertical="center"/>
    </xf>
    <xf numFmtId="167" fontId="2" fillId="0" borderId="19" xfId="0" applyNumberFormat="1" applyFont="1" applyBorder="1" applyAlignment="1">
      <alignment horizontal="center" vertical="center"/>
    </xf>
    <xf numFmtId="2" fontId="0" fillId="0" borderId="76" xfId="0" applyNumberFormat="1" applyBorder="1" applyAlignment="1">
      <alignment horizontal="right"/>
    </xf>
    <xf numFmtId="2" fontId="0" fillId="0" borderId="78" xfId="0" applyNumberFormat="1" applyBorder="1" applyAlignment="1">
      <alignment horizontal="right"/>
    </xf>
    <xf numFmtId="2" fontId="0" fillId="0" borderId="37" xfId="0" applyNumberFormat="1" applyBorder="1" applyAlignment="1">
      <alignment horizontal="right"/>
    </xf>
    <xf numFmtId="167" fontId="4" fillId="0" borderId="27" xfId="0" applyNumberFormat="1" applyFont="1" applyBorder="1" applyAlignment="1">
      <alignment horizontal="center" vertical="center"/>
    </xf>
    <xf numFmtId="0" fontId="0" fillId="0" borderId="34" xfId="0" applyBorder="1"/>
    <xf numFmtId="167" fontId="4" fillId="20" borderId="27" xfId="0" applyNumberFormat="1" applyFont="1" applyFill="1" applyBorder="1" applyAlignment="1">
      <alignment horizontal="center" vertical="center"/>
    </xf>
    <xf numFmtId="0" fontId="5" fillId="0" borderId="72" xfId="0" applyFont="1" applyBorder="1"/>
    <xf numFmtId="0" fontId="5" fillId="0" borderId="37" xfId="0" applyFont="1" applyBorder="1"/>
    <xf numFmtId="0" fontId="5" fillId="0" borderId="16" xfId="0" applyFont="1" applyBorder="1"/>
    <xf numFmtId="0" fontId="30" fillId="0" borderId="17" xfId="0" applyFont="1" applyBorder="1"/>
    <xf numFmtId="0" fontId="30" fillId="0" borderId="14" xfId="0" applyFont="1" applyBorder="1"/>
    <xf numFmtId="167" fontId="4" fillId="20" borderId="19" xfId="0" applyNumberFormat="1" applyFont="1" applyFill="1" applyBorder="1" applyAlignment="1">
      <alignment horizontal="center" vertical="center"/>
    </xf>
    <xf numFmtId="167" fontId="2" fillId="20" borderId="39" xfId="0" applyNumberFormat="1" applyFont="1" applyFill="1" applyBorder="1" applyAlignment="1">
      <alignment horizontal="center" vertical="center"/>
    </xf>
    <xf numFmtId="0" fontId="0" fillId="0" borderId="29" xfId="0" applyBorder="1"/>
    <xf numFmtId="0" fontId="2" fillId="5" borderId="2" xfId="0" applyFont="1" applyFill="1" applyBorder="1" applyAlignment="1">
      <alignment horizontal="center"/>
    </xf>
    <xf numFmtId="0" fontId="21" fillId="0" borderId="19" xfId="0" applyFont="1" applyBorder="1"/>
    <xf numFmtId="0" fontId="21" fillId="0" borderId="27" xfId="0" applyFont="1" applyBorder="1"/>
    <xf numFmtId="0" fontId="0" fillId="0" borderId="22" xfId="0" applyBorder="1"/>
    <xf numFmtId="0" fontId="26" fillId="0" borderId="33" xfId="0" applyFont="1" applyBorder="1"/>
    <xf numFmtId="0" fontId="2" fillId="0" borderId="25" xfId="0" applyFont="1" applyBorder="1" applyAlignment="1">
      <alignment horizontal="center"/>
    </xf>
    <xf numFmtId="169" fontId="0" fillId="0" borderId="24" xfId="0" applyNumberFormat="1" applyBorder="1" applyAlignment="1">
      <alignment horizontal="center" vertical="center" wrapText="1"/>
    </xf>
    <xf numFmtId="169" fontId="0" fillId="0" borderId="2" xfId="0" applyNumberFormat="1" applyBorder="1" applyAlignment="1">
      <alignment horizontal="center" vertical="center" wrapText="1"/>
    </xf>
    <xf numFmtId="0" fontId="0" fillId="0" borderId="39" xfId="0" applyBorder="1"/>
    <xf numFmtId="14" fontId="2" fillId="17" borderId="14" xfId="0" applyNumberFormat="1" applyFont="1" applyFill="1" applyBorder="1" applyAlignment="1">
      <alignment horizontal="right"/>
    </xf>
    <xf numFmtId="14" fontId="22" fillId="4" borderId="73" xfId="0" applyNumberFormat="1" applyFont="1" applyFill="1" applyBorder="1" applyAlignment="1">
      <alignment horizontal="left"/>
    </xf>
    <xf numFmtId="0" fontId="22" fillId="0" borderId="27" xfId="0" applyFont="1" applyBorder="1" applyAlignment="1">
      <alignment horizontal="center"/>
    </xf>
    <xf numFmtId="168" fontId="22" fillId="3" borderId="25" xfId="0" applyNumberFormat="1" applyFont="1" applyFill="1" applyBorder="1"/>
    <xf numFmtId="0" fontId="22" fillId="0" borderId="39" xfId="0" applyFont="1" applyBorder="1"/>
    <xf numFmtId="0" fontId="22" fillId="0" borderId="25" xfId="0" applyFont="1" applyBorder="1"/>
    <xf numFmtId="168" fontId="22" fillId="0" borderId="60" xfId="0" applyNumberFormat="1" applyFont="1" applyBorder="1" applyAlignment="1">
      <alignment horizontal="left"/>
    </xf>
    <xf numFmtId="0" fontId="0" fillId="0" borderId="13" xfId="0" applyBorder="1" applyAlignment="1">
      <alignment horizontal="center" vertical="center"/>
    </xf>
    <xf numFmtId="14" fontId="2" fillId="4" borderId="25" xfId="0" applyNumberFormat="1" applyFont="1" applyFill="1" applyBorder="1" applyAlignment="1">
      <alignment horizontal="right"/>
    </xf>
    <xf numFmtId="14" fontId="2" fillId="4" borderId="6" xfId="0" applyNumberFormat="1" applyFont="1" applyFill="1" applyBorder="1" applyAlignment="1">
      <alignment horizontal="right"/>
    </xf>
    <xf numFmtId="167" fontId="2" fillId="4" borderId="3" xfId="0" applyNumberFormat="1" applyFont="1" applyFill="1" applyBorder="1" applyAlignment="1">
      <alignment horizontal="center" vertical="center"/>
    </xf>
    <xf numFmtId="167" fontId="2" fillId="4" borderId="25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right"/>
    </xf>
    <xf numFmtId="0" fontId="2" fillId="0" borderId="8" xfId="0" applyFont="1" applyBorder="1"/>
    <xf numFmtId="14" fontId="27" fillId="4" borderId="34" xfId="0" applyNumberFormat="1" applyFont="1" applyFill="1" applyBorder="1" applyAlignment="1">
      <alignment horizontal="center" vertical="center"/>
    </xf>
    <xf numFmtId="14" fontId="27" fillId="4" borderId="13" xfId="0" applyNumberFormat="1" applyFont="1" applyFill="1" applyBorder="1" applyAlignment="1">
      <alignment horizontal="center" vertical="center"/>
    </xf>
    <xf numFmtId="0" fontId="27" fillId="4" borderId="13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14" fontId="27" fillId="4" borderId="64" xfId="0" applyNumberFormat="1" applyFont="1" applyFill="1" applyBorder="1" applyAlignment="1">
      <alignment horizontal="center" vertical="center"/>
    </xf>
    <xf numFmtId="14" fontId="27" fillId="4" borderId="17" xfId="0" applyNumberFormat="1" applyFont="1" applyFill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/>
    </xf>
    <xf numFmtId="0" fontId="27" fillId="4" borderId="25" xfId="0" applyFont="1" applyFill="1" applyBorder="1" applyAlignment="1">
      <alignment horizontal="center" vertical="center"/>
    </xf>
    <xf numFmtId="14" fontId="2" fillId="17" borderId="22" xfId="0" applyNumberFormat="1" applyFont="1" applyFill="1" applyBorder="1" applyAlignment="1">
      <alignment horizontal="right"/>
    </xf>
    <xf numFmtId="0" fontId="2" fillId="0" borderId="7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right"/>
    </xf>
    <xf numFmtId="14" fontId="2" fillId="0" borderId="65" xfId="0" applyNumberFormat="1" applyFont="1" applyBorder="1" applyAlignment="1">
      <alignment horizontal="right"/>
    </xf>
    <xf numFmtId="168" fontId="2" fillId="4" borderId="65" xfId="0" applyNumberFormat="1" applyFont="1" applyFill="1" applyBorder="1" applyAlignment="1">
      <alignment horizontal="center" vertical="center"/>
    </xf>
    <xf numFmtId="0" fontId="2" fillId="0" borderId="65" xfId="0" applyFont="1" applyBorder="1" applyAlignment="1">
      <alignment horizontal="left" vertical="center"/>
    </xf>
    <xf numFmtId="167" fontId="2" fillId="3" borderId="70" xfId="0" applyNumberFormat="1" applyFont="1" applyFill="1" applyBorder="1" applyAlignment="1">
      <alignment horizontal="center" vertical="center"/>
    </xf>
    <xf numFmtId="14" fontId="22" fillId="4" borderId="25" xfId="0" applyNumberFormat="1" applyFont="1" applyFill="1" applyBorder="1" applyAlignment="1">
      <alignment horizontal="left"/>
    </xf>
    <xf numFmtId="168" fontId="22" fillId="4" borderId="25" xfId="0" applyNumberFormat="1" applyFont="1" applyFill="1" applyBorder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167" fontId="12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167" fontId="12" fillId="0" borderId="1" xfId="0" applyNumberFormat="1" applyFont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167" fontId="20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left" vertical="top" wrapText="1"/>
    </xf>
    <xf numFmtId="167" fontId="19" fillId="0" borderId="1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 wrapText="1"/>
    </xf>
    <xf numFmtId="167" fontId="12" fillId="0" borderId="4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167" fontId="14" fillId="4" borderId="6" xfId="0" applyNumberFormat="1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 wrapText="1"/>
    </xf>
    <xf numFmtId="0" fontId="12" fillId="0" borderId="21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167" fontId="16" fillId="0" borderId="3" xfId="0" applyNumberFormat="1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4" fillId="17" borderId="41" xfId="0" applyFont="1" applyFill="1" applyBorder="1" applyAlignment="1">
      <alignment horizontal="left" vertical="top" wrapText="1"/>
    </xf>
    <xf numFmtId="167" fontId="16" fillId="17" borderId="42" xfId="0" applyNumberFormat="1" applyFont="1" applyFill="1" applyBorder="1" applyAlignment="1">
      <alignment horizontal="center" vertical="top" wrapText="1"/>
    </xf>
    <xf numFmtId="0" fontId="14" fillId="17" borderId="42" xfId="0" applyFont="1" applyFill="1" applyBorder="1" applyAlignment="1">
      <alignment horizontal="center" vertical="center" wrapText="1"/>
    </xf>
    <xf numFmtId="0" fontId="12" fillId="17" borderId="42" xfId="0" applyFont="1" applyFill="1" applyBorder="1" applyAlignment="1">
      <alignment horizontal="center" vertical="center" wrapText="1"/>
    </xf>
    <xf numFmtId="49" fontId="12" fillId="17" borderId="42" xfId="0" applyNumberFormat="1" applyFont="1" applyFill="1" applyBorder="1" applyAlignment="1">
      <alignment horizontal="center" vertical="center" wrapText="1"/>
    </xf>
    <xf numFmtId="0" fontId="12" fillId="17" borderId="43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167" fontId="19" fillId="0" borderId="3" xfId="0" applyNumberFormat="1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center" wrapText="1"/>
    </xf>
    <xf numFmtId="0" fontId="12" fillId="17" borderId="54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167" fontId="19" fillId="17" borderId="41" xfId="0" applyNumberFormat="1" applyFont="1" applyFill="1" applyBorder="1" applyAlignment="1">
      <alignment horizontal="center" vertical="top" wrapText="1"/>
    </xf>
    <xf numFmtId="0" fontId="14" fillId="17" borderId="54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1" fontId="0" fillId="0" borderId="1" xfId="0" applyNumberFormat="1" applyBorder="1"/>
    <xf numFmtId="1" fontId="2" fillId="0" borderId="1" xfId="0" applyNumberFormat="1" applyFont="1" applyBorder="1"/>
    <xf numFmtId="14" fontId="2" fillId="0" borderId="30" xfId="0" applyNumberFormat="1" applyFont="1" applyBorder="1" applyAlignment="1">
      <alignment horizontal="right"/>
    </xf>
    <xf numFmtId="167" fontId="2" fillId="0" borderId="10" xfId="0" applyNumberFormat="1" applyFont="1" applyBorder="1" applyAlignment="1">
      <alignment horizontal="center" vertical="center" wrapText="1"/>
    </xf>
    <xf numFmtId="167" fontId="2" fillId="0" borderId="24" xfId="0" applyNumberFormat="1" applyFont="1" applyBorder="1" applyAlignment="1">
      <alignment horizontal="left" vertical="center"/>
    </xf>
    <xf numFmtId="167" fontId="2" fillId="4" borderId="21" xfId="0" applyNumberFormat="1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center" vertical="center" wrapText="1"/>
    </xf>
    <xf numFmtId="0" fontId="19" fillId="20" borderId="20" xfId="0" applyFont="1" applyFill="1" applyBorder="1" applyAlignment="1">
      <alignment horizontal="center" vertical="center" wrapText="1"/>
    </xf>
    <xf numFmtId="167" fontId="2" fillId="0" borderId="61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22" fillId="3" borderId="8" xfId="0" applyNumberFormat="1" applyFont="1" applyFill="1" applyBorder="1" applyAlignment="1">
      <alignment horizontal="left"/>
    </xf>
    <xf numFmtId="168" fontId="22" fillId="0" borderId="77" xfId="0" applyNumberFormat="1" applyFont="1" applyBorder="1" applyAlignment="1">
      <alignment horizontal="left"/>
    </xf>
    <xf numFmtId="167" fontId="2" fillId="0" borderId="24" xfId="0" applyNumberFormat="1" applyFont="1" applyBorder="1" applyAlignment="1">
      <alignment horizontal="center" vertical="center"/>
    </xf>
    <xf numFmtId="167" fontId="2" fillId="4" borderId="72" xfId="0" applyNumberFormat="1" applyFont="1" applyFill="1" applyBorder="1" applyAlignment="1">
      <alignment horizontal="center" vertical="center"/>
    </xf>
    <xf numFmtId="169" fontId="2" fillId="0" borderId="39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  <xf numFmtId="169" fontId="0" fillId="0" borderId="18" xfId="0" applyNumberFormat="1" applyBorder="1" applyAlignment="1">
      <alignment horizontal="center" vertical="center" wrapText="1"/>
    </xf>
    <xf numFmtId="169" fontId="0" fillId="0" borderId="8" xfId="0" applyNumberFormat="1" applyBorder="1" applyAlignment="1">
      <alignment horizontal="center" vertical="center" wrapText="1"/>
    </xf>
    <xf numFmtId="169" fontId="0" fillId="0" borderId="19" xfId="0" applyNumberFormat="1" applyBorder="1" applyAlignment="1">
      <alignment horizontal="center" vertical="center" wrapText="1"/>
    </xf>
    <xf numFmtId="169" fontId="0" fillId="0" borderId="25" xfId="0" applyNumberFormat="1" applyBorder="1" applyAlignment="1">
      <alignment horizontal="center" vertical="center" wrapText="1"/>
    </xf>
    <xf numFmtId="169" fontId="0" fillId="0" borderId="8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168" fontId="22" fillId="3" borderId="18" xfId="0" applyNumberFormat="1" applyFont="1" applyFill="1" applyBorder="1" applyAlignment="1">
      <alignment horizontal="left"/>
    </xf>
    <xf numFmtId="168" fontId="22" fillId="0" borderId="1" xfId="0" applyNumberFormat="1" applyFont="1" applyBorder="1" applyAlignment="1">
      <alignment horizontal="left"/>
    </xf>
    <xf numFmtId="167" fontId="2" fillId="3" borderId="38" xfId="0" applyNumberFormat="1" applyFont="1" applyFill="1" applyBorder="1" applyAlignment="1">
      <alignment horizontal="center" vertical="center"/>
    </xf>
    <xf numFmtId="167" fontId="3" fillId="0" borderId="52" xfId="0" applyNumberFormat="1" applyFont="1" applyBorder="1" applyAlignment="1">
      <alignment horizontal="center" vertical="center"/>
    </xf>
    <xf numFmtId="14" fontId="22" fillId="4" borderId="17" xfId="0" applyNumberFormat="1" applyFont="1" applyFill="1" applyBorder="1"/>
    <xf numFmtId="0" fontId="22" fillId="4" borderId="17" xfId="0" applyFont="1" applyFill="1" applyBorder="1"/>
    <xf numFmtId="14" fontId="2" fillId="17" borderId="30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7" fontId="2" fillId="3" borderId="18" xfId="0" applyNumberFormat="1" applyFont="1" applyFill="1" applyBorder="1" applyAlignment="1">
      <alignment horizontal="center" vertical="center"/>
    </xf>
    <xf numFmtId="167" fontId="3" fillId="0" borderId="9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left" vertical="center"/>
    </xf>
    <xf numFmtId="0" fontId="0" fillId="0" borderId="22" xfId="0" applyBorder="1" applyAlignment="1">
      <alignment horizontal="center" vertical="center" wrapText="1"/>
    </xf>
    <xf numFmtId="14" fontId="22" fillId="4" borderId="8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 wrapText="1"/>
    </xf>
    <xf numFmtId="0" fontId="2" fillId="5" borderId="80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0" fontId="2" fillId="5" borderId="6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8" fontId="22" fillId="3" borderId="27" xfId="0" applyNumberFormat="1" applyFont="1" applyFill="1" applyBorder="1" applyAlignment="1">
      <alignment horizontal="left"/>
    </xf>
    <xf numFmtId="14" fontId="22" fillId="4" borderId="15" xfId="0" applyNumberFormat="1" applyFont="1" applyFill="1" applyBorder="1"/>
    <xf numFmtId="14" fontId="22" fillId="4" borderId="18" xfId="0" applyNumberFormat="1" applyFont="1" applyFill="1" applyBorder="1"/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14" fontId="2" fillId="9" borderId="19" xfId="0" applyNumberFormat="1" applyFont="1" applyFill="1" applyBorder="1" applyAlignment="1">
      <alignment horizontal="center" vertical="center" wrapText="1"/>
    </xf>
    <xf numFmtId="167" fontId="0" fillId="0" borderId="14" xfId="0" applyNumberForma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left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5" xfId="0" applyBorder="1" applyAlignment="1">
      <alignment horizontal="center"/>
    </xf>
    <xf numFmtId="167" fontId="0" fillId="0" borderId="1" xfId="0" applyNumberFormat="1" applyBorder="1" applyAlignment="1">
      <alignment horizontal="center" vertical="center" wrapText="1"/>
    </xf>
    <xf numFmtId="167" fontId="0" fillId="0" borderId="0" xfId="0" applyNumberFormat="1"/>
    <xf numFmtId="167" fontId="0" fillId="0" borderId="4" xfId="0" applyNumberFormat="1" applyBorder="1" applyAlignment="1">
      <alignment vertical="center" wrapText="1"/>
    </xf>
    <xf numFmtId="167" fontId="0" fillId="0" borderId="18" xfId="0" applyNumberFormat="1" applyBorder="1" applyAlignment="1">
      <alignment vertical="center" wrapText="1"/>
    </xf>
    <xf numFmtId="167" fontId="0" fillId="0" borderId="17" xfId="0" applyNumberFormat="1" applyBorder="1" applyAlignment="1">
      <alignment vertical="center" wrapText="1"/>
    </xf>
    <xf numFmtId="167" fontId="0" fillId="0" borderId="8" xfId="0" applyNumberFormat="1" applyBorder="1" applyAlignment="1">
      <alignment vertical="center" wrapText="1"/>
    </xf>
    <xf numFmtId="2" fontId="0" fillId="0" borderId="1" xfId="0" applyNumberFormat="1" applyBorder="1"/>
    <xf numFmtId="167" fontId="2" fillId="0" borderId="36" xfId="0" applyNumberFormat="1" applyFont="1" applyBorder="1" applyAlignment="1">
      <alignment horizontal="center" vertical="center"/>
    </xf>
    <xf numFmtId="168" fontId="22" fillId="4" borderId="64" xfId="0" applyNumberFormat="1" applyFont="1" applyFill="1" applyBorder="1" applyAlignment="1">
      <alignment horizontal="left"/>
    </xf>
    <xf numFmtId="0" fontId="22" fillId="4" borderId="15" xfId="0" applyFont="1" applyFill="1" applyBorder="1"/>
    <xf numFmtId="0" fontId="22" fillId="0" borderId="72" xfId="0" applyFont="1" applyBorder="1"/>
    <xf numFmtId="0" fontId="22" fillId="0" borderId="1" xfId="0" applyFont="1" applyBorder="1"/>
    <xf numFmtId="0" fontId="22" fillId="4" borderId="1" xfId="0" applyFont="1" applyFill="1" applyBorder="1"/>
    <xf numFmtId="167" fontId="0" fillId="0" borderId="4" xfId="0" applyNumberForma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left" vertical="center"/>
    </xf>
    <xf numFmtId="168" fontId="22" fillId="0" borderId="28" xfId="0" applyNumberFormat="1" applyFont="1" applyBorder="1" applyAlignment="1">
      <alignment horizontal="left"/>
    </xf>
    <xf numFmtId="167" fontId="0" fillId="0" borderId="3" xfId="0" applyNumberFormat="1" applyBorder="1" applyAlignment="1">
      <alignment horizontal="center" vertical="center" wrapText="1"/>
    </xf>
    <xf numFmtId="14" fontId="2" fillId="17" borderId="38" xfId="0" applyNumberFormat="1" applyFont="1" applyFill="1" applyBorder="1" applyAlignment="1">
      <alignment horizontal="right"/>
    </xf>
    <xf numFmtId="167" fontId="0" fillId="0" borderId="10" xfId="0" applyNumberFormat="1" applyBorder="1" applyAlignment="1">
      <alignment vertical="center" wrapText="1"/>
    </xf>
    <xf numFmtId="167" fontId="0" fillId="0" borderId="3" xfId="0" applyNumberFormat="1" applyBorder="1" applyAlignment="1">
      <alignment vertical="center" wrapText="1"/>
    </xf>
    <xf numFmtId="167" fontId="2" fillId="0" borderId="1" xfId="0" applyNumberFormat="1" applyFont="1" applyBorder="1"/>
    <xf numFmtId="165" fontId="2" fillId="0" borderId="1" xfId="0" applyNumberFormat="1" applyFont="1" applyBorder="1"/>
    <xf numFmtId="0" fontId="0" fillId="0" borderId="3" xfId="0" applyBorder="1" applyAlignment="1">
      <alignment horizontal="center" vertical="center"/>
    </xf>
    <xf numFmtId="17" fontId="2" fillId="5" borderId="19" xfId="0" applyNumberFormat="1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6" xfId="0" applyFont="1" applyFill="1" applyBorder="1" applyAlignment="1">
      <alignment horizontal="center"/>
    </xf>
    <xf numFmtId="0" fontId="8" fillId="5" borderId="27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60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34" xfId="0" applyFill="1" applyBorder="1" applyAlignment="1">
      <alignment horizontal="left"/>
    </xf>
    <xf numFmtId="0" fontId="0" fillId="4" borderId="77" xfId="0" applyFill="1" applyBorder="1" applyAlignment="1">
      <alignment horizontal="left"/>
    </xf>
    <xf numFmtId="0" fontId="0" fillId="4" borderId="49" xfId="0" applyFill="1" applyBorder="1" applyAlignment="1">
      <alignment horizontal="center"/>
    </xf>
    <xf numFmtId="0" fontId="0" fillId="4" borderId="77" xfId="0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2" fillId="17" borderId="2" xfId="0" applyFont="1" applyFill="1" applyBorder="1" applyAlignment="1">
      <alignment horizontal="center"/>
    </xf>
    <xf numFmtId="0" fontId="22" fillId="6" borderId="19" xfId="0" applyFont="1" applyFill="1" applyBorder="1" applyAlignment="1">
      <alignment horizontal="center"/>
    </xf>
    <xf numFmtId="0" fontId="22" fillId="6" borderId="26" xfId="0" applyFont="1" applyFill="1" applyBorder="1" applyAlignment="1">
      <alignment horizontal="center"/>
    </xf>
    <xf numFmtId="0" fontId="22" fillId="6" borderId="29" xfId="0" applyFont="1" applyFill="1" applyBorder="1" applyAlignment="1">
      <alignment horizontal="center"/>
    </xf>
    <xf numFmtId="0" fontId="22" fillId="6" borderId="39" xfId="0" applyFont="1" applyFill="1" applyBorder="1" applyAlignment="1">
      <alignment horizontal="center"/>
    </xf>
    <xf numFmtId="0" fontId="22" fillId="6" borderId="38" xfId="0" applyFont="1" applyFill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164" fontId="22" fillId="17" borderId="2" xfId="0" applyNumberFormat="1" applyFont="1" applyFill="1" applyBorder="1" applyAlignment="1">
      <alignment horizontal="center"/>
    </xf>
    <xf numFmtId="14" fontId="22" fillId="4" borderId="8" xfId="0" applyNumberFormat="1" applyFont="1" applyFill="1" applyBorder="1" applyAlignment="1">
      <alignment horizontal="center" vertical="center" wrapText="1"/>
    </xf>
    <xf numFmtId="14" fontId="22" fillId="4" borderId="25" xfId="0" applyNumberFormat="1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center"/>
    </xf>
    <xf numFmtId="0" fontId="22" fillId="6" borderId="51" xfId="0" applyFont="1" applyFill="1" applyBorder="1" applyAlignment="1">
      <alignment horizontal="center"/>
    </xf>
    <xf numFmtId="0" fontId="22" fillId="6" borderId="2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6" borderId="27" xfId="0" applyFont="1" applyFill="1" applyBorder="1" applyAlignment="1">
      <alignment horizontal="center"/>
    </xf>
    <xf numFmtId="0" fontId="22" fillId="4" borderId="19" xfId="0" applyFont="1" applyFill="1" applyBorder="1" applyAlignment="1">
      <alignment horizontal="center"/>
    </xf>
    <xf numFmtId="0" fontId="22" fillId="4" borderId="26" xfId="0" applyFont="1" applyFill="1" applyBorder="1" applyAlignment="1">
      <alignment horizontal="center"/>
    </xf>
    <xf numFmtId="0" fontId="22" fillId="4" borderId="27" xfId="0" applyFont="1" applyFill="1" applyBorder="1" applyAlignment="1">
      <alignment horizontal="center"/>
    </xf>
    <xf numFmtId="168" fontId="22" fillId="5" borderId="19" xfId="0" applyNumberFormat="1" applyFont="1" applyFill="1" applyBorder="1" applyAlignment="1">
      <alignment horizontal="center" vertical="center"/>
    </xf>
    <xf numFmtId="168" fontId="22" fillId="5" borderId="26" xfId="0" applyNumberFormat="1" applyFont="1" applyFill="1" applyBorder="1" applyAlignment="1">
      <alignment horizontal="center" vertical="center"/>
    </xf>
    <xf numFmtId="168" fontId="22" fillId="5" borderId="27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17" fontId="31" fillId="4" borderId="33" xfId="0" applyNumberFormat="1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31" fillId="4" borderId="29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168" fontId="22" fillId="4" borderId="19" xfId="0" applyNumberFormat="1" applyFont="1" applyFill="1" applyBorder="1" applyAlignment="1">
      <alignment horizontal="center" vertical="center"/>
    </xf>
    <xf numFmtId="168" fontId="22" fillId="4" borderId="26" xfId="0" applyNumberFormat="1" applyFont="1" applyFill="1" applyBorder="1" applyAlignment="1">
      <alignment horizontal="center" vertical="center"/>
    </xf>
    <xf numFmtId="168" fontId="22" fillId="4" borderId="27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27" fillId="0" borderId="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5" borderId="33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center" vertical="center" wrapText="1"/>
    </xf>
    <xf numFmtId="0" fontId="27" fillId="5" borderId="8" xfId="0" applyFont="1" applyFill="1" applyBorder="1" applyAlignment="1">
      <alignment horizontal="center" vertical="center" wrapText="1"/>
    </xf>
    <xf numFmtId="0" fontId="27" fillId="5" borderId="25" xfId="0" applyFont="1" applyFill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center" vertical="center" wrapText="1"/>
    </xf>
    <xf numFmtId="0" fontId="27" fillId="5" borderId="39" xfId="0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center" vertical="center" wrapText="1"/>
    </xf>
    <xf numFmtId="20" fontId="4" fillId="4" borderId="26" xfId="0" applyNumberFormat="1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14" fontId="4" fillId="0" borderId="26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2" fontId="22" fillId="18" borderId="19" xfId="0" applyNumberFormat="1" applyFont="1" applyFill="1" applyBorder="1" applyAlignment="1">
      <alignment horizontal="center" vertical="center"/>
    </xf>
    <xf numFmtId="2" fontId="22" fillId="18" borderId="27" xfId="0" applyNumberFormat="1" applyFont="1" applyFill="1" applyBorder="1" applyAlignment="1">
      <alignment horizontal="center" vertical="center"/>
    </xf>
    <xf numFmtId="20" fontId="4" fillId="18" borderId="19" xfId="0" applyNumberFormat="1" applyFont="1" applyFill="1" applyBorder="1" applyAlignment="1">
      <alignment horizontal="center" vertical="center"/>
    </xf>
    <xf numFmtId="0" fontId="4" fillId="18" borderId="27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40" xfId="0" applyFont="1" applyFill="1" applyBorder="1" applyAlignment="1">
      <alignment horizontal="center" vertical="center" wrapText="1"/>
    </xf>
    <xf numFmtId="167" fontId="2" fillId="9" borderId="19" xfId="0" applyNumberFormat="1" applyFont="1" applyFill="1" applyBorder="1" applyAlignment="1">
      <alignment horizontal="center" vertical="center" wrapText="1"/>
    </xf>
    <xf numFmtId="167" fontId="2" fillId="9" borderId="27" xfId="0" applyNumberFormat="1" applyFont="1" applyFill="1" applyBorder="1" applyAlignment="1">
      <alignment horizontal="center" vertical="center" wrapText="1"/>
    </xf>
    <xf numFmtId="0" fontId="2" fillId="9" borderId="33" xfId="0" applyFont="1" applyFill="1" applyBorder="1" applyAlignment="1">
      <alignment horizontal="center" vertical="center" wrapText="1"/>
    </xf>
    <xf numFmtId="0" fontId="2" fillId="9" borderId="51" xfId="0" applyFont="1" applyFill="1" applyBorder="1" applyAlignment="1">
      <alignment horizontal="center" vertical="center" wrapText="1"/>
    </xf>
    <xf numFmtId="0" fontId="2" fillId="9" borderId="29" xfId="0" applyFont="1" applyFill="1" applyBorder="1" applyAlignment="1">
      <alignment horizontal="center" vertical="center" wrapText="1"/>
    </xf>
    <xf numFmtId="0" fontId="2" fillId="9" borderId="39" xfId="0" applyFont="1" applyFill="1" applyBorder="1" applyAlignment="1">
      <alignment horizontal="center" vertical="center" wrapText="1"/>
    </xf>
    <xf numFmtId="167" fontId="2" fillId="9" borderId="33" xfId="0" applyNumberFormat="1" applyFont="1" applyFill="1" applyBorder="1" applyAlignment="1">
      <alignment horizontal="center" vertical="center" wrapText="1"/>
    </xf>
    <xf numFmtId="167" fontId="2" fillId="9" borderId="51" xfId="0" applyNumberFormat="1" applyFont="1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 vertical="center" wrapText="1"/>
    </xf>
    <xf numFmtId="167" fontId="0" fillId="0" borderId="10" xfId="0" applyNumberForma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0" borderId="53" xfId="0" applyNumberFormat="1" applyBorder="1" applyAlignment="1">
      <alignment horizontal="center" vertical="center" wrapText="1"/>
    </xf>
    <xf numFmtId="167" fontId="0" fillId="0" borderId="8" xfId="0" applyNumberFormat="1" applyBorder="1" applyAlignment="1">
      <alignment horizontal="center" vertical="center" wrapText="1"/>
    </xf>
    <xf numFmtId="167" fontId="0" fillId="0" borderId="18" xfId="0" applyNumberFormat="1" applyBorder="1" applyAlignment="1">
      <alignment horizontal="center" vertical="center" wrapText="1"/>
    </xf>
    <xf numFmtId="167" fontId="0" fillId="0" borderId="17" xfId="0" applyNumberFormat="1" applyBorder="1" applyAlignment="1">
      <alignment horizontal="center" vertical="center" wrapText="1"/>
    </xf>
    <xf numFmtId="167" fontId="0" fillId="0" borderId="15" xfId="0" applyNumberForma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4" borderId="19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/>
    </xf>
    <xf numFmtId="0" fontId="4" fillId="18" borderId="48" xfId="0" applyFont="1" applyFill="1" applyBorder="1" applyAlignment="1">
      <alignment horizontal="center" vertical="center"/>
    </xf>
    <xf numFmtId="0" fontId="4" fillId="18" borderId="2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" fillId="15" borderId="19" xfId="0" applyFont="1" applyFill="1" applyBorder="1" applyAlignment="1">
      <alignment horizontal="center"/>
    </xf>
    <xf numFmtId="0" fontId="2" fillId="15" borderId="26" xfId="0" applyFont="1" applyFill="1" applyBorder="1" applyAlignment="1">
      <alignment horizontal="center"/>
    </xf>
    <xf numFmtId="0" fontId="2" fillId="15" borderId="27" xfId="0" applyFont="1" applyFill="1" applyBorder="1" applyAlignment="1">
      <alignment horizontal="center"/>
    </xf>
    <xf numFmtId="0" fontId="2" fillId="15" borderId="38" xfId="0" applyFont="1" applyFill="1" applyBorder="1" applyAlignment="1">
      <alignment horizontal="center"/>
    </xf>
    <xf numFmtId="0" fontId="2" fillId="15" borderId="29" xfId="0" applyFont="1" applyFill="1" applyBorder="1" applyAlignment="1">
      <alignment horizontal="center"/>
    </xf>
    <xf numFmtId="0" fontId="2" fillId="15" borderId="3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2" borderId="48" xfId="0" applyFill="1" applyBorder="1" applyAlignment="1">
      <alignment horizontal="center"/>
    </xf>
    <xf numFmtId="0" fontId="0" fillId="12" borderId="54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2" fillId="15" borderId="19" xfId="0" applyFont="1" applyFill="1" applyBorder="1" applyAlignment="1">
      <alignment horizontal="left"/>
    </xf>
    <xf numFmtId="0" fontId="2" fillId="15" borderId="26" xfId="0" applyFont="1" applyFill="1" applyBorder="1" applyAlignment="1">
      <alignment horizontal="left"/>
    </xf>
    <xf numFmtId="0" fontId="2" fillId="15" borderId="27" xfId="0" applyFont="1" applyFill="1" applyBorder="1" applyAlignment="1">
      <alignment horizontal="left"/>
    </xf>
    <xf numFmtId="0" fontId="2" fillId="15" borderId="38" xfId="0" applyFont="1" applyFill="1" applyBorder="1" applyAlignment="1">
      <alignment horizontal="left"/>
    </xf>
    <xf numFmtId="0" fontId="2" fillId="15" borderId="29" xfId="0" applyFont="1" applyFill="1" applyBorder="1" applyAlignment="1">
      <alignment horizontal="left"/>
    </xf>
    <xf numFmtId="0" fontId="2" fillId="15" borderId="39" xfId="0" applyFont="1" applyFill="1" applyBorder="1" applyAlignment="1">
      <alignment horizontal="left"/>
    </xf>
    <xf numFmtId="0" fontId="0" fillId="0" borderId="36" xfId="0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1" fillId="13" borderId="26" xfId="0" applyFont="1" applyFill="1" applyBorder="1" applyAlignment="1">
      <alignment horizontal="center"/>
    </xf>
    <xf numFmtId="0" fontId="11" fillId="13" borderId="27" xfId="0" applyFont="1" applyFill="1" applyBorder="1" applyAlignment="1">
      <alignment horizontal="center"/>
    </xf>
    <xf numFmtId="0" fontId="2" fillId="14" borderId="38" xfId="0" applyFont="1" applyFill="1" applyBorder="1" applyAlignment="1">
      <alignment horizontal="left"/>
    </xf>
    <xf numFmtId="0" fontId="2" fillId="14" borderId="29" xfId="0" applyFont="1" applyFill="1" applyBorder="1" applyAlignment="1">
      <alignment horizontal="left"/>
    </xf>
    <xf numFmtId="0" fontId="2" fillId="14" borderId="19" xfId="0" applyFont="1" applyFill="1" applyBorder="1" applyAlignment="1">
      <alignment horizontal="left"/>
    </xf>
    <xf numFmtId="0" fontId="2" fillId="14" borderId="26" xfId="0" applyFont="1" applyFill="1" applyBorder="1" applyAlignment="1">
      <alignment horizontal="left"/>
    </xf>
    <xf numFmtId="0" fontId="2" fillId="14" borderId="27" xfId="0" applyFont="1" applyFill="1" applyBorder="1" applyAlignment="1">
      <alignment horizontal="left"/>
    </xf>
  </cellXfs>
  <cellStyles count="3">
    <cellStyle name="Currency" xfId="1" builtinId="4"/>
    <cellStyle name="Currency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993"/>
  <sheetViews>
    <sheetView topLeftCell="A892" zoomScale="110" zoomScaleNormal="110" workbookViewId="0">
      <selection activeCell="J545" sqref="J545"/>
    </sheetView>
  </sheetViews>
  <sheetFormatPr baseColWidth="10" defaultColWidth="8.83203125" defaultRowHeight="15" x14ac:dyDescent="0.2"/>
  <cols>
    <col min="1" max="1" width="5.6640625" customWidth="1"/>
    <col min="2" max="2" width="12.5" customWidth="1"/>
    <col min="3" max="3" width="16.1640625" bestFit="1" customWidth="1"/>
    <col min="4" max="4" width="11" customWidth="1"/>
    <col min="5" max="5" width="12.5" customWidth="1"/>
    <col min="6" max="6" width="11.6640625" customWidth="1"/>
    <col min="7" max="7" width="11.5" customWidth="1"/>
    <col min="8" max="8" width="9.33203125" customWidth="1"/>
    <col min="9" max="9" width="10.83203125" customWidth="1"/>
    <col min="10" max="10" width="11.83203125" customWidth="1"/>
    <col min="11" max="11" width="10.1640625" customWidth="1"/>
    <col min="12" max="12" width="11" bestFit="1" customWidth="1"/>
    <col min="13" max="13" width="11" customWidth="1"/>
    <col min="14" max="14" width="14.5" customWidth="1"/>
    <col min="15" max="15" width="11.5" customWidth="1"/>
    <col min="16" max="16" width="15.6640625" customWidth="1"/>
    <col min="17" max="17" width="11.5" customWidth="1"/>
    <col min="18" max="19" width="15.6640625" customWidth="1"/>
    <col min="20" max="20" width="17.1640625" customWidth="1"/>
    <col min="21" max="23" width="15.6640625" customWidth="1"/>
    <col min="24" max="24" width="26.5" customWidth="1"/>
    <col min="25" max="25" width="17.5" customWidth="1"/>
    <col min="26" max="26" width="15.6640625" customWidth="1"/>
  </cols>
  <sheetData>
    <row r="1" spans="2:26" ht="16" thickBot="1" x14ac:dyDescent="0.25"/>
    <row r="2" spans="2:26" ht="16" thickBot="1" x14ac:dyDescent="0.25">
      <c r="E2" s="718" t="s">
        <v>438</v>
      </c>
      <c r="F2" s="719"/>
      <c r="G2" s="719"/>
      <c r="H2" s="720"/>
      <c r="K2" s="106"/>
      <c r="L2" s="106"/>
      <c r="M2" s="721" t="str">
        <f>E2</f>
        <v>30 DECEMBER - 5 JANUARY 2025</v>
      </c>
      <c r="N2" s="722"/>
      <c r="O2" s="722"/>
      <c r="P2" s="723"/>
      <c r="Q2" s="106"/>
      <c r="R2" s="106"/>
      <c r="S2" s="106"/>
      <c r="T2" s="106"/>
      <c r="U2" s="106"/>
      <c r="V2" s="724" t="str">
        <f>M2</f>
        <v>30 DECEMBER - 5 JANUARY 2025</v>
      </c>
      <c r="W2" s="725"/>
      <c r="X2" s="725"/>
      <c r="Y2" s="726"/>
      <c r="Z2" s="106"/>
    </row>
    <row r="3" spans="2:26" ht="27" thickBot="1" x14ac:dyDescent="0.25">
      <c r="C3" s="126" t="s">
        <v>0</v>
      </c>
      <c r="D3" s="135" t="s">
        <v>1</v>
      </c>
      <c r="E3" s="258" t="s">
        <v>2</v>
      </c>
      <c r="F3" s="259" t="s">
        <v>3</v>
      </c>
      <c r="G3" s="260" t="s">
        <v>4</v>
      </c>
      <c r="H3" s="261" t="s">
        <v>5</v>
      </c>
      <c r="I3" s="262" t="s">
        <v>6</v>
      </c>
      <c r="J3" s="262" t="s">
        <v>7</v>
      </c>
      <c r="K3" s="262" t="s">
        <v>8</v>
      </c>
      <c r="L3" s="262" t="s">
        <v>9</v>
      </c>
      <c r="M3" s="262" t="s">
        <v>10</v>
      </c>
      <c r="N3" s="262" t="s">
        <v>11</v>
      </c>
      <c r="O3" s="262" t="s">
        <v>12</v>
      </c>
      <c r="P3" s="262" t="s">
        <v>13</v>
      </c>
      <c r="Q3" s="262" t="s">
        <v>14</v>
      </c>
      <c r="R3" s="262" t="s">
        <v>15</v>
      </c>
      <c r="S3" s="262" t="s">
        <v>311</v>
      </c>
      <c r="T3" s="262" t="s">
        <v>16</v>
      </c>
      <c r="U3" s="154" t="s">
        <v>403</v>
      </c>
      <c r="V3" s="263" t="s">
        <v>17</v>
      </c>
      <c r="W3" s="263" t="s">
        <v>18</v>
      </c>
      <c r="X3" s="264"/>
      <c r="Y3" s="265" t="s">
        <v>19</v>
      </c>
      <c r="Z3" s="266"/>
    </row>
    <row r="4" spans="2:26" ht="16" thickBot="1" x14ac:dyDescent="0.25">
      <c r="B4" s="196">
        <v>45656</v>
      </c>
      <c r="C4" s="136"/>
      <c r="D4" s="139"/>
      <c r="E4" s="139"/>
      <c r="F4" s="139">
        <v>1500</v>
      </c>
      <c r="G4" s="139">
        <f>725.31+400</f>
        <v>1125.31</v>
      </c>
      <c r="H4" s="139"/>
      <c r="I4" s="139"/>
      <c r="J4" s="139"/>
      <c r="K4" s="139"/>
      <c r="L4" s="139">
        <v>6995.64</v>
      </c>
      <c r="M4" s="139"/>
      <c r="N4" s="139">
        <v>679.8</v>
      </c>
      <c r="O4" s="139"/>
      <c r="P4" s="139">
        <f>32+146</f>
        <v>178</v>
      </c>
      <c r="Q4" s="139">
        <v>439.88</v>
      </c>
      <c r="R4" s="139"/>
      <c r="S4" s="139"/>
      <c r="T4" s="140"/>
      <c r="U4" s="139"/>
      <c r="V4" s="139"/>
      <c r="W4" s="139">
        <v>194.96</v>
      </c>
      <c r="X4" s="141" t="s">
        <v>426</v>
      </c>
      <c r="Y4" s="239">
        <f>SUM(F4:X8)</f>
        <v>11121.579999999998</v>
      </c>
      <c r="Z4" s="269">
        <f>B4</f>
        <v>45656</v>
      </c>
    </row>
    <row r="5" spans="2:26" ht="16" thickBot="1" x14ac:dyDescent="0.25">
      <c r="B5" s="196" t="s">
        <v>20</v>
      </c>
      <c r="C5" s="203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204"/>
      <c r="U5" s="146"/>
      <c r="V5" s="146"/>
      <c r="W5" s="146">
        <v>7.99</v>
      </c>
      <c r="X5" s="182" t="s">
        <v>297</v>
      </c>
      <c r="Y5" s="191"/>
      <c r="Z5" s="196" t="s">
        <v>20</v>
      </c>
    </row>
    <row r="6" spans="2:26" ht="16" thickBot="1" x14ac:dyDescent="0.25">
      <c r="B6" s="196"/>
      <c r="C6" s="203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204"/>
      <c r="U6" s="146"/>
      <c r="V6" s="146"/>
      <c r="W6" s="146"/>
      <c r="X6" s="182"/>
      <c r="Y6" s="191"/>
      <c r="Z6" s="196"/>
    </row>
    <row r="7" spans="2:26" ht="16" thickBot="1" x14ac:dyDescent="0.25">
      <c r="B7" s="206"/>
      <c r="C7" s="632"/>
      <c r="D7" s="4"/>
      <c r="E7" s="4"/>
      <c r="F7" s="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633"/>
      <c r="U7" s="8"/>
      <c r="V7" s="8"/>
      <c r="W7" s="8"/>
      <c r="X7" s="634"/>
      <c r="Y7" s="635"/>
      <c r="Z7" s="196"/>
    </row>
    <row r="8" spans="2:26" ht="16" thickBot="1" x14ac:dyDescent="0.25">
      <c r="B8" s="197"/>
      <c r="C8" s="137"/>
      <c r="D8" s="171">
        <f>SUM(D4:D6)</f>
        <v>0</v>
      </c>
      <c r="E8" s="658">
        <f>SUM(E4:E6)</f>
        <v>0</v>
      </c>
      <c r="F8" s="659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5"/>
      <c r="Y8" s="138"/>
      <c r="Z8" s="198"/>
    </row>
    <row r="9" spans="2:26" ht="16" thickBot="1" x14ac:dyDescent="0.25">
      <c r="B9" s="196">
        <v>45657</v>
      </c>
      <c r="C9" s="6"/>
      <c r="D9" s="146"/>
      <c r="E9" s="146"/>
      <c r="F9" s="139"/>
      <c r="G9" s="139">
        <f>79+79+744.67+1000</f>
        <v>1902.67</v>
      </c>
      <c r="H9" s="139"/>
      <c r="I9" s="139"/>
      <c r="J9" s="574">
        <v>3176</v>
      </c>
      <c r="K9" s="139"/>
      <c r="L9" s="139">
        <v>5765.73</v>
      </c>
      <c r="M9" s="139"/>
      <c r="N9" s="139"/>
      <c r="O9" s="139"/>
      <c r="P9" s="139">
        <v>90</v>
      </c>
      <c r="Q9" s="139">
        <v>286.89999999999998</v>
      </c>
      <c r="R9" s="139"/>
      <c r="S9" s="139"/>
      <c r="T9" s="140"/>
      <c r="U9" s="139"/>
      <c r="V9" s="139"/>
      <c r="W9" s="139">
        <v>252</v>
      </c>
      <c r="X9" s="575" t="s">
        <v>377</v>
      </c>
      <c r="Y9" s="238">
        <f>SUM(F9:W14)</f>
        <v>19033.53</v>
      </c>
      <c r="Z9" s="196">
        <f>B9</f>
        <v>45657</v>
      </c>
    </row>
    <row r="10" spans="2:26" ht="16" thickBot="1" x14ac:dyDescent="0.25">
      <c r="B10" s="196" t="s">
        <v>21</v>
      </c>
      <c r="C10" s="6"/>
      <c r="D10" s="146"/>
      <c r="E10" s="146"/>
      <c r="F10" s="4"/>
      <c r="G10" s="4"/>
      <c r="H10" s="4"/>
      <c r="I10" s="4"/>
      <c r="J10" s="149"/>
      <c r="K10" s="4"/>
      <c r="L10" s="4"/>
      <c r="M10" s="4"/>
      <c r="N10" s="4"/>
      <c r="O10" s="4"/>
      <c r="P10" s="4"/>
      <c r="Q10" s="4"/>
      <c r="R10" s="4"/>
      <c r="S10" s="4"/>
      <c r="T10" s="148"/>
      <c r="U10" s="4"/>
      <c r="V10" s="4"/>
      <c r="W10" s="4">
        <v>990.23</v>
      </c>
      <c r="X10" s="142" t="s">
        <v>279</v>
      </c>
      <c r="Y10" s="191"/>
      <c r="Z10" s="196" t="s">
        <v>21</v>
      </c>
    </row>
    <row r="11" spans="2:26" ht="16" thickBot="1" x14ac:dyDescent="0.25">
      <c r="B11" s="196"/>
      <c r="C11" s="6"/>
      <c r="D11" s="4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78"/>
      <c r="U11" s="12"/>
      <c r="V11" s="12"/>
      <c r="W11" s="146">
        <v>570</v>
      </c>
      <c r="X11" s="147" t="s">
        <v>396</v>
      </c>
      <c r="Y11" s="191"/>
      <c r="Z11" s="196"/>
    </row>
    <row r="12" spans="2:26" ht="16" thickBot="1" x14ac:dyDescent="0.25">
      <c r="B12" s="662"/>
      <c r="C12" s="57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79"/>
      <c r="U12" s="4"/>
      <c r="V12" s="4"/>
      <c r="W12" s="4">
        <v>6000</v>
      </c>
      <c r="X12" s="142" t="s">
        <v>435</v>
      </c>
      <c r="Y12" s="643"/>
      <c r="Z12" s="196"/>
    </row>
    <row r="13" spans="2:26" ht="16" thickBot="1" x14ac:dyDescent="0.25">
      <c r="B13" s="662"/>
      <c r="C13" s="57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79"/>
      <c r="U13" s="4"/>
      <c r="V13" s="4"/>
      <c r="W13" s="4"/>
      <c r="X13" s="142"/>
      <c r="Y13" s="643"/>
      <c r="Z13" s="196"/>
    </row>
    <row r="14" spans="2:26" ht="16" thickBot="1" x14ac:dyDescent="0.25">
      <c r="B14" s="476"/>
      <c r="C14" s="663"/>
      <c r="D14" s="664">
        <f>SUM(D9:D11)</f>
        <v>0</v>
      </c>
      <c r="E14" s="664">
        <f>SUM(E9:E11)</f>
        <v>0</v>
      </c>
      <c r="F14" s="66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642"/>
      <c r="U14" s="642"/>
      <c r="V14" s="642"/>
      <c r="W14" s="8"/>
      <c r="X14" s="666"/>
      <c r="Y14" s="571"/>
      <c r="Z14" s="198"/>
    </row>
    <row r="15" spans="2:26" ht="16" thickBot="1" x14ac:dyDescent="0.25">
      <c r="B15" s="570">
        <v>45658</v>
      </c>
      <c r="C15" s="573"/>
      <c r="D15" s="139"/>
      <c r="E15" s="139"/>
      <c r="F15" s="4"/>
      <c r="G15" s="4">
        <v>1100</v>
      </c>
      <c r="H15" s="4"/>
      <c r="I15" s="688"/>
      <c r="J15" s="4"/>
      <c r="K15" s="4"/>
      <c r="L15" s="4"/>
      <c r="M15" s="4"/>
      <c r="N15" s="4"/>
      <c r="O15" s="4"/>
      <c r="P15" s="4"/>
      <c r="Q15" s="4"/>
      <c r="R15" s="4"/>
      <c r="S15" s="4"/>
      <c r="T15" s="148"/>
      <c r="U15" s="4"/>
      <c r="V15" s="4"/>
      <c r="W15" s="4"/>
      <c r="X15" s="689"/>
      <c r="Y15" s="576">
        <f>SUM(F15:X21)</f>
        <v>1100</v>
      </c>
      <c r="Z15" s="464">
        <f>B15</f>
        <v>45658</v>
      </c>
    </row>
    <row r="16" spans="2:26" ht="16" thickBot="1" x14ac:dyDescent="0.25">
      <c r="B16" s="570" t="s">
        <v>22</v>
      </c>
      <c r="C16" s="572"/>
      <c r="D16" s="4"/>
      <c r="E16" s="4"/>
      <c r="F16" s="4"/>
      <c r="G16" s="4"/>
      <c r="H16" s="4"/>
      <c r="I16" s="4"/>
      <c r="J16" s="149"/>
      <c r="K16" s="4"/>
      <c r="L16" s="4"/>
      <c r="M16" s="4"/>
      <c r="N16" s="4"/>
      <c r="O16" s="4"/>
      <c r="P16" s="4"/>
      <c r="Q16" s="4"/>
      <c r="R16" s="4"/>
      <c r="S16" s="4"/>
      <c r="T16" s="148"/>
      <c r="U16" s="4"/>
      <c r="V16" s="4"/>
      <c r="W16" s="4"/>
      <c r="X16" s="142"/>
      <c r="Y16" s="638"/>
      <c r="Z16" s="464"/>
    </row>
    <row r="17" spans="2:26" ht="16" thickBot="1" x14ac:dyDescent="0.25">
      <c r="B17" s="570"/>
      <c r="C17" s="572"/>
      <c r="D17" s="4"/>
      <c r="E17" s="4"/>
      <c r="F17" s="4"/>
      <c r="G17" s="4"/>
      <c r="H17" s="4"/>
      <c r="I17" s="4"/>
      <c r="J17" s="149"/>
      <c r="K17" s="4"/>
      <c r="L17" s="4"/>
      <c r="M17" s="4"/>
      <c r="N17" s="4"/>
      <c r="O17" s="4"/>
      <c r="P17" s="4"/>
      <c r="Q17" s="4"/>
      <c r="R17" s="4"/>
      <c r="S17" s="4"/>
      <c r="T17" s="148"/>
      <c r="U17" s="4"/>
      <c r="V17" s="4"/>
      <c r="W17" s="4"/>
      <c r="X17" s="142"/>
      <c r="Y17" s="638"/>
      <c r="Z17" s="464"/>
    </row>
    <row r="18" spans="2:26" ht="16" thickBot="1" x14ac:dyDescent="0.25">
      <c r="B18" s="570"/>
      <c r="C18" s="572"/>
      <c r="D18" s="4"/>
      <c r="E18" s="4"/>
      <c r="F18" s="4"/>
      <c r="G18" s="4"/>
      <c r="H18" s="4"/>
      <c r="I18" s="4"/>
      <c r="J18" s="149"/>
      <c r="K18" s="4"/>
      <c r="L18" s="4"/>
      <c r="M18" s="4"/>
      <c r="N18" s="4"/>
      <c r="O18" s="4"/>
      <c r="P18" s="4"/>
      <c r="Q18" s="4"/>
      <c r="R18" s="4"/>
      <c r="S18" s="4"/>
      <c r="T18" s="148"/>
      <c r="U18" s="4"/>
      <c r="V18" s="4"/>
      <c r="W18" s="4"/>
      <c r="X18" s="142"/>
      <c r="Y18" s="638"/>
      <c r="Z18" s="464"/>
    </row>
    <row r="19" spans="2:26" ht="16" thickBot="1" x14ac:dyDescent="0.25">
      <c r="B19" s="570"/>
      <c r="C19" s="572"/>
      <c r="D19" s="4"/>
      <c r="E19" s="4"/>
      <c r="F19" s="4"/>
      <c r="G19" s="4"/>
      <c r="H19" s="4"/>
      <c r="I19" s="4"/>
      <c r="J19" s="149"/>
      <c r="K19" s="4"/>
      <c r="L19" s="4"/>
      <c r="M19" s="4"/>
      <c r="N19" s="4"/>
      <c r="O19" s="4"/>
      <c r="P19" s="4"/>
      <c r="Q19" s="4"/>
      <c r="R19" s="4"/>
      <c r="S19" s="4"/>
      <c r="T19" s="148"/>
      <c r="U19" s="4"/>
      <c r="V19" s="4"/>
      <c r="W19" s="4"/>
      <c r="X19" s="142"/>
      <c r="Y19" s="638"/>
      <c r="Z19" s="464"/>
    </row>
    <row r="20" spans="2:26" ht="16" thickBot="1" x14ac:dyDescent="0.25">
      <c r="B20" s="570"/>
      <c r="C20" s="572"/>
      <c r="D20" s="4"/>
      <c r="E20" s="4"/>
      <c r="F20" s="4"/>
      <c r="G20" s="4"/>
      <c r="H20" s="4"/>
      <c r="I20" s="4"/>
      <c r="J20" s="149"/>
      <c r="K20" s="4"/>
      <c r="L20" s="4"/>
      <c r="M20" s="4"/>
      <c r="N20" s="4"/>
      <c r="O20" s="4"/>
      <c r="P20" s="4"/>
      <c r="Q20" s="4"/>
      <c r="R20" s="4"/>
      <c r="S20" s="4"/>
      <c r="T20" s="148"/>
      <c r="U20" s="4"/>
      <c r="V20" s="4"/>
      <c r="W20" s="4"/>
      <c r="X20" s="142"/>
      <c r="Y20" s="638"/>
      <c r="Z20" s="464"/>
    </row>
    <row r="21" spans="2:26" ht="16" thickBot="1" x14ac:dyDescent="0.25">
      <c r="B21" s="197"/>
      <c r="C21" s="257"/>
      <c r="D21" s="171">
        <f>SUM(D15:D20)</f>
        <v>0</v>
      </c>
      <c r="E21" s="171">
        <f>SUM(E15:E20)</f>
        <v>0</v>
      </c>
      <c r="F21" s="245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72"/>
      <c r="Y21" s="241"/>
      <c r="Z21" s="465"/>
    </row>
    <row r="22" spans="2:26" ht="16" thickBot="1" x14ac:dyDescent="0.25">
      <c r="B22" s="196">
        <v>45659</v>
      </c>
      <c r="C22" s="207"/>
      <c r="D22" s="8"/>
      <c r="E22" s="146"/>
      <c r="F22" s="146"/>
      <c r="G22" s="146">
        <v>300</v>
      </c>
      <c r="H22" s="146"/>
      <c r="I22" s="246"/>
      <c r="J22" s="146"/>
      <c r="K22" s="146"/>
      <c r="L22" s="146">
        <v>6147.5</v>
      </c>
      <c r="M22" s="146"/>
      <c r="N22" s="146"/>
      <c r="O22" s="146"/>
      <c r="P22" s="146"/>
      <c r="Q22" s="8"/>
      <c r="R22" s="8"/>
      <c r="S22" s="146"/>
      <c r="T22" s="204"/>
      <c r="U22" s="146"/>
      <c r="V22" s="146"/>
      <c r="W22" s="146">
        <v>131.97999999999999</v>
      </c>
      <c r="X22" s="247" t="s">
        <v>279</v>
      </c>
      <c r="Y22" s="171">
        <f>SUM(F22:W29)</f>
        <v>14166.73</v>
      </c>
      <c r="Z22" s="196">
        <f>B22</f>
        <v>45659</v>
      </c>
    </row>
    <row r="23" spans="2:26" ht="16" thickBot="1" x14ac:dyDescent="0.25">
      <c r="B23" s="196" t="s">
        <v>23</v>
      </c>
      <c r="C23" s="7"/>
      <c r="D23" s="4"/>
      <c r="E23" s="146"/>
      <c r="F23" s="146"/>
      <c r="G23" s="146"/>
      <c r="H23" s="146"/>
      <c r="I23" s="463"/>
      <c r="J23" s="146"/>
      <c r="K23" s="146"/>
      <c r="L23" s="146"/>
      <c r="M23" s="146"/>
      <c r="N23" s="146"/>
      <c r="O23" s="146"/>
      <c r="P23" s="146"/>
      <c r="Q23" s="4"/>
      <c r="R23" s="4"/>
      <c r="S23" s="146"/>
      <c r="T23" s="204"/>
      <c r="U23" s="146"/>
      <c r="V23" s="146"/>
      <c r="W23" s="146">
        <v>7587.25</v>
      </c>
      <c r="X23" s="247" t="s">
        <v>343</v>
      </c>
      <c r="Y23" s="240"/>
      <c r="Z23" s="196"/>
    </row>
    <row r="24" spans="2:26" ht="16" thickBot="1" x14ac:dyDescent="0.25">
      <c r="B24" s="196"/>
      <c r="C24" s="7"/>
      <c r="D24" s="4"/>
      <c r="E24" s="146"/>
      <c r="F24" s="146"/>
      <c r="G24" s="146"/>
      <c r="H24" s="146"/>
      <c r="I24" s="463"/>
      <c r="J24" s="146"/>
      <c r="K24" s="146"/>
      <c r="L24" s="146"/>
      <c r="M24" s="146"/>
      <c r="N24" s="146"/>
      <c r="O24" s="146"/>
      <c r="P24" s="146"/>
      <c r="Q24" s="4"/>
      <c r="R24" s="4"/>
      <c r="S24" s="146"/>
      <c r="T24" s="204"/>
      <c r="U24" s="146"/>
      <c r="V24" s="146"/>
      <c r="W24" s="146"/>
      <c r="X24" s="247"/>
      <c r="Y24" s="4"/>
      <c r="Z24" s="464"/>
    </row>
    <row r="25" spans="2:26" ht="16" thickBot="1" x14ac:dyDescent="0.25">
      <c r="B25" s="196"/>
      <c r="C25" s="7"/>
      <c r="D25" s="4"/>
      <c r="E25" s="146"/>
      <c r="F25" s="146"/>
      <c r="G25" s="146"/>
      <c r="H25" s="146"/>
      <c r="I25" s="463"/>
      <c r="J25" s="146"/>
      <c r="K25" s="146"/>
      <c r="L25" s="146"/>
      <c r="M25" s="146"/>
      <c r="N25" s="146"/>
      <c r="O25" s="146"/>
      <c r="P25" s="146"/>
      <c r="Q25" s="4"/>
      <c r="R25" s="4"/>
      <c r="S25" s="146"/>
      <c r="T25" s="204"/>
      <c r="U25" s="146"/>
      <c r="V25" s="146"/>
      <c r="W25" s="146"/>
      <c r="X25" s="247"/>
      <c r="Y25" s="4"/>
      <c r="Z25" s="464"/>
    </row>
    <row r="26" spans="2:26" ht="16" thickBot="1" x14ac:dyDescent="0.25">
      <c r="B26" s="198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50"/>
      <c r="Y26" s="4"/>
      <c r="Z26" s="465" t="s">
        <v>23</v>
      </c>
    </row>
    <row r="27" spans="2:26" ht="16" thickBot="1" x14ac:dyDescent="0.25">
      <c r="B27" s="476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50"/>
      <c r="Y27" s="10"/>
      <c r="Z27" s="465"/>
    </row>
    <row r="28" spans="2:26" ht="16" thickBot="1" x14ac:dyDescent="0.25">
      <c r="B28" s="476"/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50"/>
      <c r="Y28" s="10"/>
      <c r="Z28" s="465"/>
    </row>
    <row r="29" spans="2:26" ht="16" thickBot="1" x14ac:dyDescent="0.25">
      <c r="B29" s="197"/>
      <c r="C29" s="249"/>
      <c r="D29" s="171">
        <f>SUM(D22:D28)</f>
        <v>0</v>
      </c>
      <c r="E29" s="171">
        <f>SUM(E22:E28)</f>
        <v>0</v>
      </c>
      <c r="F29" s="252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250"/>
      <c r="Y29" s="251"/>
      <c r="Z29" s="198"/>
    </row>
    <row r="30" spans="2:26" ht="16" thickBot="1" x14ac:dyDescent="0.25">
      <c r="B30" s="556">
        <v>45660</v>
      </c>
      <c r="C30" s="557"/>
      <c r="D30" s="558"/>
      <c r="E30" s="558"/>
      <c r="F30" s="146"/>
      <c r="G30" s="146">
        <v>704.64</v>
      </c>
      <c r="H30" s="146"/>
      <c r="I30" s="246"/>
      <c r="J30" s="146"/>
      <c r="K30" s="146"/>
      <c r="L30" s="146"/>
      <c r="M30" s="146"/>
      <c r="N30" s="146"/>
      <c r="O30" s="146"/>
      <c r="P30" s="146"/>
      <c r="Q30" s="8">
        <v>469.89</v>
      </c>
      <c r="R30" s="8"/>
      <c r="S30" s="146"/>
      <c r="T30" s="204"/>
      <c r="U30" s="146"/>
      <c r="V30" s="146"/>
      <c r="W30" s="146"/>
      <c r="X30" s="247"/>
      <c r="Y30" s="559">
        <f>SUM(F30:W33)</f>
        <v>1174.53</v>
      </c>
      <c r="Z30" s="560">
        <f>B30</f>
        <v>45660</v>
      </c>
    </row>
    <row r="31" spans="2:26" ht="16" thickBot="1" x14ac:dyDescent="0.25">
      <c r="B31" s="206" t="s">
        <v>24</v>
      </c>
      <c r="C31" s="6"/>
      <c r="D31" s="146"/>
      <c r="E31" s="146"/>
      <c r="F31" s="14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50"/>
      <c r="Y31" s="639"/>
      <c r="Z31" s="196"/>
    </row>
    <row r="32" spans="2:26" ht="16" thickBot="1" x14ac:dyDescent="0.25">
      <c r="B32" s="206"/>
      <c r="C32" s="6"/>
      <c r="D32" s="146"/>
      <c r="E32" s="146"/>
      <c r="F32" s="146"/>
      <c r="G32" s="146"/>
      <c r="H32" s="146"/>
      <c r="I32" s="246"/>
      <c r="J32" s="146"/>
      <c r="K32" s="146"/>
      <c r="L32" s="146"/>
      <c r="M32" s="146"/>
      <c r="N32" s="146"/>
      <c r="O32" s="146"/>
      <c r="P32" s="146"/>
      <c r="Q32" s="8"/>
      <c r="R32" s="8"/>
      <c r="S32" s="146"/>
      <c r="T32" s="204"/>
      <c r="U32" s="146"/>
      <c r="V32" s="146"/>
      <c r="W32" s="146"/>
      <c r="X32" s="247"/>
      <c r="Y32" s="639"/>
      <c r="Z32" s="196"/>
    </row>
    <row r="33" spans="2:26" ht="16" thickBot="1" x14ac:dyDescent="0.25">
      <c r="B33" s="197"/>
      <c r="C33" s="137"/>
      <c r="D33" s="1">
        <f>SUM(D30:D32)</f>
        <v>0</v>
      </c>
      <c r="E33" s="1">
        <f>SUM(E30:E32)</f>
        <v>0</v>
      </c>
      <c r="F33" s="2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250"/>
      <c r="Y33" s="251"/>
      <c r="Z33" s="198"/>
    </row>
    <row r="34" spans="2:26" ht="16" thickBot="1" x14ac:dyDescent="0.25">
      <c r="B34" s="127">
        <v>45661</v>
      </c>
      <c r="C34" s="6"/>
      <c r="D34" s="146"/>
      <c r="E34" s="146"/>
      <c r="F34" s="146">
        <v>1500</v>
      </c>
      <c r="G34" s="146">
        <v>750</v>
      </c>
      <c r="H34" s="146"/>
      <c r="I34" s="246"/>
      <c r="J34" s="146"/>
      <c r="K34" s="146"/>
      <c r="L34" s="146">
        <v>5716.55</v>
      </c>
      <c r="M34" s="146"/>
      <c r="N34" s="146"/>
      <c r="O34" s="146">
        <f>11710+6300</f>
        <v>18010</v>
      </c>
      <c r="P34" s="146"/>
      <c r="Q34" s="8">
        <v>209.93</v>
      </c>
      <c r="R34" s="8"/>
      <c r="S34" s="146"/>
      <c r="T34" s="204"/>
      <c r="U34" s="146"/>
      <c r="V34" s="146"/>
      <c r="W34" s="146"/>
      <c r="X34" s="247"/>
      <c r="Y34" s="171">
        <f>SUM(F34:W40)</f>
        <v>26186.48</v>
      </c>
      <c r="Z34" s="196">
        <f>B34</f>
        <v>45661</v>
      </c>
    </row>
    <row r="35" spans="2:26" ht="16" thickBot="1" x14ac:dyDescent="0.25">
      <c r="B35" s="548" t="s">
        <v>25</v>
      </c>
      <c r="C35" s="6"/>
      <c r="D35" s="4"/>
      <c r="E35" s="4"/>
      <c r="F35" s="14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150"/>
      <c r="Y35" s="639"/>
      <c r="Z35" s="196" t="s">
        <v>25</v>
      </c>
    </row>
    <row r="36" spans="2:26" ht="16" thickBot="1" x14ac:dyDescent="0.25">
      <c r="B36" s="208"/>
      <c r="C36" s="6"/>
      <c r="D36" s="4"/>
      <c r="E36" s="4"/>
      <c r="F36" s="14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150"/>
      <c r="Y36" s="639"/>
      <c r="Z36" s="196"/>
    </row>
    <row r="37" spans="2:26" ht="16" thickBot="1" x14ac:dyDescent="0.25">
      <c r="B37" s="208"/>
      <c r="C37" s="6"/>
      <c r="D37" s="4"/>
      <c r="E37" s="4"/>
      <c r="F37" s="14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150"/>
      <c r="Y37" s="639"/>
      <c r="Z37" s="196"/>
    </row>
    <row r="38" spans="2:26" ht="16" thickBot="1" x14ac:dyDescent="0.25">
      <c r="B38" s="208"/>
      <c r="C38" s="6"/>
      <c r="D38" s="4"/>
      <c r="E38" s="4"/>
      <c r="F38" s="14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150"/>
      <c r="Y38" s="639"/>
      <c r="Z38" s="196"/>
    </row>
    <row r="39" spans="2:26" ht="16" thickBot="1" x14ac:dyDescent="0.25">
      <c r="B39" s="199"/>
      <c r="C39" s="7"/>
      <c r="D39" s="143"/>
      <c r="E39" s="14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148"/>
      <c r="U39" s="4"/>
      <c r="V39" s="4"/>
      <c r="W39" s="4"/>
      <c r="X39" s="150"/>
      <c r="Y39" s="10"/>
      <c r="Z39" s="196"/>
    </row>
    <row r="40" spans="2:26" ht="16" thickBot="1" x14ac:dyDescent="0.25">
      <c r="B40" s="198"/>
      <c r="C40" s="137"/>
      <c r="D40" s="9">
        <f>SUM(D34:D39)</f>
        <v>0</v>
      </c>
      <c r="E40" s="9">
        <f>SUM(E34:E39)</f>
        <v>0</v>
      </c>
      <c r="F40" s="245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254"/>
      <c r="R40" s="144"/>
      <c r="S40" s="144"/>
      <c r="T40" s="144"/>
      <c r="U40" s="144"/>
      <c r="V40" s="144"/>
      <c r="W40" s="144"/>
      <c r="X40" s="172"/>
      <c r="Y40" s="11"/>
      <c r="Z40" s="198"/>
    </row>
    <row r="41" spans="2:26" ht="16" thickBot="1" x14ac:dyDescent="0.25">
      <c r="B41" s="196">
        <v>45662</v>
      </c>
      <c r="C41" s="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253"/>
      <c r="R41" s="253"/>
      <c r="S41" s="146"/>
      <c r="T41" s="204"/>
      <c r="U41" s="146"/>
      <c r="V41" s="146"/>
      <c r="W41" s="146">
        <v>178.98</v>
      </c>
      <c r="X41" s="182" t="s">
        <v>279</v>
      </c>
      <c r="Y41" s="1">
        <f>SUM(F41:W44)</f>
        <v>408.15</v>
      </c>
      <c r="Z41" s="196">
        <f>B41</f>
        <v>45662</v>
      </c>
    </row>
    <row r="42" spans="2:26" ht="16" thickBot="1" x14ac:dyDescent="0.25">
      <c r="B42" s="198" t="s">
        <v>26</v>
      </c>
      <c r="C42" s="5"/>
      <c r="D42" s="4"/>
      <c r="E42" s="4"/>
      <c r="F42" s="4"/>
      <c r="G42" s="15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>
        <v>189.17</v>
      </c>
      <c r="X42" s="150" t="s">
        <v>411</v>
      </c>
      <c r="Y42" s="12"/>
      <c r="Z42" s="198" t="s">
        <v>26</v>
      </c>
    </row>
    <row r="43" spans="2:26" ht="16" thickBot="1" x14ac:dyDescent="0.25">
      <c r="B43" s="268"/>
      <c r="C43" s="152"/>
      <c r="D43" s="143"/>
      <c r="E43" s="14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>
        <v>40</v>
      </c>
      <c r="X43" s="150" t="s">
        <v>457</v>
      </c>
      <c r="Y43" s="10"/>
      <c r="Z43" s="268"/>
    </row>
    <row r="44" spans="2:26" ht="16" thickBot="1" x14ac:dyDescent="0.25">
      <c r="B44" s="267"/>
      <c r="C44" s="255"/>
      <c r="D44" s="1">
        <f>SUM(D41:D43)</f>
        <v>0</v>
      </c>
      <c r="E44" s="1">
        <f>SUM(E41:E43)</f>
        <v>0</v>
      </c>
      <c r="F44" s="245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72"/>
      <c r="Y44" s="248"/>
      <c r="Z44" s="268"/>
    </row>
    <row r="45" spans="2:26" x14ac:dyDescent="0.2">
      <c r="B45" s="101"/>
      <c r="C45" s="243"/>
      <c r="D45" s="242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8"/>
      <c r="Z45" s="130"/>
    </row>
    <row r="46" spans="2:26" ht="16" thickBot="1" x14ac:dyDescent="0.25">
      <c r="B46" s="101"/>
      <c r="C46" s="243"/>
      <c r="D46" s="189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2"/>
      <c r="Z46" s="128"/>
    </row>
    <row r="47" spans="2:26" ht="16" thickBot="1" x14ac:dyDescent="0.25">
      <c r="B47" s="101"/>
      <c r="C47" s="101"/>
      <c r="D47" s="105">
        <f>SUM(D44,D40,D33,D29,D21,D14,D8)</f>
        <v>0</v>
      </c>
      <c r="E47" s="105">
        <f>SUM(E44,E40,E33,E29,E21,E14,E8)</f>
        <v>0</v>
      </c>
      <c r="F47" s="104">
        <f t="shared" ref="F47:S47" si="0">SUM(F4:F46)</f>
        <v>3000</v>
      </c>
      <c r="G47" s="103">
        <f t="shared" si="0"/>
        <v>5882.62</v>
      </c>
      <c r="H47" s="103">
        <f t="shared" si="0"/>
        <v>0</v>
      </c>
      <c r="I47" s="103">
        <f t="shared" si="0"/>
        <v>0</v>
      </c>
      <c r="J47" s="103">
        <f t="shared" si="0"/>
        <v>3176</v>
      </c>
      <c r="K47" s="103">
        <f t="shared" si="0"/>
        <v>0</v>
      </c>
      <c r="L47" s="103">
        <f t="shared" si="0"/>
        <v>24625.42</v>
      </c>
      <c r="M47" s="103">
        <f t="shared" si="0"/>
        <v>0</v>
      </c>
      <c r="N47" s="103">
        <f t="shared" si="0"/>
        <v>679.8</v>
      </c>
      <c r="O47" s="103">
        <f t="shared" si="0"/>
        <v>18010</v>
      </c>
      <c r="P47" s="103">
        <f t="shared" si="0"/>
        <v>268</v>
      </c>
      <c r="Q47" s="103">
        <f t="shared" si="0"/>
        <v>1406.6000000000001</v>
      </c>
      <c r="R47" s="103">
        <f t="shared" si="0"/>
        <v>0</v>
      </c>
      <c r="S47" s="103">
        <f t="shared" si="0"/>
        <v>0</v>
      </c>
      <c r="T47" s="103"/>
      <c r="U47" s="103">
        <f>SUM(U8:U46)</f>
        <v>0</v>
      </c>
      <c r="V47" s="103">
        <f>SUM(V4:V46)</f>
        <v>0</v>
      </c>
      <c r="W47" s="103">
        <f>SUM(W4:W46)</f>
        <v>16142.56</v>
      </c>
      <c r="X47" s="153"/>
      <c r="Y47" s="155">
        <f>SUM(Y4:Y44)</f>
        <v>73190.999999999985</v>
      </c>
      <c r="Z47" s="129"/>
    </row>
    <row r="48" spans="2:26" ht="27" thickBot="1" x14ac:dyDescent="0.25">
      <c r="B48" s="101"/>
      <c r="C48" s="154" t="s">
        <v>0</v>
      </c>
      <c r="D48" s="154" t="s">
        <v>1</v>
      </c>
      <c r="E48" s="154" t="s">
        <v>2</v>
      </c>
      <c r="F48" s="154" t="s">
        <v>3</v>
      </c>
      <c r="G48" s="154" t="s">
        <v>4</v>
      </c>
      <c r="H48" s="154" t="s">
        <v>5</v>
      </c>
      <c r="I48" s="154" t="s">
        <v>6</v>
      </c>
      <c r="J48" s="154" t="s">
        <v>7</v>
      </c>
      <c r="K48" s="154" t="s">
        <v>8</v>
      </c>
      <c r="L48" s="154" t="s">
        <v>9</v>
      </c>
      <c r="M48" s="154" t="s">
        <v>309</v>
      </c>
      <c r="N48" s="154" t="s">
        <v>11</v>
      </c>
      <c r="O48" s="154" t="s">
        <v>12</v>
      </c>
      <c r="P48" s="154" t="s">
        <v>13</v>
      </c>
      <c r="Q48" s="154" t="s">
        <v>14</v>
      </c>
      <c r="R48" s="154" t="s">
        <v>15</v>
      </c>
      <c r="S48" s="154" t="s">
        <v>311</v>
      </c>
      <c r="T48" s="154" t="s">
        <v>16</v>
      </c>
      <c r="U48" s="154" t="s">
        <v>403</v>
      </c>
      <c r="V48" s="154" t="s">
        <v>17</v>
      </c>
      <c r="W48" s="154" t="s">
        <v>18</v>
      </c>
      <c r="X48" s="154"/>
      <c r="Y48" s="154" t="s">
        <v>19</v>
      </c>
      <c r="Z48" s="126"/>
    </row>
    <row r="49" spans="2:26" ht="16" thickBot="1" x14ac:dyDescent="0.25">
      <c r="B49" s="101"/>
      <c r="C49" s="101"/>
      <c r="D49" s="101"/>
      <c r="E49" s="727" t="str">
        <f>M49</f>
        <v>30 DECEMBER - 5 JANUARY 2025</v>
      </c>
      <c r="F49" s="719"/>
      <c r="G49" s="719"/>
      <c r="H49" s="720"/>
      <c r="I49" s="101"/>
      <c r="J49" s="101"/>
      <c r="K49" s="101"/>
      <c r="L49" s="101"/>
      <c r="M49" s="727" t="str">
        <f>V49</f>
        <v>30 DECEMBER - 5 JANUARY 2025</v>
      </c>
      <c r="N49" s="719"/>
      <c r="O49" s="719"/>
      <c r="P49" s="720"/>
      <c r="Q49" s="101"/>
      <c r="R49" s="101"/>
      <c r="S49" s="101"/>
      <c r="T49" s="101"/>
      <c r="U49" s="101"/>
      <c r="V49" s="727" t="str">
        <f>V2</f>
        <v>30 DECEMBER - 5 JANUARY 2025</v>
      </c>
      <c r="W49" s="719"/>
      <c r="X49" s="719"/>
      <c r="Y49" s="720"/>
      <c r="Z49" s="101"/>
    </row>
    <row r="50" spans="2:26" ht="16" thickBot="1" x14ac:dyDescent="0.25"/>
    <row r="51" spans="2:26" ht="16" thickBot="1" x14ac:dyDescent="0.25">
      <c r="E51" s="718" t="s">
        <v>466</v>
      </c>
      <c r="F51" s="719"/>
      <c r="G51" s="719"/>
      <c r="H51" s="720"/>
      <c r="K51" s="106"/>
      <c r="L51" s="106"/>
      <c r="M51" s="721" t="str">
        <f>E51</f>
        <v>6 - 12 JANUARY 2025</v>
      </c>
      <c r="N51" s="722"/>
      <c r="O51" s="722"/>
      <c r="P51" s="723"/>
      <c r="Q51" s="106"/>
      <c r="R51" s="106"/>
      <c r="S51" s="106"/>
      <c r="T51" s="106"/>
      <c r="U51" s="106"/>
      <c r="V51" s="724" t="str">
        <f>M51</f>
        <v>6 - 12 JANUARY 2025</v>
      </c>
      <c r="W51" s="725"/>
      <c r="X51" s="725"/>
      <c r="Y51" s="726"/>
      <c r="Z51" s="106"/>
    </row>
    <row r="52" spans="2:26" ht="27" thickBot="1" x14ac:dyDescent="0.25">
      <c r="C52" s="126" t="s">
        <v>0</v>
      </c>
      <c r="D52" s="135" t="s">
        <v>1</v>
      </c>
      <c r="E52" s="258" t="s">
        <v>2</v>
      </c>
      <c r="F52" s="259" t="s">
        <v>3</v>
      </c>
      <c r="G52" s="260" t="s">
        <v>4</v>
      </c>
      <c r="H52" s="261" t="s">
        <v>5</v>
      </c>
      <c r="I52" s="262" t="s">
        <v>6</v>
      </c>
      <c r="J52" s="262" t="s">
        <v>7</v>
      </c>
      <c r="K52" s="262" t="s">
        <v>8</v>
      </c>
      <c r="L52" s="262" t="s">
        <v>9</v>
      </c>
      <c r="M52" s="262" t="s">
        <v>10</v>
      </c>
      <c r="N52" s="262" t="s">
        <v>11</v>
      </c>
      <c r="O52" s="262" t="s">
        <v>12</v>
      </c>
      <c r="P52" s="262" t="s">
        <v>13</v>
      </c>
      <c r="Q52" s="262" t="s">
        <v>14</v>
      </c>
      <c r="R52" s="262" t="s">
        <v>15</v>
      </c>
      <c r="S52" s="262" t="s">
        <v>311</v>
      </c>
      <c r="T52" s="262" t="s">
        <v>16</v>
      </c>
      <c r="U52" s="154" t="s">
        <v>403</v>
      </c>
      <c r="V52" s="263" t="s">
        <v>17</v>
      </c>
      <c r="W52" s="263" t="s">
        <v>18</v>
      </c>
      <c r="X52" s="264"/>
      <c r="Y52" s="265" t="s">
        <v>19</v>
      </c>
      <c r="Z52" s="266"/>
    </row>
    <row r="53" spans="2:26" ht="16" thickBot="1" x14ac:dyDescent="0.25">
      <c r="B53" s="196">
        <v>45663</v>
      </c>
      <c r="C53" s="136"/>
      <c r="D53" s="139"/>
      <c r="E53" s="139"/>
      <c r="F53" s="139"/>
      <c r="G53" s="139">
        <v>575.17999999999995</v>
      </c>
      <c r="H53" s="139"/>
      <c r="I53" s="139"/>
      <c r="J53" s="139"/>
      <c r="K53" s="139">
        <v>575</v>
      </c>
      <c r="L53" s="139">
        <v>6021.55</v>
      </c>
      <c r="M53" s="139"/>
      <c r="N53" s="139">
        <v>1733.8</v>
      </c>
      <c r="O53" s="139">
        <v>12725</v>
      </c>
      <c r="P53" s="139"/>
      <c r="Q53" s="139">
        <v>299.89999999999998</v>
      </c>
      <c r="R53" s="139"/>
      <c r="S53" s="139"/>
      <c r="T53" s="140"/>
      <c r="U53" s="139"/>
      <c r="V53" s="139">
        <v>2472</v>
      </c>
      <c r="W53" s="139">
        <v>289</v>
      </c>
      <c r="X53" s="141" t="s">
        <v>467</v>
      </c>
      <c r="Y53" s="239">
        <f>SUM(F53:X57)</f>
        <v>25261.43</v>
      </c>
      <c r="Z53" s="269">
        <f>B53</f>
        <v>45663</v>
      </c>
    </row>
    <row r="54" spans="2:26" ht="16" thickBot="1" x14ac:dyDescent="0.25">
      <c r="B54" s="196" t="s">
        <v>20</v>
      </c>
      <c r="C54" s="203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204"/>
      <c r="U54" s="146"/>
      <c r="V54" s="146"/>
      <c r="W54" s="146">
        <v>570</v>
      </c>
      <c r="X54" s="182" t="s">
        <v>396</v>
      </c>
      <c r="Y54" s="191"/>
      <c r="Z54" s="196" t="s">
        <v>20</v>
      </c>
    </row>
    <row r="55" spans="2:26" ht="16" thickBot="1" x14ac:dyDescent="0.25">
      <c r="B55" s="196"/>
      <c r="C55" s="203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204"/>
      <c r="U55" s="146"/>
      <c r="V55" s="146"/>
      <c r="W55" s="146"/>
      <c r="X55" s="182"/>
      <c r="Y55" s="191"/>
      <c r="Z55" s="196"/>
    </row>
    <row r="56" spans="2:26" ht="16" thickBot="1" x14ac:dyDescent="0.25">
      <c r="B56" s="206"/>
      <c r="C56" s="632"/>
      <c r="D56" s="4"/>
      <c r="E56" s="4"/>
      <c r="F56" s="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633"/>
      <c r="U56" s="8"/>
      <c r="V56" s="8"/>
      <c r="W56" s="8"/>
      <c r="X56" s="634"/>
      <c r="Y56" s="635"/>
      <c r="Z56" s="196"/>
    </row>
    <row r="57" spans="2:26" ht="16" thickBot="1" x14ac:dyDescent="0.25">
      <c r="B57" s="197"/>
      <c r="C57" s="137"/>
      <c r="D57" s="171">
        <f>SUM(D53:D55)</f>
        <v>0</v>
      </c>
      <c r="E57" s="658">
        <f>SUM(E53:E55)</f>
        <v>0</v>
      </c>
      <c r="F57" s="659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5"/>
      <c r="Y57" s="138"/>
      <c r="Z57" s="198"/>
    </row>
    <row r="58" spans="2:26" ht="16" thickBot="1" x14ac:dyDescent="0.25">
      <c r="B58" s="196">
        <v>45664</v>
      </c>
      <c r="C58" s="6"/>
      <c r="D58" s="146"/>
      <c r="E58" s="146"/>
      <c r="F58" s="139"/>
      <c r="G58" s="139">
        <f>804.52+1500+79+79+400</f>
        <v>2862.52</v>
      </c>
      <c r="H58" s="139"/>
      <c r="I58" s="139">
        <v>28014</v>
      </c>
      <c r="J58" s="574"/>
      <c r="K58" s="139"/>
      <c r="L58" s="139">
        <v>7522.57</v>
      </c>
      <c r="M58" s="139"/>
      <c r="N58" s="139"/>
      <c r="O58" s="139"/>
      <c r="P58" s="139"/>
      <c r="Q58" s="139"/>
      <c r="R58" s="139"/>
      <c r="S58" s="139"/>
      <c r="T58" s="140"/>
      <c r="U58" s="139"/>
      <c r="V58" s="139"/>
      <c r="W58" s="139">
        <f>258.35</f>
        <v>258.35000000000002</v>
      </c>
      <c r="X58" s="575" t="s">
        <v>472</v>
      </c>
      <c r="Y58" s="238">
        <f>SUM(F58:W63)</f>
        <v>44910.399999999994</v>
      </c>
      <c r="Z58" s="196">
        <f>B58</f>
        <v>45664</v>
      </c>
    </row>
    <row r="59" spans="2:26" ht="16" thickBot="1" x14ac:dyDescent="0.25">
      <c r="B59" s="196" t="s">
        <v>21</v>
      </c>
      <c r="C59" s="6"/>
      <c r="D59" s="146"/>
      <c r="E59" s="146"/>
      <c r="F59" s="4"/>
      <c r="G59" s="4"/>
      <c r="H59" s="4"/>
      <c r="I59" s="4"/>
      <c r="J59" s="149"/>
      <c r="K59" s="4"/>
      <c r="L59" s="4"/>
      <c r="M59" s="4"/>
      <c r="N59" s="4"/>
      <c r="O59" s="4"/>
      <c r="P59" s="4"/>
      <c r="Q59" s="4"/>
      <c r="R59" s="4"/>
      <c r="S59" s="4"/>
      <c r="T59" s="148"/>
      <c r="U59" s="4"/>
      <c r="V59" s="4"/>
      <c r="W59" s="4">
        <v>51</v>
      </c>
      <c r="X59" s="142" t="s">
        <v>473</v>
      </c>
      <c r="Y59" s="191"/>
      <c r="Z59" s="196" t="s">
        <v>21</v>
      </c>
    </row>
    <row r="60" spans="2:26" ht="16" thickBot="1" x14ac:dyDescent="0.25">
      <c r="B60" s="196"/>
      <c r="C60" s="6"/>
      <c r="D60" s="4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78"/>
      <c r="U60" s="12"/>
      <c r="V60" s="12"/>
      <c r="W60" s="146">
        <v>115</v>
      </c>
      <c r="X60" s="147" t="s">
        <v>473</v>
      </c>
      <c r="Y60" s="191"/>
      <c r="Z60" s="196"/>
    </row>
    <row r="61" spans="2:26" ht="16" thickBot="1" x14ac:dyDescent="0.25">
      <c r="B61" s="662"/>
      <c r="C61" s="57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179"/>
      <c r="U61" s="4"/>
      <c r="V61" s="4"/>
      <c r="W61" s="4">
        <v>86.96</v>
      </c>
      <c r="X61" s="142" t="s">
        <v>474</v>
      </c>
      <c r="Y61" s="643"/>
      <c r="Z61" s="196"/>
    </row>
    <row r="62" spans="2:26" ht="16" thickBot="1" x14ac:dyDescent="0.25">
      <c r="B62" s="662"/>
      <c r="C62" s="57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79"/>
      <c r="U62" s="4"/>
      <c r="V62" s="4"/>
      <c r="W62" s="4">
        <v>6000</v>
      </c>
      <c r="X62" s="142" t="s">
        <v>435</v>
      </c>
      <c r="Y62" s="643"/>
      <c r="Z62" s="196"/>
    </row>
    <row r="63" spans="2:26" ht="16" thickBot="1" x14ac:dyDescent="0.25">
      <c r="B63" s="476"/>
      <c r="C63" s="663"/>
      <c r="D63" s="664">
        <f>SUM(D58:D60)</f>
        <v>0</v>
      </c>
      <c r="E63" s="664">
        <f>SUM(E58:E60)</f>
        <v>0</v>
      </c>
      <c r="F63" s="66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642"/>
      <c r="U63" s="642"/>
      <c r="V63" s="642"/>
      <c r="W63" s="8"/>
      <c r="X63" s="666"/>
      <c r="Y63" s="571"/>
      <c r="Z63" s="198"/>
    </row>
    <row r="64" spans="2:26" ht="16" thickBot="1" x14ac:dyDescent="0.25">
      <c r="B64" s="570">
        <v>45665</v>
      </c>
      <c r="C64" s="573"/>
      <c r="D64" s="139"/>
      <c r="E64" s="139"/>
      <c r="F64" s="4"/>
      <c r="G64" s="4">
        <v>800</v>
      </c>
      <c r="H64" s="4"/>
      <c r="I64" s="688"/>
      <c r="J64" s="4"/>
      <c r="K64" s="4"/>
      <c r="L64" s="4"/>
      <c r="M64" s="4"/>
      <c r="N64" s="4"/>
      <c r="O64" s="4"/>
      <c r="P64" s="4"/>
      <c r="Q64" s="4"/>
      <c r="R64" s="4"/>
      <c r="S64" s="4"/>
      <c r="T64" s="148"/>
      <c r="U64" s="4"/>
      <c r="V64" s="4"/>
      <c r="W64" s="4"/>
      <c r="X64" s="689"/>
      <c r="Y64" s="576">
        <f>SUM(F64:X70)</f>
        <v>800</v>
      </c>
      <c r="Z64" s="464">
        <f>B64</f>
        <v>45665</v>
      </c>
    </row>
    <row r="65" spans="2:26" ht="16" thickBot="1" x14ac:dyDescent="0.25">
      <c r="B65" s="570" t="s">
        <v>22</v>
      </c>
      <c r="C65" s="572"/>
      <c r="D65" s="4"/>
      <c r="E65" s="4"/>
      <c r="F65" s="4"/>
      <c r="G65" s="4"/>
      <c r="H65" s="4"/>
      <c r="I65" s="4"/>
      <c r="J65" s="149"/>
      <c r="K65" s="4"/>
      <c r="L65" s="4"/>
      <c r="M65" s="4"/>
      <c r="N65" s="4"/>
      <c r="O65" s="4"/>
      <c r="P65" s="4"/>
      <c r="Q65" s="4"/>
      <c r="R65" s="4"/>
      <c r="S65" s="4"/>
      <c r="T65" s="148"/>
      <c r="U65" s="4"/>
      <c r="V65" s="4"/>
      <c r="W65" s="4"/>
      <c r="X65" s="142"/>
      <c r="Y65" s="638"/>
      <c r="Z65" s="464"/>
    </row>
    <row r="66" spans="2:26" ht="16" thickBot="1" x14ac:dyDescent="0.25">
      <c r="B66" s="570"/>
      <c r="C66" s="572"/>
      <c r="D66" s="4"/>
      <c r="E66" s="4"/>
      <c r="F66" s="4"/>
      <c r="G66" s="4"/>
      <c r="H66" s="4"/>
      <c r="I66" s="4"/>
      <c r="J66" s="149"/>
      <c r="K66" s="4"/>
      <c r="L66" s="4"/>
      <c r="M66" s="4"/>
      <c r="N66" s="4"/>
      <c r="O66" s="4"/>
      <c r="P66" s="4"/>
      <c r="Q66" s="4"/>
      <c r="R66" s="4"/>
      <c r="S66" s="4"/>
      <c r="T66" s="148"/>
      <c r="U66" s="4"/>
      <c r="V66" s="4"/>
      <c r="W66" s="4"/>
      <c r="X66" s="142"/>
      <c r="Y66" s="638"/>
      <c r="Z66" s="464"/>
    </row>
    <row r="67" spans="2:26" ht="16" thickBot="1" x14ac:dyDescent="0.25">
      <c r="B67" s="570"/>
      <c r="C67" s="572"/>
      <c r="D67" s="4"/>
      <c r="E67" s="4"/>
      <c r="F67" s="4"/>
      <c r="G67" s="4"/>
      <c r="H67" s="4"/>
      <c r="I67" s="4"/>
      <c r="J67" s="149"/>
      <c r="K67" s="4"/>
      <c r="L67" s="4"/>
      <c r="M67" s="4"/>
      <c r="N67" s="4"/>
      <c r="O67" s="4"/>
      <c r="P67" s="4"/>
      <c r="Q67" s="4"/>
      <c r="R67" s="4"/>
      <c r="S67" s="4"/>
      <c r="T67" s="148"/>
      <c r="U67" s="4"/>
      <c r="V67" s="4"/>
      <c r="W67" s="4"/>
      <c r="X67" s="142"/>
      <c r="Y67" s="638"/>
      <c r="Z67" s="464"/>
    </row>
    <row r="68" spans="2:26" ht="16" thickBot="1" x14ac:dyDescent="0.25">
      <c r="B68" s="570"/>
      <c r="C68" s="572"/>
      <c r="D68" s="4"/>
      <c r="E68" s="4"/>
      <c r="F68" s="4"/>
      <c r="G68" s="4"/>
      <c r="H68" s="4"/>
      <c r="I68" s="4"/>
      <c r="J68" s="149"/>
      <c r="K68" s="4"/>
      <c r="L68" s="4"/>
      <c r="M68" s="4"/>
      <c r="N68" s="4"/>
      <c r="O68" s="4"/>
      <c r="P68" s="4"/>
      <c r="Q68" s="4"/>
      <c r="R68" s="4"/>
      <c r="S68" s="4"/>
      <c r="T68" s="148"/>
      <c r="U68" s="4"/>
      <c r="V68" s="4"/>
      <c r="W68" s="4"/>
      <c r="X68" s="142"/>
      <c r="Y68" s="638"/>
      <c r="Z68" s="464"/>
    </row>
    <row r="69" spans="2:26" ht="16" thickBot="1" x14ac:dyDescent="0.25">
      <c r="B69" s="570"/>
      <c r="C69" s="572"/>
      <c r="D69" s="4"/>
      <c r="E69" s="4"/>
      <c r="F69" s="4"/>
      <c r="G69" s="4"/>
      <c r="H69" s="4"/>
      <c r="I69" s="4"/>
      <c r="J69" s="149"/>
      <c r="K69" s="4"/>
      <c r="L69" s="4"/>
      <c r="M69" s="4"/>
      <c r="N69" s="4"/>
      <c r="O69" s="4"/>
      <c r="P69" s="4"/>
      <c r="Q69" s="4"/>
      <c r="R69" s="4"/>
      <c r="S69" s="4"/>
      <c r="T69" s="148"/>
      <c r="U69" s="4"/>
      <c r="V69" s="4"/>
      <c r="W69" s="4"/>
      <c r="X69" s="142"/>
      <c r="Y69" s="638"/>
      <c r="Z69" s="464"/>
    </row>
    <row r="70" spans="2:26" ht="16" thickBot="1" x14ac:dyDescent="0.25">
      <c r="B70" s="197"/>
      <c r="C70" s="257"/>
      <c r="D70" s="171">
        <f>SUM(D64:D69)</f>
        <v>0</v>
      </c>
      <c r="E70" s="171">
        <f>SUM(E64:E69)</f>
        <v>0</v>
      </c>
      <c r="F70" s="245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72"/>
      <c r="Y70" s="241"/>
      <c r="Z70" s="465"/>
    </row>
    <row r="71" spans="2:26" ht="16" thickBot="1" x14ac:dyDescent="0.25">
      <c r="B71" s="196">
        <v>45666</v>
      </c>
      <c r="C71" s="207"/>
      <c r="D71" s="8"/>
      <c r="E71" s="146"/>
      <c r="F71" s="146"/>
      <c r="G71" s="146">
        <f>999.22+79+79</f>
        <v>1157.22</v>
      </c>
      <c r="H71" s="146"/>
      <c r="I71" s="246"/>
      <c r="J71" s="146"/>
      <c r="K71" s="146"/>
      <c r="L71" s="146">
        <v>6691.45</v>
      </c>
      <c r="M71" s="146"/>
      <c r="N71" s="146"/>
      <c r="O71" s="146"/>
      <c r="P71" s="146"/>
      <c r="Q71" s="8">
        <v>299.89999999999998</v>
      </c>
      <c r="R71" s="8"/>
      <c r="S71" s="146"/>
      <c r="T71" s="204"/>
      <c r="U71" s="146"/>
      <c r="V71" s="146"/>
      <c r="W71" s="146">
        <v>25</v>
      </c>
      <c r="X71" s="247" t="s">
        <v>499</v>
      </c>
      <c r="Y71" s="171">
        <f>SUM(F71:W78)</f>
        <v>20124.8</v>
      </c>
      <c r="Z71" s="196">
        <f>B71</f>
        <v>45666</v>
      </c>
    </row>
    <row r="72" spans="2:26" ht="16" thickBot="1" x14ac:dyDescent="0.25">
      <c r="B72" s="196" t="s">
        <v>23</v>
      </c>
      <c r="C72" s="7"/>
      <c r="D72" s="4"/>
      <c r="E72" s="146"/>
      <c r="F72" s="146"/>
      <c r="G72" s="146"/>
      <c r="H72" s="146"/>
      <c r="I72" s="463"/>
      <c r="J72" s="146"/>
      <c r="K72" s="146"/>
      <c r="L72" s="146"/>
      <c r="M72" s="146"/>
      <c r="N72" s="146"/>
      <c r="O72" s="146"/>
      <c r="P72" s="146"/>
      <c r="Q72" s="4"/>
      <c r="R72" s="4"/>
      <c r="S72" s="146"/>
      <c r="T72" s="204"/>
      <c r="U72" s="146"/>
      <c r="V72" s="146"/>
      <c r="W72" s="146">
        <f>27.99+94.99</f>
        <v>122.97999999999999</v>
      </c>
      <c r="X72" s="247" t="s">
        <v>279</v>
      </c>
      <c r="Y72" s="240"/>
      <c r="Z72" s="196"/>
    </row>
    <row r="73" spans="2:26" ht="16" thickBot="1" x14ac:dyDescent="0.25">
      <c r="B73" s="196"/>
      <c r="C73" s="7"/>
      <c r="D73" s="4"/>
      <c r="E73" s="146"/>
      <c r="F73" s="146"/>
      <c r="G73" s="146"/>
      <c r="H73" s="146"/>
      <c r="I73" s="463"/>
      <c r="J73" s="146"/>
      <c r="K73" s="146"/>
      <c r="L73" s="146"/>
      <c r="M73" s="146"/>
      <c r="N73" s="146"/>
      <c r="O73" s="146"/>
      <c r="P73" s="146"/>
      <c r="Q73" s="4"/>
      <c r="R73" s="4"/>
      <c r="S73" s="146"/>
      <c r="T73" s="204"/>
      <c r="U73" s="146"/>
      <c r="V73" s="146"/>
      <c r="W73" s="146">
        <v>7587.25</v>
      </c>
      <c r="X73" s="247" t="s">
        <v>343</v>
      </c>
      <c r="Y73" s="4"/>
      <c r="Z73" s="464"/>
    </row>
    <row r="74" spans="2:26" ht="16" thickBot="1" x14ac:dyDescent="0.25">
      <c r="B74" s="196"/>
      <c r="C74" s="7"/>
      <c r="D74" s="4"/>
      <c r="E74" s="146"/>
      <c r="F74" s="146"/>
      <c r="G74" s="146"/>
      <c r="H74" s="146"/>
      <c r="I74" s="463"/>
      <c r="J74" s="146"/>
      <c r="K74" s="146"/>
      <c r="L74" s="146"/>
      <c r="M74" s="146"/>
      <c r="N74" s="146"/>
      <c r="O74" s="146"/>
      <c r="P74" s="146"/>
      <c r="Q74" s="4"/>
      <c r="R74" s="4"/>
      <c r="S74" s="146"/>
      <c r="T74" s="204"/>
      <c r="U74" s="146"/>
      <c r="V74" s="146"/>
      <c r="W74" s="146">
        <v>4241</v>
      </c>
      <c r="X74" s="247" t="s">
        <v>500</v>
      </c>
      <c r="Y74" s="4"/>
      <c r="Z74" s="464"/>
    </row>
    <row r="75" spans="2:26" ht="16" thickBot="1" x14ac:dyDescent="0.25">
      <c r="B75" s="198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150"/>
      <c r="Y75" s="4"/>
      <c r="Z75" s="465" t="s">
        <v>23</v>
      </c>
    </row>
    <row r="76" spans="2:26" ht="16" thickBot="1" x14ac:dyDescent="0.25">
      <c r="B76" s="476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150"/>
      <c r="Y76" s="10"/>
      <c r="Z76" s="465"/>
    </row>
    <row r="77" spans="2:26" ht="16" thickBot="1" x14ac:dyDescent="0.25">
      <c r="B77" s="476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150"/>
      <c r="Y77" s="10"/>
      <c r="Z77" s="465"/>
    </row>
    <row r="78" spans="2:26" ht="16" thickBot="1" x14ac:dyDescent="0.25">
      <c r="B78" s="197"/>
      <c r="C78" s="249"/>
      <c r="D78" s="171">
        <f>SUM(D71:D77)</f>
        <v>0</v>
      </c>
      <c r="E78" s="171">
        <f>SUM(E71:E77)</f>
        <v>0</v>
      </c>
      <c r="F78" s="252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250"/>
      <c r="Y78" s="251"/>
      <c r="Z78" s="198"/>
    </row>
    <row r="79" spans="2:26" ht="16" thickBot="1" x14ac:dyDescent="0.25">
      <c r="B79" s="556">
        <v>45667</v>
      </c>
      <c r="C79" s="557"/>
      <c r="D79" s="558"/>
      <c r="E79" s="558"/>
      <c r="F79" s="146"/>
      <c r="G79" s="146">
        <v>804.72</v>
      </c>
      <c r="H79" s="146"/>
      <c r="I79" s="246"/>
      <c r="J79" s="146"/>
      <c r="K79" s="146"/>
      <c r="L79" s="146"/>
      <c r="M79" s="146"/>
      <c r="N79" s="146"/>
      <c r="O79" s="146"/>
      <c r="P79" s="146"/>
      <c r="Q79" s="8"/>
      <c r="R79" s="8"/>
      <c r="S79" s="146"/>
      <c r="T79" s="204"/>
      <c r="U79" s="146"/>
      <c r="V79" s="146"/>
      <c r="W79" s="146"/>
      <c r="X79" s="247"/>
      <c r="Y79" s="559">
        <f>SUM(F79:W82)</f>
        <v>804.72</v>
      </c>
      <c r="Z79" s="560">
        <f>B79</f>
        <v>45667</v>
      </c>
    </row>
    <row r="80" spans="2:26" ht="16" thickBot="1" x14ac:dyDescent="0.25">
      <c r="B80" s="206" t="s">
        <v>24</v>
      </c>
      <c r="C80" s="6"/>
      <c r="D80" s="146"/>
      <c r="E80" s="146"/>
      <c r="F80" s="14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150"/>
      <c r="Y80" s="639"/>
      <c r="Z80" s="196"/>
    </row>
    <row r="81" spans="2:26" ht="16" thickBot="1" x14ac:dyDescent="0.25">
      <c r="B81" s="206"/>
      <c r="C81" s="6"/>
      <c r="D81" s="146"/>
      <c r="E81" s="146"/>
      <c r="F81" s="146"/>
      <c r="G81" s="146"/>
      <c r="H81" s="146"/>
      <c r="I81" s="246"/>
      <c r="J81" s="146"/>
      <c r="K81" s="146"/>
      <c r="L81" s="146"/>
      <c r="M81" s="146"/>
      <c r="N81" s="146"/>
      <c r="O81" s="146"/>
      <c r="P81" s="146"/>
      <c r="Q81" s="8"/>
      <c r="R81" s="8"/>
      <c r="S81" s="146"/>
      <c r="T81" s="204"/>
      <c r="U81" s="146"/>
      <c r="V81" s="146"/>
      <c r="W81" s="146"/>
      <c r="X81" s="247"/>
      <c r="Y81" s="639"/>
      <c r="Z81" s="196"/>
    </row>
    <row r="82" spans="2:26" ht="16" thickBot="1" x14ac:dyDescent="0.25">
      <c r="B82" s="197"/>
      <c r="C82" s="137"/>
      <c r="D82" s="1">
        <f>SUM(D79:D81)</f>
        <v>0</v>
      </c>
      <c r="E82" s="1">
        <f>SUM(E79:E81)</f>
        <v>0</v>
      </c>
      <c r="F82" s="2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250"/>
      <c r="Y82" s="251"/>
      <c r="Z82" s="198"/>
    </row>
    <row r="83" spans="2:26" ht="16" thickBot="1" x14ac:dyDescent="0.25">
      <c r="B83" s="127">
        <v>45668</v>
      </c>
      <c r="C83" s="6"/>
      <c r="D83" s="146"/>
      <c r="E83" s="146"/>
      <c r="F83" s="146"/>
      <c r="G83" s="146">
        <v>728.14</v>
      </c>
      <c r="H83" s="146"/>
      <c r="I83" s="246"/>
      <c r="J83" s="146"/>
      <c r="K83" s="146"/>
      <c r="L83" s="146"/>
      <c r="M83" s="146"/>
      <c r="N83" s="146"/>
      <c r="O83" s="146">
        <v>6700</v>
      </c>
      <c r="P83" s="146"/>
      <c r="Q83" s="8"/>
      <c r="R83" s="8"/>
      <c r="S83" s="146"/>
      <c r="T83" s="204"/>
      <c r="U83" s="146"/>
      <c r="V83" s="146"/>
      <c r="W83" s="146">
        <v>2650</v>
      </c>
      <c r="X83" s="247" t="s">
        <v>521</v>
      </c>
      <c r="Y83" s="171">
        <f>SUM(F83:W89)</f>
        <v>10078.14</v>
      </c>
      <c r="Z83" s="196">
        <f>B83</f>
        <v>45668</v>
      </c>
    </row>
    <row r="84" spans="2:26" ht="16" thickBot="1" x14ac:dyDescent="0.25">
      <c r="B84" s="548" t="s">
        <v>25</v>
      </c>
      <c r="C84" s="6"/>
      <c r="D84" s="4"/>
      <c r="E84" s="4"/>
      <c r="F84" s="14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150"/>
      <c r="Y84" s="639"/>
      <c r="Z84" s="196" t="s">
        <v>25</v>
      </c>
    </row>
    <row r="85" spans="2:26" ht="16" thickBot="1" x14ac:dyDescent="0.25">
      <c r="B85" s="208"/>
      <c r="C85" s="6"/>
      <c r="D85" s="4"/>
      <c r="E85" s="4"/>
      <c r="F85" s="14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150"/>
      <c r="Y85" s="639"/>
      <c r="Z85" s="196"/>
    </row>
    <row r="86" spans="2:26" ht="16" thickBot="1" x14ac:dyDescent="0.25">
      <c r="B86" s="208"/>
      <c r="C86" s="6"/>
      <c r="D86" s="4"/>
      <c r="E86" s="4"/>
      <c r="F86" s="14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150"/>
      <c r="Y86" s="639"/>
      <c r="Z86" s="196"/>
    </row>
    <row r="87" spans="2:26" ht="16" thickBot="1" x14ac:dyDescent="0.25">
      <c r="B87" s="208"/>
      <c r="C87" s="6"/>
      <c r="D87" s="4"/>
      <c r="E87" s="4"/>
      <c r="F87" s="14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150"/>
      <c r="Y87" s="639"/>
      <c r="Z87" s="196"/>
    </row>
    <row r="88" spans="2:26" ht="16" thickBot="1" x14ac:dyDescent="0.25">
      <c r="B88" s="199"/>
      <c r="C88" s="7"/>
      <c r="D88" s="143"/>
      <c r="E88" s="14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148"/>
      <c r="U88" s="4"/>
      <c r="V88" s="4"/>
      <c r="W88" s="4"/>
      <c r="X88" s="150"/>
      <c r="Y88" s="10"/>
      <c r="Z88" s="196"/>
    </row>
    <row r="89" spans="2:26" ht="16" thickBot="1" x14ac:dyDescent="0.25">
      <c r="B89" s="198"/>
      <c r="C89" s="137"/>
      <c r="D89" s="9">
        <f>SUM(D83:D88)</f>
        <v>0</v>
      </c>
      <c r="E89" s="9">
        <f>SUM(E83:E88)</f>
        <v>0</v>
      </c>
      <c r="F89" s="245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254"/>
      <c r="R89" s="144"/>
      <c r="S89" s="144"/>
      <c r="T89" s="144"/>
      <c r="U89" s="144"/>
      <c r="V89" s="144"/>
      <c r="W89" s="144"/>
      <c r="X89" s="172"/>
      <c r="Y89" s="11"/>
      <c r="Z89" s="198"/>
    </row>
    <row r="90" spans="2:26" ht="16" thickBot="1" x14ac:dyDescent="0.25">
      <c r="B90" s="196">
        <v>45669</v>
      </c>
      <c r="C90" s="6"/>
      <c r="D90" s="146"/>
      <c r="E90" s="146"/>
      <c r="F90" s="146">
        <v>1500</v>
      </c>
      <c r="G90" s="146"/>
      <c r="H90" s="146"/>
      <c r="I90" s="146"/>
      <c r="J90" s="146"/>
      <c r="K90" s="146"/>
      <c r="L90" s="146">
        <f>19.99+5010.59</f>
        <v>5030.58</v>
      </c>
      <c r="M90" s="146"/>
      <c r="N90" s="146"/>
      <c r="O90" s="146"/>
      <c r="P90" s="146"/>
      <c r="Q90" s="253">
        <v>494.83</v>
      </c>
      <c r="R90" s="253"/>
      <c r="S90" s="146"/>
      <c r="T90" s="204"/>
      <c r="U90" s="146"/>
      <c r="V90" s="146"/>
      <c r="W90" s="146">
        <v>133</v>
      </c>
      <c r="X90" s="182" t="s">
        <v>426</v>
      </c>
      <c r="Y90" s="1">
        <f>SUM(F90:W93)</f>
        <v>7158.41</v>
      </c>
      <c r="Z90" s="196">
        <f>B90</f>
        <v>45669</v>
      </c>
    </row>
    <row r="91" spans="2:26" ht="16" thickBot="1" x14ac:dyDescent="0.25">
      <c r="B91" s="198" t="s">
        <v>26</v>
      </c>
      <c r="C91" s="5"/>
      <c r="D91" s="4"/>
      <c r="E91" s="4"/>
      <c r="F91" s="4"/>
      <c r="G91" s="15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150"/>
      <c r="Y91" s="12"/>
      <c r="Z91" s="198" t="s">
        <v>26</v>
      </c>
    </row>
    <row r="92" spans="2:26" ht="16" thickBot="1" x14ac:dyDescent="0.25">
      <c r="B92" s="268"/>
      <c r="C92" s="152"/>
      <c r="D92" s="143"/>
      <c r="E92" s="14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150"/>
      <c r="Y92" s="10"/>
      <c r="Z92" s="268"/>
    </row>
    <row r="93" spans="2:26" ht="16" thickBot="1" x14ac:dyDescent="0.25">
      <c r="B93" s="267"/>
      <c r="C93" s="255"/>
      <c r="D93" s="1">
        <f>SUM(D90:D92)</f>
        <v>0</v>
      </c>
      <c r="E93" s="1">
        <f>SUM(E90:E92)</f>
        <v>0</v>
      </c>
      <c r="F93" s="245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72"/>
      <c r="Y93" s="248"/>
      <c r="Z93" s="268"/>
    </row>
    <row r="94" spans="2:26" x14ac:dyDescent="0.2">
      <c r="B94" s="101"/>
      <c r="C94" s="243"/>
      <c r="D94" s="242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8"/>
      <c r="Z94" s="130"/>
    </row>
    <row r="95" spans="2:26" ht="16" thickBot="1" x14ac:dyDescent="0.25">
      <c r="B95" s="101"/>
      <c r="C95" s="243"/>
      <c r="D95" s="189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2"/>
      <c r="Z95" s="128"/>
    </row>
    <row r="96" spans="2:26" ht="16" thickBot="1" x14ac:dyDescent="0.25">
      <c r="B96" s="101"/>
      <c r="C96" s="101"/>
      <c r="D96" s="105">
        <f>SUM(D93,D89,D82,D78,D70,D63,D57)</f>
        <v>0</v>
      </c>
      <c r="E96" s="105">
        <f>SUM(E93,E89,E82,E78,E70,E63,E57)</f>
        <v>0</v>
      </c>
      <c r="F96" s="104">
        <f t="shared" ref="F96:S96" si="1">SUM(F53:F95)</f>
        <v>1500</v>
      </c>
      <c r="G96" s="103">
        <f t="shared" si="1"/>
        <v>6927.7800000000007</v>
      </c>
      <c r="H96" s="103">
        <f t="shared" si="1"/>
        <v>0</v>
      </c>
      <c r="I96" s="103">
        <f t="shared" si="1"/>
        <v>28014</v>
      </c>
      <c r="J96" s="103">
        <f t="shared" si="1"/>
        <v>0</v>
      </c>
      <c r="K96" s="103">
        <f t="shared" si="1"/>
        <v>575</v>
      </c>
      <c r="L96" s="103">
        <f t="shared" si="1"/>
        <v>25266.15</v>
      </c>
      <c r="M96" s="103">
        <f t="shared" si="1"/>
        <v>0</v>
      </c>
      <c r="N96" s="103">
        <f t="shared" si="1"/>
        <v>1733.8</v>
      </c>
      <c r="O96" s="103">
        <f t="shared" si="1"/>
        <v>19425</v>
      </c>
      <c r="P96" s="103">
        <f t="shared" si="1"/>
        <v>0</v>
      </c>
      <c r="Q96" s="103">
        <f t="shared" si="1"/>
        <v>1094.6299999999999</v>
      </c>
      <c r="R96" s="103">
        <f t="shared" si="1"/>
        <v>0</v>
      </c>
      <c r="S96" s="103">
        <f t="shared" si="1"/>
        <v>0</v>
      </c>
      <c r="T96" s="103"/>
      <c r="U96" s="103">
        <f>SUM(U57:U95)</f>
        <v>0</v>
      </c>
      <c r="V96" s="103">
        <f>SUM(V53:V95)</f>
        <v>2472</v>
      </c>
      <c r="W96" s="103">
        <f>SUM(W53:W95)</f>
        <v>22129.54</v>
      </c>
      <c r="X96" s="153"/>
      <c r="Y96" s="155">
        <f>SUM(Y53:Y93)</f>
        <v>109137.9</v>
      </c>
      <c r="Z96" s="129"/>
    </row>
    <row r="97" spans="2:26" ht="27" thickBot="1" x14ac:dyDescent="0.25">
      <c r="B97" s="101"/>
      <c r="C97" s="154" t="s">
        <v>0</v>
      </c>
      <c r="D97" s="154" t="s">
        <v>1</v>
      </c>
      <c r="E97" s="154" t="s">
        <v>2</v>
      </c>
      <c r="F97" s="154" t="s">
        <v>3</v>
      </c>
      <c r="G97" s="154" t="s">
        <v>4</v>
      </c>
      <c r="H97" s="154" t="s">
        <v>5</v>
      </c>
      <c r="I97" s="154" t="s">
        <v>6</v>
      </c>
      <c r="J97" s="154" t="s">
        <v>7</v>
      </c>
      <c r="K97" s="154" t="s">
        <v>8</v>
      </c>
      <c r="L97" s="154" t="s">
        <v>9</v>
      </c>
      <c r="M97" s="154" t="s">
        <v>309</v>
      </c>
      <c r="N97" s="154" t="s">
        <v>11</v>
      </c>
      <c r="O97" s="154" t="s">
        <v>12</v>
      </c>
      <c r="P97" s="154" t="s">
        <v>13</v>
      </c>
      <c r="Q97" s="154" t="s">
        <v>14</v>
      </c>
      <c r="R97" s="154" t="s">
        <v>15</v>
      </c>
      <c r="S97" s="154" t="s">
        <v>311</v>
      </c>
      <c r="T97" s="154" t="s">
        <v>16</v>
      </c>
      <c r="U97" s="154" t="s">
        <v>403</v>
      </c>
      <c r="V97" s="154" t="s">
        <v>17</v>
      </c>
      <c r="W97" s="154" t="s">
        <v>18</v>
      </c>
      <c r="X97" s="154"/>
      <c r="Y97" s="154" t="s">
        <v>19</v>
      </c>
      <c r="Z97" s="126"/>
    </row>
    <row r="98" spans="2:26" ht="16" thickBot="1" x14ac:dyDescent="0.25">
      <c r="B98" s="101"/>
      <c r="C98" s="101"/>
      <c r="D98" s="101"/>
      <c r="E98" s="727" t="str">
        <f>M98</f>
        <v>6 - 12 JANUARY 2025</v>
      </c>
      <c r="F98" s="719"/>
      <c r="G98" s="719"/>
      <c r="H98" s="720"/>
      <c r="I98" s="101"/>
      <c r="J98" s="101"/>
      <c r="K98" s="101"/>
      <c r="L98" s="101"/>
      <c r="M98" s="727" t="str">
        <f>V98</f>
        <v>6 - 12 JANUARY 2025</v>
      </c>
      <c r="N98" s="719"/>
      <c r="O98" s="719"/>
      <c r="P98" s="720"/>
      <c r="Q98" s="101"/>
      <c r="R98" s="101"/>
      <c r="S98" s="101"/>
      <c r="T98" s="101"/>
      <c r="U98" s="101"/>
      <c r="V98" s="727" t="str">
        <f>V51</f>
        <v>6 - 12 JANUARY 2025</v>
      </c>
      <c r="W98" s="719"/>
      <c r="X98" s="719"/>
      <c r="Y98" s="720"/>
      <c r="Z98" s="101"/>
    </row>
    <row r="99" spans="2:26" ht="16" thickBot="1" x14ac:dyDescent="0.25"/>
    <row r="100" spans="2:26" ht="16" thickBot="1" x14ac:dyDescent="0.25">
      <c r="E100" s="718" t="s">
        <v>527</v>
      </c>
      <c r="F100" s="719"/>
      <c r="G100" s="719"/>
      <c r="H100" s="720"/>
      <c r="K100" s="106"/>
      <c r="L100" s="106"/>
      <c r="M100" s="721" t="str">
        <f>E100</f>
        <v>13 - 19 JANUARY 2025</v>
      </c>
      <c r="N100" s="722"/>
      <c r="O100" s="722"/>
      <c r="P100" s="723"/>
      <c r="Q100" s="106"/>
      <c r="R100" s="106"/>
      <c r="S100" s="106"/>
      <c r="T100" s="106"/>
      <c r="U100" s="106"/>
      <c r="V100" s="724" t="str">
        <f>M100</f>
        <v>13 - 19 JANUARY 2025</v>
      </c>
      <c r="W100" s="725"/>
      <c r="X100" s="725"/>
      <c r="Y100" s="726"/>
      <c r="Z100" s="106"/>
    </row>
    <row r="101" spans="2:26" ht="27" thickBot="1" x14ac:dyDescent="0.25">
      <c r="C101" s="126" t="s">
        <v>0</v>
      </c>
      <c r="D101" s="135" t="s">
        <v>1</v>
      </c>
      <c r="E101" s="258" t="s">
        <v>2</v>
      </c>
      <c r="F101" s="259" t="s">
        <v>3</v>
      </c>
      <c r="G101" s="260" t="s">
        <v>4</v>
      </c>
      <c r="H101" s="261" t="s">
        <v>5</v>
      </c>
      <c r="I101" s="262" t="s">
        <v>6</v>
      </c>
      <c r="J101" s="262" t="s">
        <v>7</v>
      </c>
      <c r="K101" s="262" t="s">
        <v>8</v>
      </c>
      <c r="L101" s="262" t="s">
        <v>9</v>
      </c>
      <c r="M101" s="262" t="s">
        <v>10</v>
      </c>
      <c r="N101" s="262" t="s">
        <v>11</v>
      </c>
      <c r="O101" s="262" t="s">
        <v>12</v>
      </c>
      <c r="P101" s="262" t="s">
        <v>13</v>
      </c>
      <c r="Q101" s="262" t="s">
        <v>14</v>
      </c>
      <c r="R101" s="262" t="s">
        <v>15</v>
      </c>
      <c r="S101" s="262" t="s">
        <v>311</v>
      </c>
      <c r="T101" s="262" t="s">
        <v>16</v>
      </c>
      <c r="U101" s="154" t="s">
        <v>403</v>
      </c>
      <c r="V101" s="263" t="s">
        <v>17</v>
      </c>
      <c r="W101" s="263" t="s">
        <v>18</v>
      </c>
      <c r="X101" s="264"/>
      <c r="Y101" s="265" t="s">
        <v>19</v>
      </c>
      <c r="Z101" s="266"/>
    </row>
    <row r="102" spans="2:26" ht="16" thickBot="1" x14ac:dyDescent="0.25">
      <c r="B102" s="196">
        <v>45670</v>
      </c>
      <c r="C102" s="136"/>
      <c r="D102" s="139"/>
      <c r="E102" s="139"/>
      <c r="F102" s="139"/>
      <c r="G102" s="139">
        <v>300</v>
      </c>
      <c r="H102" s="139"/>
      <c r="I102" s="139"/>
      <c r="J102" s="139"/>
      <c r="K102" s="139"/>
      <c r="L102" s="139">
        <f>1110+5383.56</f>
        <v>6493.56</v>
      </c>
      <c r="M102" s="139"/>
      <c r="N102" s="139"/>
      <c r="O102" s="139"/>
      <c r="P102" s="139"/>
      <c r="Q102" s="139">
        <v>314.91000000000003</v>
      </c>
      <c r="R102" s="139"/>
      <c r="S102" s="139"/>
      <c r="T102" s="140"/>
      <c r="U102" s="139"/>
      <c r="V102" s="139">
        <v>672</v>
      </c>
      <c r="W102" s="139">
        <v>870</v>
      </c>
      <c r="X102" s="141" t="s">
        <v>396</v>
      </c>
      <c r="Y102" s="239">
        <f>SUM(F102:X106)</f>
        <v>8650.4700000000012</v>
      </c>
      <c r="Z102" s="269">
        <f>B102</f>
        <v>45670</v>
      </c>
    </row>
    <row r="103" spans="2:26" ht="16" thickBot="1" x14ac:dyDescent="0.25">
      <c r="B103" s="196" t="s">
        <v>20</v>
      </c>
      <c r="C103" s="203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204"/>
      <c r="U103" s="146"/>
      <c r="V103" s="146"/>
      <c r="W103" s="146"/>
      <c r="X103" s="182"/>
      <c r="Y103" s="191"/>
      <c r="Z103" s="196" t="s">
        <v>20</v>
      </c>
    </row>
    <row r="104" spans="2:26" ht="16" thickBot="1" x14ac:dyDescent="0.25">
      <c r="B104" s="196"/>
      <c r="C104" s="203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204"/>
      <c r="U104" s="146"/>
      <c r="V104" s="146"/>
      <c r="W104" s="146"/>
      <c r="X104" s="182"/>
      <c r="Y104" s="191"/>
      <c r="Z104" s="196"/>
    </row>
    <row r="105" spans="2:26" ht="16" thickBot="1" x14ac:dyDescent="0.25">
      <c r="B105" s="206"/>
      <c r="C105" s="632"/>
      <c r="D105" s="4"/>
      <c r="E105" s="4"/>
      <c r="F105" s="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633"/>
      <c r="U105" s="8"/>
      <c r="V105" s="8"/>
      <c r="W105" s="8"/>
      <c r="X105" s="634"/>
      <c r="Y105" s="635"/>
      <c r="Z105" s="196"/>
    </row>
    <row r="106" spans="2:26" ht="16" thickBot="1" x14ac:dyDescent="0.25">
      <c r="B106" s="197"/>
      <c r="C106" s="137"/>
      <c r="D106" s="171">
        <f>SUM(D102:D104)</f>
        <v>0</v>
      </c>
      <c r="E106" s="658">
        <f>SUM(E102:E104)</f>
        <v>0</v>
      </c>
      <c r="F106" s="659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5"/>
      <c r="Y106" s="138"/>
      <c r="Z106" s="198"/>
    </row>
    <row r="107" spans="2:26" ht="16" thickBot="1" x14ac:dyDescent="0.25">
      <c r="B107" s="196">
        <v>45671</v>
      </c>
      <c r="C107" s="6"/>
      <c r="D107" s="146"/>
      <c r="E107" s="146"/>
      <c r="F107" s="139"/>
      <c r="G107" s="139">
        <f>300+775.96+79+79</f>
        <v>1233.96</v>
      </c>
      <c r="H107" s="139"/>
      <c r="I107" s="139"/>
      <c r="J107" s="574"/>
      <c r="K107" s="139"/>
      <c r="L107" s="139">
        <v>6880.59</v>
      </c>
      <c r="M107" s="139"/>
      <c r="N107" s="139"/>
      <c r="O107" s="139">
        <v>11325</v>
      </c>
      <c r="P107" s="139"/>
      <c r="Q107" s="139">
        <v>244.93</v>
      </c>
      <c r="R107" s="139"/>
      <c r="S107" s="139"/>
      <c r="T107" s="140"/>
      <c r="U107" s="139"/>
      <c r="V107" s="139"/>
      <c r="W107" s="139">
        <v>137</v>
      </c>
      <c r="X107" s="575" t="s">
        <v>536</v>
      </c>
      <c r="Y107" s="238">
        <f>SUM(F107:W112)</f>
        <v>27762.42</v>
      </c>
      <c r="Z107" s="196">
        <f>B107</f>
        <v>45671</v>
      </c>
    </row>
    <row r="108" spans="2:26" ht="16" thickBot="1" x14ac:dyDescent="0.25">
      <c r="B108" s="196" t="s">
        <v>21</v>
      </c>
      <c r="C108" s="6"/>
      <c r="D108" s="146"/>
      <c r="E108" s="146"/>
      <c r="F108" s="4"/>
      <c r="G108" s="4"/>
      <c r="H108" s="4"/>
      <c r="I108" s="4"/>
      <c r="J108" s="149"/>
      <c r="K108" s="4"/>
      <c r="L108" s="4"/>
      <c r="M108" s="4"/>
      <c r="N108" s="4"/>
      <c r="O108" s="4"/>
      <c r="P108" s="4"/>
      <c r="Q108" s="4"/>
      <c r="R108" s="4"/>
      <c r="S108" s="4"/>
      <c r="T108" s="148"/>
      <c r="U108" s="4"/>
      <c r="V108" s="4"/>
      <c r="W108" s="4">
        <v>60</v>
      </c>
      <c r="X108" s="142" t="s">
        <v>537</v>
      </c>
      <c r="Y108" s="191"/>
      <c r="Z108" s="196" t="s">
        <v>21</v>
      </c>
    </row>
    <row r="109" spans="2:26" ht="16" thickBot="1" x14ac:dyDescent="0.25">
      <c r="B109" s="196"/>
      <c r="C109" s="6"/>
      <c r="D109" s="4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78"/>
      <c r="U109" s="12"/>
      <c r="V109" s="12"/>
      <c r="W109" s="146">
        <v>80.94</v>
      </c>
      <c r="X109" s="147" t="s">
        <v>538</v>
      </c>
      <c r="Y109" s="191"/>
      <c r="Z109" s="196"/>
    </row>
    <row r="110" spans="2:26" ht="16" thickBot="1" x14ac:dyDescent="0.25">
      <c r="B110" s="662"/>
      <c r="C110" s="57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79"/>
      <c r="U110" s="4"/>
      <c r="V110" s="4"/>
      <c r="W110" s="4">
        <v>7800</v>
      </c>
      <c r="X110" s="142" t="s">
        <v>435</v>
      </c>
      <c r="Y110" s="643"/>
      <c r="Z110" s="196"/>
    </row>
    <row r="111" spans="2:26" ht="16" thickBot="1" x14ac:dyDescent="0.25">
      <c r="B111" s="662"/>
      <c r="C111" s="57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79"/>
      <c r="U111" s="4"/>
      <c r="V111" s="4"/>
      <c r="W111" s="4"/>
      <c r="X111" s="142"/>
      <c r="Y111" s="643"/>
      <c r="Z111" s="196"/>
    </row>
    <row r="112" spans="2:26" ht="16" thickBot="1" x14ac:dyDescent="0.25">
      <c r="B112" s="476"/>
      <c r="C112" s="663"/>
      <c r="D112" s="664">
        <f>SUM(D107:D109)</f>
        <v>0</v>
      </c>
      <c r="E112" s="664">
        <f>SUM(E107:E109)</f>
        <v>0</v>
      </c>
      <c r="F112" s="66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642"/>
      <c r="U112" s="642"/>
      <c r="V112" s="642"/>
      <c r="W112" s="8"/>
      <c r="X112" s="666"/>
      <c r="Y112" s="571"/>
      <c r="Z112" s="198"/>
    </row>
    <row r="113" spans="2:26" ht="16" thickBot="1" x14ac:dyDescent="0.25">
      <c r="B113" s="570">
        <v>45672</v>
      </c>
      <c r="C113" s="573"/>
      <c r="D113" s="139"/>
      <c r="E113" s="139"/>
      <c r="F113" s="4"/>
      <c r="G113" s="4">
        <v>850.16</v>
      </c>
      <c r="H113" s="4"/>
      <c r="I113" s="68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48"/>
      <c r="U113" s="4"/>
      <c r="V113" s="4"/>
      <c r="W113" s="4"/>
      <c r="X113" s="689"/>
      <c r="Y113" s="576">
        <f>SUM(F113:X119)</f>
        <v>850.16</v>
      </c>
      <c r="Z113" s="464">
        <f>B113</f>
        <v>45672</v>
      </c>
    </row>
    <row r="114" spans="2:26" ht="16" thickBot="1" x14ac:dyDescent="0.25">
      <c r="B114" s="570" t="s">
        <v>22</v>
      </c>
      <c r="C114" s="572"/>
      <c r="D114" s="4"/>
      <c r="E114" s="4"/>
      <c r="F114" s="4"/>
      <c r="G114" s="4"/>
      <c r="H114" s="4"/>
      <c r="I114" s="4"/>
      <c r="J114" s="149"/>
      <c r="K114" s="4"/>
      <c r="L114" s="4"/>
      <c r="M114" s="4"/>
      <c r="N114" s="4"/>
      <c r="O114" s="4"/>
      <c r="P114" s="4"/>
      <c r="Q114" s="4"/>
      <c r="R114" s="4"/>
      <c r="S114" s="4"/>
      <c r="T114" s="148"/>
      <c r="U114" s="4"/>
      <c r="V114" s="4"/>
      <c r="W114" s="4"/>
      <c r="X114" s="142"/>
      <c r="Y114" s="638"/>
      <c r="Z114" s="464"/>
    </row>
    <row r="115" spans="2:26" ht="16" thickBot="1" x14ac:dyDescent="0.25">
      <c r="B115" s="570"/>
      <c r="C115" s="572"/>
      <c r="D115" s="4"/>
      <c r="E115" s="4"/>
      <c r="F115" s="4"/>
      <c r="G115" s="4"/>
      <c r="H115" s="4"/>
      <c r="I115" s="4"/>
      <c r="J115" s="149"/>
      <c r="K115" s="4"/>
      <c r="L115" s="4"/>
      <c r="M115" s="4"/>
      <c r="N115" s="4"/>
      <c r="O115" s="4"/>
      <c r="P115" s="4"/>
      <c r="Q115" s="4"/>
      <c r="R115" s="4"/>
      <c r="S115" s="4"/>
      <c r="T115" s="148"/>
      <c r="U115" s="4"/>
      <c r="V115" s="4"/>
      <c r="W115" s="4"/>
      <c r="X115" s="142"/>
      <c r="Y115" s="638"/>
      <c r="Z115" s="464"/>
    </row>
    <row r="116" spans="2:26" ht="16" thickBot="1" x14ac:dyDescent="0.25">
      <c r="B116" s="570"/>
      <c r="C116" s="572"/>
      <c r="D116" s="4"/>
      <c r="E116" s="4"/>
      <c r="F116" s="4"/>
      <c r="G116" s="4"/>
      <c r="H116" s="4"/>
      <c r="I116" s="4"/>
      <c r="J116" s="149"/>
      <c r="K116" s="4"/>
      <c r="L116" s="4"/>
      <c r="M116" s="4"/>
      <c r="N116" s="4"/>
      <c r="O116" s="4"/>
      <c r="P116" s="4"/>
      <c r="Q116" s="4"/>
      <c r="R116" s="4"/>
      <c r="S116" s="4"/>
      <c r="T116" s="148"/>
      <c r="U116" s="4"/>
      <c r="V116" s="4"/>
      <c r="W116" s="4"/>
      <c r="X116" s="142"/>
      <c r="Y116" s="638"/>
      <c r="Z116" s="464"/>
    </row>
    <row r="117" spans="2:26" ht="16" thickBot="1" x14ac:dyDescent="0.25">
      <c r="B117" s="570"/>
      <c r="C117" s="572"/>
      <c r="D117" s="4"/>
      <c r="E117" s="4"/>
      <c r="F117" s="4"/>
      <c r="G117" s="4"/>
      <c r="H117" s="4"/>
      <c r="I117" s="4"/>
      <c r="J117" s="149"/>
      <c r="K117" s="4"/>
      <c r="L117" s="4"/>
      <c r="M117" s="4"/>
      <c r="N117" s="4"/>
      <c r="O117" s="4"/>
      <c r="P117" s="4"/>
      <c r="Q117" s="4"/>
      <c r="R117" s="4"/>
      <c r="S117" s="4"/>
      <c r="T117" s="148"/>
      <c r="U117" s="4"/>
      <c r="V117" s="4"/>
      <c r="W117" s="4"/>
      <c r="X117" s="142"/>
      <c r="Y117" s="638"/>
      <c r="Z117" s="464"/>
    </row>
    <row r="118" spans="2:26" ht="16" thickBot="1" x14ac:dyDescent="0.25">
      <c r="B118" s="570"/>
      <c r="C118" s="572"/>
      <c r="D118" s="4"/>
      <c r="E118" s="4"/>
      <c r="F118" s="4"/>
      <c r="G118" s="4"/>
      <c r="H118" s="4"/>
      <c r="I118" s="4"/>
      <c r="J118" s="149"/>
      <c r="K118" s="4"/>
      <c r="L118" s="4"/>
      <c r="M118" s="4"/>
      <c r="N118" s="4"/>
      <c r="O118" s="4"/>
      <c r="P118" s="4"/>
      <c r="Q118" s="4"/>
      <c r="R118" s="4"/>
      <c r="S118" s="4"/>
      <c r="T118" s="148"/>
      <c r="U118" s="4"/>
      <c r="V118" s="4"/>
      <c r="W118" s="4"/>
      <c r="X118" s="142"/>
      <c r="Y118" s="638"/>
      <c r="Z118" s="464"/>
    </row>
    <row r="119" spans="2:26" ht="16" thickBot="1" x14ac:dyDescent="0.25">
      <c r="B119" s="197"/>
      <c r="C119" s="257"/>
      <c r="D119" s="171">
        <f>SUM(D113:D118)</f>
        <v>0</v>
      </c>
      <c r="E119" s="171">
        <f>SUM(E113:E118)</f>
        <v>0</v>
      </c>
      <c r="F119" s="245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72"/>
      <c r="Y119" s="241"/>
      <c r="Z119" s="465"/>
    </row>
    <row r="120" spans="2:26" ht="16" thickBot="1" x14ac:dyDescent="0.25">
      <c r="B120" s="196">
        <v>45673</v>
      </c>
      <c r="C120" s="207"/>
      <c r="D120" s="8"/>
      <c r="E120" s="146"/>
      <c r="F120" s="146"/>
      <c r="G120" s="146"/>
      <c r="H120" s="146"/>
      <c r="I120" s="246"/>
      <c r="J120" s="146"/>
      <c r="K120" s="146"/>
      <c r="L120" s="146">
        <v>5978.5</v>
      </c>
      <c r="M120" s="146"/>
      <c r="N120" s="146"/>
      <c r="O120" s="146"/>
      <c r="P120" s="146"/>
      <c r="Q120" s="8">
        <v>314.91000000000003</v>
      </c>
      <c r="R120" s="8"/>
      <c r="S120" s="146"/>
      <c r="T120" s="204"/>
      <c r="U120" s="146"/>
      <c r="V120" s="146"/>
      <c r="W120" s="146">
        <v>88</v>
      </c>
      <c r="X120" s="247" t="s">
        <v>551</v>
      </c>
      <c r="Y120" s="171">
        <f>SUM(F120:W127)</f>
        <v>8910.49</v>
      </c>
      <c r="Z120" s="196">
        <f>B120</f>
        <v>45673</v>
      </c>
    </row>
    <row r="121" spans="2:26" ht="16" thickBot="1" x14ac:dyDescent="0.25">
      <c r="B121" s="196" t="s">
        <v>23</v>
      </c>
      <c r="C121" s="7"/>
      <c r="D121" s="4"/>
      <c r="E121" s="146"/>
      <c r="F121" s="146"/>
      <c r="G121" s="146"/>
      <c r="H121" s="146"/>
      <c r="I121" s="463"/>
      <c r="J121" s="146"/>
      <c r="K121" s="146"/>
      <c r="L121" s="146"/>
      <c r="M121" s="146"/>
      <c r="N121" s="146"/>
      <c r="O121" s="146"/>
      <c r="P121" s="146"/>
      <c r="Q121" s="4"/>
      <c r="R121" s="4"/>
      <c r="S121" s="146"/>
      <c r="T121" s="204"/>
      <c r="U121" s="146"/>
      <c r="V121" s="146"/>
      <c r="W121" s="146">
        <v>2529.08</v>
      </c>
      <c r="X121" s="247" t="s">
        <v>343</v>
      </c>
      <c r="Y121" s="240"/>
      <c r="Z121" s="196"/>
    </row>
    <row r="122" spans="2:26" ht="16" thickBot="1" x14ac:dyDescent="0.25">
      <c r="B122" s="196"/>
      <c r="C122" s="7"/>
      <c r="D122" s="4"/>
      <c r="E122" s="146"/>
      <c r="F122" s="146"/>
      <c r="G122" s="146"/>
      <c r="H122" s="146"/>
      <c r="I122" s="463"/>
      <c r="J122" s="146"/>
      <c r="K122" s="146"/>
      <c r="L122" s="146"/>
      <c r="M122" s="146"/>
      <c r="N122" s="146"/>
      <c r="O122" s="146"/>
      <c r="P122" s="146"/>
      <c r="Q122" s="4"/>
      <c r="R122" s="4"/>
      <c r="S122" s="146"/>
      <c r="T122" s="204"/>
      <c r="U122" s="146"/>
      <c r="V122" s="146"/>
      <c r="W122" s="146"/>
      <c r="X122" s="247"/>
      <c r="Y122" s="4"/>
      <c r="Z122" s="464"/>
    </row>
    <row r="123" spans="2:26" ht="16" thickBot="1" x14ac:dyDescent="0.25">
      <c r="B123" s="196"/>
      <c r="C123" s="7"/>
      <c r="D123" s="4"/>
      <c r="E123" s="146"/>
      <c r="F123" s="146"/>
      <c r="G123" s="146"/>
      <c r="H123" s="146"/>
      <c r="I123" s="463"/>
      <c r="J123" s="146"/>
      <c r="K123" s="146"/>
      <c r="L123" s="146"/>
      <c r="M123" s="146"/>
      <c r="N123" s="146"/>
      <c r="O123" s="146"/>
      <c r="P123" s="146"/>
      <c r="Q123" s="4"/>
      <c r="R123" s="4"/>
      <c r="S123" s="146"/>
      <c r="T123" s="204"/>
      <c r="U123" s="146"/>
      <c r="V123" s="146"/>
      <c r="W123" s="146"/>
      <c r="X123" s="247"/>
      <c r="Y123" s="4"/>
      <c r="Z123" s="464"/>
    </row>
    <row r="124" spans="2:26" ht="16" thickBot="1" x14ac:dyDescent="0.25">
      <c r="B124" s="198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150"/>
      <c r="Y124" s="4"/>
      <c r="Z124" s="465" t="s">
        <v>23</v>
      </c>
    </row>
    <row r="125" spans="2:26" ht="16" thickBot="1" x14ac:dyDescent="0.25">
      <c r="B125" s="476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150"/>
      <c r="Y125" s="10"/>
      <c r="Z125" s="465"/>
    </row>
    <row r="126" spans="2:26" ht="16" thickBot="1" x14ac:dyDescent="0.25">
      <c r="B126" s="476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150"/>
      <c r="Y126" s="10"/>
      <c r="Z126" s="465"/>
    </row>
    <row r="127" spans="2:26" ht="16" thickBot="1" x14ac:dyDescent="0.25">
      <c r="B127" s="197"/>
      <c r="C127" s="249"/>
      <c r="D127" s="171">
        <f>SUM(D120:D126)</f>
        <v>0</v>
      </c>
      <c r="E127" s="171">
        <f>SUM(E120:E126)</f>
        <v>0</v>
      </c>
      <c r="F127" s="252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250"/>
      <c r="Y127" s="251"/>
      <c r="Z127" s="198"/>
    </row>
    <row r="128" spans="2:26" ht="16" thickBot="1" x14ac:dyDescent="0.25">
      <c r="B128" s="556">
        <v>45674</v>
      </c>
      <c r="C128" s="557"/>
      <c r="D128" s="558"/>
      <c r="E128" s="558"/>
      <c r="F128" s="146"/>
      <c r="G128" s="146">
        <v>800</v>
      </c>
      <c r="H128" s="146"/>
      <c r="I128" s="246"/>
      <c r="J128" s="146"/>
      <c r="K128" s="146"/>
      <c r="L128" s="146"/>
      <c r="M128" s="146"/>
      <c r="N128" s="146"/>
      <c r="O128" s="146"/>
      <c r="P128" s="146"/>
      <c r="Q128" s="8"/>
      <c r="R128" s="8"/>
      <c r="S128" s="146"/>
      <c r="T128" s="204"/>
      <c r="U128" s="146"/>
      <c r="V128" s="146"/>
      <c r="W128" s="146"/>
      <c r="X128" s="247"/>
      <c r="Y128" s="559">
        <f>SUM(F128:W131)</f>
        <v>800</v>
      </c>
      <c r="Z128" s="560">
        <f>B128</f>
        <v>45674</v>
      </c>
    </row>
    <row r="129" spans="2:26" ht="16" thickBot="1" x14ac:dyDescent="0.25">
      <c r="B129" s="206" t="s">
        <v>24</v>
      </c>
      <c r="C129" s="6"/>
      <c r="D129" s="146"/>
      <c r="E129" s="146"/>
      <c r="F129" s="14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150"/>
      <c r="Y129" s="639"/>
      <c r="Z129" s="196"/>
    </row>
    <row r="130" spans="2:26" ht="16" thickBot="1" x14ac:dyDescent="0.25">
      <c r="B130" s="206"/>
      <c r="C130" s="6"/>
      <c r="D130" s="146"/>
      <c r="E130" s="146"/>
      <c r="F130" s="146"/>
      <c r="G130" s="146"/>
      <c r="H130" s="146"/>
      <c r="I130" s="246"/>
      <c r="J130" s="146"/>
      <c r="K130" s="146"/>
      <c r="L130" s="146"/>
      <c r="M130" s="146"/>
      <c r="N130" s="146"/>
      <c r="O130" s="146"/>
      <c r="P130" s="146"/>
      <c r="Q130" s="8"/>
      <c r="R130" s="8"/>
      <c r="S130" s="146"/>
      <c r="T130" s="204"/>
      <c r="U130" s="146"/>
      <c r="V130" s="146"/>
      <c r="W130" s="146"/>
      <c r="X130" s="247"/>
      <c r="Y130" s="639"/>
      <c r="Z130" s="196"/>
    </row>
    <row r="131" spans="2:26" ht="16" thickBot="1" x14ac:dyDescent="0.25">
      <c r="B131" s="197"/>
      <c r="C131" s="137"/>
      <c r="D131" s="1">
        <f>SUM(D128:D130)</f>
        <v>0</v>
      </c>
      <c r="E131" s="1">
        <f>SUM(E128:E130)</f>
        <v>0</v>
      </c>
      <c r="F131" s="2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250"/>
      <c r="Y131" s="251"/>
      <c r="Z131" s="198"/>
    </row>
    <row r="132" spans="2:26" ht="16" thickBot="1" x14ac:dyDescent="0.25">
      <c r="B132" s="127">
        <v>45675</v>
      </c>
      <c r="C132" s="6"/>
      <c r="D132" s="146"/>
      <c r="E132" s="146"/>
      <c r="F132" s="146">
        <v>1500</v>
      </c>
      <c r="G132" s="146"/>
      <c r="H132" s="146"/>
      <c r="I132" s="246"/>
      <c r="J132" s="146"/>
      <c r="K132" s="146"/>
      <c r="L132" s="146">
        <v>6462.58</v>
      </c>
      <c r="M132" s="146"/>
      <c r="N132" s="146"/>
      <c r="O132" s="146"/>
      <c r="P132" s="146">
        <v>25.9</v>
      </c>
      <c r="Q132" s="8">
        <v>349.9</v>
      </c>
      <c r="R132" s="8"/>
      <c r="S132" s="146"/>
      <c r="T132" s="204"/>
      <c r="U132" s="146"/>
      <c r="V132" s="146"/>
      <c r="W132" s="146">
        <v>520</v>
      </c>
      <c r="X132" s="247" t="s">
        <v>500</v>
      </c>
      <c r="Y132" s="171">
        <f>SUM(F132:W138)</f>
        <v>8858.3799999999992</v>
      </c>
      <c r="Z132" s="196">
        <f>B132</f>
        <v>45675</v>
      </c>
    </row>
    <row r="133" spans="2:26" ht="16" thickBot="1" x14ac:dyDescent="0.25">
      <c r="B133" s="548" t="s">
        <v>25</v>
      </c>
      <c r="C133" s="6"/>
      <c r="D133" s="4"/>
      <c r="E133" s="4"/>
      <c r="F133" s="14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150"/>
      <c r="Y133" s="639"/>
      <c r="Z133" s="196" t="s">
        <v>25</v>
      </c>
    </row>
    <row r="134" spans="2:26" ht="16" thickBot="1" x14ac:dyDescent="0.25">
      <c r="B134" s="208"/>
      <c r="C134" s="6"/>
      <c r="D134" s="4"/>
      <c r="E134" s="4"/>
      <c r="F134" s="14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150"/>
      <c r="Y134" s="639"/>
      <c r="Z134" s="196"/>
    </row>
    <row r="135" spans="2:26" ht="16" thickBot="1" x14ac:dyDescent="0.25">
      <c r="B135" s="208"/>
      <c r="C135" s="6"/>
      <c r="D135" s="4"/>
      <c r="E135" s="4"/>
      <c r="F135" s="14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150"/>
      <c r="Y135" s="639"/>
      <c r="Z135" s="196"/>
    </row>
    <row r="136" spans="2:26" ht="16" thickBot="1" x14ac:dyDescent="0.25">
      <c r="B136" s="208"/>
      <c r="C136" s="6"/>
      <c r="D136" s="4"/>
      <c r="E136" s="4"/>
      <c r="F136" s="14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150"/>
      <c r="Y136" s="639"/>
      <c r="Z136" s="196"/>
    </row>
    <row r="137" spans="2:26" ht="16" thickBot="1" x14ac:dyDescent="0.25">
      <c r="B137" s="199"/>
      <c r="C137" s="7"/>
      <c r="D137" s="143"/>
      <c r="E137" s="14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48"/>
      <c r="U137" s="4"/>
      <c r="V137" s="4"/>
      <c r="W137" s="4"/>
      <c r="X137" s="150"/>
      <c r="Y137" s="10"/>
      <c r="Z137" s="196"/>
    </row>
    <row r="138" spans="2:26" ht="16" thickBot="1" x14ac:dyDescent="0.25">
      <c r="B138" s="198"/>
      <c r="C138" s="137"/>
      <c r="D138" s="9">
        <f>SUM(D132:D137)</f>
        <v>0</v>
      </c>
      <c r="E138" s="9">
        <f>SUM(E132:E137)</f>
        <v>0</v>
      </c>
      <c r="F138" s="245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254"/>
      <c r="R138" s="144"/>
      <c r="S138" s="144"/>
      <c r="T138" s="144"/>
      <c r="U138" s="144"/>
      <c r="V138" s="144"/>
      <c r="W138" s="144"/>
      <c r="X138" s="172"/>
      <c r="Y138" s="11"/>
      <c r="Z138" s="198"/>
    </row>
    <row r="139" spans="2:26" ht="16" thickBot="1" x14ac:dyDescent="0.25">
      <c r="B139" s="196">
        <v>45676</v>
      </c>
      <c r="C139" s="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253"/>
      <c r="R139" s="253"/>
      <c r="S139" s="146"/>
      <c r="T139" s="204"/>
      <c r="U139" s="146"/>
      <c r="V139" s="146"/>
      <c r="W139" s="146"/>
      <c r="X139" s="182"/>
      <c r="Y139" s="1">
        <f>SUM(F139:W142)</f>
        <v>0</v>
      </c>
      <c r="Z139" s="196">
        <f>B139</f>
        <v>45676</v>
      </c>
    </row>
    <row r="140" spans="2:26" ht="16" thickBot="1" x14ac:dyDescent="0.25">
      <c r="B140" s="198" t="s">
        <v>26</v>
      </c>
      <c r="C140" s="5"/>
      <c r="D140" s="4"/>
      <c r="E140" s="4"/>
      <c r="F140" s="4"/>
      <c r="G140" s="15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150"/>
      <c r="Y140" s="12"/>
      <c r="Z140" s="198" t="s">
        <v>26</v>
      </c>
    </row>
    <row r="141" spans="2:26" ht="16" thickBot="1" x14ac:dyDescent="0.25">
      <c r="B141" s="268"/>
      <c r="C141" s="152"/>
      <c r="D141" s="143"/>
      <c r="E141" s="14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150"/>
      <c r="Y141" s="10"/>
      <c r="Z141" s="268"/>
    </row>
    <row r="142" spans="2:26" ht="16" thickBot="1" x14ac:dyDescent="0.25">
      <c r="B142" s="267"/>
      <c r="C142" s="255"/>
      <c r="D142" s="1">
        <f>SUM(D139:D141)</f>
        <v>0</v>
      </c>
      <c r="E142" s="1">
        <f>SUM(E139:E141)</f>
        <v>0</v>
      </c>
      <c r="F142" s="245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72"/>
      <c r="Y142" s="248"/>
      <c r="Z142" s="268"/>
    </row>
    <row r="143" spans="2:26" x14ac:dyDescent="0.2">
      <c r="B143" s="101"/>
      <c r="C143" s="243"/>
      <c r="D143" s="242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8"/>
      <c r="Z143" s="130"/>
    </row>
    <row r="144" spans="2:26" ht="16" thickBot="1" x14ac:dyDescent="0.25">
      <c r="B144" s="101"/>
      <c r="C144" s="243"/>
      <c r="D144" s="189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2"/>
      <c r="Z144" s="128"/>
    </row>
    <row r="145" spans="2:26" ht="16" thickBot="1" x14ac:dyDescent="0.25">
      <c r="B145" s="101"/>
      <c r="C145" s="101"/>
      <c r="D145" s="105">
        <f>SUM(D142,D138,D131,D127,D119,D112,D106)</f>
        <v>0</v>
      </c>
      <c r="E145" s="105">
        <f>SUM(E142,E138,E131,E127,E119,E112,E106)</f>
        <v>0</v>
      </c>
      <c r="F145" s="104">
        <f t="shared" ref="F145:S145" si="2">SUM(F102:F144)</f>
        <v>1500</v>
      </c>
      <c r="G145" s="103">
        <f t="shared" si="2"/>
        <v>3184.12</v>
      </c>
      <c r="H145" s="103">
        <f t="shared" si="2"/>
        <v>0</v>
      </c>
      <c r="I145" s="103">
        <f t="shared" si="2"/>
        <v>0</v>
      </c>
      <c r="J145" s="103">
        <f t="shared" si="2"/>
        <v>0</v>
      </c>
      <c r="K145" s="103">
        <f t="shared" si="2"/>
        <v>0</v>
      </c>
      <c r="L145" s="103">
        <f t="shared" si="2"/>
        <v>25815.230000000003</v>
      </c>
      <c r="M145" s="103">
        <f t="shared" si="2"/>
        <v>0</v>
      </c>
      <c r="N145" s="103">
        <f t="shared" si="2"/>
        <v>0</v>
      </c>
      <c r="O145" s="103">
        <f t="shared" si="2"/>
        <v>11325</v>
      </c>
      <c r="P145" s="103">
        <f t="shared" si="2"/>
        <v>25.9</v>
      </c>
      <c r="Q145" s="103">
        <f t="shared" si="2"/>
        <v>1224.6500000000001</v>
      </c>
      <c r="R145" s="103">
        <f t="shared" si="2"/>
        <v>0</v>
      </c>
      <c r="S145" s="103">
        <f t="shared" si="2"/>
        <v>0</v>
      </c>
      <c r="T145" s="103"/>
      <c r="U145" s="103">
        <f>SUM(U106:U144)</f>
        <v>0</v>
      </c>
      <c r="V145" s="103">
        <f>SUM(V102:V144)</f>
        <v>672</v>
      </c>
      <c r="W145" s="103">
        <f>SUM(W102:W144)</f>
        <v>12085.02</v>
      </c>
      <c r="X145" s="153"/>
      <c r="Y145" s="155">
        <f>SUM(Y102:Y142)</f>
        <v>55831.92</v>
      </c>
      <c r="Z145" s="129"/>
    </row>
    <row r="146" spans="2:26" ht="27" thickBot="1" x14ac:dyDescent="0.25">
      <c r="B146" s="101"/>
      <c r="C146" s="154" t="s">
        <v>0</v>
      </c>
      <c r="D146" s="154" t="s">
        <v>1</v>
      </c>
      <c r="E146" s="154" t="s">
        <v>2</v>
      </c>
      <c r="F146" s="154" t="s">
        <v>3</v>
      </c>
      <c r="G146" s="154" t="s">
        <v>4</v>
      </c>
      <c r="H146" s="154" t="s">
        <v>5</v>
      </c>
      <c r="I146" s="154" t="s">
        <v>6</v>
      </c>
      <c r="J146" s="154" t="s">
        <v>7</v>
      </c>
      <c r="K146" s="154" t="s">
        <v>8</v>
      </c>
      <c r="L146" s="154" t="s">
        <v>9</v>
      </c>
      <c r="M146" s="154" t="s">
        <v>309</v>
      </c>
      <c r="N146" s="154" t="s">
        <v>11</v>
      </c>
      <c r="O146" s="154" t="s">
        <v>12</v>
      </c>
      <c r="P146" s="154" t="s">
        <v>13</v>
      </c>
      <c r="Q146" s="154" t="s">
        <v>14</v>
      </c>
      <c r="R146" s="154" t="s">
        <v>15</v>
      </c>
      <c r="S146" s="154" t="s">
        <v>311</v>
      </c>
      <c r="T146" s="154" t="s">
        <v>16</v>
      </c>
      <c r="U146" s="154" t="s">
        <v>403</v>
      </c>
      <c r="V146" s="154" t="s">
        <v>17</v>
      </c>
      <c r="W146" s="154" t="s">
        <v>18</v>
      </c>
      <c r="X146" s="154"/>
      <c r="Y146" s="154" t="s">
        <v>19</v>
      </c>
      <c r="Z146" s="126"/>
    </row>
    <row r="147" spans="2:26" ht="16" thickBot="1" x14ac:dyDescent="0.25">
      <c r="B147" s="101"/>
      <c r="C147" s="101"/>
      <c r="D147" s="101"/>
      <c r="E147" s="727" t="str">
        <f>M147</f>
        <v>13 - 19 JANUARY 2025</v>
      </c>
      <c r="F147" s="719"/>
      <c r="G147" s="719"/>
      <c r="H147" s="720"/>
      <c r="I147" s="101"/>
      <c r="J147" s="101"/>
      <c r="K147" s="101"/>
      <c r="L147" s="101"/>
      <c r="M147" s="727" t="str">
        <f>V147</f>
        <v>13 - 19 JANUARY 2025</v>
      </c>
      <c r="N147" s="719"/>
      <c r="O147" s="719"/>
      <c r="P147" s="720"/>
      <c r="Q147" s="101"/>
      <c r="R147" s="101"/>
      <c r="S147" s="101"/>
      <c r="T147" s="101"/>
      <c r="U147" s="101"/>
      <c r="V147" s="727" t="str">
        <f>V100</f>
        <v>13 - 19 JANUARY 2025</v>
      </c>
      <c r="W147" s="719"/>
      <c r="X147" s="719"/>
      <c r="Y147" s="720"/>
      <c r="Z147" s="101"/>
    </row>
    <row r="148" spans="2:26" ht="16" thickBot="1" x14ac:dyDescent="0.25"/>
    <row r="149" spans="2:26" ht="16" thickBot="1" x14ac:dyDescent="0.25">
      <c r="E149" s="718" t="s">
        <v>580</v>
      </c>
      <c r="F149" s="719"/>
      <c r="G149" s="719"/>
      <c r="H149" s="720"/>
      <c r="K149" s="106"/>
      <c r="L149" s="106"/>
      <c r="M149" s="721" t="str">
        <f>E149</f>
        <v>20 - 26 JANUARY 2025</v>
      </c>
      <c r="N149" s="722"/>
      <c r="O149" s="722"/>
      <c r="P149" s="723"/>
      <c r="Q149" s="106"/>
      <c r="R149" s="106"/>
      <c r="S149" s="106"/>
      <c r="T149" s="106"/>
      <c r="U149" s="106"/>
      <c r="V149" s="724" t="str">
        <f>M149</f>
        <v>20 - 26 JANUARY 2025</v>
      </c>
      <c r="W149" s="725"/>
      <c r="X149" s="725"/>
      <c r="Y149" s="726"/>
      <c r="Z149" s="106"/>
    </row>
    <row r="150" spans="2:26" ht="27" thickBot="1" x14ac:dyDescent="0.25">
      <c r="C150" s="126" t="s">
        <v>0</v>
      </c>
      <c r="D150" s="135" t="s">
        <v>1</v>
      </c>
      <c r="E150" s="258" t="s">
        <v>2</v>
      </c>
      <c r="F150" s="259" t="s">
        <v>3</v>
      </c>
      <c r="G150" s="260" t="s">
        <v>4</v>
      </c>
      <c r="H150" s="261" t="s">
        <v>5</v>
      </c>
      <c r="I150" s="262" t="s">
        <v>6</v>
      </c>
      <c r="J150" s="262" t="s">
        <v>7</v>
      </c>
      <c r="K150" s="262" t="s">
        <v>8</v>
      </c>
      <c r="L150" s="262" t="s">
        <v>9</v>
      </c>
      <c r="M150" s="262" t="s">
        <v>10</v>
      </c>
      <c r="N150" s="262" t="s">
        <v>11</v>
      </c>
      <c r="O150" s="262" t="s">
        <v>12</v>
      </c>
      <c r="P150" s="262" t="s">
        <v>13</v>
      </c>
      <c r="Q150" s="262" t="s">
        <v>14</v>
      </c>
      <c r="R150" s="262" t="s">
        <v>15</v>
      </c>
      <c r="S150" s="262" t="s">
        <v>311</v>
      </c>
      <c r="T150" s="262" t="s">
        <v>16</v>
      </c>
      <c r="U150" s="154" t="s">
        <v>403</v>
      </c>
      <c r="V150" s="263" t="s">
        <v>17</v>
      </c>
      <c r="W150" s="263" t="s">
        <v>18</v>
      </c>
      <c r="X150" s="264"/>
      <c r="Y150" s="265" t="s">
        <v>19</v>
      </c>
      <c r="Z150" s="266"/>
    </row>
    <row r="151" spans="2:26" ht="16" thickBot="1" x14ac:dyDescent="0.25">
      <c r="B151" s="196">
        <v>45677</v>
      </c>
      <c r="C151" s="136"/>
      <c r="D151" s="139"/>
      <c r="E151" s="139"/>
      <c r="F151" s="139"/>
      <c r="G151" s="139">
        <v>1501.06</v>
      </c>
      <c r="H151" s="139"/>
      <c r="I151" s="139"/>
      <c r="J151" s="139"/>
      <c r="K151" s="139"/>
      <c r="L151" s="139">
        <v>4667.6400000000003</v>
      </c>
      <c r="M151" s="139"/>
      <c r="N151" s="139"/>
      <c r="O151" s="139">
        <v>6700</v>
      </c>
      <c r="P151" s="139">
        <v>180</v>
      </c>
      <c r="Q151" s="139">
        <v>139.96</v>
      </c>
      <c r="R151" s="139"/>
      <c r="S151" s="139"/>
      <c r="T151" s="140"/>
      <c r="U151" s="139"/>
      <c r="V151" s="139"/>
      <c r="W151" s="139">
        <v>826</v>
      </c>
      <c r="X151" s="141" t="s">
        <v>396</v>
      </c>
      <c r="Y151" s="239">
        <f>SUM(F151:X155)</f>
        <v>14014.66</v>
      </c>
      <c r="Z151" s="269">
        <f>B151</f>
        <v>45677</v>
      </c>
    </row>
    <row r="152" spans="2:26" ht="16" thickBot="1" x14ac:dyDescent="0.25">
      <c r="B152" s="196" t="s">
        <v>20</v>
      </c>
      <c r="C152" s="203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204"/>
      <c r="U152" s="146"/>
      <c r="V152" s="146"/>
      <c r="W152" s="146"/>
      <c r="X152" s="182"/>
      <c r="Y152" s="191"/>
      <c r="Z152" s="196" t="s">
        <v>20</v>
      </c>
    </row>
    <row r="153" spans="2:26" ht="16" thickBot="1" x14ac:dyDescent="0.25">
      <c r="B153" s="196"/>
      <c r="C153" s="203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204"/>
      <c r="U153" s="146"/>
      <c r="V153" s="146"/>
      <c r="W153" s="146"/>
      <c r="X153" s="182"/>
      <c r="Y153" s="191"/>
      <c r="Z153" s="196"/>
    </row>
    <row r="154" spans="2:26" ht="16" thickBot="1" x14ac:dyDescent="0.25">
      <c r="B154" s="206"/>
      <c r="C154" s="632"/>
      <c r="D154" s="4"/>
      <c r="E154" s="4"/>
      <c r="F154" s="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633"/>
      <c r="U154" s="8"/>
      <c r="V154" s="8"/>
      <c r="W154" s="8"/>
      <c r="X154" s="634"/>
      <c r="Y154" s="635"/>
      <c r="Z154" s="196"/>
    </row>
    <row r="155" spans="2:26" ht="16" thickBot="1" x14ac:dyDescent="0.25">
      <c r="B155" s="197"/>
      <c r="C155" s="137"/>
      <c r="D155" s="171">
        <f>SUM(D151:D153)</f>
        <v>0</v>
      </c>
      <c r="E155" s="658">
        <f>SUM(E151:E153)</f>
        <v>0</v>
      </c>
      <c r="F155" s="659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5"/>
      <c r="Y155" s="138"/>
      <c r="Z155" s="198"/>
    </row>
    <row r="156" spans="2:26" ht="16" thickBot="1" x14ac:dyDescent="0.25">
      <c r="B156" s="196">
        <v>45678</v>
      </c>
      <c r="C156" s="6"/>
      <c r="D156" s="146"/>
      <c r="E156" s="146"/>
      <c r="F156" s="139"/>
      <c r="G156" s="139">
        <f>1119.53+79+79</f>
        <v>1277.53</v>
      </c>
      <c r="H156" s="139"/>
      <c r="I156" s="139">
        <v>24276.5</v>
      </c>
      <c r="J156" s="574"/>
      <c r="K156" s="139"/>
      <c r="L156" s="139">
        <v>3997.68</v>
      </c>
      <c r="M156" s="139"/>
      <c r="N156" s="139"/>
      <c r="O156" s="139"/>
      <c r="P156" s="139"/>
      <c r="Q156" s="139"/>
      <c r="R156" s="139"/>
      <c r="S156" s="139"/>
      <c r="T156" s="140"/>
      <c r="U156" s="139"/>
      <c r="V156" s="139"/>
      <c r="W156" s="139"/>
      <c r="X156" s="575"/>
      <c r="Y156" s="238">
        <f>SUM(F156:W161)</f>
        <v>29551.71</v>
      </c>
      <c r="Z156" s="196">
        <f>B156</f>
        <v>45678</v>
      </c>
    </row>
    <row r="157" spans="2:26" ht="16" thickBot="1" x14ac:dyDescent="0.25">
      <c r="B157" s="196" t="s">
        <v>21</v>
      </c>
      <c r="C157" s="6"/>
      <c r="D157" s="146"/>
      <c r="E157" s="146"/>
      <c r="F157" s="4"/>
      <c r="G157" s="4"/>
      <c r="H157" s="4"/>
      <c r="I157" s="4"/>
      <c r="J157" s="149"/>
      <c r="K157" s="4"/>
      <c r="L157" s="4"/>
      <c r="M157" s="4"/>
      <c r="N157" s="4"/>
      <c r="O157" s="4"/>
      <c r="P157" s="4"/>
      <c r="Q157" s="4"/>
      <c r="R157" s="4"/>
      <c r="S157" s="4"/>
      <c r="T157" s="148"/>
      <c r="U157" s="4"/>
      <c r="V157" s="4"/>
      <c r="W157" s="4"/>
      <c r="X157" s="142"/>
      <c r="Y157" s="191"/>
      <c r="Z157" s="196" t="s">
        <v>21</v>
      </c>
    </row>
    <row r="158" spans="2:26" ht="16" thickBot="1" x14ac:dyDescent="0.25">
      <c r="B158" s="196"/>
      <c r="C158" s="6"/>
      <c r="D158" s="4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78"/>
      <c r="U158" s="12"/>
      <c r="V158" s="12"/>
      <c r="W158" s="146"/>
      <c r="X158" s="147"/>
      <c r="Y158" s="191"/>
      <c r="Z158" s="196"/>
    </row>
    <row r="159" spans="2:26" ht="16" thickBot="1" x14ac:dyDescent="0.25">
      <c r="B159" s="662"/>
      <c r="C159" s="57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79"/>
      <c r="U159" s="4"/>
      <c r="V159" s="4"/>
      <c r="W159" s="4"/>
      <c r="X159" s="142"/>
      <c r="Y159" s="643"/>
      <c r="Z159" s="196"/>
    </row>
    <row r="160" spans="2:26" ht="16" thickBot="1" x14ac:dyDescent="0.25">
      <c r="B160" s="662"/>
      <c r="C160" s="57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79"/>
      <c r="U160" s="4"/>
      <c r="V160" s="4"/>
      <c r="W160" s="4"/>
      <c r="X160" s="142"/>
      <c r="Y160" s="643"/>
      <c r="Z160" s="196"/>
    </row>
    <row r="161" spans="2:26" ht="16" thickBot="1" x14ac:dyDescent="0.25">
      <c r="B161" s="476"/>
      <c r="C161" s="663"/>
      <c r="D161" s="664">
        <f>SUM(D156:D158)</f>
        <v>0</v>
      </c>
      <c r="E161" s="664">
        <f>SUM(E156:E158)</f>
        <v>0</v>
      </c>
      <c r="F161" s="66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642"/>
      <c r="U161" s="642"/>
      <c r="V161" s="642"/>
      <c r="W161" s="8"/>
      <c r="X161" s="666"/>
      <c r="Y161" s="571"/>
      <c r="Z161" s="198"/>
    </row>
    <row r="162" spans="2:26" ht="16" thickBot="1" x14ac:dyDescent="0.25">
      <c r="B162" s="570">
        <v>45679</v>
      </c>
      <c r="C162" s="573"/>
      <c r="D162" s="139"/>
      <c r="E162" s="139"/>
      <c r="F162" s="4"/>
      <c r="G162" s="4">
        <v>800</v>
      </c>
      <c r="H162" s="4"/>
      <c r="I162" s="688"/>
      <c r="J162" s="4"/>
      <c r="K162" s="4"/>
      <c r="L162" s="4"/>
      <c r="M162" s="4"/>
      <c r="N162" s="4">
        <v>1153.3</v>
      </c>
      <c r="O162" s="4"/>
      <c r="P162" s="4"/>
      <c r="Q162" s="4"/>
      <c r="R162" s="4"/>
      <c r="S162" s="4"/>
      <c r="T162" s="148"/>
      <c r="U162" s="4"/>
      <c r="V162" s="4"/>
      <c r="W162" s="4">
        <v>476.75</v>
      </c>
      <c r="X162" s="689" t="s">
        <v>592</v>
      </c>
      <c r="Y162" s="576">
        <f>SUM(F162:X168)</f>
        <v>2430.0500000000002</v>
      </c>
      <c r="Z162" s="464">
        <f>B162</f>
        <v>45679</v>
      </c>
    </row>
    <row r="163" spans="2:26" ht="16" thickBot="1" x14ac:dyDescent="0.25">
      <c r="B163" s="570" t="s">
        <v>22</v>
      </c>
      <c r="C163" s="572"/>
      <c r="D163" s="4"/>
      <c r="E163" s="4"/>
      <c r="F163" s="4"/>
      <c r="G163" s="4"/>
      <c r="H163" s="4"/>
      <c r="I163" s="4"/>
      <c r="J163" s="149"/>
      <c r="K163" s="4"/>
      <c r="L163" s="4"/>
      <c r="M163" s="4"/>
      <c r="N163" s="4"/>
      <c r="O163" s="4"/>
      <c r="P163" s="4"/>
      <c r="Q163" s="4"/>
      <c r="R163" s="4"/>
      <c r="S163" s="4"/>
      <c r="T163" s="148"/>
      <c r="U163" s="4"/>
      <c r="V163" s="4"/>
      <c r="W163" s="4"/>
      <c r="X163" s="142"/>
      <c r="Y163" s="638"/>
      <c r="Z163" s="464"/>
    </row>
    <row r="164" spans="2:26" ht="16" thickBot="1" x14ac:dyDescent="0.25">
      <c r="B164" s="570"/>
      <c r="C164" s="572"/>
      <c r="D164" s="4"/>
      <c r="E164" s="4"/>
      <c r="F164" s="4"/>
      <c r="G164" s="4"/>
      <c r="H164" s="4"/>
      <c r="I164" s="4"/>
      <c r="J164" s="149"/>
      <c r="K164" s="4"/>
      <c r="L164" s="4"/>
      <c r="M164" s="4"/>
      <c r="N164" s="4"/>
      <c r="O164" s="4"/>
      <c r="P164" s="4"/>
      <c r="Q164" s="4"/>
      <c r="R164" s="4"/>
      <c r="S164" s="4"/>
      <c r="T164" s="148"/>
      <c r="U164" s="4"/>
      <c r="V164" s="4"/>
      <c r="W164" s="4"/>
      <c r="X164" s="142"/>
      <c r="Y164" s="638"/>
      <c r="Z164" s="464"/>
    </row>
    <row r="165" spans="2:26" ht="16" thickBot="1" x14ac:dyDescent="0.25">
      <c r="B165" s="570"/>
      <c r="C165" s="572"/>
      <c r="D165" s="4"/>
      <c r="E165" s="4"/>
      <c r="F165" s="4"/>
      <c r="G165" s="4"/>
      <c r="H165" s="4"/>
      <c r="I165" s="4"/>
      <c r="J165" s="149"/>
      <c r="K165" s="4"/>
      <c r="L165" s="4"/>
      <c r="M165" s="4"/>
      <c r="N165" s="4"/>
      <c r="O165" s="4"/>
      <c r="P165" s="4"/>
      <c r="Q165" s="4"/>
      <c r="R165" s="4"/>
      <c r="S165" s="4"/>
      <c r="T165" s="148"/>
      <c r="U165" s="4"/>
      <c r="V165" s="4"/>
      <c r="W165" s="4"/>
      <c r="X165" s="142"/>
      <c r="Y165" s="638"/>
      <c r="Z165" s="464"/>
    </row>
    <row r="166" spans="2:26" ht="16" thickBot="1" x14ac:dyDescent="0.25">
      <c r="B166" s="570"/>
      <c r="C166" s="572"/>
      <c r="D166" s="4"/>
      <c r="E166" s="4"/>
      <c r="F166" s="4"/>
      <c r="G166" s="4"/>
      <c r="H166" s="4"/>
      <c r="I166" s="4"/>
      <c r="J166" s="149"/>
      <c r="K166" s="4"/>
      <c r="L166" s="4"/>
      <c r="M166" s="4"/>
      <c r="N166" s="4"/>
      <c r="O166" s="4"/>
      <c r="P166" s="4"/>
      <c r="Q166" s="4"/>
      <c r="R166" s="4"/>
      <c r="S166" s="4"/>
      <c r="T166" s="148"/>
      <c r="U166" s="4"/>
      <c r="V166" s="4"/>
      <c r="W166" s="4"/>
      <c r="X166" s="142"/>
      <c r="Y166" s="638"/>
      <c r="Z166" s="464"/>
    </row>
    <row r="167" spans="2:26" ht="16" thickBot="1" x14ac:dyDescent="0.25">
      <c r="B167" s="570"/>
      <c r="C167" s="572"/>
      <c r="D167" s="4"/>
      <c r="E167" s="4"/>
      <c r="F167" s="4"/>
      <c r="G167" s="4"/>
      <c r="H167" s="4"/>
      <c r="I167" s="4"/>
      <c r="J167" s="149"/>
      <c r="K167" s="4"/>
      <c r="L167" s="4"/>
      <c r="M167" s="4"/>
      <c r="N167" s="4"/>
      <c r="O167" s="4"/>
      <c r="P167" s="4"/>
      <c r="Q167" s="4"/>
      <c r="R167" s="4"/>
      <c r="S167" s="4"/>
      <c r="T167" s="148"/>
      <c r="U167" s="4"/>
      <c r="V167" s="4"/>
      <c r="W167" s="4"/>
      <c r="X167" s="142"/>
      <c r="Y167" s="638"/>
      <c r="Z167" s="464"/>
    </row>
    <row r="168" spans="2:26" ht="16" thickBot="1" x14ac:dyDescent="0.25">
      <c r="B168" s="197"/>
      <c r="C168" s="257"/>
      <c r="D168" s="171">
        <f>SUM(D162:D167)</f>
        <v>0</v>
      </c>
      <c r="E168" s="171">
        <f>SUM(E162:E167)</f>
        <v>0</v>
      </c>
      <c r="F168" s="245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72"/>
      <c r="Y168" s="241"/>
      <c r="Z168" s="465"/>
    </row>
    <row r="169" spans="2:26" ht="16" thickBot="1" x14ac:dyDescent="0.25">
      <c r="B169" s="196">
        <v>45680</v>
      </c>
      <c r="C169" s="207"/>
      <c r="D169" s="8"/>
      <c r="E169" s="146"/>
      <c r="F169" s="146"/>
      <c r="G169" s="146">
        <v>800</v>
      </c>
      <c r="H169" s="146"/>
      <c r="I169" s="246"/>
      <c r="J169" s="146"/>
      <c r="K169" s="146"/>
      <c r="L169" s="146">
        <v>6275.5</v>
      </c>
      <c r="M169" s="146"/>
      <c r="N169" s="146"/>
      <c r="O169" s="146">
        <v>9970</v>
      </c>
      <c r="P169" s="146">
        <v>180</v>
      </c>
      <c r="Q169" s="8">
        <v>349.9</v>
      </c>
      <c r="R169" s="8"/>
      <c r="S169" s="146">
        <v>9739.66</v>
      </c>
      <c r="T169" s="204"/>
      <c r="U169" s="146"/>
      <c r="V169" s="146"/>
      <c r="W169" s="146">
        <v>94.99</v>
      </c>
      <c r="X169" s="247" t="s">
        <v>279</v>
      </c>
      <c r="Y169" s="171">
        <f>SUM(F169:W176)</f>
        <v>27410.050000000003</v>
      </c>
      <c r="Z169" s="196">
        <f>B169</f>
        <v>45680</v>
      </c>
    </row>
    <row r="170" spans="2:26" ht="16" thickBot="1" x14ac:dyDescent="0.25">
      <c r="B170" s="196" t="s">
        <v>23</v>
      </c>
      <c r="C170" s="7"/>
      <c r="D170" s="4"/>
      <c r="E170" s="146"/>
      <c r="F170" s="146"/>
      <c r="G170" s="146"/>
      <c r="H170" s="146"/>
      <c r="I170" s="463"/>
      <c r="J170" s="146"/>
      <c r="K170" s="146"/>
      <c r="L170" s="146"/>
      <c r="M170" s="146"/>
      <c r="N170" s="146"/>
      <c r="O170" s="146"/>
      <c r="P170" s="146"/>
      <c r="Q170" s="4"/>
      <c r="R170" s="4"/>
      <c r="S170" s="146"/>
      <c r="T170" s="204"/>
      <c r="U170" s="146"/>
      <c r="V170" s="146"/>
      <c r="W170" s="146"/>
      <c r="X170" s="247"/>
      <c r="Y170" s="240"/>
      <c r="Z170" s="196"/>
    </row>
    <row r="171" spans="2:26" ht="16" thickBot="1" x14ac:dyDescent="0.25">
      <c r="B171" s="196"/>
      <c r="C171" s="7"/>
      <c r="D171" s="4"/>
      <c r="E171" s="146"/>
      <c r="F171" s="146"/>
      <c r="G171" s="146"/>
      <c r="H171" s="146"/>
      <c r="I171" s="463"/>
      <c r="J171" s="146"/>
      <c r="K171" s="146"/>
      <c r="L171" s="146"/>
      <c r="M171" s="146"/>
      <c r="N171" s="146"/>
      <c r="O171" s="146"/>
      <c r="P171" s="146"/>
      <c r="Q171" s="4"/>
      <c r="R171" s="4"/>
      <c r="S171" s="146"/>
      <c r="T171" s="204"/>
      <c r="U171" s="146"/>
      <c r="V171" s="146"/>
      <c r="W171" s="146"/>
      <c r="X171" s="247"/>
      <c r="Y171" s="4"/>
      <c r="Z171" s="464"/>
    </row>
    <row r="172" spans="2:26" ht="16" thickBot="1" x14ac:dyDescent="0.25">
      <c r="B172" s="196"/>
      <c r="C172" s="7"/>
      <c r="D172" s="4"/>
      <c r="E172" s="146"/>
      <c r="F172" s="146"/>
      <c r="G172" s="146"/>
      <c r="H172" s="146"/>
      <c r="I172" s="463"/>
      <c r="J172" s="146"/>
      <c r="K172" s="146"/>
      <c r="L172" s="146"/>
      <c r="M172" s="146"/>
      <c r="N172" s="146"/>
      <c r="O172" s="146"/>
      <c r="P172" s="146"/>
      <c r="Q172" s="4"/>
      <c r="R172" s="4"/>
      <c r="S172" s="146"/>
      <c r="T172" s="204"/>
      <c r="U172" s="146"/>
      <c r="V172" s="146"/>
      <c r="W172" s="146"/>
      <c r="X172" s="247"/>
      <c r="Y172" s="4"/>
      <c r="Z172" s="464"/>
    </row>
    <row r="173" spans="2:26" ht="16" thickBot="1" x14ac:dyDescent="0.25">
      <c r="B173" s="198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150"/>
      <c r="Y173" s="4"/>
      <c r="Z173" s="465" t="s">
        <v>23</v>
      </c>
    </row>
    <row r="174" spans="2:26" ht="16" thickBot="1" x14ac:dyDescent="0.25">
      <c r="B174" s="476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150"/>
      <c r="Y174" s="10"/>
      <c r="Z174" s="465"/>
    </row>
    <row r="175" spans="2:26" ht="16" thickBot="1" x14ac:dyDescent="0.25">
      <c r="B175" s="476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150"/>
      <c r="Y175" s="10"/>
      <c r="Z175" s="465"/>
    </row>
    <row r="176" spans="2:26" ht="16" thickBot="1" x14ac:dyDescent="0.25">
      <c r="B176" s="197"/>
      <c r="C176" s="249"/>
      <c r="D176" s="171">
        <f>SUM(D169:D175)</f>
        <v>0</v>
      </c>
      <c r="E176" s="171">
        <f>SUM(E169:E175)</f>
        <v>0</v>
      </c>
      <c r="F176" s="252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250"/>
      <c r="Y176" s="251"/>
      <c r="Z176" s="198"/>
    </row>
    <row r="177" spans="2:26" ht="16" thickBot="1" x14ac:dyDescent="0.25">
      <c r="B177" s="556">
        <v>45681</v>
      </c>
      <c r="C177" s="557"/>
      <c r="D177" s="558"/>
      <c r="E177" s="558"/>
      <c r="F177" s="146"/>
      <c r="G177" s="146">
        <f>800+1087.95</f>
        <v>1887.95</v>
      </c>
      <c r="H177" s="146"/>
      <c r="I177" s="246"/>
      <c r="J177" s="146"/>
      <c r="K177" s="146"/>
      <c r="L177" s="146"/>
      <c r="M177" s="146"/>
      <c r="N177" s="146"/>
      <c r="O177" s="146">
        <v>6090</v>
      </c>
      <c r="P177" s="146"/>
      <c r="Q177" s="8"/>
      <c r="R177" s="8"/>
      <c r="S177" s="146"/>
      <c r="T177" s="204"/>
      <c r="U177" s="146"/>
      <c r="V177" s="146"/>
      <c r="W177" s="146">
        <f>98.28+65.52</f>
        <v>163.80000000000001</v>
      </c>
      <c r="X177" s="247" t="s">
        <v>605</v>
      </c>
      <c r="Y177" s="559">
        <f>SUM(F177:W180)</f>
        <v>8141.75</v>
      </c>
      <c r="Z177" s="560">
        <f>B177</f>
        <v>45681</v>
      </c>
    </row>
    <row r="178" spans="2:26" ht="16" thickBot="1" x14ac:dyDescent="0.25">
      <c r="B178" s="206" t="s">
        <v>24</v>
      </c>
      <c r="C178" s="6"/>
      <c r="D178" s="146"/>
      <c r="E178" s="146"/>
      <c r="F178" s="14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150"/>
      <c r="Y178" s="639"/>
      <c r="Z178" s="196"/>
    </row>
    <row r="179" spans="2:26" ht="16" thickBot="1" x14ac:dyDescent="0.25">
      <c r="B179" s="206"/>
      <c r="C179" s="6"/>
      <c r="D179" s="146"/>
      <c r="E179" s="146"/>
      <c r="F179" s="146"/>
      <c r="G179" s="146"/>
      <c r="H179" s="146"/>
      <c r="I179" s="246"/>
      <c r="J179" s="146"/>
      <c r="K179" s="146"/>
      <c r="L179" s="146"/>
      <c r="M179" s="146"/>
      <c r="N179" s="146"/>
      <c r="O179" s="146"/>
      <c r="P179" s="146"/>
      <c r="Q179" s="8"/>
      <c r="R179" s="8"/>
      <c r="S179" s="146"/>
      <c r="T179" s="204"/>
      <c r="U179" s="146"/>
      <c r="V179" s="146"/>
      <c r="W179" s="146"/>
      <c r="X179" s="247"/>
      <c r="Y179" s="639"/>
      <c r="Z179" s="196"/>
    </row>
    <row r="180" spans="2:26" ht="16" thickBot="1" x14ac:dyDescent="0.25">
      <c r="B180" s="197"/>
      <c r="C180" s="137"/>
      <c r="D180" s="1">
        <f>SUM(D177:D179)</f>
        <v>0</v>
      </c>
      <c r="E180" s="1">
        <f>SUM(E177:E179)</f>
        <v>0</v>
      </c>
      <c r="F180" s="2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250"/>
      <c r="Y180" s="251"/>
      <c r="Z180" s="198"/>
    </row>
    <row r="181" spans="2:26" ht="16" thickBot="1" x14ac:dyDescent="0.25">
      <c r="B181" s="127">
        <v>45682</v>
      </c>
      <c r="C181" s="6"/>
      <c r="D181" s="146"/>
      <c r="E181" s="146"/>
      <c r="F181" s="146"/>
      <c r="G181" s="146"/>
      <c r="H181" s="146"/>
      <c r="I181" s="246"/>
      <c r="J181" s="146"/>
      <c r="K181" s="146"/>
      <c r="L181" s="146"/>
      <c r="M181" s="146"/>
      <c r="N181" s="146"/>
      <c r="O181" s="146"/>
      <c r="P181" s="146"/>
      <c r="Q181" s="8"/>
      <c r="R181" s="8"/>
      <c r="S181" s="146"/>
      <c r="T181" s="204"/>
      <c r="U181" s="146"/>
      <c r="V181" s="146"/>
      <c r="W181" s="146">
        <v>83.4</v>
      </c>
      <c r="X181" s="247" t="s">
        <v>606</v>
      </c>
      <c r="Y181" s="171">
        <f>SUM(F181:W187)</f>
        <v>2638.8</v>
      </c>
      <c r="Z181" s="196">
        <f>B181</f>
        <v>45682</v>
      </c>
    </row>
    <row r="182" spans="2:26" ht="16" thickBot="1" x14ac:dyDescent="0.25">
      <c r="B182" s="548" t="s">
        <v>25</v>
      </c>
      <c r="C182" s="6"/>
      <c r="D182" s="4"/>
      <c r="E182" s="4"/>
      <c r="F182" s="14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>
        <v>155.4</v>
      </c>
      <c r="X182" s="150" t="s">
        <v>607</v>
      </c>
      <c r="Y182" s="639"/>
      <c r="Z182" s="196" t="s">
        <v>25</v>
      </c>
    </row>
    <row r="183" spans="2:26" ht="16" thickBot="1" x14ac:dyDescent="0.25">
      <c r="B183" s="208"/>
      <c r="C183" s="6"/>
      <c r="D183" s="4"/>
      <c r="E183" s="4"/>
      <c r="F183" s="14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>
        <v>2400</v>
      </c>
      <c r="X183" s="150" t="s">
        <v>435</v>
      </c>
      <c r="Y183" s="639"/>
      <c r="Z183" s="196"/>
    </row>
    <row r="184" spans="2:26" ht="16" thickBot="1" x14ac:dyDescent="0.25">
      <c r="B184" s="208"/>
      <c r="C184" s="6"/>
      <c r="D184" s="4"/>
      <c r="E184" s="4"/>
      <c r="F184" s="14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150"/>
      <c r="Y184" s="639"/>
      <c r="Z184" s="196"/>
    </row>
    <row r="185" spans="2:26" ht="16" thickBot="1" x14ac:dyDescent="0.25">
      <c r="B185" s="208"/>
      <c r="C185" s="6"/>
      <c r="D185" s="4"/>
      <c r="E185" s="4"/>
      <c r="F185" s="14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150"/>
      <c r="Y185" s="639"/>
      <c r="Z185" s="196"/>
    </row>
    <row r="186" spans="2:26" ht="16" thickBot="1" x14ac:dyDescent="0.25">
      <c r="B186" s="199"/>
      <c r="C186" s="7"/>
      <c r="D186" s="143"/>
      <c r="E186" s="14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48"/>
      <c r="U186" s="4"/>
      <c r="V186" s="4"/>
      <c r="W186" s="4"/>
      <c r="X186" s="150"/>
      <c r="Y186" s="10"/>
      <c r="Z186" s="196"/>
    </row>
    <row r="187" spans="2:26" ht="16" thickBot="1" x14ac:dyDescent="0.25">
      <c r="B187" s="198"/>
      <c r="C187" s="137"/>
      <c r="D187" s="9">
        <f>SUM(D181:D186)</f>
        <v>0</v>
      </c>
      <c r="E187" s="9">
        <f>SUM(E181:E186)</f>
        <v>0</v>
      </c>
      <c r="F187" s="245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254"/>
      <c r="R187" s="144"/>
      <c r="S187" s="144"/>
      <c r="T187" s="144"/>
      <c r="U187" s="144"/>
      <c r="V187" s="144"/>
      <c r="W187" s="144"/>
      <c r="X187" s="172"/>
      <c r="Y187" s="11"/>
      <c r="Z187" s="198"/>
    </row>
    <row r="188" spans="2:26" ht="16" thickBot="1" x14ac:dyDescent="0.25">
      <c r="B188" s="196">
        <v>45683</v>
      </c>
      <c r="C188" s="6"/>
      <c r="D188" s="146"/>
      <c r="E188" s="146"/>
      <c r="F188" s="146"/>
      <c r="G188" s="146"/>
      <c r="H188" s="146"/>
      <c r="I188" s="146"/>
      <c r="J188" s="146"/>
      <c r="K188" s="146"/>
      <c r="L188" s="146">
        <v>6123.48</v>
      </c>
      <c r="M188" s="146"/>
      <c r="N188" s="146"/>
      <c r="O188" s="146"/>
      <c r="P188" s="146"/>
      <c r="Q188" s="253"/>
      <c r="R188" s="253"/>
      <c r="S188" s="146"/>
      <c r="T188" s="204"/>
      <c r="U188" s="146"/>
      <c r="V188" s="146"/>
      <c r="W188" s="146">
        <v>98</v>
      </c>
      <c r="X188" s="182" t="s">
        <v>426</v>
      </c>
      <c r="Y188" s="1">
        <f>SUM(F188:W191)</f>
        <v>6221.48</v>
      </c>
      <c r="Z188" s="196">
        <f>B188</f>
        <v>45683</v>
      </c>
    </row>
    <row r="189" spans="2:26" ht="16" thickBot="1" x14ac:dyDescent="0.25">
      <c r="B189" s="198" t="s">
        <v>26</v>
      </c>
      <c r="C189" s="5"/>
      <c r="D189" s="4"/>
      <c r="E189" s="4"/>
      <c r="F189" s="4"/>
      <c r="G189" s="15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150"/>
      <c r="Y189" s="12"/>
      <c r="Z189" s="198" t="s">
        <v>26</v>
      </c>
    </row>
    <row r="190" spans="2:26" ht="16" thickBot="1" x14ac:dyDescent="0.25">
      <c r="B190" s="268"/>
      <c r="C190" s="152"/>
      <c r="D190" s="143"/>
      <c r="E190" s="14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150"/>
      <c r="Y190" s="10"/>
      <c r="Z190" s="268"/>
    </row>
    <row r="191" spans="2:26" ht="16" thickBot="1" x14ac:dyDescent="0.25">
      <c r="B191" s="267"/>
      <c r="C191" s="255"/>
      <c r="D191" s="1">
        <f>SUM(D188:D190)</f>
        <v>0</v>
      </c>
      <c r="E191" s="1">
        <f>SUM(E188:E190)</f>
        <v>0</v>
      </c>
      <c r="F191" s="245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72"/>
      <c r="Y191" s="248"/>
      <c r="Z191" s="268"/>
    </row>
    <row r="192" spans="2:26" x14ac:dyDescent="0.2">
      <c r="B192" s="101"/>
      <c r="C192" s="243"/>
      <c r="D192" s="242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8"/>
      <c r="Z192" s="130"/>
    </row>
    <row r="193" spans="2:26" ht="16" thickBot="1" x14ac:dyDescent="0.25">
      <c r="B193" s="101"/>
      <c r="C193" s="243"/>
      <c r="D193" s="189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2"/>
      <c r="Z193" s="128"/>
    </row>
    <row r="194" spans="2:26" ht="16" thickBot="1" x14ac:dyDescent="0.25">
      <c r="B194" s="101"/>
      <c r="C194" s="101"/>
      <c r="D194" s="105">
        <f>SUM(D191,D187,D180,D176,D168,D161,D155)</f>
        <v>0</v>
      </c>
      <c r="E194" s="105">
        <f>SUM(E191,E187,E180,E176,E168,E161,E155)</f>
        <v>0</v>
      </c>
      <c r="F194" s="104">
        <f t="shared" ref="F194:S194" si="3">SUM(F151:F193)</f>
        <v>0</v>
      </c>
      <c r="G194" s="103">
        <f t="shared" si="3"/>
        <v>6266.54</v>
      </c>
      <c r="H194" s="103">
        <f t="shared" si="3"/>
        <v>0</v>
      </c>
      <c r="I194" s="103">
        <f t="shared" si="3"/>
        <v>24276.5</v>
      </c>
      <c r="J194" s="103">
        <f t="shared" si="3"/>
        <v>0</v>
      </c>
      <c r="K194" s="103">
        <f t="shared" si="3"/>
        <v>0</v>
      </c>
      <c r="L194" s="103">
        <f t="shared" si="3"/>
        <v>21064.3</v>
      </c>
      <c r="M194" s="103">
        <f t="shared" si="3"/>
        <v>0</v>
      </c>
      <c r="N194" s="103">
        <f t="shared" si="3"/>
        <v>1153.3</v>
      </c>
      <c r="O194" s="103">
        <f t="shared" si="3"/>
        <v>22760</v>
      </c>
      <c r="P194" s="103">
        <f t="shared" si="3"/>
        <v>360</v>
      </c>
      <c r="Q194" s="103">
        <f t="shared" si="3"/>
        <v>489.86</v>
      </c>
      <c r="R194" s="103">
        <f t="shared" si="3"/>
        <v>0</v>
      </c>
      <c r="S194" s="103">
        <f t="shared" si="3"/>
        <v>9739.66</v>
      </c>
      <c r="T194" s="103"/>
      <c r="U194" s="103">
        <f>SUM(U155:U193)</f>
        <v>0</v>
      </c>
      <c r="V194" s="103">
        <f>SUM(V151:V193)</f>
        <v>0</v>
      </c>
      <c r="W194" s="103">
        <f>SUM(W151:W193)</f>
        <v>4298.34</v>
      </c>
      <c r="X194" s="153"/>
      <c r="Y194" s="155">
        <f>SUM(Y151:Y191)</f>
        <v>90408.5</v>
      </c>
      <c r="Z194" s="129"/>
    </row>
    <row r="195" spans="2:26" ht="27" thickBot="1" x14ac:dyDescent="0.25">
      <c r="B195" s="101"/>
      <c r="C195" s="154" t="s">
        <v>0</v>
      </c>
      <c r="D195" s="154" t="s">
        <v>1</v>
      </c>
      <c r="E195" s="154" t="s">
        <v>2</v>
      </c>
      <c r="F195" s="154" t="s">
        <v>3</v>
      </c>
      <c r="G195" s="154" t="s">
        <v>4</v>
      </c>
      <c r="H195" s="154" t="s">
        <v>5</v>
      </c>
      <c r="I195" s="154" t="s">
        <v>6</v>
      </c>
      <c r="J195" s="154" t="s">
        <v>7</v>
      </c>
      <c r="K195" s="154" t="s">
        <v>8</v>
      </c>
      <c r="L195" s="154" t="s">
        <v>9</v>
      </c>
      <c r="M195" s="154" t="s">
        <v>309</v>
      </c>
      <c r="N195" s="154" t="s">
        <v>11</v>
      </c>
      <c r="O195" s="154" t="s">
        <v>12</v>
      </c>
      <c r="P195" s="154" t="s">
        <v>13</v>
      </c>
      <c r="Q195" s="154" t="s">
        <v>14</v>
      </c>
      <c r="R195" s="154" t="s">
        <v>15</v>
      </c>
      <c r="S195" s="154" t="s">
        <v>311</v>
      </c>
      <c r="T195" s="154" t="s">
        <v>16</v>
      </c>
      <c r="U195" s="154" t="s">
        <v>403</v>
      </c>
      <c r="V195" s="154" t="s">
        <v>17</v>
      </c>
      <c r="W195" s="154" t="s">
        <v>18</v>
      </c>
      <c r="X195" s="154"/>
      <c r="Y195" s="154" t="s">
        <v>19</v>
      </c>
      <c r="Z195" s="126"/>
    </row>
    <row r="196" spans="2:26" ht="16" thickBot="1" x14ac:dyDescent="0.25">
      <c r="B196" s="101"/>
      <c r="C196" s="101"/>
      <c r="D196" s="101"/>
      <c r="E196" s="727" t="str">
        <f>M196</f>
        <v>20 - 26 JANUARY 2025</v>
      </c>
      <c r="F196" s="719"/>
      <c r="G196" s="719"/>
      <c r="H196" s="720"/>
      <c r="I196" s="101"/>
      <c r="J196" s="101"/>
      <c r="K196" s="101"/>
      <c r="L196" s="101"/>
      <c r="M196" s="727" t="str">
        <f>V196</f>
        <v>20 - 26 JANUARY 2025</v>
      </c>
      <c r="N196" s="719"/>
      <c r="O196" s="719"/>
      <c r="P196" s="720"/>
      <c r="Q196" s="101"/>
      <c r="R196" s="101"/>
      <c r="S196" s="101"/>
      <c r="T196" s="101"/>
      <c r="U196" s="101"/>
      <c r="V196" s="727" t="str">
        <f>V149</f>
        <v>20 - 26 JANUARY 2025</v>
      </c>
      <c r="W196" s="719"/>
      <c r="X196" s="719"/>
      <c r="Y196" s="720"/>
      <c r="Z196" s="101"/>
    </row>
    <row r="197" spans="2:26" ht="16" thickBot="1" x14ac:dyDescent="0.25"/>
    <row r="198" spans="2:26" ht="16" thickBot="1" x14ac:dyDescent="0.25">
      <c r="E198" s="718" t="s">
        <v>617</v>
      </c>
      <c r="F198" s="719"/>
      <c r="G198" s="719"/>
      <c r="H198" s="720"/>
      <c r="K198" s="106"/>
      <c r="L198" s="106"/>
      <c r="M198" s="721" t="str">
        <f>E198</f>
        <v>27 JANUARY - 2 FEBRUARY 2025</v>
      </c>
      <c r="N198" s="722"/>
      <c r="O198" s="722"/>
      <c r="P198" s="723"/>
      <c r="Q198" s="106"/>
      <c r="R198" s="106"/>
      <c r="S198" s="106"/>
      <c r="T198" s="106"/>
      <c r="U198" s="106"/>
      <c r="V198" s="724" t="str">
        <f>M198</f>
        <v>27 JANUARY - 2 FEBRUARY 2025</v>
      </c>
      <c r="W198" s="725"/>
      <c r="X198" s="725"/>
      <c r="Y198" s="726"/>
      <c r="Z198" s="106"/>
    </row>
    <row r="199" spans="2:26" ht="27" thickBot="1" x14ac:dyDescent="0.25">
      <c r="C199" s="126" t="s">
        <v>0</v>
      </c>
      <c r="D199" s="135" t="s">
        <v>1</v>
      </c>
      <c r="E199" s="258" t="s">
        <v>2</v>
      </c>
      <c r="F199" s="259" t="s">
        <v>3</v>
      </c>
      <c r="G199" s="260" t="s">
        <v>4</v>
      </c>
      <c r="H199" s="261" t="s">
        <v>5</v>
      </c>
      <c r="I199" s="262" t="s">
        <v>6</v>
      </c>
      <c r="J199" s="262" t="s">
        <v>7</v>
      </c>
      <c r="K199" s="262" t="s">
        <v>8</v>
      </c>
      <c r="L199" s="262" t="s">
        <v>9</v>
      </c>
      <c r="M199" s="262" t="s">
        <v>10</v>
      </c>
      <c r="N199" s="262" t="s">
        <v>11</v>
      </c>
      <c r="O199" s="262" t="s">
        <v>12</v>
      </c>
      <c r="P199" s="262" t="s">
        <v>13</v>
      </c>
      <c r="Q199" s="262" t="s">
        <v>14</v>
      </c>
      <c r="R199" s="262" t="s">
        <v>15</v>
      </c>
      <c r="S199" s="262" t="s">
        <v>311</v>
      </c>
      <c r="T199" s="262" t="s">
        <v>16</v>
      </c>
      <c r="U199" s="154" t="s">
        <v>403</v>
      </c>
      <c r="V199" s="263" t="s">
        <v>17</v>
      </c>
      <c r="W199" s="263" t="s">
        <v>18</v>
      </c>
      <c r="X199" s="264"/>
      <c r="Y199" s="265" t="s">
        <v>19</v>
      </c>
      <c r="Z199" s="266"/>
    </row>
    <row r="200" spans="2:26" ht="16" thickBot="1" x14ac:dyDescent="0.25">
      <c r="B200" s="196">
        <v>45684</v>
      </c>
      <c r="C200" s="136"/>
      <c r="D200" s="139"/>
      <c r="E200" s="139"/>
      <c r="F200" s="139"/>
      <c r="G200" s="139">
        <v>800</v>
      </c>
      <c r="H200" s="139"/>
      <c r="I200" s="139"/>
      <c r="J200" s="139"/>
      <c r="K200" s="139"/>
      <c r="L200" s="139">
        <v>5463.58</v>
      </c>
      <c r="M200" s="139"/>
      <c r="N200" s="139"/>
      <c r="O200" s="139"/>
      <c r="P200" s="139"/>
      <c r="Q200" s="139"/>
      <c r="R200" s="139"/>
      <c r="S200" s="139"/>
      <c r="T200" s="140"/>
      <c r="U200" s="139"/>
      <c r="V200" s="139"/>
      <c r="W200" s="139">
        <v>60</v>
      </c>
      <c r="X200" s="141" t="s">
        <v>377</v>
      </c>
      <c r="Y200" s="239">
        <f>SUM(F200:X204)</f>
        <v>6563.58</v>
      </c>
      <c r="Z200" s="269">
        <f>B200</f>
        <v>45684</v>
      </c>
    </row>
    <row r="201" spans="2:26" ht="16" thickBot="1" x14ac:dyDescent="0.25">
      <c r="B201" s="196" t="s">
        <v>20</v>
      </c>
      <c r="C201" s="203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204"/>
      <c r="U201" s="146"/>
      <c r="V201" s="146"/>
      <c r="W201" s="146">
        <v>240</v>
      </c>
      <c r="X201" s="182" t="s">
        <v>618</v>
      </c>
      <c r="Y201" s="191"/>
      <c r="Z201" s="196" t="s">
        <v>20</v>
      </c>
    </row>
    <row r="202" spans="2:26" ht="16" thickBot="1" x14ac:dyDescent="0.25">
      <c r="B202" s="196"/>
      <c r="C202" s="203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204"/>
      <c r="U202" s="146"/>
      <c r="V202" s="146"/>
      <c r="W202" s="146"/>
      <c r="X202" s="182"/>
      <c r="Y202" s="191"/>
      <c r="Z202" s="196"/>
    </row>
    <row r="203" spans="2:26" ht="16" thickBot="1" x14ac:dyDescent="0.25">
      <c r="B203" s="206"/>
      <c r="C203" s="632"/>
      <c r="D203" s="4"/>
      <c r="E203" s="4"/>
      <c r="F203" s="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633"/>
      <c r="U203" s="8"/>
      <c r="V203" s="8"/>
      <c r="W203" s="8"/>
      <c r="X203" s="634"/>
      <c r="Y203" s="635"/>
      <c r="Z203" s="196"/>
    </row>
    <row r="204" spans="2:26" ht="16" thickBot="1" x14ac:dyDescent="0.25">
      <c r="B204" s="197"/>
      <c r="C204" s="137"/>
      <c r="D204" s="171">
        <f>SUM(D200:D202)</f>
        <v>0</v>
      </c>
      <c r="E204" s="658">
        <f>SUM(E200:E202)</f>
        <v>0</v>
      </c>
      <c r="F204" s="659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5"/>
      <c r="Y204" s="138"/>
      <c r="Z204" s="198"/>
    </row>
    <row r="205" spans="2:26" ht="16" thickBot="1" x14ac:dyDescent="0.25">
      <c r="B205" s="196">
        <v>45685</v>
      </c>
      <c r="C205" s="6"/>
      <c r="D205" s="146"/>
      <c r="E205" s="146"/>
      <c r="F205" s="139">
        <v>1500</v>
      </c>
      <c r="G205" s="139">
        <v>1003.04</v>
      </c>
      <c r="H205" s="139"/>
      <c r="I205" s="139">
        <v>12186.33</v>
      </c>
      <c r="J205" s="574"/>
      <c r="K205" s="139"/>
      <c r="L205" s="139">
        <f>5752.52+39.99</f>
        <v>5792.51</v>
      </c>
      <c r="M205" s="139"/>
      <c r="N205" s="139"/>
      <c r="O205" s="139"/>
      <c r="P205" s="139"/>
      <c r="Q205" s="139">
        <v>244.93</v>
      </c>
      <c r="R205" s="139"/>
      <c r="S205" s="139"/>
      <c r="T205" s="140"/>
      <c r="U205" s="139"/>
      <c r="V205" s="139"/>
      <c r="W205" s="139">
        <v>60</v>
      </c>
      <c r="X205" s="575" t="s">
        <v>411</v>
      </c>
      <c r="Y205" s="238">
        <f>SUM(F205:W210)</f>
        <v>21553.8</v>
      </c>
      <c r="Z205" s="196">
        <f>B205</f>
        <v>45685</v>
      </c>
    </row>
    <row r="206" spans="2:26" ht="16" thickBot="1" x14ac:dyDescent="0.25">
      <c r="B206" s="196" t="s">
        <v>21</v>
      </c>
      <c r="C206" s="6"/>
      <c r="D206" s="146"/>
      <c r="E206" s="146"/>
      <c r="F206" s="4"/>
      <c r="G206" s="4"/>
      <c r="H206" s="4"/>
      <c r="I206" s="4"/>
      <c r="J206" s="149"/>
      <c r="K206" s="4"/>
      <c r="L206" s="4"/>
      <c r="M206" s="4"/>
      <c r="N206" s="4"/>
      <c r="O206" s="4"/>
      <c r="P206" s="4"/>
      <c r="Q206" s="4"/>
      <c r="R206" s="4"/>
      <c r="S206" s="4"/>
      <c r="T206" s="148"/>
      <c r="U206" s="4"/>
      <c r="V206" s="4"/>
      <c r="W206" s="4">
        <v>302.99</v>
      </c>
      <c r="X206" s="142" t="s">
        <v>297</v>
      </c>
      <c r="Y206" s="191"/>
      <c r="Z206" s="196" t="s">
        <v>21</v>
      </c>
    </row>
    <row r="207" spans="2:26" ht="16" thickBot="1" x14ac:dyDescent="0.25">
      <c r="B207" s="196"/>
      <c r="C207" s="6"/>
      <c r="D207" s="4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78"/>
      <c r="U207" s="12"/>
      <c r="V207" s="12"/>
      <c r="W207" s="146">
        <v>464</v>
      </c>
      <c r="X207" s="147" t="s">
        <v>396</v>
      </c>
      <c r="Y207" s="191"/>
      <c r="Z207" s="196"/>
    </row>
    <row r="208" spans="2:26" ht="16" thickBot="1" x14ac:dyDescent="0.25">
      <c r="B208" s="662"/>
      <c r="C208" s="57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79"/>
      <c r="U208" s="4"/>
      <c r="V208" s="4"/>
      <c r="W208" s="4"/>
      <c r="X208" s="142"/>
      <c r="Y208" s="643"/>
      <c r="Z208" s="196"/>
    </row>
    <row r="209" spans="2:26" ht="16" thickBot="1" x14ac:dyDescent="0.25">
      <c r="B209" s="662"/>
      <c r="C209" s="57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79"/>
      <c r="U209" s="4"/>
      <c r="V209" s="4"/>
      <c r="W209" s="4"/>
      <c r="X209" s="142"/>
      <c r="Y209" s="643"/>
      <c r="Z209" s="196"/>
    </row>
    <row r="210" spans="2:26" ht="16" thickBot="1" x14ac:dyDescent="0.25">
      <c r="B210" s="476"/>
      <c r="C210" s="663"/>
      <c r="D210" s="664">
        <f>SUM(D205:D207)</f>
        <v>0</v>
      </c>
      <c r="E210" s="664">
        <f>SUM(E205:E207)</f>
        <v>0</v>
      </c>
      <c r="F210" s="66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642"/>
      <c r="U210" s="642"/>
      <c r="V210" s="642"/>
      <c r="W210" s="8"/>
      <c r="X210" s="666"/>
      <c r="Y210" s="571"/>
      <c r="Z210" s="198"/>
    </row>
    <row r="211" spans="2:26" ht="16" thickBot="1" x14ac:dyDescent="0.25">
      <c r="B211" s="570">
        <v>45686</v>
      </c>
      <c r="C211" s="573"/>
      <c r="D211" s="139"/>
      <c r="E211" s="139"/>
      <c r="F211" s="4"/>
      <c r="G211" s="4">
        <v>800.16</v>
      </c>
      <c r="H211" s="4"/>
      <c r="I211" s="68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48"/>
      <c r="U211" s="4"/>
      <c r="V211" s="4"/>
      <c r="W211" s="4"/>
      <c r="X211" s="689"/>
      <c r="Y211" s="576">
        <f>SUM(F211:X217)</f>
        <v>800.16</v>
      </c>
      <c r="Z211" s="464">
        <f>B211</f>
        <v>45686</v>
      </c>
    </row>
    <row r="212" spans="2:26" ht="16" thickBot="1" x14ac:dyDescent="0.25">
      <c r="B212" s="570" t="s">
        <v>22</v>
      </c>
      <c r="C212" s="572"/>
      <c r="D212" s="4"/>
      <c r="E212" s="4"/>
      <c r="F212" s="4"/>
      <c r="G212" s="4"/>
      <c r="H212" s="4"/>
      <c r="I212" s="4"/>
      <c r="J212" s="149"/>
      <c r="K212" s="4"/>
      <c r="L212" s="4"/>
      <c r="M212" s="4"/>
      <c r="N212" s="4"/>
      <c r="O212" s="4"/>
      <c r="P212" s="4"/>
      <c r="Q212" s="4"/>
      <c r="R212" s="4"/>
      <c r="S212" s="4"/>
      <c r="T212" s="148"/>
      <c r="U212" s="4"/>
      <c r="V212" s="4"/>
      <c r="W212" s="4"/>
      <c r="X212" s="142"/>
      <c r="Y212" s="638"/>
      <c r="Z212" s="464"/>
    </row>
    <row r="213" spans="2:26" ht="16" thickBot="1" x14ac:dyDescent="0.25">
      <c r="B213" s="570"/>
      <c r="C213" s="572"/>
      <c r="D213" s="4"/>
      <c r="E213" s="4"/>
      <c r="F213" s="4"/>
      <c r="G213" s="4"/>
      <c r="H213" s="4"/>
      <c r="I213" s="4"/>
      <c r="J213" s="149"/>
      <c r="K213" s="4"/>
      <c r="L213" s="4"/>
      <c r="M213" s="4"/>
      <c r="N213" s="4"/>
      <c r="O213" s="4"/>
      <c r="P213" s="4"/>
      <c r="Q213" s="4"/>
      <c r="R213" s="4"/>
      <c r="S213" s="4"/>
      <c r="T213" s="148"/>
      <c r="U213" s="4"/>
      <c r="V213" s="4"/>
      <c r="W213" s="4"/>
      <c r="X213" s="142"/>
      <c r="Y213" s="638"/>
      <c r="Z213" s="464"/>
    </row>
    <row r="214" spans="2:26" ht="16" thickBot="1" x14ac:dyDescent="0.25">
      <c r="B214" s="570"/>
      <c r="C214" s="572"/>
      <c r="D214" s="4"/>
      <c r="E214" s="4"/>
      <c r="F214" s="4"/>
      <c r="G214" s="4"/>
      <c r="H214" s="4"/>
      <c r="I214" s="4"/>
      <c r="J214" s="149"/>
      <c r="K214" s="4"/>
      <c r="L214" s="4"/>
      <c r="M214" s="4"/>
      <c r="N214" s="4"/>
      <c r="O214" s="4"/>
      <c r="P214" s="4"/>
      <c r="Q214" s="4"/>
      <c r="R214" s="4"/>
      <c r="S214" s="4"/>
      <c r="T214" s="148"/>
      <c r="U214" s="4"/>
      <c r="V214" s="4"/>
      <c r="W214" s="4"/>
      <c r="X214" s="142"/>
      <c r="Y214" s="638"/>
      <c r="Z214" s="464"/>
    </row>
    <row r="215" spans="2:26" ht="16" thickBot="1" x14ac:dyDescent="0.25">
      <c r="B215" s="570"/>
      <c r="C215" s="572"/>
      <c r="D215" s="4"/>
      <c r="E215" s="4"/>
      <c r="F215" s="4"/>
      <c r="G215" s="4"/>
      <c r="H215" s="4"/>
      <c r="I215" s="4"/>
      <c r="J215" s="149"/>
      <c r="K215" s="4"/>
      <c r="L215" s="4"/>
      <c r="M215" s="4"/>
      <c r="N215" s="4"/>
      <c r="O215" s="4"/>
      <c r="P215" s="4"/>
      <c r="Q215" s="4"/>
      <c r="R215" s="4"/>
      <c r="S215" s="4"/>
      <c r="T215" s="148"/>
      <c r="U215" s="4"/>
      <c r="V215" s="4"/>
      <c r="W215" s="4"/>
      <c r="X215" s="142"/>
      <c r="Y215" s="638"/>
      <c r="Z215" s="464"/>
    </row>
    <row r="216" spans="2:26" ht="16" thickBot="1" x14ac:dyDescent="0.25">
      <c r="B216" s="570"/>
      <c r="C216" s="572"/>
      <c r="D216" s="4"/>
      <c r="E216" s="4"/>
      <c r="F216" s="4"/>
      <c r="G216" s="4"/>
      <c r="H216" s="4"/>
      <c r="I216" s="4"/>
      <c r="J216" s="149"/>
      <c r="K216" s="4"/>
      <c r="L216" s="4"/>
      <c r="M216" s="4"/>
      <c r="N216" s="4"/>
      <c r="O216" s="4"/>
      <c r="P216" s="4"/>
      <c r="Q216" s="4"/>
      <c r="R216" s="4"/>
      <c r="S216" s="4"/>
      <c r="T216" s="148"/>
      <c r="U216" s="4"/>
      <c r="V216" s="4"/>
      <c r="W216" s="4"/>
      <c r="X216" s="142"/>
      <c r="Y216" s="638"/>
      <c r="Z216" s="464"/>
    </row>
    <row r="217" spans="2:26" ht="16" thickBot="1" x14ac:dyDescent="0.25">
      <c r="B217" s="197"/>
      <c r="C217" s="257"/>
      <c r="D217" s="171">
        <f>SUM(D211:D216)</f>
        <v>0</v>
      </c>
      <c r="E217" s="171">
        <f>SUM(E211:E216)</f>
        <v>0</v>
      </c>
      <c r="F217" s="245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72"/>
      <c r="Y217" s="241"/>
      <c r="Z217" s="465"/>
    </row>
    <row r="218" spans="2:26" ht="16" thickBot="1" x14ac:dyDescent="0.25">
      <c r="B218" s="196">
        <v>45687</v>
      </c>
      <c r="C218" s="207"/>
      <c r="D218" s="8"/>
      <c r="E218" s="146"/>
      <c r="F218" s="146"/>
      <c r="G218" s="146">
        <v>800</v>
      </c>
      <c r="H218" s="146"/>
      <c r="I218" s="246"/>
      <c r="J218" s="146"/>
      <c r="K218" s="146"/>
      <c r="L218" s="146">
        <v>6857.43</v>
      </c>
      <c r="M218" s="146"/>
      <c r="N218" s="146"/>
      <c r="O218" s="146"/>
      <c r="P218" s="146"/>
      <c r="Q218" s="8">
        <v>244.93</v>
      </c>
      <c r="R218" s="8"/>
      <c r="S218" s="146">
        <v>7157.54</v>
      </c>
      <c r="T218" s="204"/>
      <c r="U218" s="146"/>
      <c r="V218" s="146"/>
      <c r="W218" s="146">
        <v>204</v>
      </c>
      <c r="X218" s="247" t="s">
        <v>637</v>
      </c>
      <c r="Y218" s="171">
        <f>SUM(F218:W225)</f>
        <v>15263.900000000001</v>
      </c>
      <c r="Z218" s="196">
        <f>B218</f>
        <v>45687</v>
      </c>
    </row>
    <row r="219" spans="2:26" ht="16" thickBot="1" x14ac:dyDescent="0.25">
      <c r="B219" s="196" t="s">
        <v>23</v>
      </c>
      <c r="C219" s="7"/>
      <c r="D219" s="4"/>
      <c r="E219" s="146"/>
      <c r="F219" s="146"/>
      <c r="G219" s="146"/>
      <c r="H219" s="146"/>
      <c r="I219" s="463"/>
      <c r="J219" s="146"/>
      <c r="K219" s="146"/>
      <c r="L219" s="146"/>
      <c r="M219" s="146"/>
      <c r="N219" s="146"/>
      <c r="O219" s="146"/>
      <c r="P219" s="146"/>
      <c r="Q219" s="4"/>
      <c r="R219" s="4"/>
      <c r="S219" s="146"/>
      <c r="T219" s="204"/>
      <c r="U219" s="146"/>
      <c r="V219" s="146"/>
      <c r="W219" s="146"/>
      <c r="X219" s="247"/>
      <c r="Y219" s="240"/>
      <c r="Z219" s="196"/>
    </row>
    <row r="220" spans="2:26" ht="16" thickBot="1" x14ac:dyDescent="0.25">
      <c r="B220" s="196"/>
      <c r="C220" s="7"/>
      <c r="D220" s="4"/>
      <c r="E220" s="146"/>
      <c r="F220" s="146"/>
      <c r="G220" s="146"/>
      <c r="H220" s="146"/>
      <c r="I220" s="463"/>
      <c r="J220" s="146"/>
      <c r="K220" s="146"/>
      <c r="L220" s="146"/>
      <c r="M220" s="146"/>
      <c r="N220" s="146"/>
      <c r="O220" s="146"/>
      <c r="P220" s="146"/>
      <c r="Q220" s="4"/>
      <c r="R220" s="4"/>
      <c r="S220" s="146"/>
      <c r="T220" s="204"/>
      <c r="U220" s="146"/>
      <c r="V220" s="146"/>
      <c r="W220" s="146"/>
      <c r="X220" s="247"/>
      <c r="Y220" s="4"/>
      <c r="Z220" s="464"/>
    </row>
    <row r="221" spans="2:26" ht="16" thickBot="1" x14ac:dyDescent="0.25">
      <c r="B221" s="196"/>
      <c r="C221" s="7"/>
      <c r="D221" s="4"/>
      <c r="E221" s="146"/>
      <c r="F221" s="146"/>
      <c r="G221" s="146"/>
      <c r="H221" s="146"/>
      <c r="I221" s="463"/>
      <c r="J221" s="146"/>
      <c r="K221" s="146"/>
      <c r="L221" s="146"/>
      <c r="M221" s="146"/>
      <c r="N221" s="146"/>
      <c r="O221" s="146"/>
      <c r="P221" s="146"/>
      <c r="Q221" s="4"/>
      <c r="R221" s="4"/>
      <c r="S221" s="146"/>
      <c r="T221" s="204"/>
      <c r="U221" s="146"/>
      <c r="V221" s="146"/>
      <c r="W221" s="146"/>
      <c r="X221" s="247"/>
      <c r="Y221" s="4"/>
      <c r="Z221" s="464"/>
    </row>
    <row r="222" spans="2:26" ht="16" thickBot="1" x14ac:dyDescent="0.25">
      <c r="B222" s="198"/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150"/>
      <c r="Y222" s="4"/>
      <c r="Z222" s="465" t="s">
        <v>23</v>
      </c>
    </row>
    <row r="223" spans="2:26" ht="16" thickBot="1" x14ac:dyDescent="0.25">
      <c r="B223" s="476"/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150"/>
      <c r="Y223" s="10"/>
      <c r="Z223" s="465"/>
    </row>
    <row r="224" spans="2:26" ht="16" thickBot="1" x14ac:dyDescent="0.25">
      <c r="B224" s="476"/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150"/>
      <c r="Y224" s="10"/>
      <c r="Z224" s="465"/>
    </row>
    <row r="225" spans="2:26" ht="16" thickBot="1" x14ac:dyDescent="0.25">
      <c r="B225" s="197"/>
      <c r="C225" s="249"/>
      <c r="D225" s="171">
        <f>SUM(D218:D224)</f>
        <v>0</v>
      </c>
      <c r="E225" s="171">
        <f>SUM(E218:E224)</f>
        <v>0</v>
      </c>
      <c r="F225" s="252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250"/>
      <c r="Y225" s="251"/>
      <c r="Z225" s="198"/>
    </row>
    <row r="226" spans="2:26" ht="16" thickBot="1" x14ac:dyDescent="0.25">
      <c r="B226" s="556">
        <v>45688</v>
      </c>
      <c r="C226" s="557"/>
      <c r="D226" s="558"/>
      <c r="E226" s="558"/>
      <c r="F226" s="146">
        <v>1500</v>
      </c>
      <c r="G226" s="146">
        <v>743.79</v>
      </c>
      <c r="H226" s="146"/>
      <c r="I226" s="246"/>
      <c r="J226" s="146"/>
      <c r="K226" s="146"/>
      <c r="L226" s="146"/>
      <c r="M226" s="146"/>
      <c r="N226" s="146"/>
      <c r="O226" s="146"/>
      <c r="P226" s="146"/>
      <c r="Q226" s="8"/>
      <c r="R226" s="8"/>
      <c r="S226" s="146"/>
      <c r="T226" s="204"/>
      <c r="U226" s="146"/>
      <c r="V226" s="146"/>
      <c r="W226" s="146">
        <v>30</v>
      </c>
      <c r="X226" s="247" t="s">
        <v>615</v>
      </c>
      <c r="Y226" s="559">
        <f>SUM(F226:W229)</f>
        <v>8525.7900000000009</v>
      </c>
      <c r="Z226" s="560">
        <f>B226</f>
        <v>45688</v>
      </c>
    </row>
    <row r="227" spans="2:26" ht="16" thickBot="1" x14ac:dyDescent="0.25">
      <c r="B227" s="206" t="s">
        <v>24</v>
      </c>
      <c r="C227" s="6"/>
      <c r="D227" s="146"/>
      <c r="E227" s="146"/>
      <c r="F227" s="14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>
        <v>252</v>
      </c>
      <c r="X227" s="150" t="s">
        <v>637</v>
      </c>
      <c r="Y227" s="639"/>
      <c r="Z227" s="196"/>
    </row>
    <row r="228" spans="2:26" ht="16" thickBot="1" x14ac:dyDescent="0.25">
      <c r="B228" s="206"/>
      <c r="C228" s="6"/>
      <c r="D228" s="146"/>
      <c r="E228" s="146"/>
      <c r="F228" s="146"/>
      <c r="G228" s="146"/>
      <c r="H228" s="146"/>
      <c r="I228" s="246"/>
      <c r="J228" s="146"/>
      <c r="K228" s="146"/>
      <c r="L228" s="146"/>
      <c r="M228" s="146"/>
      <c r="N228" s="146"/>
      <c r="O228" s="146"/>
      <c r="P228" s="146"/>
      <c r="Q228" s="8"/>
      <c r="R228" s="8"/>
      <c r="S228" s="146"/>
      <c r="T228" s="204"/>
      <c r="U228" s="146"/>
      <c r="V228" s="146"/>
      <c r="W228" s="146">
        <v>6000</v>
      </c>
      <c r="X228" s="247" t="s">
        <v>435</v>
      </c>
      <c r="Y228" s="639"/>
      <c r="Z228" s="196"/>
    </row>
    <row r="229" spans="2:26" ht="16" thickBot="1" x14ac:dyDescent="0.25">
      <c r="B229" s="197"/>
      <c r="C229" s="137"/>
      <c r="D229" s="1">
        <f>SUM(D226:D228)</f>
        <v>0</v>
      </c>
      <c r="E229" s="1">
        <f>SUM(E226:E228)</f>
        <v>0</v>
      </c>
      <c r="F229" s="2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250"/>
      <c r="Y229" s="251"/>
      <c r="Z229" s="198"/>
    </row>
    <row r="230" spans="2:26" ht="16" thickBot="1" x14ac:dyDescent="0.25">
      <c r="B230" s="127">
        <v>45689</v>
      </c>
      <c r="C230" s="6"/>
      <c r="D230" s="146"/>
      <c r="E230" s="146"/>
      <c r="F230" s="146"/>
      <c r="G230" s="146">
        <v>800.16</v>
      </c>
      <c r="H230" s="146"/>
      <c r="I230" s="246"/>
      <c r="J230" s="146"/>
      <c r="K230" s="146"/>
      <c r="L230" s="146">
        <v>6232.66</v>
      </c>
      <c r="M230" s="146"/>
      <c r="N230" s="146"/>
      <c r="O230" s="146">
        <v>6900</v>
      </c>
      <c r="P230" s="146"/>
      <c r="Q230" s="8"/>
      <c r="R230" s="8"/>
      <c r="S230" s="146"/>
      <c r="T230" s="204"/>
      <c r="U230" s="146"/>
      <c r="V230" s="146"/>
      <c r="W230" s="146">
        <v>242.34</v>
      </c>
      <c r="X230" s="247" t="s">
        <v>279</v>
      </c>
      <c r="Y230" s="171">
        <f>SUM(F230:W236)</f>
        <v>14175.16</v>
      </c>
      <c r="Z230" s="196">
        <f>B230</f>
        <v>45689</v>
      </c>
    </row>
    <row r="231" spans="2:26" ht="16" thickBot="1" x14ac:dyDescent="0.25">
      <c r="B231" s="548" t="s">
        <v>25</v>
      </c>
      <c r="C231" s="6"/>
      <c r="D231" s="4"/>
      <c r="E231" s="4"/>
      <c r="F231" s="14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150"/>
      <c r="Y231" s="639"/>
      <c r="Z231" s="196" t="s">
        <v>25</v>
      </c>
    </row>
    <row r="232" spans="2:26" ht="16" thickBot="1" x14ac:dyDescent="0.25">
      <c r="B232" s="208"/>
      <c r="C232" s="6"/>
      <c r="D232" s="4"/>
      <c r="E232" s="4"/>
      <c r="F232" s="14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150"/>
      <c r="Y232" s="639"/>
      <c r="Z232" s="196"/>
    </row>
    <row r="233" spans="2:26" ht="16" thickBot="1" x14ac:dyDescent="0.25">
      <c r="B233" s="208"/>
      <c r="C233" s="6"/>
      <c r="D233" s="4"/>
      <c r="E233" s="4"/>
      <c r="F233" s="14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150"/>
      <c r="Y233" s="639"/>
      <c r="Z233" s="196"/>
    </row>
    <row r="234" spans="2:26" ht="16" thickBot="1" x14ac:dyDescent="0.25">
      <c r="B234" s="208"/>
      <c r="C234" s="6"/>
      <c r="D234" s="4"/>
      <c r="E234" s="4"/>
      <c r="F234" s="14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150"/>
      <c r="Y234" s="639"/>
      <c r="Z234" s="196"/>
    </row>
    <row r="235" spans="2:26" ht="16" thickBot="1" x14ac:dyDescent="0.25">
      <c r="B235" s="199"/>
      <c r="C235" s="7"/>
      <c r="D235" s="143"/>
      <c r="E235" s="14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48"/>
      <c r="U235" s="4"/>
      <c r="V235" s="4"/>
      <c r="W235" s="4"/>
      <c r="X235" s="150"/>
      <c r="Y235" s="10"/>
      <c r="Z235" s="196"/>
    </row>
    <row r="236" spans="2:26" ht="16" thickBot="1" x14ac:dyDescent="0.25">
      <c r="B236" s="198"/>
      <c r="C236" s="137"/>
      <c r="D236" s="9">
        <f>SUM(D230:D235)</f>
        <v>0</v>
      </c>
      <c r="E236" s="9">
        <f>SUM(E230:E235)</f>
        <v>0</v>
      </c>
      <c r="F236" s="245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254"/>
      <c r="R236" s="144"/>
      <c r="S236" s="144"/>
      <c r="T236" s="144"/>
      <c r="U236" s="144"/>
      <c r="V236" s="144"/>
      <c r="W236" s="144"/>
      <c r="X236" s="172"/>
      <c r="Y236" s="11"/>
      <c r="Z236" s="198"/>
    </row>
    <row r="237" spans="2:26" ht="16" thickBot="1" x14ac:dyDescent="0.25">
      <c r="B237" s="196">
        <v>45690</v>
      </c>
      <c r="C237" s="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253"/>
      <c r="R237" s="253"/>
      <c r="S237" s="146"/>
      <c r="T237" s="204"/>
      <c r="U237" s="146"/>
      <c r="V237" s="146"/>
      <c r="W237" s="146"/>
      <c r="X237" s="182"/>
      <c r="Y237" s="1">
        <f>SUM(F237:W240)</f>
        <v>0</v>
      </c>
      <c r="Z237" s="196">
        <f>B237</f>
        <v>45690</v>
      </c>
    </row>
    <row r="238" spans="2:26" ht="16" thickBot="1" x14ac:dyDescent="0.25">
      <c r="B238" s="198" t="s">
        <v>26</v>
      </c>
      <c r="C238" s="5"/>
      <c r="D238" s="4"/>
      <c r="E238" s="4"/>
      <c r="F238" s="4"/>
      <c r="G238" s="15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150"/>
      <c r="Y238" s="12"/>
      <c r="Z238" s="198" t="s">
        <v>26</v>
      </c>
    </row>
    <row r="239" spans="2:26" ht="16" thickBot="1" x14ac:dyDescent="0.25">
      <c r="B239" s="268"/>
      <c r="C239" s="152"/>
      <c r="D239" s="143"/>
      <c r="E239" s="14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150"/>
      <c r="Y239" s="10"/>
      <c r="Z239" s="268"/>
    </row>
    <row r="240" spans="2:26" ht="16" thickBot="1" x14ac:dyDescent="0.25">
      <c r="B240" s="267"/>
      <c r="C240" s="255"/>
      <c r="D240" s="1">
        <f>SUM(D237:D239)</f>
        <v>0</v>
      </c>
      <c r="E240" s="1">
        <f>SUM(E237:E239)</f>
        <v>0</v>
      </c>
      <c r="F240" s="245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72"/>
      <c r="Y240" s="248"/>
      <c r="Z240" s="268"/>
    </row>
    <row r="241" spans="2:26" x14ac:dyDescent="0.2">
      <c r="B241" s="101"/>
      <c r="C241" s="243"/>
      <c r="D241" s="242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8"/>
      <c r="Z241" s="130"/>
    </row>
    <row r="242" spans="2:26" ht="16" thickBot="1" x14ac:dyDescent="0.25">
      <c r="B242" s="101"/>
      <c r="C242" s="243"/>
      <c r="D242" s="189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2"/>
      <c r="Z242" s="128"/>
    </row>
    <row r="243" spans="2:26" ht="16" thickBot="1" x14ac:dyDescent="0.25">
      <c r="B243" s="101"/>
      <c r="C243" s="101"/>
      <c r="D243" s="105">
        <f>SUM(D240,D236,D229,D225,D217,D210,D204)</f>
        <v>0</v>
      </c>
      <c r="E243" s="105">
        <f>SUM(E240,E236,E229,E225,E217,E210,E204)</f>
        <v>0</v>
      </c>
      <c r="F243" s="104">
        <f t="shared" ref="F243:S243" si="4">SUM(F200:F242)</f>
        <v>3000</v>
      </c>
      <c r="G243" s="103">
        <f t="shared" si="4"/>
        <v>4947.1499999999996</v>
      </c>
      <c r="H243" s="103">
        <f t="shared" si="4"/>
        <v>0</v>
      </c>
      <c r="I243" s="103">
        <f t="shared" si="4"/>
        <v>12186.33</v>
      </c>
      <c r="J243" s="103">
        <f t="shared" si="4"/>
        <v>0</v>
      </c>
      <c r="K243" s="103">
        <f t="shared" si="4"/>
        <v>0</v>
      </c>
      <c r="L243" s="103">
        <f t="shared" si="4"/>
        <v>24346.18</v>
      </c>
      <c r="M243" s="103">
        <f t="shared" si="4"/>
        <v>0</v>
      </c>
      <c r="N243" s="103">
        <f t="shared" si="4"/>
        <v>0</v>
      </c>
      <c r="O243" s="103">
        <f t="shared" si="4"/>
        <v>6900</v>
      </c>
      <c r="P243" s="103">
        <f t="shared" si="4"/>
        <v>0</v>
      </c>
      <c r="Q243" s="103">
        <f t="shared" si="4"/>
        <v>489.86</v>
      </c>
      <c r="R243" s="103">
        <f t="shared" si="4"/>
        <v>0</v>
      </c>
      <c r="S243" s="103">
        <f t="shared" si="4"/>
        <v>7157.54</v>
      </c>
      <c r="T243" s="103"/>
      <c r="U243" s="103">
        <f>SUM(U204:U242)</f>
        <v>0</v>
      </c>
      <c r="V243" s="103">
        <f>SUM(V200:V242)</f>
        <v>0</v>
      </c>
      <c r="W243" s="103">
        <f>SUM(W200:W242)</f>
        <v>7855.33</v>
      </c>
      <c r="X243" s="153"/>
      <c r="Y243" s="155">
        <f>SUM(Y200:Y240)</f>
        <v>66882.39</v>
      </c>
      <c r="Z243" s="129"/>
    </row>
    <row r="244" spans="2:26" ht="27" thickBot="1" x14ac:dyDescent="0.25">
      <c r="B244" s="101"/>
      <c r="C244" s="154" t="s">
        <v>0</v>
      </c>
      <c r="D244" s="154" t="s">
        <v>1</v>
      </c>
      <c r="E244" s="154" t="s">
        <v>2</v>
      </c>
      <c r="F244" s="154" t="s">
        <v>3</v>
      </c>
      <c r="G244" s="154" t="s">
        <v>4</v>
      </c>
      <c r="H244" s="154" t="s">
        <v>5</v>
      </c>
      <c r="I244" s="154" t="s">
        <v>6</v>
      </c>
      <c r="J244" s="154" t="s">
        <v>7</v>
      </c>
      <c r="K244" s="154" t="s">
        <v>8</v>
      </c>
      <c r="L244" s="154" t="s">
        <v>9</v>
      </c>
      <c r="M244" s="154" t="s">
        <v>309</v>
      </c>
      <c r="N244" s="154" t="s">
        <v>11</v>
      </c>
      <c r="O244" s="154" t="s">
        <v>12</v>
      </c>
      <c r="P244" s="154" t="s">
        <v>13</v>
      </c>
      <c r="Q244" s="154" t="s">
        <v>14</v>
      </c>
      <c r="R244" s="154" t="s">
        <v>15</v>
      </c>
      <c r="S244" s="154" t="s">
        <v>311</v>
      </c>
      <c r="T244" s="154" t="s">
        <v>16</v>
      </c>
      <c r="U244" s="154" t="s">
        <v>403</v>
      </c>
      <c r="V244" s="154" t="s">
        <v>17</v>
      </c>
      <c r="W244" s="154" t="s">
        <v>18</v>
      </c>
      <c r="X244" s="154"/>
      <c r="Y244" s="154" t="s">
        <v>19</v>
      </c>
      <c r="Z244" s="126"/>
    </row>
    <row r="245" spans="2:26" ht="16" thickBot="1" x14ac:dyDescent="0.25">
      <c r="B245" s="101"/>
      <c r="C245" s="101"/>
      <c r="D245" s="101"/>
      <c r="E245" s="727" t="str">
        <f>M245</f>
        <v>27 JANUARY - 2 FEBRUARY 2025</v>
      </c>
      <c r="F245" s="719"/>
      <c r="G245" s="719"/>
      <c r="H245" s="720"/>
      <c r="I245" s="101"/>
      <c r="J245" s="101"/>
      <c r="K245" s="101"/>
      <c r="L245" s="101"/>
      <c r="M245" s="727" t="str">
        <f>V245</f>
        <v>27 JANUARY - 2 FEBRUARY 2025</v>
      </c>
      <c r="N245" s="719"/>
      <c r="O245" s="719"/>
      <c r="P245" s="720"/>
      <c r="Q245" s="101"/>
      <c r="R245" s="101"/>
      <c r="S245" s="101"/>
      <c r="T245" s="101"/>
      <c r="U245" s="101"/>
      <c r="V245" s="727" t="str">
        <f>V198</f>
        <v>27 JANUARY - 2 FEBRUARY 2025</v>
      </c>
      <c r="W245" s="719"/>
      <c r="X245" s="719"/>
      <c r="Y245" s="720"/>
      <c r="Z245" s="101"/>
    </row>
    <row r="246" spans="2:26" ht="16" thickBot="1" x14ac:dyDescent="0.25"/>
    <row r="247" spans="2:26" ht="16" thickBot="1" x14ac:dyDescent="0.25">
      <c r="E247" s="718" t="s">
        <v>662</v>
      </c>
      <c r="F247" s="719"/>
      <c r="G247" s="719"/>
      <c r="H247" s="720"/>
      <c r="K247" s="106"/>
      <c r="L247" s="106"/>
      <c r="M247" s="721" t="str">
        <f>E247</f>
        <v>3 - 9 FEBRUARY 2025</v>
      </c>
      <c r="N247" s="722"/>
      <c r="O247" s="722"/>
      <c r="P247" s="723"/>
      <c r="Q247" s="106"/>
      <c r="R247" s="106"/>
      <c r="S247" s="106"/>
      <c r="T247" s="106"/>
      <c r="U247" s="106"/>
      <c r="V247" s="724" t="str">
        <f>M247</f>
        <v>3 - 9 FEBRUARY 2025</v>
      </c>
      <c r="W247" s="725"/>
      <c r="X247" s="725"/>
      <c r="Y247" s="726"/>
      <c r="Z247" s="106"/>
    </row>
    <row r="248" spans="2:26" ht="27" thickBot="1" x14ac:dyDescent="0.25">
      <c r="C248" s="126" t="s">
        <v>0</v>
      </c>
      <c r="D248" s="135" t="s">
        <v>1</v>
      </c>
      <c r="E248" s="258" t="s">
        <v>2</v>
      </c>
      <c r="F248" s="259" t="s">
        <v>3</v>
      </c>
      <c r="G248" s="260" t="s">
        <v>4</v>
      </c>
      <c r="H248" s="261" t="s">
        <v>5</v>
      </c>
      <c r="I248" s="262" t="s">
        <v>6</v>
      </c>
      <c r="J248" s="262" t="s">
        <v>7</v>
      </c>
      <c r="K248" s="262" t="s">
        <v>8</v>
      </c>
      <c r="L248" s="262" t="s">
        <v>9</v>
      </c>
      <c r="M248" s="262" t="s">
        <v>10</v>
      </c>
      <c r="N248" s="262" t="s">
        <v>11</v>
      </c>
      <c r="O248" s="262" t="s">
        <v>12</v>
      </c>
      <c r="P248" s="262" t="s">
        <v>13</v>
      </c>
      <c r="Q248" s="262" t="s">
        <v>14</v>
      </c>
      <c r="R248" s="262" t="s">
        <v>15</v>
      </c>
      <c r="S248" s="262" t="s">
        <v>311</v>
      </c>
      <c r="T248" s="262" t="s">
        <v>16</v>
      </c>
      <c r="U248" s="154" t="s">
        <v>403</v>
      </c>
      <c r="V248" s="263" t="s">
        <v>17</v>
      </c>
      <c r="W248" s="263" t="s">
        <v>18</v>
      </c>
      <c r="X248" s="264"/>
      <c r="Y248" s="265" t="s">
        <v>19</v>
      </c>
      <c r="Z248" s="266"/>
    </row>
    <row r="249" spans="2:26" ht="16" thickBot="1" x14ac:dyDescent="0.25">
      <c r="B249" s="196">
        <v>45691</v>
      </c>
      <c r="C249" s="136"/>
      <c r="D249" s="139"/>
      <c r="E249" s="139"/>
      <c r="F249" s="139"/>
      <c r="G249" s="139">
        <v>800</v>
      </c>
      <c r="H249" s="139"/>
      <c r="I249" s="139"/>
      <c r="J249" s="139"/>
      <c r="K249" s="139"/>
      <c r="L249" s="139">
        <v>6436.48</v>
      </c>
      <c r="M249" s="139"/>
      <c r="N249" s="139"/>
      <c r="O249" s="139"/>
      <c r="P249" s="139"/>
      <c r="Q249" s="139"/>
      <c r="R249" s="139"/>
      <c r="S249" s="139"/>
      <c r="T249" s="140"/>
      <c r="U249" s="139"/>
      <c r="V249" s="139"/>
      <c r="W249" s="139">
        <v>90</v>
      </c>
      <c r="X249" s="141" t="s">
        <v>338</v>
      </c>
      <c r="Y249" s="239">
        <f>SUM(F249:X253)</f>
        <v>10025.849999999999</v>
      </c>
      <c r="Z249" s="269">
        <f>B249</f>
        <v>45691</v>
      </c>
    </row>
    <row r="250" spans="2:26" ht="16" thickBot="1" x14ac:dyDescent="0.25">
      <c r="B250" s="196" t="s">
        <v>20</v>
      </c>
      <c r="C250" s="203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204"/>
      <c r="U250" s="146"/>
      <c r="V250" s="146"/>
      <c r="W250" s="146">
        <v>720</v>
      </c>
      <c r="X250" s="182" t="s">
        <v>396</v>
      </c>
      <c r="Y250" s="191"/>
      <c r="Z250" s="196" t="s">
        <v>20</v>
      </c>
    </row>
    <row r="251" spans="2:26" ht="16" thickBot="1" x14ac:dyDescent="0.25">
      <c r="B251" s="196"/>
      <c r="C251" s="203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204"/>
      <c r="U251" s="146"/>
      <c r="V251" s="146"/>
      <c r="W251" s="146">
        <v>1667.37</v>
      </c>
      <c r="X251" s="182" t="s">
        <v>279</v>
      </c>
      <c r="Y251" s="191"/>
      <c r="Z251" s="196"/>
    </row>
    <row r="252" spans="2:26" ht="16" thickBot="1" x14ac:dyDescent="0.25">
      <c r="B252" s="206"/>
      <c r="C252" s="632"/>
      <c r="D252" s="4"/>
      <c r="E252" s="4"/>
      <c r="F252" s="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633"/>
      <c r="U252" s="8"/>
      <c r="V252" s="8"/>
      <c r="W252" s="8">
        <v>312</v>
      </c>
      <c r="X252" s="634" t="s">
        <v>537</v>
      </c>
      <c r="Y252" s="635"/>
      <c r="Z252" s="196"/>
    </row>
    <row r="253" spans="2:26" ht="16" thickBot="1" x14ac:dyDescent="0.25">
      <c r="B253" s="197"/>
      <c r="C253" s="137"/>
      <c r="D253" s="171">
        <f>SUM(D249:D251)</f>
        <v>0</v>
      </c>
      <c r="E253" s="658">
        <f>SUM(E249:E251)</f>
        <v>0</v>
      </c>
      <c r="F253" s="659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5"/>
      <c r="Y253" s="138"/>
      <c r="Z253" s="198"/>
    </row>
    <row r="254" spans="2:26" ht="16" thickBot="1" x14ac:dyDescent="0.25">
      <c r="B254" s="196">
        <v>45692</v>
      </c>
      <c r="C254" s="6"/>
      <c r="D254" s="146"/>
      <c r="E254" s="146"/>
      <c r="F254" s="139"/>
      <c r="G254" s="139">
        <f>800+79+79</f>
        <v>958</v>
      </c>
      <c r="H254" s="139"/>
      <c r="I254" s="139"/>
      <c r="J254" s="574"/>
      <c r="K254" s="139"/>
      <c r="L254" s="139">
        <f>39.99+6851.51</f>
        <v>6891.5</v>
      </c>
      <c r="M254" s="139"/>
      <c r="N254" s="139"/>
      <c r="O254" s="139"/>
      <c r="P254" s="139">
        <v>184</v>
      </c>
      <c r="Q254" s="139">
        <v>349.9</v>
      </c>
      <c r="R254" s="139"/>
      <c r="S254" s="139"/>
      <c r="T254" s="140"/>
      <c r="U254" s="139"/>
      <c r="V254" s="139"/>
      <c r="W254" s="139">
        <v>250</v>
      </c>
      <c r="X254" s="575" t="s">
        <v>669</v>
      </c>
      <c r="Y254" s="238">
        <f>SUM(F254:W259)</f>
        <v>8633.4</v>
      </c>
      <c r="Z254" s="196">
        <f>B254</f>
        <v>45692</v>
      </c>
    </row>
    <row r="255" spans="2:26" ht="16" thickBot="1" x14ac:dyDescent="0.25">
      <c r="B255" s="196" t="s">
        <v>21</v>
      </c>
      <c r="C255" s="6"/>
      <c r="D255" s="146"/>
      <c r="E255" s="146"/>
      <c r="F255" s="4"/>
      <c r="G255" s="4"/>
      <c r="H255" s="4"/>
      <c r="I255" s="4"/>
      <c r="J255" s="149"/>
      <c r="K255" s="4"/>
      <c r="L255" s="4"/>
      <c r="M255" s="4"/>
      <c r="N255" s="4"/>
      <c r="O255" s="4"/>
      <c r="P255" s="4"/>
      <c r="Q255" s="4"/>
      <c r="R255" s="4"/>
      <c r="S255" s="4"/>
      <c r="T255" s="148"/>
      <c r="U255" s="4"/>
      <c r="V255" s="4"/>
      <c r="W255" s="4"/>
      <c r="X255" s="142"/>
      <c r="Y255" s="191"/>
      <c r="Z255" s="196" t="s">
        <v>21</v>
      </c>
    </row>
    <row r="256" spans="2:26" ht="16" thickBot="1" x14ac:dyDescent="0.25">
      <c r="B256" s="196"/>
      <c r="C256" s="6"/>
      <c r="D256" s="4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78"/>
      <c r="U256" s="12"/>
      <c r="V256" s="12"/>
      <c r="W256" s="146"/>
      <c r="X256" s="147"/>
      <c r="Y256" s="191"/>
      <c r="Z256" s="196"/>
    </row>
    <row r="257" spans="2:26" ht="16" thickBot="1" x14ac:dyDescent="0.25">
      <c r="B257" s="662"/>
      <c r="C257" s="57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79"/>
      <c r="U257" s="4"/>
      <c r="V257" s="4"/>
      <c r="W257" s="4"/>
      <c r="X257" s="142"/>
      <c r="Y257" s="643"/>
      <c r="Z257" s="196"/>
    </row>
    <row r="258" spans="2:26" ht="16" thickBot="1" x14ac:dyDescent="0.25">
      <c r="B258" s="662"/>
      <c r="C258" s="57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79"/>
      <c r="U258" s="4"/>
      <c r="V258" s="4"/>
      <c r="W258" s="4"/>
      <c r="X258" s="142"/>
      <c r="Y258" s="643"/>
      <c r="Z258" s="196"/>
    </row>
    <row r="259" spans="2:26" ht="16" thickBot="1" x14ac:dyDescent="0.25">
      <c r="B259" s="476"/>
      <c r="C259" s="663"/>
      <c r="D259" s="664">
        <f>SUM(D254:D256)</f>
        <v>0</v>
      </c>
      <c r="E259" s="664">
        <f>SUM(E254:E256)</f>
        <v>0</v>
      </c>
      <c r="F259" s="66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642"/>
      <c r="U259" s="642"/>
      <c r="V259" s="642"/>
      <c r="W259" s="8"/>
      <c r="X259" s="666"/>
      <c r="Y259" s="571"/>
      <c r="Z259" s="198"/>
    </row>
    <row r="260" spans="2:26" ht="16" thickBot="1" x14ac:dyDescent="0.25">
      <c r="B260" s="570">
        <v>45693</v>
      </c>
      <c r="C260" s="573"/>
      <c r="D260" s="139"/>
      <c r="E260" s="139"/>
      <c r="F260" s="4"/>
      <c r="G260" s="4">
        <v>800</v>
      </c>
      <c r="H260" s="4"/>
      <c r="I260" s="688">
        <v>24863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48"/>
      <c r="U260" s="4"/>
      <c r="V260" s="4"/>
      <c r="W260" s="4"/>
      <c r="X260" s="689"/>
      <c r="Y260" s="576">
        <f>SUM(F260:X266)</f>
        <v>25663</v>
      </c>
      <c r="Z260" s="464">
        <f>B260</f>
        <v>45693</v>
      </c>
    </row>
    <row r="261" spans="2:26" ht="16" thickBot="1" x14ac:dyDescent="0.25">
      <c r="B261" s="570" t="s">
        <v>22</v>
      </c>
      <c r="C261" s="572"/>
      <c r="D261" s="4"/>
      <c r="E261" s="4"/>
      <c r="F261" s="4"/>
      <c r="G261" s="4"/>
      <c r="H261" s="4"/>
      <c r="I261" s="4"/>
      <c r="J261" s="149"/>
      <c r="K261" s="4"/>
      <c r="L261" s="4"/>
      <c r="M261" s="4"/>
      <c r="N261" s="4"/>
      <c r="O261" s="4"/>
      <c r="P261" s="4"/>
      <c r="Q261" s="4"/>
      <c r="R261" s="4"/>
      <c r="S261" s="4"/>
      <c r="T261" s="148"/>
      <c r="U261" s="4"/>
      <c r="V261" s="4"/>
      <c r="W261" s="4"/>
      <c r="X261" s="142"/>
      <c r="Y261" s="638"/>
      <c r="Z261" s="464"/>
    </row>
    <row r="262" spans="2:26" ht="16" thickBot="1" x14ac:dyDescent="0.25">
      <c r="B262" s="570"/>
      <c r="C262" s="572"/>
      <c r="D262" s="4"/>
      <c r="E262" s="4"/>
      <c r="F262" s="4"/>
      <c r="G262" s="4"/>
      <c r="H262" s="4"/>
      <c r="I262" s="4"/>
      <c r="J262" s="149"/>
      <c r="K262" s="4"/>
      <c r="L262" s="4"/>
      <c r="M262" s="4"/>
      <c r="N262" s="4"/>
      <c r="O262" s="4"/>
      <c r="P262" s="4"/>
      <c r="Q262" s="4"/>
      <c r="R262" s="4"/>
      <c r="S262" s="4"/>
      <c r="T262" s="148"/>
      <c r="U262" s="4"/>
      <c r="V262" s="4"/>
      <c r="W262" s="4"/>
      <c r="X262" s="142"/>
      <c r="Y262" s="638"/>
      <c r="Z262" s="464"/>
    </row>
    <row r="263" spans="2:26" ht="16" thickBot="1" x14ac:dyDescent="0.25">
      <c r="B263" s="570"/>
      <c r="C263" s="572"/>
      <c r="D263" s="4"/>
      <c r="E263" s="4"/>
      <c r="F263" s="4"/>
      <c r="G263" s="4"/>
      <c r="H263" s="4"/>
      <c r="I263" s="4"/>
      <c r="J263" s="149"/>
      <c r="K263" s="4"/>
      <c r="L263" s="4"/>
      <c r="M263" s="4"/>
      <c r="N263" s="4"/>
      <c r="O263" s="4"/>
      <c r="P263" s="4"/>
      <c r="Q263" s="4"/>
      <c r="R263" s="4"/>
      <c r="S263" s="4"/>
      <c r="T263" s="148"/>
      <c r="U263" s="4"/>
      <c r="V263" s="4"/>
      <c r="W263" s="4"/>
      <c r="X263" s="142"/>
      <c r="Y263" s="638"/>
      <c r="Z263" s="464"/>
    </row>
    <row r="264" spans="2:26" ht="16" thickBot="1" x14ac:dyDescent="0.25">
      <c r="B264" s="570"/>
      <c r="C264" s="572"/>
      <c r="D264" s="4"/>
      <c r="E264" s="4"/>
      <c r="F264" s="4"/>
      <c r="G264" s="4"/>
      <c r="H264" s="4"/>
      <c r="I264" s="4"/>
      <c r="J264" s="149"/>
      <c r="K264" s="4"/>
      <c r="L264" s="4"/>
      <c r="M264" s="4"/>
      <c r="N264" s="4"/>
      <c r="O264" s="4"/>
      <c r="P264" s="4"/>
      <c r="Q264" s="4"/>
      <c r="R264" s="4"/>
      <c r="S264" s="4"/>
      <c r="T264" s="148"/>
      <c r="U264" s="4"/>
      <c r="V264" s="4"/>
      <c r="W264" s="4"/>
      <c r="X264" s="142"/>
      <c r="Y264" s="638"/>
      <c r="Z264" s="464"/>
    </row>
    <row r="265" spans="2:26" ht="16" thickBot="1" x14ac:dyDescent="0.25">
      <c r="B265" s="570"/>
      <c r="C265" s="572"/>
      <c r="D265" s="4"/>
      <c r="E265" s="4"/>
      <c r="F265" s="4"/>
      <c r="G265" s="4"/>
      <c r="H265" s="4"/>
      <c r="I265" s="4"/>
      <c r="J265" s="149"/>
      <c r="K265" s="4"/>
      <c r="L265" s="4"/>
      <c r="M265" s="4"/>
      <c r="N265" s="4"/>
      <c r="O265" s="4"/>
      <c r="P265" s="4"/>
      <c r="Q265" s="4"/>
      <c r="R265" s="4"/>
      <c r="S265" s="4"/>
      <c r="T265" s="148"/>
      <c r="U265" s="4"/>
      <c r="V265" s="4"/>
      <c r="W265" s="4"/>
      <c r="X265" s="142"/>
      <c r="Y265" s="638"/>
      <c r="Z265" s="464"/>
    </row>
    <row r="266" spans="2:26" ht="16" thickBot="1" x14ac:dyDescent="0.25">
      <c r="B266" s="197"/>
      <c r="C266" s="257"/>
      <c r="D266" s="171">
        <f>SUM(D260:D265)</f>
        <v>0</v>
      </c>
      <c r="E266" s="171">
        <f>SUM(E260:E265)</f>
        <v>0</v>
      </c>
      <c r="F266" s="245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72"/>
      <c r="Y266" s="241"/>
      <c r="Z266" s="465"/>
    </row>
    <row r="267" spans="2:26" ht="16" thickBot="1" x14ac:dyDescent="0.25">
      <c r="B267" s="196">
        <v>45694</v>
      </c>
      <c r="C267" s="207"/>
      <c r="D267" s="8"/>
      <c r="E267" s="146"/>
      <c r="F267" s="146"/>
      <c r="G267" s="146">
        <v>800</v>
      </c>
      <c r="H267" s="146"/>
      <c r="I267" s="246"/>
      <c r="J267" s="146"/>
      <c r="K267" s="146"/>
      <c r="L267" s="146">
        <f>24.99+6671.62</f>
        <v>6696.61</v>
      </c>
      <c r="M267" s="146"/>
      <c r="N267" s="146">
        <v>509.8</v>
      </c>
      <c r="O267" s="146"/>
      <c r="P267" s="146"/>
      <c r="Q267" s="8">
        <v>279.92</v>
      </c>
      <c r="R267" s="8"/>
      <c r="S267" s="146">
        <v>7157.54</v>
      </c>
      <c r="T267" s="204"/>
      <c r="U267" s="146"/>
      <c r="V267" s="146">
        <v>1200</v>
      </c>
      <c r="W267" s="146">
        <v>439.98</v>
      </c>
      <c r="X267" s="247" t="s">
        <v>297</v>
      </c>
      <c r="Y267" s="171">
        <f>SUM(F267:W274)</f>
        <v>17671.609999999997</v>
      </c>
      <c r="Z267" s="196">
        <f>B267</f>
        <v>45694</v>
      </c>
    </row>
    <row r="268" spans="2:26" ht="16" thickBot="1" x14ac:dyDescent="0.25">
      <c r="B268" s="196" t="s">
        <v>23</v>
      </c>
      <c r="C268" s="7"/>
      <c r="D268" s="4"/>
      <c r="E268" s="146"/>
      <c r="F268" s="146"/>
      <c r="G268" s="146"/>
      <c r="H268" s="146"/>
      <c r="I268" s="463"/>
      <c r="J268" s="146"/>
      <c r="K268" s="146"/>
      <c r="L268" s="146"/>
      <c r="M268" s="146"/>
      <c r="N268" s="146"/>
      <c r="O268" s="146"/>
      <c r="P268" s="146"/>
      <c r="Q268" s="4"/>
      <c r="R268" s="4"/>
      <c r="S268" s="146"/>
      <c r="T268" s="204"/>
      <c r="U268" s="146"/>
      <c r="V268" s="146"/>
      <c r="W268" s="146">
        <v>587.76</v>
      </c>
      <c r="X268" s="247" t="s">
        <v>279</v>
      </c>
      <c r="Y268" s="240"/>
      <c r="Z268" s="196"/>
    </row>
    <row r="269" spans="2:26" ht="16" thickBot="1" x14ac:dyDescent="0.25">
      <c r="B269" s="196"/>
      <c r="C269" s="7"/>
      <c r="D269" s="4"/>
      <c r="E269" s="146"/>
      <c r="F269" s="146"/>
      <c r="G269" s="146"/>
      <c r="H269" s="146"/>
      <c r="I269" s="463"/>
      <c r="J269" s="146"/>
      <c r="K269" s="146"/>
      <c r="L269" s="146"/>
      <c r="M269" s="146"/>
      <c r="N269" s="146"/>
      <c r="O269" s="146"/>
      <c r="P269" s="146"/>
      <c r="Q269" s="4"/>
      <c r="R269" s="4"/>
      <c r="S269" s="146"/>
      <c r="T269" s="204"/>
      <c r="U269" s="146"/>
      <c r="V269" s="146"/>
      <c r="W269" s="146"/>
      <c r="X269" s="247"/>
      <c r="Y269" s="4"/>
      <c r="Z269" s="464"/>
    </row>
    <row r="270" spans="2:26" ht="16" thickBot="1" x14ac:dyDescent="0.25">
      <c r="B270" s="196"/>
      <c r="C270" s="7"/>
      <c r="D270" s="4"/>
      <c r="E270" s="146"/>
      <c r="F270" s="146"/>
      <c r="G270" s="146"/>
      <c r="H270" s="146"/>
      <c r="I270" s="463"/>
      <c r="J270" s="146"/>
      <c r="K270" s="146"/>
      <c r="L270" s="146"/>
      <c r="M270" s="146"/>
      <c r="N270" s="146"/>
      <c r="O270" s="146"/>
      <c r="P270" s="146"/>
      <c r="Q270" s="4"/>
      <c r="R270" s="4"/>
      <c r="S270" s="146"/>
      <c r="T270" s="204"/>
      <c r="U270" s="146"/>
      <c r="V270" s="146"/>
      <c r="W270" s="146"/>
      <c r="X270" s="247"/>
      <c r="Y270" s="4"/>
      <c r="Z270" s="464"/>
    </row>
    <row r="271" spans="2:26" ht="16" thickBot="1" x14ac:dyDescent="0.25">
      <c r="B271" s="198"/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150"/>
      <c r="Y271" s="4"/>
      <c r="Z271" s="465" t="s">
        <v>23</v>
      </c>
    </row>
    <row r="272" spans="2:26" ht="16" thickBot="1" x14ac:dyDescent="0.25">
      <c r="B272" s="476"/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150"/>
      <c r="Y272" s="10"/>
      <c r="Z272" s="465"/>
    </row>
    <row r="273" spans="2:26" ht="16" thickBot="1" x14ac:dyDescent="0.25">
      <c r="B273" s="476"/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150"/>
      <c r="Y273" s="10"/>
      <c r="Z273" s="465"/>
    </row>
    <row r="274" spans="2:26" ht="16" thickBot="1" x14ac:dyDescent="0.25">
      <c r="B274" s="197"/>
      <c r="C274" s="249"/>
      <c r="D274" s="171">
        <f>SUM(D267:D273)</f>
        <v>0</v>
      </c>
      <c r="E274" s="171">
        <f>SUM(E267:E273)</f>
        <v>0</v>
      </c>
      <c r="F274" s="252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250"/>
      <c r="Y274" s="251"/>
      <c r="Z274" s="198"/>
    </row>
    <row r="275" spans="2:26" ht="16" thickBot="1" x14ac:dyDescent="0.25">
      <c r="B275" s="556">
        <v>45695</v>
      </c>
      <c r="C275" s="557"/>
      <c r="D275" s="558"/>
      <c r="E275" s="558"/>
      <c r="F275" s="146"/>
      <c r="G275" s="146">
        <v>800</v>
      </c>
      <c r="H275" s="146"/>
      <c r="I275" s="246"/>
      <c r="J275" s="146"/>
      <c r="K275" s="146"/>
      <c r="L275" s="146"/>
      <c r="M275" s="146"/>
      <c r="N275" s="146"/>
      <c r="O275" s="146"/>
      <c r="P275" s="146"/>
      <c r="Q275" s="8"/>
      <c r="R275" s="8"/>
      <c r="S275" s="146"/>
      <c r="T275" s="204"/>
      <c r="U275" s="146"/>
      <c r="V275" s="146"/>
      <c r="W275" s="146">
        <v>6000</v>
      </c>
      <c r="X275" s="247" t="s">
        <v>435</v>
      </c>
      <c r="Y275" s="559">
        <f>SUM(F275:W278)</f>
        <v>6800</v>
      </c>
      <c r="Z275" s="560">
        <f>B275</f>
        <v>45695</v>
      </c>
    </row>
    <row r="276" spans="2:26" ht="16" thickBot="1" x14ac:dyDescent="0.25">
      <c r="B276" s="206" t="s">
        <v>24</v>
      </c>
      <c r="C276" s="6"/>
      <c r="D276" s="146"/>
      <c r="E276" s="146"/>
      <c r="F276" s="14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150"/>
      <c r="Y276" s="639"/>
      <c r="Z276" s="196"/>
    </row>
    <row r="277" spans="2:26" ht="16" thickBot="1" x14ac:dyDescent="0.25">
      <c r="B277" s="206"/>
      <c r="C277" s="6"/>
      <c r="D277" s="146"/>
      <c r="E277" s="146"/>
      <c r="F277" s="146"/>
      <c r="G277" s="146"/>
      <c r="H277" s="146"/>
      <c r="I277" s="246"/>
      <c r="J277" s="146"/>
      <c r="K277" s="146"/>
      <c r="L277" s="146"/>
      <c r="M277" s="146"/>
      <c r="N277" s="146"/>
      <c r="O277" s="146"/>
      <c r="P277" s="146"/>
      <c r="Q277" s="8"/>
      <c r="R277" s="8"/>
      <c r="S277" s="146"/>
      <c r="T277" s="204"/>
      <c r="U277" s="146"/>
      <c r="V277" s="146"/>
      <c r="W277" s="146"/>
      <c r="X277" s="247"/>
      <c r="Y277" s="639"/>
      <c r="Z277" s="196"/>
    </row>
    <row r="278" spans="2:26" ht="16" thickBot="1" x14ac:dyDescent="0.25">
      <c r="B278" s="197"/>
      <c r="C278" s="137"/>
      <c r="D278" s="1">
        <f>SUM(D275:D277)</f>
        <v>0</v>
      </c>
      <c r="E278" s="1">
        <f>SUM(E275:E277)</f>
        <v>0</v>
      </c>
      <c r="F278" s="2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250"/>
      <c r="Y278" s="251"/>
      <c r="Z278" s="198"/>
    </row>
    <row r="279" spans="2:26" ht="16" thickBot="1" x14ac:dyDescent="0.25">
      <c r="B279" s="127">
        <v>45696</v>
      </c>
      <c r="C279" s="6"/>
      <c r="D279" s="146"/>
      <c r="E279" s="146"/>
      <c r="F279" s="146"/>
      <c r="G279" s="146"/>
      <c r="H279" s="146"/>
      <c r="I279" s="246"/>
      <c r="J279" s="146"/>
      <c r="K279" s="146"/>
      <c r="L279" s="146"/>
      <c r="M279" s="146"/>
      <c r="N279" s="146"/>
      <c r="O279" s="146">
        <f>12355+6400</f>
        <v>18755</v>
      </c>
      <c r="P279" s="146"/>
      <c r="Q279" s="8"/>
      <c r="R279" s="8"/>
      <c r="S279" s="146"/>
      <c r="T279" s="204"/>
      <c r="U279" s="146"/>
      <c r="V279" s="146"/>
      <c r="W279" s="146">
        <v>872.7</v>
      </c>
      <c r="X279" s="247" t="s">
        <v>637</v>
      </c>
      <c r="Y279" s="171">
        <f>SUM(F279:W285)</f>
        <v>19627.7</v>
      </c>
      <c r="Z279" s="196">
        <f>B279</f>
        <v>45696</v>
      </c>
    </row>
    <row r="280" spans="2:26" ht="16" thickBot="1" x14ac:dyDescent="0.25">
      <c r="B280" s="548" t="s">
        <v>25</v>
      </c>
      <c r="C280" s="6"/>
      <c r="D280" s="4"/>
      <c r="E280" s="4"/>
      <c r="F280" s="14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150"/>
      <c r="Y280" s="639"/>
      <c r="Z280" s="196" t="s">
        <v>25</v>
      </c>
    </row>
    <row r="281" spans="2:26" ht="16" thickBot="1" x14ac:dyDescent="0.25">
      <c r="B281" s="208"/>
      <c r="C281" s="6"/>
      <c r="D281" s="4"/>
      <c r="E281" s="4"/>
      <c r="F281" s="14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150"/>
      <c r="Y281" s="639"/>
      <c r="Z281" s="196"/>
    </row>
    <row r="282" spans="2:26" ht="16" thickBot="1" x14ac:dyDescent="0.25">
      <c r="B282" s="208"/>
      <c r="C282" s="6"/>
      <c r="D282" s="4"/>
      <c r="E282" s="4"/>
      <c r="F282" s="14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150"/>
      <c r="Y282" s="639"/>
      <c r="Z282" s="196"/>
    </row>
    <row r="283" spans="2:26" ht="16" thickBot="1" x14ac:dyDescent="0.25">
      <c r="B283" s="208"/>
      <c r="C283" s="6"/>
      <c r="D283" s="4"/>
      <c r="E283" s="4"/>
      <c r="F283" s="14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150"/>
      <c r="Y283" s="639"/>
      <c r="Z283" s="196"/>
    </row>
    <row r="284" spans="2:26" ht="16" thickBot="1" x14ac:dyDescent="0.25">
      <c r="B284" s="199"/>
      <c r="C284" s="7"/>
      <c r="D284" s="143"/>
      <c r="E284" s="14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48"/>
      <c r="U284" s="4"/>
      <c r="V284" s="4"/>
      <c r="W284" s="4"/>
      <c r="X284" s="150"/>
      <c r="Y284" s="10"/>
      <c r="Z284" s="196"/>
    </row>
    <row r="285" spans="2:26" ht="16" thickBot="1" x14ac:dyDescent="0.25">
      <c r="B285" s="198"/>
      <c r="C285" s="137"/>
      <c r="D285" s="9">
        <f>SUM(D279:D284)</f>
        <v>0</v>
      </c>
      <c r="E285" s="9">
        <f>SUM(E279:E284)</f>
        <v>0</v>
      </c>
      <c r="F285" s="245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254"/>
      <c r="R285" s="144"/>
      <c r="S285" s="144"/>
      <c r="T285" s="144"/>
      <c r="U285" s="144"/>
      <c r="V285" s="144"/>
      <c r="W285" s="144"/>
      <c r="X285" s="172"/>
      <c r="Y285" s="11"/>
      <c r="Z285" s="198"/>
    </row>
    <row r="286" spans="2:26" ht="16" thickBot="1" x14ac:dyDescent="0.25">
      <c r="B286" s="196">
        <v>45697</v>
      </c>
      <c r="C286" s="6"/>
      <c r="D286" s="146"/>
      <c r="E286" s="146"/>
      <c r="F286" s="146">
        <v>1500</v>
      </c>
      <c r="G286" s="146"/>
      <c r="H286" s="146"/>
      <c r="I286" s="146"/>
      <c r="J286" s="146"/>
      <c r="K286" s="146"/>
      <c r="L286" s="146">
        <v>7082.37</v>
      </c>
      <c r="M286" s="146"/>
      <c r="N286" s="146"/>
      <c r="O286" s="146"/>
      <c r="P286" s="146"/>
      <c r="Q286" s="253">
        <v>314.91000000000003</v>
      </c>
      <c r="R286" s="253"/>
      <c r="S286" s="146"/>
      <c r="T286" s="204"/>
      <c r="U286" s="146"/>
      <c r="V286" s="146"/>
      <c r="W286" s="146"/>
      <c r="X286" s="182"/>
      <c r="Y286" s="1">
        <f>SUM(F286:W289)</f>
        <v>8897.2799999999988</v>
      </c>
      <c r="Z286" s="196">
        <f>B286</f>
        <v>45697</v>
      </c>
    </row>
    <row r="287" spans="2:26" ht="16" thickBot="1" x14ac:dyDescent="0.25">
      <c r="B287" s="198" t="s">
        <v>26</v>
      </c>
      <c r="C287" s="5"/>
      <c r="D287" s="4"/>
      <c r="E287" s="4"/>
      <c r="F287" s="4"/>
      <c r="G287" s="15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150"/>
      <c r="Y287" s="12"/>
      <c r="Z287" s="198" t="s">
        <v>26</v>
      </c>
    </row>
    <row r="288" spans="2:26" ht="16" thickBot="1" x14ac:dyDescent="0.25">
      <c r="B288" s="268"/>
      <c r="C288" s="152"/>
      <c r="D288" s="143"/>
      <c r="E288" s="14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150"/>
      <c r="Y288" s="10"/>
      <c r="Z288" s="268"/>
    </row>
    <row r="289" spans="2:26" ht="16" thickBot="1" x14ac:dyDescent="0.25">
      <c r="B289" s="267"/>
      <c r="C289" s="255"/>
      <c r="D289" s="1">
        <f>SUM(D286:D288)</f>
        <v>0</v>
      </c>
      <c r="E289" s="1">
        <f>SUM(E286:E288)</f>
        <v>0</v>
      </c>
      <c r="F289" s="245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72"/>
      <c r="Y289" s="248"/>
      <c r="Z289" s="268"/>
    </row>
    <row r="290" spans="2:26" x14ac:dyDescent="0.2">
      <c r="B290" s="101"/>
      <c r="C290" s="243"/>
      <c r="D290" s="242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8"/>
      <c r="Z290" s="130"/>
    </row>
    <row r="291" spans="2:26" ht="16" thickBot="1" x14ac:dyDescent="0.25">
      <c r="B291" s="101"/>
      <c r="C291" s="243"/>
      <c r="D291" s="189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2"/>
      <c r="Z291" s="128"/>
    </row>
    <row r="292" spans="2:26" ht="16" thickBot="1" x14ac:dyDescent="0.25">
      <c r="B292" s="101"/>
      <c r="C292" s="101"/>
      <c r="D292" s="105">
        <f>SUM(D289,D285,D278,D274,D266,D259,D253)</f>
        <v>0</v>
      </c>
      <c r="E292" s="105">
        <f>SUM(E289,E285,E278,E274,E266,E259,E253)</f>
        <v>0</v>
      </c>
      <c r="F292" s="104">
        <f t="shared" ref="F292:S292" si="5">SUM(F249:F291)</f>
        <v>1500</v>
      </c>
      <c r="G292" s="103">
        <f t="shared" si="5"/>
        <v>4158</v>
      </c>
      <c r="H292" s="103">
        <f t="shared" si="5"/>
        <v>0</v>
      </c>
      <c r="I292" s="103">
        <f t="shared" si="5"/>
        <v>24863</v>
      </c>
      <c r="J292" s="103">
        <f t="shared" si="5"/>
        <v>0</v>
      </c>
      <c r="K292" s="103">
        <f t="shared" si="5"/>
        <v>0</v>
      </c>
      <c r="L292" s="103">
        <f t="shared" si="5"/>
        <v>27106.959999999999</v>
      </c>
      <c r="M292" s="103">
        <f t="shared" si="5"/>
        <v>0</v>
      </c>
      <c r="N292" s="103">
        <f t="shared" si="5"/>
        <v>509.8</v>
      </c>
      <c r="O292" s="103">
        <f t="shared" si="5"/>
        <v>18755</v>
      </c>
      <c r="P292" s="103">
        <f t="shared" si="5"/>
        <v>184</v>
      </c>
      <c r="Q292" s="103">
        <f t="shared" si="5"/>
        <v>944.73</v>
      </c>
      <c r="R292" s="103">
        <f t="shared" si="5"/>
        <v>0</v>
      </c>
      <c r="S292" s="103">
        <f t="shared" si="5"/>
        <v>7157.54</v>
      </c>
      <c r="T292" s="103"/>
      <c r="U292" s="103">
        <f>SUM(U253:U291)</f>
        <v>0</v>
      </c>
      <c r="V292" s="103">
        <f>SUM(V249:V291)</f>
        <v>1200</v>
      </c>
      <c r="W292" s="103">
        <f>SUM(W249:W291)</f>
        <v>10939.810000000001</v>
      </c>
      <c r="X292" s="153"/>
      <c r="Y292" s="155">
        <f>SUM(Y249:Y289)</f>
        <v>97318.84</v>
      </c>
      <c r="Z292" s="129"/>
    </row>
    <row r="293" spans="2:26" ht="27" thickBot="1" x14ac:dyDescent="0.25">
      <c r="B293" s="101"/>
      <c r="C293" s="154" t="s">
        <v>0</v>
      </c>
      <c r="D293" s="154" t="s">
        <v>1</v>
      </c>
      <c r="E293" s="154" t="s">
        <v>2</v>
      </c>
      <c r="F293" s="154" t="s">
        <v>3</v>
      </c>
      <c r="G293" s="154" t="s">
        <v>4</v>
      </c>
      <c r="H293" s="154" t="s">
        <v>5</v>
      </c>
      <c r="I293" s="154" t="s">
        <v>6</v>
      </c>
      <c r="J293" s="154" t="s">
        <v>7</v>
      </c>
      <c r="K293" s="154" t="s">
        <v>8</v>
      </c>
      <c r="L293" s="154" t="s">
        <v>9</v>
      </c>
      <c r="M293" s="154" t="s">
        <v>309</v>
      </c>
      <c r="N293" s="154" t="s">
        <v>11</v>
      </c>
      <c r="O293" s="154" t="s">
        <v>12</v>
      </c>
      <c r="P293" s="154" t="s">
        <v>13</v>
      </c>
      <c r="Q293" s="154" t="s">
        <v>14</v>
      </c>
      <c r="R293" s="154" t="s">
        <v>15</v>
      </c>
      <c r="S293" s="154" t="s">
        <v>311</v>
      </c>
      <c r="T293" s="154" t="s">
        <v>16</v>
      </c>
      <c r="U293" s="154" t="s">
        <v>403</v>
      </c>
      <c r="V293" s="154" t="s">
        <v>17</v>
      </c>
      <c r="W293" s="154" t="s">
        <v>18</v>
      </c>
      <c r="X293" s="154"/>
      <c r="Y293" s="154" t="s">
        <v>19</v>
      </c>
      <c r="Z293" s="126"/>
    </row>
    <row r="294" spans="2:26" ht="16" thickBot="1" x14ac:dyDescent="0.25">
      <c r="B294" s="101"/>
      <c r="C294" s="101"/>
      <c r="D294" s="101"/>
      <c r="E294" s="727" t="str">
        <f>M294</f>
        <v>3 - 9 FEBRUARY 2025</v>
      </c>
      <c r="F294" s="719"/>
      <c r="G294" s="719"/>
      <c r="H294" s="720"/>
      <c r="I294" s="101"/>
      <c r="J294" s="101"/>
      <c r="K294" s="101"/>
      <c r="L294" s="101"/>
      <c r="M294" s="727" t="str">
        <f>V294</f>
        <v>3 - 9 FEBRUARY 2025</v>
      </c>
      <c r="N294" s="719"/>
      <c r="O294" s="719"/>
      <c r="P294" s="720"/>
      <c r="Q294" s="101"/>
      <c r="R294" s="101"/>
      <c r="S294" s="101"/>
      <c r="T294" s="101"/>
      <c r="U294" s="101"/>
      <c r="V294" s="727" t="str">
        <f>V247</f>
        <v>3 - 9 FEBRUARY 2025</v>
      </c>
      <c r="W294" s="719"/>
      <c r="X294" s="719"/>
      <c r="Y294" s="720"/>
      <c r="Z294" s="101"/>
    </row>
    <row r="295" spans="2:26" ht="16" thickBot="1" x14ac:dyDescent="0.25"/>
    <row r="296" spans="2:26" ht="16" thickBot="1" x14ac:dyDescent="0.25">
      <c r="E296" s="718" t="s">
        <v>689</v>
      </c>
      <c r="F296" s="719"/>
      <c r="G296" s="719"/>
      <c r="H296" s="720"/>
      <c r="K296" s="106"/>
      <c r="L296" s="106"/>
      <c r="M296" s="721" t="str">
        <f>E296</f>
        <v>10 - 16 FEBRUARY 2025</v>
      </c>
      <c r="N296" s="722"/>
      <c r="O296" s="722"/>
      <c r="P296" s="723"/>
      <c r="Q296" s="106"/>
      <c r="R296" s="106"/>
      <c r="S296" s="106"/>
      <c r="T296" s="106"/>
      <c r="U296" s="106"/>
      <c r="V296" s="724" t="str">
        <f>M296</f>
        <v>10 - 16 FEBRUARY 2025</v>
      </c>
      <c r="W296" s="725"/>
      <c r="X296" s="725"/>
      <c r="Y296" s="726"/>
      <c r="Z296" s="106"/>
    </row>
    <row r="297" spans="2:26" ht="27" thickBot="1" x14ac:dyDescent="0.25">
      <c r="C297" s="126" t="s">
        <v>0</v>
      </c>
      <c r="D297" s="135" t="s">
        <v>1</v>
      </c>
      <c r="E297" s="258" t="s">
        <v>2</v>
      </c>
      <c r="F297" s="259" t="s">
        <v>3</v>
      </c>
      <c r="G297" s="260" t="s">
        <v>4</v>
      </c>
      <c r="H297" s="261" t="s">
        <v>5</v>
      </c>
      <c r="I297" s="262" t="s">
        <v>6</v>
      </c>
      <c r="J297" s="262" t="s">
        <v>7</v>
      </c>
      <c r="K297" s="262" t="s">
        <v>8</v>
      </c>
      <c r="L297" s="262" t="s">
        <v>9</v>
      </c>
      <c r="M297" s="262" t="s">
        <v>10</v>
      </c>
      <c r="N297" s="262" t="s">
        <v>11</v>
      </c>
      <c r="O297" s="262" t="s">
        <v>12</v>
      </c>
      <c r="P297" s="262" t="s">
        <v>13</v>
      </c>
      <c r="Q297" s="262" t="s">
        <v>14</v>
      </c>
      <c r="R297" s="262" t="s">
        <v>15</v>
      </c>
      <c r="S297" s="262" t="s">
        <v>311</v>
      </c>
      <c r="T297" s="262" t="s">
        <v>16</v>
      </c>
      <c r="U297" s="154" t="s">
        <v>403</v>
      </c>
      <c r="V297" s="263" t="s">
        <v>17</v>
      </c>
      <c r="W297" s="263" t="s">
        <v>18</v>
      </c>
      <c r="X297" s="264"/>
      <c r="Y297" s="265" t="s">
        <v>19</v>
      </c>
      <c r="Z297" s="266"/>
    </row>
    <row r="298" spans="2:26" ht="16" thickBot="1" x14ac:dyDescent="0.25">
      <c r="B298" s="196">
        <v>45698</v>
      </c>
      <c r="C298" s="136"/>
      <c r="D298" s="139"/>
      <c r="E298" s="139"/>
      <c r="F298" s="139">
        <f>1627.15+775.29</f>
        <v>2402.44</v>
      </c>
      <c r="G298" s="139"/>
      <c r="H298" s="139"/>
      <c r="I298" s="139"/>
      <c r="J298" s="139"/>
      <c r="K298" s="139"/>
      <c r="L298" s="139">
        <v>5966.55</v>
      </c>
      <c r="M298" s="139"/>
      <c r="N298" s="139"/>
      <c r="O298" s="139"/>
      <c r="P298" s="139"/>
      <c r="Q298" s="139">
        <v>349.9</v>
      </c>
      <c r="R298" s="139"/>
      <c r="S298" s="139"/>
      <c r="T298" s="140"/>
      <c r="U298" s="139"/>
      <c r="V298" s="139"/>
      <c r="W298" s="139">
        <v>517.98</v>
      </c>
      <c r="X298" s="141" t="s">
        <v>297</v>
      </c>
      <c r="Y298" s="239">
        <f>SUM(F298:X302)</f>
        <v>10043.06</v>
      </c>
      <c r="Z298" s="269">
        <f>B298</f>
        <v>45698</v>
      </c>
    </row>
    <row r="299" spans="2:26" ht="16" thickBot="1" x14ac:dyDescent="0.25">
      <c r="B299" s="196" t="s">
        <v>20</v>
      </c>
      <c r="C299" s="203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204"/>
      <c r="U299" s="146"/>
      <c r="V299" s="146"/>
      <c r="W299" s="146">
        <v>806.19</v>
      </c>
      <c r="X299" s="182" t="s">
        <v>279</v>
      </c>
      <c r="Y299" s="191"/>
      <c r="Z299" s="196" t="s">
        <v>20</v>
      </c>
    </row>
    <row r="300" spans="2:26" ht="16" thickBot="1" x14ac:dyDescent="0.25">
      <c r="B300" s="196"/>
      <c r="C300" s="203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204"/>
      <c r="U300" s="146"/>
      <c r="V300" s="146"/>
      <c r="W300" s="146"/>
      <c r="X300" s="182"/>
      <c r="Y300" s="191"/>
      <c r="Z300" s="196"/>
    </row>
    <row r="301" spans="2:26" ht="16" thickBot="1" x14ac:dyDescent="0.25">
      <c r="B301" s="206"/>
      <c r="C301" s="632"/>
      <c r="D301" s="4"/>
      <c r="E301" s="4"/>
      <c r="F301" s="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633"/>
      <c r="U301" s="8"/>
      <c r="V301" s="8"/>
      <c r="W301" s="8"/>
      <c r="X301" s="634"/>
      <c r="Y301" s="635"/>
      <c r="Z301" s="196"/>
    </row>
    <row r="302" spans="2:26" ht="16" thickBot="1" x14ac:dyDescent="0.25">
      <c r="B302" s="197"/>
      <c r="C302" s="137"/>
      <c r="D302" s="171">
        <f>SUM(D298:D300)</f>
        <v>0</v>
      </c>
      <c r="E302" s="658">
        <f>SUM(E298:E300)</f>
        <v>0</v>
      </c>
      <c r="F302" s="659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5"/>
      <c r="Y302" s="138"/>
      <c r="Z302" s="198"/>
    </row>
    <row r="303" spans="2:26" ht="16" thickBot="1" x14ac:dyDescent="0.25">
      <c r="B303" s="196">
        <v>45699</v>
      </c>
      <c r="C303" s="6"/>
      <c r="D303" s="146"/>
      <c r="E303" s="146"/>
      <c r="F303" s="139"/>
      <c r="G303" s="139">
        <f>662.99+1077.28+79+79</f>
        <v>1898.27</v>
      </c>
      <c r="H303" s="139"/>
      <c r="I303" s="139"/>
      <c r="J303" s="574"/>
      <c r="K303" s="139">
        <v>575</v>
      </c>
      <c r="L303" s="139">
        <v>8105.45</v>
      </c>
      <c r="M303" s="139"/>
      <c r="N303" s="139">
        <v>549</v>
      </c>
      <c r="O303" s="139"/>
      <c r="P303" s="139">
        <v>90</v>
      </c>
      <c r="Q303" s="139">
        <v>449.89</v>
      </c>
      <c r="R303" s="139"/>
      <c r="S303" s="139"/>
      <c r="T303" s="140"/>
      <c r="U303" s="139"/>
      <c r="V303" s="139"/>
      <c r="W303" s="139">
        <v>650</v>
      </c>
      <c r="X303" s="575" t="s">
        <v>669</v>
      </c>
      <c r="Y303" s="238">
        <f>SUM(F303:W308)</f>
        <v>12317.609999999999</v>
      </c>
      <c r="Z303" s="196">
        <f>B303</f>
        <v>45699</v>
      </c>
    </row>
    <row r="304" spans="2:26" ht="16" thickBot="1" x14ac:dyDescent="0.25">
      <c r="B304" s="196" t="s">
        <v>21</v>
      </c>
      <c r="C304" s="6"/>
      <c r="D304" s="146"/>
      <c r="E304" s="146"/>
      <c r="F304" s="4"/>
      <c r="G304" s="4"/>
      <c r="H304" s="4"/>
      <c r="I304" s="4"/>
      <c r="J304" s="149"/>
      <c r="K304" s="4"/>
      <c r="L304" s="4"/>
      <c r="M304" s="4"/>
      <c r="N304" s="4"/>
      <c r="O304" s="4"/>
      <c r="P304" s="4"/>
      <c r="Q304" s="4"/>
      <c r="R304" s="4"/>
      <c r="S304" s="4"/>
      <c r="T304" s="148"/>
      <c r="U304" s="4"/>
      <c r="V304" s="4"/>
      <c r="W304" s="4"/>
      <c r="X304" s="142"/>
      <c r="Y304" s="191"/>
      <c r="Z304" s="196" t="s">
        <v>21</v>
      </c>
    </row>
    <row r="305" spans="2:26" ht="16" thickBot="1" x14ac:dyDescent="0.25">
      <c r="B305" s="196"/>
      <c r="C305" s="6"/>
      <c r="D305" s="4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78"/>
      <c r="U305" s="12"/>
      <c r="V305" s="12"/>
      <c r="W305" s="146"/>
      <c r="X305" s="147"/>
      <c r="Y305" s="191"/>
      <c r="Z305" s="196"/>
    </row>
    <row r="306" spans="2:26" ht="16" thickBot="1" x14ac:dyDescent="0.25">
      <c r="B306" s="662"/>
      <c r="C306" s="57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79"/>
      <c r="U306" s="4"/>
      <c r="V306" s="4"/>
      <c r="W306" s="4"/>
      <c r="X306" s="142"/>
      <c r="Y306" s="643"/>
      <c r="Z306" s="196"/>
    </row>
    <row r="307" spans="2:26" ht="16" thickBot="1" x14ac:dyDescent="0.25">
      <c r="B307" s="662"/>
      <c r="C307" s="57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79"/>
      <c r="U307" s="4"/>
      <c r="V307" s="4"/>
      <c r="W307" s="4"/>
      <c r="X307" s="142"/>
      <c r="Y307" s="643"/>
      <c r="Z307" s="196"/>
    </row>
    <row r="308" spans="2:26" ht="16" thickBot="1" x14ac:dyDescent="0.25">
      <c r="B308" s="476"/>
      <c r="C308" s="663"/>
      <c r="D308" s="664">
        <f>SUM(D303:D305)</f>
        <v>0</v>
      </c>
      <c r="E308" s="664">
        <f>SUM(E303:E305)</f>
        <v>0</v>
      </c>
      <c r="F308" s="66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642"/>
      <c r="U308" s="642"/>
      <c r="V308" s="642"/>
      <c r="W308" s="8"/>
      <c r="X308" s="666"/>
      <c r="Y308" s="571"/>
      <c r="Z308" s="198"/>
    </row>
    <row r="309" spans="2:26" ht="16" thickBot="1" x14ac:dyDescent="0.25">
      <c r="B309" s="570">
        <v>45700</v>
      </c>
      <c r="C309" s="573"/>
      <c r="D309" s="139"/>
      <c r="E309" s="139"/>
      <c r="F309" s="4"/>
      <c r="G309" s="4">
        <v>800</v>
      </c>
      <c r="H309" s="4"/>
      <c r="I309" s="68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48"/>
      <c r="U309" s="4"/>
      <c r="V309" s="4"/>
      <c r="W309" s="4">
        <v>2280.61</v>
      </c>
      <c r="X309" s="689" t="s">
        <v>694</v>
      </c>
      <c r="Y309" s="576">
        <f>SUM(F309:X315)</f>
        <v>4590.6100000000006</v>
      </c>
      <c r="Z309" s="464">
        <f>B309</f>
        <v>45700</v>
      </c>
    </row>
    <row r="310" spans="2:26" ht="16" thickBot="1" x14ac:dyDescent="0.25">
      <c r="B310" s="570" t="s">
        <v>22</v>
      </c>
      <c r="C310" s="572"/>
      <c r="D310" s="4"/>
      <c r="E310" s="4"/>
      <c r="F310" s="4"/>
      <c r="G310" s="4"/>
      <c r="H310" s="4"/>
      <c r="I310" s="4"/>
      <c r="J310" s="149"/>
      <c r="K310" s="4"/>
      <c r="L310" s="4"/>
      <c r="M310" s="4"/>
      <c r="N310" s="4"/>
      <c r="O310" s="4"/>
      <c r="P310" s="4"/>
      <c r="Q310" s="4"/>
      <c r="R310" s="4"/>
      <c r="S310" s="4"/>
      <c r="T310" s="148"/>
      <c r="U310" s="4"/>
      <c r="V310" s="4"/>
      <c r="W310" s="4">
        <v>1510</v>
      </c>
      <c r="X310" s="142" t="s">
        <v>695</v>
      </c>
      <c r="Y310" s="638"/>
      <c r="Z310" s="464"/>
    </row>
    <row r="311" spans="2:26" ht="16" thickBot="1" x14ac:dyDescent="0.25">
      <c r="B311" s="570"/>
      <c r="C311" s="572"/>
      <c r="D311" s="4"/>
      <c r="E311" s="4"/>
      <c r="F311" s="4"/>
      <c r="G311" s="4"/>
      <c r="H311" s="4"/>
      <c r="I311" s="4"/>
      <c r="J311" s="149"/>
      <c r="K311" s="4"/>
      <c r="L311" s="4"/>
      <c r="M311" s="4"/>
      <c r="N311" s="4"/>
      <c r="O311" s="4"/>
      <c r="P311" s="4"/>
      <c r="Q311" s="4"/>
      <c r="R311" s="4"/>
      <c r="S311" s="4"/>
      <c r="T311" s="148"/>
      <c r="U311" s="4"/>
      <c r="V311" s="4"/>
      <c r="W311" s="4"/>
      <c r="X311" s="142"/>
      <c r="Y311" s="638"/>
      <c r="Z311" s="464"/>
    </row>
    <row r="312" spans="2:26" ht="16" thickBot="1" x14ac:dyDescent="0.25">
      <c r="B312" s="570"/>
      <c r="C312" s="572"/>
      <c r="D312" s="4"/>
      <c r="E312" s="4"/>
      <c r="F312" s="4"/>
      <c r="G312" s="4"/>
      <c r="H312" s="4"/>
      <c r="I312" s="4"/>
      <c r="J312" s="149"/>
      <c r="K312" s="4"/>
      <c r="L312" s="4"/>
      <c r="M312" s="4"/>
      <c r="N312" s="4"/>
      <c r="O312" s="4"/>
      <c r="P312" s="4"/>
      <c r="Q312" s="4"/>
      <c r="R312" s="4"/>
      <c r="S312" s="4"/>
      <c r="T312" s="148"/>
      <c r="U312" s="4"/>
      <c r="V312" s="4"/>
      <c r="W312" s="4"/>
      <c r="X312" s="142"/>
      <c r="Y312" s="638"/>
      <c r="Z312" s="464"/>
    </row>
    <row r="313" spans="2:26" ht="16" thickBot="1" x14ac:dyDescent="0.25">
      <c r="B313" s="570"/>
      <c r="C313" s="572"/>
      <c r="D313" s="4"/>
      <c r="E313" s="4"/>
      <c r="F313" s="4"/>
      <c r="G313" s="4"/>
      <c r="H313" s="4"/>
      <c r="I313" s="4"/>
      <c r="J313" s="149"/>
      <c r="K313" s="4"/>
      <c r="L313" s="4"/>
      <c r="M313" s="4"/>
      <c r="N313" s="4"/>
      <c r="O313" s="4"/>
      <c r="P313" s="4"/>
      <c r="Q313" s="4"/>
      <c r="R313" s="4"/>
      <c r="S313" s="4"/>
      <c r="T313" s="148"/>
      <c r="U313" s="4"/>
      <c r="V313" s="4"/>
      <c r="W313" s="4"/>
      <c r="X313" s="142"/>
      <c r="Y313" s="638"/>
      <c r="Z313" s="464"/>
    </row>
    <row r="314" spans="2:26" ht="16" thickBot="1" x14ac:dyDescent="0.25">
      <c r="B314" s="570"/>
      <c r="C314" s="572"/>
      <c r="D314" s="4"/>
      <c r="E314" s="4"/>
      <c r="F314" s="4"/>
      <c r="G314" s="4"/>
      <c r="H314" s="4"/>
      <c r="I314" s="4"/>
      <c r="J314" s="149"/>
      <c r="K314" s="4"/>
      <c r="L314" s="4"/>
      <c r="M314" s="4"/>
      <c r="N314" s="4"/>
      <c r="O314" s="4"/>
      <c r="P314" s="4"/>
      <c r="Q314" s="4"/>
      <c r="R314" s="4"/>
      <c r="S314" s="4"/>
      <c r="T314" s="148"/>
      <c r="U314" s="4"/>
      <c r="V314" s="4"/>
      <c r="W314" s="4"/>
      <c r="X314" s="142"/>
      <c r="Y314" s="638"/>
      <c r="Z314" s="464"/>
    </row>
    <row r="315" spans="2:26" ht="16" thickBot="1" x14ac:dyDescent="0.25">
      <c r="B315" s="197"/>
      <c r="C315" s="257"/>
      <c r="D315" s="171">
        <f>SUM(D309:D314)</f>
        <v>0</v>
      </c>
      <c r="E315" s="171">
        <f>SUM(E309:E314)</f>
        <v>0</v>
      </c>
      <c r="F315" s="245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72"/>
      <c r="Y315" s="241"/>
      <c r="Z315" s="465"/>
    </row>
    <row r="316" spans="2:26" ht="16" thickBot="1" x14ac:dyDescent="0.25">
      <c r="B316" s="196">
        <v>45701</v>
      </c>
      <c r="C316" s="207"/>
      <c r="D316" s="8"/>
      <c r="E316" s="146"/>
      <c r="F316" s="146"/>
      <c r="G316" s="146">
        <v>800</v>
      </c>
      <c r="H316" s="146"/>
      <c r="I316" s="246">
        <v>1840</v>
      </c>
      <c r="J316" s="146"/>
      <c r="K316" s="146"/>
      <c r="L316" s="146">
        <f>395.96+7187.63</f>
        <v>7583.59</v>
      </c>
      <c r="M316" s="146"/>
      <c r="N316" s="146"/>
      <c r="O316" s="146"/>
      <c r="P316" s="146"/>
      <c r="Q316" s="8">
        <v>756.18</v>
      </c>
      <c r="R316" s="8"/>
      <c r="S316" s="146"/>
      <c r="T316" s="204"/>
      <c r="U316" s="146"/>
      <c r="V316" s="146"/>
      <c r="W316" s="146">
        <v>7157.54</v>
      </c>
      <c r="X316" s="247" t="s">
        <v>311</v>
      </c>
      <c r="Y316" s="171">
        <f>SUM(F316:W323)</f>
        <v>18137.310000000001</v>
      </c>
      <c r="Z316" s="196">
        <f>B316</f>
        <v>45701</v>
      </c>
    </row>
    <row r="317" spans="2:26" ht="16" thickBot="1" x14ac:dyDescent="0.25">
      <c r="B317" s="196" t="s">
        <v>23</v>
      </c>
      <c r="C317" s="7"/>
      <c r="D317" s="4"/>
      <c r="E317" s="146"/>
      <c r="F317" s="146"/>
      <c r="G317" s="146"/>
      <c r="H317" s="146"/>
      <c r="I317" s="463"/>
      <c r="J317" s="146"/>
      <c r="K317" s="146"/>
      <c r="L317" s="146"/>
      <c r="M317" s="146"/>
      <c r="N317" s="146"/>
      <c r="O317" s="146"/>
      <c r="P317" s="146"/>
      <c r="Q317" s="4"/>
      <c r="R317" s="4"/>
      <c r="S317" s="146"/>
      <c r="T317" s="204"/>
      <c r="U317" s="146"/>
      <c r="V317" s="146"/>
      <c r="W317" s="146"/>
      <c r="X317" s="247"/>
      <c r="Y317" s="240"/>
      <c r="Z317" s="196"/>
    </row>
    <row r="318" spans="2:26" ht="16" thickBot="1" x14ac:dyDescent="0.25">
      <c r="B318" s="196"/>
      <c r="C318" s="7"/>
      <c r="D318" s="4"/>
      <c r="E318" s="146"/>
      <c r="F318" s="146"/>
      <c r="G318" s="146"/>
      <c r="H318" s="146"/>
      <c r="I318" s="463"/>
      <c r="J318" s="146"/>
      <c r="K318" s="146"/>
      <c r="L318" s="146"/>
      <c r="M318" s="146"/>
      <c r="N318" s="146"/>
      <c r="O318" s="146"/>
      <c r="P318" s="146"/>
      <c r="Q318" s="4"/>
      <c r="R318" s="4"/>
      <c r="S318" s="146"/>
      <c r="T318" s="204"/>
      <c r="U318" s="146"/>
      <c r="V318" s="146"/>
      <c r="W318" s="146"/>
      <c r="X318" s="247"/>
      <c r="Y318" s="4"/>
      <c r="Z318" s="464"/>
    </row>
    <row r="319" spans="2:26" ht="16" thickBot="1" x14ac:dyDescent="0.25">
      <c r="B319" s="196"/>
      <c r="C319" s="7"/>
      <c r="D319" s="4"/>
      <c r="E319" s="146"/>
      <c r="F319" s="146"/>
      <c r="G319" s="146"/>
      <c r="H319" s="146"/>
      <c r="I319" s="463"/>
      <c r="J319" s="146"/>
      <c r="K319" s="146"/>
      <c r="L319" s="146"/>
      <c r="M319" s="146"/>
      <c r="N319" s="146"/>
      <c r="O319" s="146"/>
      <c r="P319" s="146"/>
      <c r="Q319" s="4"/>
      <c r="R319" s="4"/>
      <c r="S319" s="146"/>
      <c r="T319" s="204"/>
      <c r="U319" s="146"/>
      <c r="V319" s="146"/>
      <c r="W319" s="146"/>
      <c r="X319" s="247"/>
      <c r="Y319" s="4"/>
      <c r="Z319" s="464"/>
    </row>
    <row r="320" spans="2:26" ht="16" thickBot="1" x14ac:dyDescent="0.25">
      <c r="B320" s="198"/>
      <c r="C320" s="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150"/>
      <c r="Y320" s="4"/>
      <c r="Z320" s="465" t="s">
        <v>23</v>
      </c>
    </row>
    <row r="321" spans="2:26" ht="16" thickBot="1" x14ac:dyDescent="0.25">
      <c r="B321" s="476"/>
      <c r="C321" s="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150"/>
      <c r="Y321" s="10"/>
      <c r="Z321" s="465"/>
    </row>
    <row r="322" spans="2:26" ht="16" thickBot="1" x14ac:dyDescent="0.25">
      <c r="B322" s="476"/>
      <c r="C322" s="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150"/>
      <c r="Y322" s="10"/>
      <c r="Z322" s="465"/>
    </row>
    <row r="323" spans="2:26" ht="16" thickBot="1" x14ac:dyDescent="0.25">
      <c r="B323" s="197"/>
      <c r="C323" s="249"/>
      <c r="D323" s="171">
        <f>SUM(D316:D322)</f>
        <v>0</v>
      </c>
      <c r="E323" s="171">
        <f>SUM(E316:E322)</f>
        <v>0</v>
      </c>
      <c r="F323" s="252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250"/>
      <c r="Y323" s="251"/>
      <c r="Z323" s="198"/>
    </row>
    <row r="324" spans="2:26" ht="16" thickBot="1" x14ac:dyDescent="0.25">
      <c r="B324" s="556">
        <v>45702</v>
      </c>
      <c r="C324" s="557"/>
      <c r="D324" s="558"/>
      <c r="E324" s="558"/>
      <c r="F324" s="146"/>
      <c r="G324" s="146">
        <v>1600</v>
      </c>
      <c r="H324" s="146"/>
      <c r="I324" s="246"/>
      <c r="J324" s="146"/>
      <c r="K324" s="146"/>
      <c r="L324" s="146"/>
      <c r="M324" s="146"/>
      <c r="N324" s="146">
        <v>679.8</v>
      </c>
      <c r="O324" s="146"/>
      <c r="P324" s="146"/>
      <c r="Q324" s="8"/>
      <c r="R324" s="8"/>
      <c r="S324" s="146"/>
      <c r="T324" s="204"/>
      <c r="U324" s="146"/>
      <c r="V324" s="146"/>
      <c r="W324" s="146">
        <v>70</v>
      </c>
      <c r="X324" s="247" t="s">
        <v>710</v>
      </c>
      <c r="Y324" s="559">
        <f>SUM(F324:W327)</f>
        <v>3178.19</v>
      </c>
      <c r="Z324" s="560">
        <f>B324</f>
        <v>45702</v>
      </c>
    </row>
    <row r="325" spans="2:26" ht="16" thickBot="1" x14ac:dyDescent="0.25">
      <c r="B325" s="206" t="s">
        <v>24</v>
      </c>
      <c r="C325" s="6"/>
      <c r="D325" s="146"/>
      <c r="E325" s="146"/>
      <c r="F325" s="14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>
        <v>828.39</v>
      </c>
      <c r="X325" s="150" t="s">
        <v>279</v>
      </c>
      <c r="Y325" s="639"/>
      <c r="Z325" s="196"/>
    </row>
    <row r="326" spans="2:26" ht="16" thickBot="1" x14ac:dyDescent="0.25">
      <c r="B326" s="206"/>
      <c r="C326" s="6"/>
      <c r="D326" s="146"/>
      <c r="E326" s="146"/>
      <c r="F326" s="146"/>
      <c r="G326" s="146"/>
      <c r="H326" s="146"/>
      <c r="I326" s="246"/>
      <c r="J326" s="146"/>
      <c r="K326" s="146"/>
      <c r="L326" s="146"/>
      <c r="M326" s="146"/>
      <c r="N326" s="146"/>
      <c r="O326" s="146"/>
      <c r="P326" s="146"/>
      <c r="Q326" s="8"/>
      <c r="R326" s="8"/>
      <c r="S326" s="146"/>
      <c r="T326" s="204"/>
      <c r="U326" s="146"/>
      <c r="V326" s="146"/>
      <c r="W326" s="146"/>
      <c r="X326" s="247"/>
      <c r="Y326" s="639"/>
      <c r="Z326" s="196"/>
    </row>
    <row r="327" spans="2:26" ht="16" thickBot="1" x14ac:dyDescent="0.25">
      <c r="B327" s="197"/>
      <c r="C327" s="137"/>
      <c r="D327" s="1">
        <f>SUM(D324:D326)</f>
        <v>0</v>
      </c>
      <c r="E327" s="1">
        <f>SUM(E324:E326)</f>
        <v>0</v>
      </c>
      <c r="F327" s="2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250"/>
      <c r="Y327" s="251"/>
      <c r="Z327" s="198"/>
    </row>
    <row r="328" spans="2:26" ht="16" thickBot="1" x14ac:dyDescent="0.25">
      <c r="B328" s="127">
        <v>45703</v>
      </c>
      <c r="C328" s="6"/>
      <c r="D328" s="146"/>
      <c r="E328" s="146"/>
      <c r="F328" s="146"/>
      <c r="G328" s="146">
        <v>800</v>
      </c>
      <c r="H328" s="146"/>
      <c r="I328" s="246"/>
      <c r="J328" s="146"/>
      <c r="K328" s="146"/>
      <c r="L328" s="146">
        <v>8739.4599999999991</v>
      </c>
      <c r="M328" s="146"/>
      <c r="N328" s="146"/>
      <c r="O328" s="146"/>
      <c r="P328" s="146"/>
      <c r="Q328" s="8"/>
      <c r="R328" s="8"/>
      <c r="S328" s="146"/>
      <c r="T328" s="204"/>
      <c r="U328" s="146"/>
      <c r="V328" s="146"/>
      <c r="W328" s="146"/>
      <c r="X328" s="247"/>
      <c r="Y328" s="171">
        <f>SUM(F328:W334)</f>
        <v>9539.4599999999991</v>
      </c>
      <c r="Z328" s="196">
        <f>B328</f>
        <v>45703</v>
      </c>
    </row>
    <row r="329" spans="2:26" ht="16" thickBot="1" x14ac:dyDescent="0.25">
      <c r="B329" s="548" t="s">
        <v>25</v>
      </c>
      <c r="C329" s="6"/>
      <c r="D329" s="4"/>
      <c r="E329" s="4"/>
      <c r="F329" s="14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150"/>
      <c r="Y329" s="639"/>
      <c r="Z329" s="196" t="s">
        <v>25</v>
      </c>
    </row>
    <row r="330" spans="2:26" ht="16" thickBot="1" x14ac:dyDescent="0.25">
      <c r="B330" s="208"/>
      <c r="C330" s="6"/>
      <c r="D330" s="4"/>
      <c r="E330" s="4"/>
      <c r="F330" s="14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150"/>
      <c r="Y330" s="639"/>
      <c r="Z330" s="196"/>
    </row>
    <row r="331" spans="2:26" ht="16" thickBot="1" x14ac:dyDescent="0.25">
      <c r="B331" s="208"/>
      <c r="C331" s="6"/>
      <c r="D331" s="4"/>
      <c r="E331" s="4"/>
      <c r="F331" s="14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150"/>
      <c r="Y331" s="639"/>
      <c r="Z331" s="196"/>
    </row>
    <row r="332" spans="2:26" ht="16" thickBot="1" x14ac:dyDescent="0.25">
      <c r="B332" s="208"/>
      <c r="C332" s="6"/>
      <c r="D332" s="4"/>
      <c r="E332" s="4"/>
      <c r="F332" s="14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150"/>
      <c r="Y332" s="639"/>
      <c r="Z332" s="196"/>
    </row>
    <row r="333" spans="2:26" ht="16" thickBot="1" x14ac:dyDescent="0.25">
      <c r="B333" s="199"/>
      <c r="C333" s="7"/>
      <c r="D333" s="143"/>
      <c r="E333" s="14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48"/>
      <c r="U333" s="4"/>
      <c r="V333" s="4"/>
      <c r="W333" s="4"/>
      <c r="X333" s="150"/>
      <c r="Y333" s="10"/>
      <c r="Z333" s="196"/>
    </row>
    <row r="334" spans="2:26" ht="16" thickBot="1" x14ac:dyDescent="0.25">
      <c r="B334" s="198"/>
      <c r="C334" s="137"/>
      <c r="D334" s="9">
        <f>SUM(D328:D333)</f>
        <v>0</v>
      </c>
      <c r="E334" s="9">
        <f>SUM(E328:E333)</f>
        <v>0</v>
      </c>
      <c r="F334" s="245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254"/>
      <c r="R334" s="144"/>
      <c r="S334" s="144"/>
      <c r="T334" s="144"/>
      <c r="U334" s="144"/>
      <c r="V334" s="144"/>
      <c r="W334" s="144"/>
      <c r="X334" s="172"/>
      <c r="Y334" s="11"/>
      <c r="Z334" s="198"/>
    </row>
    <row r="335" spans="2:26" ht="16" thickBot="1" x14ac:dyDescent="0.25">
      <c r="B335" s="196">
        <v>45704</v>
      </c>
      <c r="C335" s="6"/>
      <c r="D335" s="146"/>
      <c r="E335" s="146"/>
      <c r="F335" s="146">
        <v>1500</v>
      </c>
      <c r="G335" s="146">
        <f>25.5+79+1124.4</f>
        <v>1228.9000000000001</v>
      </c>
      <c r="H335" s="146"/>
      <c r="I335" s="146"/>
      <c r="J335" s="146"/>
      <c r="K335" s="146"/>
      <c r="L335" s="146"/>
      <c r="M335" s="146"/>
      <c r="N335" s="146"/>
      <c r="O335" s="146"/>
      <c r="P335" s="146"/>
      <c r="Q335" s="253">
        <v>189.94</v>
      </c>
      <c r="R335" s="253"/>
      <c r="S335" s="146"/>
      <c r="T335" s="204"/>
      <c r="U335" s="146"/>
      <c r="V335" s="146"/>
      <c r="W335" s="146">
        <v>97.98</v>
      </c>
      <c r="X335" s="182" t="s">
        <v>279</v>
      </c>
      <c r="Y335" s="1">
        <f>SUM(F335:W338)</f>
        <v>3016.82</v>
      </c>
      <c r="Z335" s="196">
        <f>B335</f>
        <v>45704</v>
      </c>
    </row>
    <row r="336" spans="2:26" ht="16" thickBot="1" x14ac:dyDescent="0.25">
      <c r="B336" s="198" t="s">
        <v>26</v>
      </c>
      <c r="C336" s="5"/>
      <c r="D336" s="4"/>
      <c r="E336" s="4"/>
      <c r="F336" s="4"/>
      <c r="G336" s="15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150"/>
      <c r="Y336" s="12"/>
      <c r="Z336" s="198" t="s">
        <v>26</v>
      </c>
    </row>
    <row r="337" spans="2:26" ht="16" thickBot="1" x14ac:dyDescent="0.25">
      <c r="B337" s="268"/>
      <c r="C337" s="152"/>
      <c r="D337" s="143"/>
      <c r="E337" s="14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150"/>
      <c r="Y337" s="10"/>
      <c r="Z337" s="268"/>
    </row>
    <row r="338" spans="2:26" ht="16" thickBot="1" x14ac:dyDescent="0.25">
      <c r="B338" s="267"/>
      <c r="C338" s="255"/>
      <c r="D338" s="1">
        <f>SUM(D335:D337)</f>
        <v>0</v>
      </c>
      <c r="E338" s="1">
        <f>SUM(E335:E337)</f>
        <v>0</v>
      </c>
      <c r="F338" s="245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72"/>
      <c r="Y338" s="248"/>
      <c r="Z338" s="268"/>
    </row>
    <row r="339" spans="2:26" x14ac:dyDescent="0.2">
      <c r="B339" s="101"/>
      <c r="C339" s="243"/>
      <c r="D339" s="242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8"/>
      <c r="Z339" s="130"/>
    </row>
    <row r="340" spans="2:26" ht="16" thickBot="1" x14ac:dyDescent="0.25">
      <c r="B340" s="101"/>
      <c r="C340" s="243"/>
      <c r="D340" s="189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2"/>
      <c r="Z340" s="128"/>
    </row>
    <row r="341" spans="2:26" ht="16" thickBot="1" x14ac:dyDescent="0.25">
      <c r="B341" s="101"/>
      <c r="C341" s="101"/>
      <c r="D341" s="105">
        <f>SUM(D338,D334,D327,D323,D315,D308,D302)</f>
        <v>0</v>
      </c>
      <c r="E341" s="105">
        <f>SUM(E338,E334,E327,E323,E315,E308,E302)</f>
        <v>0</v>
      </c>
      <c r="F341" s="104">
        <f t="shared" ref="F341:S341" si="6">SUM(F298:F340)</f>
        <v>3902.44</v>
      </c>
      <c r="G341" s="103">
        <f t="shared" si="6"/>
        <v>7127.17</v>
      </c>
      <c r="H341" s="103">
        <f t="shared" si="6"/>
        <v>0</v>
      </c>
      <c r="I341" s="103">
        <f t="shared" si="6"/>
        <v>1840</v>
      </c>
      <c r="J341" s="103">
        <f t="shared" si="6"/>
        <v>0</v>
      </c>
      <c r="K341" s="103">
        <f t="shared" si="6"/>
        <v>575</v>
      </c>
      <c r="L341" s="103">
        <f t="shared" si="6"/>
        <v>30395.05</v>
      </c>
      <c r="M341" s="103">
        <f t="shared" si="6"/>
        <v>0</v>
      </c>
      <c r="N341" s="103">
        <f t="shared" si="6"/>
        <v>1228.8</v>
      </c>
      <c r="O341" s="103">
        <f t="shared" si="6"/>
        <v>0</v>
      </c>
      <c r="P341" s="103">
        <f t="shared" si="6"/>
        <v>90</v>
      </c>
      <c r="Q341" s="103">
        <f t="shared" si="6"/>
        <v>1745.9099999999999</v>
      </c>
      <c r="R341" s="103">
        <f t="shared" si="6"/>
        <v>0</v>
      </c>
      <c r="S341" s="103">
        <f t="shared" si="6"/>
        <v>0</v>
      </c>
      <c r="T341" s="103"/>
      <c r="U341" s="103">
        <f>SUM(U302:U340)</f>
        <v>0</v>
      </c>
      <c r="V341" s="103">
        <f>SUM(V298:V340)</f>
        <v>0</v>
      </c>
      <c r="W341" s="103">
        <f>SUM(W298:W340)</f>
        <v>13918.689999999999</v>
      </c>
      <c r="X341" s="153"/>
      <c r="Y341" s="155">
        <f>SUM(Y298:Y338)</f>
        <v>60823.06</v>
      </c>
      <c r="Z341" s="129"/>
    </row>
    <row r="342" spans="2:26" ht="27" thickBot="1" x14ac:dyDescent="0.25">
      <c r="B342" s="101"/>
      <c r="C342" s="154" t="s">
        <v>0</v>
      </c>
      <c r="D342" s="154" t="s">
        <v>1</v>
      </c>
      <c r="E342" s="154" t="s">
        <v>2</v>
      </c>
      <c r="F342" s="154" t="s">
        <v>3</v>
      </c>
      <c r="G342" s="154" t="s">
        <v>4</v>
      </c>
      <c r="H342" s="154" t="s">
        <v>5</v>
      </c>
      <c r="I342" s="154" t="s">
        <v>6</v>
      </c>
      <c r="J342" s="154" t="s">
        <v>7</v>
      </c>
      <c r="K342" s="154" t="s">
        <v>8</v>
      </c>
      <c r="L342" s="154" t="s">
        <v>9</v>
      </c>
      <c r="M342" s="154" t="s">
        <v>309</v>
      </c>
      <c r="N342" s="154" t="s">
        <v>11</v>
      </c>
      <c r="O342" s="154" t="s">
        <v>12</v>
      </c>
      <c r="P342" s="154" t="s">
        <v>13</v>
      </c>
      <c r="Q342" s="154" t="s">
        <v>14</v>
      </c>
      <c r="R342" s="154" t="s">
        <v>15</v>
      </c>
      <c r="S342" s="154" t="s">
        <v>311</v>
      </c>
      <c r="T342" s="154" t="s">
        <v>16</v>
      </c>
      <c r="U342" s="154" t="s">
        <v>403</v>
      </c>
      <c r="V342" s="154" t="s">
        <v>17</v>
      </c>
      <c r="W342" s="154" t="s">
        <v>18</v>
      </c>
      <c r="X342" s="154"/>
      <c r="Y342" s="154" t="s">
        <v>19</v>
      </c>
      <c r="Z342" s="126"/>
    </row>
    <row r="343" spans="2:26" ht="16" thickBot="1" x14ac:dyDescent="0.25">
      <c r="B343" s="101"/>
      <c r="C343" s="101"/>
      <c r="D343" s="101"/>
      <c r="E343" s="727" t="str">
        <f>M343</f>
        <v>10 - 16 FEBRUARY 2025</v>
      </c>
      <c r="F343" s="719"/>
      <c r="G343" s="719"/>
      <c r="H343" s="720"/>
      <c r="I343" s="101"/>
      <c r="J343" s="101"/>
      <c r="K343" s="101"/>
      <c r="L343" s="101"/>
      <c r="M343" s="727" t="str">
        <f>V343</f>
        <v>10 - 16 FEBRUARY 2025</v>
      </c>
      <c r="N343" s="719"/>
      <c r="O343" s="719"/>
      <c r="P343" s="720"/>
      <c r="Q343" s="101"/>
      <c r="R343" s="101"/>
      <c r="S343" s="101"/>
      <c r="T343" s="101"/>
      <c r="U343" s="101"/>
      <c r="V343" s="727" t="str">
        <f>V296</f>
        <v>10 - 16 FEBRUARY 2025</v>
      </c>
      <c r="W343" s="719"/>
      <c r="X343" s="719"/>
      <c r="Y343" s="720"/>
      <c r="Z343" s="101"/>
    </row>
    <row r="344" spans="2:26" ht="16" thickBot="1" x14ac:dyDescent="0.25"/>
    <row r="345" spans="2:26" ht="16" thickBot="1" x14ac:dyDescent="0.25">
      <c r="E345" s="718" t="s">
        <v>727</v>
      </c>
      <c r="F345" s="719"/>
      <c r="G345" s="719"/>
      <c r="H345" s="720"/>
      <c r="K345" s="106"/>
      <c r="L345" s="106"/>
      <c r="M345" s="721" t="str">
        <f>E345</f>
        <v>17 - 23 FEBRUARY 2025</v>
      </c>
      <c r="N345" s="722"/>
      <c r="O345" s="722"/>
      <c r="P345" s="723"/>
      <c r="Q345" s="106"/>
      <c r="R345" s="106"/>
      <c r="S345" s="106"/>
      <c r="T345" s="106"/>
      <c r="U345" s="106"/>
      <c r="V345" s="724" t="str">
        <f>M345</f>
        <v>17 - 23 FEBRUARY 2025</v>
      </c>
      <c r="W345" s="725"/>
      <c r="X345" s="725"/>
      <c r="Y345" s="726"/>
      <c r="Z345" s="106"/>
    </row>
    <row r="346" spans="2:26" ht="27" thickBot="1" x14ac:dyDescent="0.25">
      <c r="C346" s="126" t="s">
        <v>0</v>
      </c>
      <c r="D346" s="135" t="s">
        <v>1</v>
      </c>
      <c r="E346" s="258" t="s">
        <v>2</v>
      </c>
      <c r="F346" s="259" t="s">
        <v>3</v>
      </c>
      <c r="G346" s="260" t="s">
        <v>4</v>
      </c>
      <c r="H346" s="261" t="s">
        <v>5</v>
      </c>
      <c r="I346" s="262" t="s">
        <v>6</v>
      </c>
      <c r="J346" s="262" t="s">
        <v>7</v>
      </c>
      <c r="K346" s="262" t="s">
        <v>8</v>
      </c>
      <c r="L346" s="262" t="s">
        <v>9</v>
      </c>
      <c r="M346" s="262" t="s">
        <v>10</v>
      </c>
      <c r="N346" s="262" t="s">
        <v>11</v>
      </c>
      <c r="O346" s="262" t="s">
        <v>12</v>
      </c>
      <c r="P346" s="262" t="s">
        <v>13</v>
      </c>
      <c r="Q346" s="262" t="s">
        <v>14</v>
      </c>
      <c r="R346" s="262" t="s">
        <v>15</v>
      </c>
      <c r="S346" s="262" t="s">
        <v>311</v>
      </c>
      <c r="T346" s="262" t="s">
        <v>16</v>
      </c>
      <c r="U346" s="154" t="s">
        <v>403</v>
      </c>
      <c r="V346" s="263" t="s">
        <v>17</v>
      </c>
      <c r="W346" s="263" t="s">
        <v>18</v>
      </c>
      <c r="X346" s="264"/>
      <c r="Y346" s="265" t="s">
        <v>19</v>
      </c>
      <c r="Z346" s="266"/>
    </row>
    <row r="347" spans="2:26" ht="16" thickBot="1" x14ac:dyDescent="0.25">
      <c r="B347" s="196">
        <v>45705</v>
      </c>
      <c r="C347" s="136"/>
      <c r="D347" s="139"/>
      <c r="E347" s="139"/>
      <c r="F347" s="139"/>
      <c r="G347" s="139">
        <f>800+950.63</f>
        <v>1750.63</v>
      </c>
      <c r="H347" s="139"/>
      <c r="I347" s="139"/>
      <c r="J347" s="139"/>
      <c r="K347" s="139"/>
      <c r="L347" s="139">
        <v>8418.52</v>
      </c>
      <c r="M347" s="139"/>
      <c r="N347" s="139"/>
      <c r="O347" s="139"/>
      <c r="P347" s="139">
        <v>90</v>
      </c>
      <c r="Q347" s="139">
        <v>600.99</v>
      </c>
      <c r="R347" s="139"/>
      <c r="S347" s="139"/>
      <c r="T347" s="140"/>
      <c r="U347" s="139"/>
      <c r="V347" s="139"/>
      <c r="W347" s="139">
        <v>256</v>
      </c>
      <c r="X347" s="141" t="s">
        <v>729</v>
      </c>
      <c r="Y347" s="239">
        <f>SUM(F347:X351)</f>
        <v>11740.130000000001</v>
      </c>
      <c r="Z347" s="269">
        <f>B347</f>
        <v>45705</v>
      </c>
    </row>
    <row r="348" spans="2:26" ht="16" thickBot="1" x14ac:dyDescent="0.25">
      <c r="B348" s="196" t="s">
        <v>20</v>
      </c>
      <c r="C348" s="203"/>
      <c r="D348" s="146"/>
      <c r="E348" s="146"/>
      <c r="F348" s="146"/>
      <c r="G348" s="146" t="s">
        <v>728</v>
      </c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204"/>
      <c r="U348" s="146"/>
      <c r="V348" s="146"/>
      <c r="W348" s="146">
        <v>13.99</v>
      </c>
      <c r="X348" s="182" t="s">
        <v>279</v>
      </c>
      <c r="Y348" s="191"/>
      <c r="Z348" s="196" t="s">
        <v>20</v>
      </c>
    </row>
    <row r="349" spans="2:26" ht="16" thickBot="1" x14ac:dyDescent="0.25">
      <c r="B349" s="196"/>
      <c r="C349" s="203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204"/>
      <c r="U349" s="146"/>
      <c r="V349" s="146"/>
      <c r="W349" s="146">
        <v>610</v>
      </c>
      <c r="X349" s="182" t="s">
        <v>396</v>
      </c>
      <c r="Y349" s="191"/>
      <c r="Z349" s="196"/>
    </row>
    <row r="350" spans="2:26" ht="16" thickBot="1" x14ac:dyDescent="0.25">
      <c r="B350" s="206"/>
      <c r="C350" s="632"/>
      <c r="D350" s="4"/>
      <c r="E350" s="4"/>
      <c r="F350" s="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633"/>
      <c r="U350" s="8"/>
      <c r="V350" s="8"/>
      <c r="W350" s="8"/>
      <c r="X350" s="634"/>
      <c r="Y350" s="635"/>
      <c r="Z350" s="196"/>
    </row>
    <row r="351" spans="2:26" ht="16" thickBot="1" x14ac:dyDescent="0.25">
      <c r="B351" s="197"/>
      <c r="C351" s="137"/>
      <c r="D351" s="171">
        <f>SUM(D347:D349)</f>
        <v>0</v>
      </c>
      <c r="E351" s="658">
        <f>SUM(E347:E349)</f>
        <v>0</v>
      </c>
      <c r="F351" s="659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5"/>
      <c r="Y351" s="138"/>
      <c r="Z351" s="198"/>
    </row>
    <row r="352" spans="2:26" ht="16" thickBot="1" x14ac:dyDescent="0.25">
      <c r="B352" s="196">
        <v>45706</v>
      </c>
      <c r="C352" s="6"/>
      <c r="D352" s="146"/>
      <c r="E352" s="146"/>
      <c r="F352" s="139"/>
      <c r="G352" s="139"/>
      <c r="H352" s="139"/>
      <c r="I352" s="139"/>
      <c r="J352" s="574"/>
      <c r="K352" s="139"/>
      <c r="L352" s="139"/>
      <c r="M352" s="139"/>
      <c r="N352" s="139"/>
      <c r="O352" s="139"/>
      <c r="P352" s="139"/>
      <c r="Q352" s="139"/>
      <c r="R352" s="139"/>
      <c r="S352" s="139"/>
      <c r="T352" s="140"/>
      <c r="U352" s="139"/>
      <c r="V352" s="139"/>
      <c r="W352" s="139">
        <v>205.96</v>
      </c>
      <c r="X352" s="575" t="s">
        <v>426</v>
      </c>
      <c r="Y352" s="238">
        <f>SUM(F352:W357)</f>
        <v>205.96</v>
      </c>
      <c r="Z352" s="196">
        <f>B352</f>
        <v>45706</v>
      </c>
    </row>
    <row r="353" spans="2:26" ht="16" thickBot="1" x14ac:dyDescent="0.25">
      <c r="B353" s="196" t="s">
        <v>21</v>
      </c>
      <c r="C353" s="6"/>
      <c r="D353" s="146"/>
      <c r="E353" s="146"/>
      <c r="F353" s="4"/>
      <c r="G353" s="4"/>
      <c r="H353" s="4"/>
      <c r="I353" s="4"/>
      <c r="J353" s="149"/>
      <c r="K353" s="4"/>
      <c r="L353" s="4"/>
      <c r="M353" s="4"/>
      <c r="N353" s="4"/>
      <c r="O353" s="4"/>
      <c r="P353" s="4"/>
      <c r="Q353" s="4"/>
      <c r="R353" s="4"/>
      <c r="S353" s="4"/>
      <c r="T353" s="148"/>
      <c r="U353" s="4"/>
      <c r="V353" s="4"/>
      <c r="W353" s="4"/>
      <c r="X353" s="142"/>
      <c r="Y353" s="191"/>
      <c r="Z353" s="196" t="s">
        <v>21</v>
      </c>
    </row>
    <row r="354" spans="2:26" ht="16" thickBot="1" x14ac:dyDescent="0.25">
      <c r="B354" s="196"/>
      <c r="C354" s="6"/>
      <c r="D354" s="4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78"/>
      <c r="U354" s="12"/>
      <c r="V354" s="12"/>
      <c r="W354" s="146"/>
      <c r="X354" s="147"/>
      <c r="Y354" s="191"/>
      <c r="Z354" s="196"/>
    </row>
    <row r="355" spans="2:26" ht="16" thickBot="1" x14ac:dyDescent="0.25">
      <c r="B355" s="662"/>
      <c r="C355" s="57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79"/>
      <c r="U355" s="4"/>
      <c r="V355" s="4"/>
      <c r="W355" s="4"/>
      <c r="X355" s="142"/>
      <c r="Y355" s="643"/>
      <c r="Z355" s="196"/>
    </row>
    <row r="356" spans="2:26" ht="16" thickBot="1" x14ac:dyDescent="0.25">
      <c r="B356" s="662"/>
      <c r="C356" s="57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79"/>
      <c r="U356" s="4"/>
      <c r="V356" s="4"/>
      <c r="W356" s="4"/>
      <c r="X356" s="142"/>
      <c r="Y356" s="643"/>
      <c r="Z356" s="196"/>
    </row>
    <row r="357" spans="2:26" ht="16" thickBot="1" x14ac:dyDescent="0.25">
      <c r="B357" s="476"/>
      <c r="C357" s="663"/>
      <c r="D357" s="664">
        <f>SUM(D352:D354)</f>
        <v>0</v>
      </c>
      <c r="E357" s="664">
        <f>SUM(E352:E354)</f>
        <v>0</v>
      </c>
      <c r="F357" s="66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642"/>
      <c r="U357" s="642"/>
      <c r="V357" s="642"/>
      <c r="W357" s="8"/>
      <c r="X357" s="666"/>
      <c r="Y357" s="571"/>
      <c r="Z357" s="198"/>
    </row>
    <row r="358" spans="2:26" ht="16" thickBot="1" x14ac:dyDescent="0.25">
      <c r="B358" s="570">
        <v>45707</v>
      </c>
      <c r="C358" s="573"/>
      <c r="D358" s="139"/>
      <c r="E358" s="139"/>
      <c r="F358" s="4"/>
      <c r="G358" s="4">
        <v>700</v>
      </c>
      <c r="H358" s="4"/>
      <c r="I358" s="688">
        <v>26460.13</v>
      </c>
      <c r="J358" s="4"/>
      <c r="K358" s="4"/>
      <c r="L358" s="4">
        <f>17.5+6789.56</f>
        <v>6807.06</v>
      </c>
      <c r="M358" s="4"/>
      <c r="N358" s="4"/>
      <c r="O358" s="4"/>
      <c r="P358" s="4"/>
      <c r="Q358" s="4">
        <v>279.92</v>
      </c>
      <c r="R358" s="4"/>
      <c r="S358" s="4"/>
      <c r="T358" s="148"/>
      <c r="U358" s="4"/>
      <c r="V358" s="4"/>
      <c r="W358" s="4">
        <v>29</v>
      </c>
      <c r="X358" s="689" t="s">
        <v>615</v>
      </c>
      <c r="Y358" s="576">
        <f>SUM(F358:X364)</f>
        <v>35040.910000000003</v>
      </c>
      <c r="Z358" s="464">
        <f>B358</f>
        <v>45707</v>
      </c>
    </row>
    <row r="359" spans="2:26" ht="16" thickBot="1" x14ac:dyDescent="0.25">
      <c r="B359" s="570" t="s">
        <v>22</v>
      </c>
      <c r="C359" s="572"/>
      <c r="D359" s="4"/>
      <c r="E359" s="4"/>
      <c r="F359" s="4"/>
      <c r="G359" s="4"/>
      <c r="H359" s="4"/>
      <c r="I359" s="4"/>
      <c r="J359" s="149"/>
      <c r="K359" s="4"/>
      <c r="L359" s="4"/>
      <c r="M359" s="4"/>
      <c r="N359" s="4"/>
      <c r="O359" s="4"/>
      <c r="P359" s="4"/>
      <c r="Q359" s="4"/>
      <c r="R359" s="4"/>
      <c r="S359" s="4"/>
      <c r="T359" s="148"/>
      <c r="U359" s="4"/>
      <c r="V359" s="4"/>
      <c r="W359" s="4">
        <v>764.8</v>
      </c>
      <c r="X359" s="142" t="s">
        <v>740</v>
      </c>
      <c r="Y359" s="638"/>
      <c r="Z359" s="464"/>
    </row>
    <row r="360" spans="2:26" ht="16" thickBot="1" x14ac:dyDescent="0.25">
      <c r="B360" s="570"/>
      <c r="C360" s="572"/>
      <c r="D360" s="4"/>
      <c r="E360" s="4"/>
      <c r="F360" s="4"/>
      <c r="G360" s="4"/>
      <c r="H360" s="4"/>
      <c r="I360" s="4"/>
      <c r="J360" s="149"/>
      <c r="K360" s="4"/>
      <c r="L360" s="4"/>
      <c r="M360" s="4"/>
      <c r="N360" s="4"/>
      <c r="O360" s="4"/>
      <c r="P360" s="4"/>
      <c r="Q360" s="4"/>
      <c r="R360" s="4"/>
      <c r="S360" s="4"/>
      <c r="T360" s="148"/>
      <c r="U360" s="4"/>
      <c r="V360" s="4"/>
      <c r="W360" s="4"/>
      <c r="X360" s="142"/>
      <c r="Y360" s="638"/>
      <c r="Z360" s="464"/>
    </row>
    <row r="361" spans="2:26" ht="16" thickBot="1" x14ac:dyDescent="0.25">
      <c r="B361" s="570"/>
      <c r="C361" s="572"/>
      <c r="D361" s="4"/>
      <c r="E361" s="4"/>
      <c r="F361" s="4"/>
      <c r="G361" s="4"/>
      <c r="H361" s="4"/>
      <c r="I361" s="4"/>
      <c r="J361" s="149"/>
      <c r="K361" s="4"/>
      <c r="L361" s="4"/>
      <c r="M361" s="4"/>
      <c r="N361" s="4"/>
      <c r="O361" s="4"/>
      <c r="P361" s="4"/>
      <c r="Q361" s="4"/>
      <c r="R361" s="4"/>
      <c r="S361" s="4"/>
      <c r="T361" s="148"/>
      <c r="U361" s="4"/>
      <c r="V361" s="4"/>
      <c r="W361" s="4"/>
      <c r="X361" s="142"/>
      <c r="Y361" s="638"/>
      <c r="Z361" s="464"/>
    </row>
    <row r="362" spans="2:26" ht="16" thickBot="1" x14ac:dyDescent="0.25">
      <c r="B362" s="570"/>
      <c r="C362" s="572"/>
      <c r="D362" s="4"/>
      <c r="E362" s="4"/>
      <c r="F362" s="4"/>
      <c r="G362" s="4"/>
      <c r="H362" s="4"/>
      <c r="I362" s="4"/>
      <c r="J362" s="149"/>
      <c r="K362" s="4"/>
      <c r="L362" s="4"/>
      <c r="M362" s="4"/>
      <c r="N362" s="4"/>
      <c r="O362" s="4"/>
      <c r="P362" s="4"/>
      <c r="Q362" s="4"/>
      <c r="R362" s="4"/>
      <c r="S362" s="4"/>
      <c r="T362" s="148"/>
      <c r="U362" s="4"/>
      <c r="V362" s="4"/>
      <c r="W362" s="4"/>
      <c r="X362" s="142"/>
      <c r="Y362" s="638"/>
      <c r="Z362" s="464"/>
    </row>
    <row r="363" spans="2:26" ht="16" thickBot="1" x14ac:dyDescent="0.25">
      <c r="B363" s="570"/>
      <c r="C363" s="572"/>
      <c r="D363" s="4"/>
      <c r="E363" s="4"/>
      <c r="F363" s="4"/>
      <c r="G363" s="4"/>
      <c r="H363" s="4"/>
      <c r="I363" s="4"/>
      <c r="J363" s="149"/>
      <c r="K363" s="4"/>
      <c r="L363" s="4"/>
      <c r="M363" s="4"/>
      <c r="N363" s="4"/>
      <c r="O363" s="4"/>
      <c r="P363" s="4"/>
      <c r="Q363" s="4"/>
      <c r="R363" s="4"/>
      <c r="S363" s="4"/>
      <c r="T363" s="148"/>
      <c r="U363" s="4"/>
      <c r="V363" s="4"/>
      <c r="W363" s="4"/>
      <c r="X363" s="142"/>
      <c r="Y363" s="638"/>
      <c r="Z363" s="464"/>
    </row>
    <row r="364" spans="2:26" ht="16" thickBot="1" x14ac:dyDescent="0.25">
      <c r="B364" s="197"/>
      <c r="C364" s="257"/>
      <c r="D364" s="171">
        <f>SUM(D358:D363)</f>
        <v>0</v>
      </c>
      <c r="E364" s="171">
        <f>SUM(E358:E363)</f>
        <v>0</v>
      </c>
      <c r="F364" s="245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72"/>
      <c r="Y364" s="241"/>
      <c r="Z364" s="465"/>
    </row>
    <row r="365" spans="2:26" ht="16" thickBot="1" x14ac:dyDescent="0.25">
      <c r="B365" s="196">
        <v>45708</v>
      </c>
      <c r="C365" s="207"/>
      <c r="D365" s="8"/>
      <c r="E365" s="146"/>
      <c r="F365" s="146">
        <v>1500</v>
      </c>
      <c r="G365" s="146">
        <f>948.3+79+79</f>
        <v>1106.3</v>
      </c>
      <c r="H365" s="146"/>
      <c r="I365" s="246"/>
      <c r="J365" s="146"/>
      <c r="K365" s="146"/>
      <c r="L365" s="146"/>
      <c r="M365" s="146"/>
      <c r="N365" s="146"/>
      <c r="O365" s="146"/>
      <c r="P365" s="146"/>
      <c r="Q365" s="8">
        <v>69.98</v>
      </c>
      <c r="R365" s="8"/>
      <c r="S365" s="146">
        <f>960.25+4771.7</f>
        <v>5731.95</v>
      </c>
      <c r="T365" s="204"/>
      <c r="U365" s="146"/>
      <c r="V365" s="146"/>
      <c r="W365" s="146">
        <v>388</v>
      </c>
      <c r="X365" s="247" t="s">
        <v>747</v>
      </c>
      <c r="Y365" s="171">
        <f>SUM(F365:W372)</f>
        <v>8944.16</v>
      </c>
      <c r="Z365" s="196">
        <f>B365</f>
        <v>45708</v>
      </c>
    </row>
    <row r="366" spans="2:26" ht="16" thickBot="1" x14ac:dyDescent="0.25">
      <c r="B366" s="196" t="s">
        <v>23</v>
      </c>
      <c r="C366" s="7"/>
      <c r="D366" s="4"/>
      <c r="E366" s="146"/>
      <c r="F366" s="146"/>
      <c r="G366" s="146"/>
      <c r="H366" s="146"/>
      <c r="I366" s="463"/>
      <c r="J366" s="146"/>
      <c r="K366" s="146"/>
      <c r="L366" s="146"/>
      <c r="M366" s="146"/>
      <c r="N366" s="146"/>
      <c r="O366" s="146"/>
      <c r="P366" s="146"/>
      <c r="Q366" s="4"/>
      <c r="R366" s="4"/>
      <c r="S366" s="146"/>
      <c r="T366" s="204"/>
      <c r="U366" s="146"/>
      <c r="V366" s="146"/>
      <c r="W366" s="146">
        <f>102.94+44.99</f>
        <v>147.93</v>
      </c>
      <c r="X366" s="247" t="s">
        <v>279</v>
      </c>
      <c r="Y366" s="240"/>
      <c r="Z366" s="196"/>
    </row>
    <row r="367" spans="2:26" ht="16" thickBot="1" x14ac:dyDescent="0.25">
      <c r="B367" s="196"/>
      <c r="C367" s="7"/>
      <c r="D367" s="4"/>
      <c r="E367" s="146"/>
      <c r="F367" s="146"/>
      <c r="G367" s="146"/>
      <c r="H367" s="146"/>
      <c r="I367" s="463"/>
      <c r="J367" s="146"/>
      <c r="K367" s="146"/>
      <c r="L367" s="146"/>
      <c r="M367" s="146"/>
      <c r="N367" s="146"/>
      <c r="O367" s="146"/>
      <c r="P367" s="146"/>
      <c r="Q367" s="4"/>
      <c r="R367" s="4"/>
      <c r="S367" s="146"/>
      <c r="T367" s="204"/>
      <c r="U367" s="146"/>
      <c r="V367" s="146"/>
      <c r="W367" s="146"/>
      <c r="X367" s="247"/>
      <c r="Y367" s="4"/>
      <c r="Z367" s="464"/>
    </row>
    <row r="368" spans="2:26" ht="16" thickBot="1" x14ac:dyDescent="0.25">
      <c r="B368" s="196"/>
      <c r="C368" s="7"/>
      <c r="D368" s="4"/>
      <c r="E368" s="146"/>
      <c r="F368" s="146"/>
      <c r="G368" s="146"/>
      <c r="H368" s="146"/>
      <c r="I368" s="463"/>
      <c r="J368" s="146"/>
      <c r="K368" s="146"/>
      <c r="L368" s="146"/>
      <c r="M368" s="146"/>
      <c r="N368" s="146"/>
      <c r="O368" s="146"/>
      <c r="P368" s="146"/>
      <c r="Q368" s="4"/>
      <c r="R368" s="4"/>
      <c r="S368" s="146"/>
      <c r="T368" s="204"/>
      <c r="U368" s="146"/>
      <c r="V368" s="146"/>
      <c r="W368" s="146"/>
      <c r="X368" s="247"/>
      <c r="Y368" s="4"/>
      <c r="Z368" s="464"/>
    </row>
    <row r="369" spans="2:26" ht="16" thickBot="1" x14ac:dyDescent="0.25">
      <c r="B369" s="198"/>
      <c r="C369" s="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150"/>
      <c r="Y369" s="4"/>
      <c r="Z369" s="465" t="s">
        <v>23</v>
      </c>
    </row>
    <row r="370" spans="2:26" ht="16" thickBot="1" x14ac:dyDescent="0.25">
      <c r="B370" s="476"/>
      <c r="C370" s="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150"/>
      <c r="Y370" s="10"/>
      <c r="Z370" s="465"/>
    </row>
    <row r="371" spans="2:26" ht="16" thickBot="1" x14ac:dyDescent="0.25">
      <c r="B371" s="476"/>
      <c r="C371" s="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150"/>
      <c r="Y371" s="10"/>
      <c r="Z371" s="465"/>
    </row>
    <row r="372" spans="2:26" ht="16" thickBot="1" x14ac:dyDescent="0.25">
      <c r="B372" s="197"/>
      <c r="C372" s="249"/>
      <c r="D372" s="171">
        <f>SUM(D365:D371)</f>
        <v>0</v>
      </c>
      <c r="E372" s="171">
        <f>SUM(E365:E371)</f>
        <v>0</v>
      </c>
      <c r="F372" s="252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250"/>
      <c r="Y372" s="251"/>
      <c r="Z372" s="198"/>
    </row>
    <row r="373" spans="2:26" ht="16" thickBot="1" x14ac:dyDescent="0.25">
      <c r="B373" s="556">
        <v>45709</v>
      </c>
      <c r="C373" s="557"/>
      <c r="D373" s="558"/>
      <c r="E373" s="558"/>
      <c r="F373" s="146"/>
      <c r="G373" s="146">
        <v>800</v>
      </c>
      <c r="H373" s="146"/>
      <c r="I373" s="246"/>
      <c r="J373" s="146"/>
      <c r="K373" s="146"/>
      <c r="L373" s="146"/>
      <c r="M373" s="146"/>
      <c r="N373" s="146"/>
      <c r="O373" s="146">
        <v>6900</v>
      </c>
      <c r="P373" s="146"/>
      <c r="Q373" s="8"/>
      <c r="R373" s="8"/>
      <c r="S373" s="146"/>
      <c r="T373" s="204"/>
      <c r="U373" s="146"/>
      <c r="V373" s="146"/>
      <c r="W373" s="146">
        <v>184.99</v>
      </c>
      <c r="X373" s="247"/>
      <c r="Y373" s="559">
        <f>SUM(F373:W376)</f>
        <v>7884.99</v>
      </c>
      <c r="Z373" s="560">
        <f>B373</f>
        <v>45709</v>
      </c>
    </row>
    <row r="374" spans="2:26" ht="16" thickBot="1" x14ac:dyDescent="0.25">
      <c r="B374" s="206" t="s">
        <v>24</v>
      </c>
      <c r="C374" s="6"/>
      <c r="D374" s="146"/>
      <c r="E374" s="146"/>
      <c r="F374" s="14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150"/>
      <c r="Y374" s="639"/>
      <c r="Z374" s="196"/>
    </row>
    <row r="375" spans="2:26" ht="16" thickBot="1" x14ac:dyDescent="0.25">
      <c r="B375" s="206"/>
      <c r="C375" s="6"/>
      <c r="D375" s="146"/>
      <c r="E375" s="146"/>
      <c r="F375" s="146"/>
      <c r="G375" s="146"/>
      <c r="H375" s="146"/>
      <c r="I375" s="246"/>
      <c r="J375" s="146"/>
      <c r="K375" s="146"/>
      <c r="L375" s="146"/>
      <c r="M375" s="146"/>
      <c r="N375" s="146"/>
      <c r="O375" s="146"/>
      <c r="P375" s="146"/>
      <c r="Q375" s="8"/>
      <c r="R375" s="8"/>
      <c r="S375" s="146"/>
      <c r="T375" s="204"/>
      <c r="U375" s="146"/>
      <c r="V375" s="146"/>
      <c r="W375" s="146"/>
      <c r="X375" s="247"/>
      <c r="Y375" s="639"/>
      <c r="Z375" s="196"/>
    </row>
    <row r="376" spans="2:26" ht="16" thickBot="1" x14ac:dyDescent="0.25">
      <c r="B376" s="197"/>
      <c r="C376" s="137"/>
      <c r="D376" s="1">
        <f>SUM(D373:D375)</f>
        <v>0</v>
      </c>
      <c r="E376" s="1">
        <f>SUM(E373:E375)</f>
        <v>0</v>
      </c>
      <c r="F376" s="2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250"/>
      <c r="Y376" s="251"/>
      <c r="Z376" s="198"/>
    </row>
    <row r="377" spans="2:26" ht="16" thickBot="1" x14ac:dyDescent="0.25">
      <c r="B377" s="127">
        <v>45710</v>
      </c>
      <c r="C377" s="6"/>
      <c r="D377" s="146"/>
      <c r="E377" s="146"/>
      <c r="F377" s="146"/>
      <c r="G377" s="146">
        <v>800</v>
      </c>
      <c r="H377" s="146"/>
      <c r="I377" s="246"/>
      <c r="J377" s="146"/>
      <c r="K377" s="146"/>
      <c r="L377" s="146"/>
      <c r="M377" s="146"/>
      <c r="N377" s="146"/>
      <c r="O377" s="146"/>
      <c r="P377" s="146"/>
      <c r="Q377" s="8"/>
      <c r="R377" s="8"/>
      <c r="S377" s="146"/>
      <c r="T377" s="204"/>
      <c r="U377" s="146"/>
      <c r="V377" s="146"/>
      <c r="W377" s="146"/>
      <c r="X377" s="247"/>
      <c r="Y377" s="171">
        <f>SUM(F377:W383)</f>
        <v>800</v>
      </c>
      <c r="Z377" s="196">
        <f>B377</f>
        <v>45710</v>
      </c>
    </row>
    <row r="378" spans="2:26" ht="16" thickBot="1" x14ac:dyDescent="0.25">
      <c r="B378" s="548" t="s">
        <v>25</v>
      </c>
      <c r="C378" s="6"/>
      <c r="D378" s="4"/>
      <c r="E378" s="4"/>
      <c r="F378" s="14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150"/>
      <c r="Y378" s="639"/>
      <c r="Z378" s="196" t="s">
        <v>25</v>
      </c>
    </row>
    <row r="379" spans="2:26" ht="16" thickBot="1" x14ac:dyDescent="0.25">
      <c r="B379" s="208"/>
      <c r="C379" s="6"/>
      <c r="D379" s="4"/>
      <c r="E379" s="4"/>
      <c r="F379" s="14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150"/>
      <c r="Y379" s="639"/>
      <c r="Z379" s="196"/>
    </row>
    <row r="380" spans="2:26" ht="16" thickBot="1" x14ac:dyDescent="0.25">
      <c r="B380" s="208"/>
      <c r="C380" s="6"/>
      <c r="D380" s="4"/>
      <c r="E380" s="4"/>
      <c r="F380" s="14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150"/>
      <c r="Y380" s="639"/>
      <c r="Z380" s="196"/>
    </row>
    <row r="381" spans="2:26" ht="16" thickBot="1" x14ac:dyDescent="0.25">
      <c r="B381" s="208"/>
      <c r="C381" s="6"/>
      <c r="D381" s="4"/>
      <c r="E381" s="4"/>
      <c r="F381" s="14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150"/>
      <c r="Y381" s="639"/>
      <c r="Z381" s="196"/>
    </row>
    <row r="382" spans="2:26" ht="16" thickBot="1" x14ac:dyDescent="0.25">
      <c r="B382" s="199"/>
      <c r="C382" s="7"/>
      <c r="D382" s="143"/>
      <c r="E382" s="14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48"/>
      <c r="U382" s="4"/>
      <c r="V382" s="4"/>
      <c r="W382" s="4"/>
      <c r="X382" s="150"/>
      <c r="Y382" s="10"/>
      <c r="Z382" s="196"/>
    </row>
    <row r="383" spans="2:26" ht="16" thickBot="1" x14ac:dyDescent="0.25">
      <c r="B383" s="198"/>
      <c r="C383" s="137"/>
      <c r="D383" s="9">
        <f>SUM(D377:D382)</f>
        <v>0</v>
      </c>
      <c r="E383" s="9">
        <f>SUM(E377:E382)</f>
        <v>0</v>
      </c>
      <c r="F383" s="245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254"/>
      <c r="R383" s="144"/>
      <c r="S383" s="144"/>
      <c r="T383" s="144"/>
      <c r="U383" s="144"/>
      <c r="V383" s="144"/>
      <c r="W383" s="144"/>
      <c r="X383" s="172"/>
      <c r="Y383" s="11"/>
      <c r="Z383" s="198"/>
    </row>
    <row r="384" spans="2:26" ht="16" thickBot="1" x14ac:dyDescent="0.25">
      <c r="B384" s="196">
        <v>45711</v>
      </c>
      <c r="C384" s="6"/>
      <c r="D384" s="146"/>
      <c r="E384" s="146"/>
      <c r="F384" s="146">
        <v>1500</v>
      </c>
      <c r="G384" s="146"/>
      <c r="H384" s="146"/>
      <c r="I384" s="146"/>
      <c r="J384" s="146"/>
      <c r="K384" s="146"/>
      <c r="L384" s="146">
        <v>7087.48</v>
      </c>
      <c r="M384" s="146"/>
      <c r="N384" s="146"/>
      <c r="O384" s="146"/>
      <c r="P384" s="146"/>
      <c r="Q384" s="253">
        <v>279.92</v>
      </c>
      <c r="R384" s="253"/>
      <c r="S384" s="146"/>
      <c r="T384" s="204"/>
      <c r="U384" s="146"/>
      <c r="V384" s="146"/>
      <c r="W384" s="146">
        <f>239.95+57.98</f>
        <v>297.93</v>
      </c>
      <c r="X384" s="182" t="s">
        <v>411</v>
      </c>
      <c r="Y384" s="1">
        <f>SUM(F384:W387)</f>
        <v>9461.27</v>
      </c>
      <c r="Z384" s="196">
        <f>B384</f>
        <v>45711</v>
      </c>
    </row>
    <row r="385" spans="2:26" ht="16" thickBot="1" x14ac:dyDescent="0.25">
      <c r="B385" s="198" t="s">
        <v>26</v>
      </c>
      <c r="C385" s="5"/>
      <c r="D385" s="4"/>
      <c r="E385" s="4"/>
      <c r="F385" s="4"/>
      <c r="G385" s="15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>
        <v>295.94</v>
      </c>
      <c r="X385" s="150" t="s">
        <v>279</v>
      </c>
      <c r="Y385" s="12"/>
      <c r="Z385" s="198" t="s">
        <v>26</v>
      </c>
    </row>
    <row r="386" spans="2:26" ht="16" thickBot="1" x14ac:dyDescent="0.25">
      <c r="B386" s="268"/>
      <c r="C386" s="152"/>
      <c r="D386" s="143"/>
      <c r="E386" s="14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150"/>
      <c r="Y386" s="10"/>
      <c r="Z386" s="268"/>
    </row>
    <row r="387" spans="2:26" ht="16" thickBot="1" x14ac:dyDescent="0.25">
      <c r="B387" s="267"/>
      <c r="C387" s="255"/>
      <c r="D387" s="1">
        <f>SUM(D384:D386)</f>
        <v>0</v>
      </c>
      <c r="E387" s="1">
        <f>SUM(E384:E386)</f>
        <v>0</v>
      </c>
      <c r="F387" s="245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72"/>
      <c r="Y387" s="248"/>
      <c r="Z387" s="268"/>
    </row>
    <row r="388" spans="2:26" x14ac:dyDescent="0.2">
      <c r="B388" s="101"/>
      <c r="C388" s="243"/>
      <c r="D388" s="242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8"/>
      <c r="Z388" s="130"/>
    </row>
    <row r="389" spans="2:26" ht="16" thickBot="1" x14ac:dyDescent="0.25">
      <c r="B389" s="101"/>
      <c r="C389" s="243"/>
      <c r="D389" s="189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2"/>
      <c r="Z389" s="128"/>
    </row>
    <row r="390" spans="2:26" ht="16" thickBot="1" x14ac:dyDescent="0.25">
      <c r="B390" s="101"/>
      <c r="C390" s="101"/>
      <c r="D390" s="105">
        <f>SUM(D387,D383,D376,D372,D364,D357,D351)</f>
        <v>0</v>
      </c>
      <c r="E390" s="105">
        <f>SUM(E387,E383,E376,E372,E364,E357,E351)</f>
        <v>0</v>
      </c>
      <c r="F390" s="104">
        <f t="shared" ref="F390:S390" si="7">SUM(F347:F389)</f>
        <v>3000</v>
      </c>
      <c r="G390" s="103">
        <f t="shared" si="7"/>
        <v>5156.93</v>
      </c>
      <c r="H390" s="103">
        <f t="shared" si="7"/>
        <v>0</v>
      </c>
      <c r="I390" s="103">
        <f t="shared" si="7"/>
        <v>26460.13</v>
      </c>
      <c r="J390" s="103">
        <f t="shared" si="7"/>
        <v>0</v>
      </c>
      <c r="K390" s="103">
        <f t="shared" si="7"/>
        <v>0</v>
      </c>
      <c r="L390" s="103">
        <f t="shared" si="7"/>
        <v>22313.06</v>
      </c>
      <c r="M390" s="103">
        <f t="shared" si="7"/>
        <v>0</v>
      </c>
      <c r="N390" s="103">
        <f t="shared" si="7"/>
        <v>0</v>
      </c>
      <c r="O390" s="103">
        <f t="shared" si="7"/>
        <v>6900</v>
      </c>
      <c r="P390" s="103">
        <f t="shared" si="7"/>
        <v>90</v>
      </c>
      <c r="Q390" s="103">
        <f t="shared" si="7"/>
        <v>1230.8100000000002</v>
      </c>
      <c r="R390" s="103">
        <f t="shared" si="7"/>
        <v>0</v>
      </c>
      <c r="S390" s="103">
        <f t="shared" si="7"/>
        <v>5731.95</v>
      </c>
      <c r="T390" s="103"/>
      <c r="U390" s="103">
        <f>SUM(U351:U389)</f>
        <v>0</v>
      </c>
      <c r="V390" s="103">
        <f>SUM(V347:V389)</f>
        <v>0</v>
      </c>
      <c r="W390" s="103">
        <f>SUM(W347:W389)</f>
        <v>3194.54</v>
      </c>
      <c r="X390" s="153"/>
      <c r="Y390" s="155">
        <f>SUM(Y347:Y387)</f>
        <v>74077.42</v>
      </c>
      <c r="Z390" s="129"/>
    </row>
    <row r="391" spans="2:26" ht="27" thickBot="1" x14ac:dyDescent="0.25">
      <c r="B391" s="101"/>
      <c r="C391" s="154" t="s">
        <v>0</v>
      </c>
      <c r="D391" s="154" t="s">
        <v>1</v>
      </c>
      <c r="E391" s="154" t="s">
        <v>2</v>
      </c>
      <c r="F391" s="154" t="s">
        <v>3</v>
      </c>
      <c r="G391" s="154" t="s">
        <v>4</v>
      </c>
      <c r="H391" s="154" t="s">
        <v>5</v>
      </c>
      <c r="I391" s="154" t="s">
        <v>6</v>
      </c>
      <c r="J391" s="154" t="s">
        <v>7</v>
      </c>
      <c r="K391" s="154" t="s">
        <v>8</v>
      </c>
      <c r="L391" s="154" t="s">
        <v>9</v>
      </c>
      <c r="M391" s="154" t="s">
        <v>309</v>
      </c>
      <c r="N391" s="154" t="s">
        <v>11</v>
      </c>
      <c r="O391" s="154" t="s">
        <v>12</v>
      </c>
      <c r="P391" s="154" t="s">
        <v>13</v>
      </c>
      <c r="Q391" s="154" t="s">
        <v>14</v>
      </c>
      <c r="R391" s="154" t="s">
        <v>15</v>
      </c>
      <c r="S391" s="154" t="s">
        <v>311</v>
      </c>
      <c r="T391" s="154" t="s">
        <v>16</v>
      </c>
      <c r="U391" s="154" t="s">
        <v>403</v>
      </c>
      <c r="V391" s="154" t="s">
        <v>17</v>
      </c>
      <c r="W391" s="154" t="s">
        <v>18</v>
      </c>
      <c r="X391" s="154"/>
      <c r="Y391" s="154" t="s">
        <v>19</v>
      </c>
      <c r="Z391" s="126"/>
    </row>
    <row r="392" spans="2:26" ht="16" thickBot="1" x14ac:dyDescent="0.25">
      <c r="B392" s="101"/>
      <c r="C392" s="101"/>
      <c r="D392" s="101"/>
      <c r="E392" s="727" t="str">
        <f>M392</f>
        <v>17 - 23 FEBRUARY 2025</v>
      </c>
      <c r="F392" s="719"/>
      <c r="G392" s="719"/>
      <c r="H392" s="720"/>
      <c r="I392" s="101"/>
      <c r="J392" s="101"/>
      <c r="K392" s="101"/>
      <c r="L392" s="101"/>
      <c r="M392" s="727" t="str">
        <f>V392</f>
        <v>17 - 23 FEBRUARY 2025</v>
      </c>
      <c r="N392" s="719"/>
      <c r="O392" s="719"/>
      <c r="P392" s="720"/>
      <c r="Q392" s="101"/>
      <c r="R392" s="101"/>
      <c r="S392" s="101"/>
      <c r="T392" s="101"/>
      <c r="U392" s="101"/>
      <c r="V392" s="727" t="str">
        <f>V345</f>
        <v>17 - 23 FEBRUARY 2025</v>
      </c>
      <c r="W392" s="719"/>
      <c r="X392" s="719"/>
      <c r="Y392" s="720"/>
      <c r="Z392" s="101"/>
    </row>
    <row r="393" spans="2:26" ht="16" thickBot="1" x14ac:dyDescent="0.25"/>
    <row r="394" spans="2:26" ht="16" thickBot="1" x14ac:dyDescent="0.25">
      <c r="E394" s="718" t="s">
        <v>762</v>
      </c>
      <c r="F394" s="719"/>
      <c r="G394" s="719"/>
      <c r="H394" s="720"/>
      <c r="K394" s="106"/>
      <c r="L394" s="106"/>
      <c r="M394" s="721" t="str">
        <f>E394</f>
        <v>24 FEBRUARY - 2 MARCH 2025</v>
      </c>
      <c r="N394" s="722"/>
      <c r="O394" s="722"/>
      <c r="P394" s="723"/>
      <c r="Q394" s="106"/>
      <c r="R394" s="106"/>
      <c r="S394" s="106"/>
      <c r="T394" s="106"/>
      <c r="U394" s="106"/>
      <c r="V394" s="724" t="str">
        <f>M394</f>
        <v>24 FEBRUARY - 2 MARCH 2025</v>
      </c>
      <c r="W394" s="725"/>
      <c r="X394" s="725"/>
      <c r="Y394" s="726"/>
      <c r="Z394" s="106"/>
    </row>
    <row r="395" spans="2:26" ht="27" thickBot="1" x14ac:dyDescent="0.25">
      <c r="C395" s="126" t="s">
        <v>0</v>
      </c>
      <c r="D395" s="135" t="s">
        <v>1</v>
      </c>
      <c r="E395" s="258" t="s">
        <v>2</v>
      </c>
      <c r="F395" s="259" t="s">
        <v>3</v>
      </c>
      <c r="G395" s="260" t="s">
        <v>4</v>
      </c>
      <c r="H395" s="261" t="s">
        <v>5</v>
      </c>
      <c r="I395" s="262" t="s">
        <v>6</v>
      </c>
      <c r="J395" s="262" t="s">
        <v>7</v>
      </c>
      <c r="K395" s="262" t="s">
        <v>8</v>
      </c>
      <c r="L395" s="262" t="s">
        <v>9</v>
      </c>
      <c r="M395" s="262" t="s">
        <v>10</v>
      </c>
      <c r="N395" s="262" t="s">
        <v>11</v>
      </c>
      <c r="O395" s="262" t="s">
        <v>12</v>
      </c>
      <c r="P395" s="262" t="s">
        <v>13</v>
      </c>
      <c r="Q395" s="262" t="s">
        <v>14</v>
      </c>
      <c r="R395" s="262" t="s">
        <v>15</v>
      </c>
      <c r="S395" s="262" t="s">
        <v>311</v>
      </c>
      <c r="T395" s="262" t="s">
        <v>16</v>
      </c>
      <c r="U395" s="154" t="s">
        <v>403</v>
      </c>
      <c r="V395" s="263" t="s">
        <v>17</v>
      </c>
      <c r="W395" s="263" t="s">
        <v>18</v>
      </c>
      <c r="X395" s="264"/>
      <c r="Y395" s="265" t="s">
        <v>19</v>
      </c>
      <c r="Z395" s="266"/>
    </row>
    <row r="396" spans="2:26" ht="16" thickBot="1" x14ac:dyDescent="0.25">
      <c r="B396" s="196">
        <v>45712</v>
      </c>
      <c r="C396" s="136"/>
      <c r="D396" s="139"/>
      <c r="E396" s="139"/>
      <c r="F396" s="139"/>
      <c r="G396" s="139">
        <v>532.05999999999995</v>
      </c>
      <c r="H396" s="139"/>
      <c r="I396" s="139"/>
      <c r="J396" s="139"/>
      <c r="K396" s="139"/>
      <c r="L396" s="139">
        <v>9052.4699999999993</v>
      </c>
      <c r="M396" s="139"/>
      <c r="N396" s="139"/>
      <c r="O396" s="139"/>
      <c r="P396" s="139"/>
      <c r="Q396" s="139">
        <v>639.88</v>
      </c>
      <c r="R396" s="139"/>
      <c r="S396" s="139"/>
      <c r="T396" s="140"/>
      <c r="U396" s="139"/>
      <c r="V396" s="139"/>
      <c r="W396" s="139"/>
      <c r="X396" s="141"/>
      <c r="Y396" s="239">
        <f>SUM(F396:X400)</f>
        <v>10224.409999999998</v>
      </c>
      <c r="Z396" s="269">
        <f>B396</f>
        <v>45712</v>
      </c>
    </row>
    <row r="397" spans="2:26" ht="16" thickBot="1" x14ac:dyDescent="0.25">
      <c r="B397" s="196" t="s">
        <v>20</v>
      </c>
      <c r="C397" s="203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204"/>
      <c r="U397" s="146"/>
      <c r="V397" s="146"/>
      <c r="W397" s="146"/>
      <c r="X397" s="182"/>
      <c r="Y397" s="191"/>
      <c r="Z397" s="196" t="s">
        <v>20</v>
      </c>
    </row>
    <row r="398" spans="2:26" ht="16" thickBot="1" x14ac:dyDescent="0.25">
      <c r="B398" s="196"/>
      <c r="C398" s="203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204"/>
      <c r="U398" s="146"/>
      <c r="V398" s="146"/>
      <c r="W398" s="146"/>
      <c r="X398" s="182"/>
      <c r="Y398" s="191"/>
      <c r="Z398" s="196"/>
    </row>
    <row r="399" spans="2:26" ht="16" thickBot="1" x14ac:dyDescent="0.25">
      <c r="B399" s="206"/>
      <c r="C399" s="632"/>
      <c r="D399" s="4"/>
      <c r="E399" s="4"/>
      <c r="F399" s="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633"/>
      <c r="U399" s="8"/>
      <c r="V399" s="8"/>
      <c r="W399" s="8"/>
      <c r="X399" s="634"/>
      <c r="Y399" s="635"/>
      <c r="Z399" s="196"/>
    </row>
    <row r="400" spans="2:26" ht="16" thickBot="1" x14ac:dyDescent="0.25">
      <c r="B400" s="197"/>
      <c r="C400" s="137"/>
      <c r="D400" s="171">
        <f>SUM(D396:D398)</f>
        <v>0</v>
      </c>
      <c r="E400" s="658">
        <f>SUM(E396:E398)</f>
        <v>0</v>
      </c>
      <c r="F400" s="659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5"/>
      <c r="Y400" s="138"/>
      <c r="Z400" s="198"/>
    </row>
    <row r="401" spans="2:26" ht="16" thickBot="1" x14ac:dyDescent="0.25">
      <c r="B401" s="196">
        <v>45713</v>
      </c>
      <c r="C401" s="6"/>
      <c r="D401" s="146"/>
      <c r="E401" s="146"/>
      <c r="F401" s="139"/>
      <c r="G401" s="139"/>
      <c r="H401" s="139"/>
      <c r="I401" s="139"/>
      <c r="J401" s="574"/>
      <c r="K401" s="139"/>
      <c r="L401" s="139">
        <v>7880.6</v>
      </c>
      <c r="M401" s="139"/>
      <c r="N401" s="139"/>
      <c r="O401" s="139"/>
      <c r="P401" s="139">
        <v>50</v>
      </c>
      <c r="Q401" s="139"/>
      <c r="R401" s="139"/>
      <c r="S401" s="139"/>
      <c r="T401" s="140"/>
      <c r="U401" s="139"/>
      <c r="V401" s="139"/>
      <c r="W401" s="139">
        <v>260</v>
      </c>
      <c r="X401" s="575" t="s">
        <v>763</v>
      </c>
      <c r="Y401" s="238">
        <f>SUM(F401:W406)</f>
        <v>9053.1</v>
      </c>
      <c r="Z401" s="196">
        <f>B401</f>
        <v>45713</v>
      </c>
    </row>
    <row r="402" spans="2:26" ht="16" thickBot="1" x14ac:dyDescent="0.25">
      <c r="B402" s="196" t="s">
        <v>21</v>
      </c>
      <c r="C402" s="6"/>
      <c r="D402" s="146"/>
      <c r="E402" s="146"/>
      <c r="F402" s="4"/>
      <c r="G402" s="4"/>
      <c r="H402" s="4"/>
      <c r="I402" s="4"/>
      <c r="J402" s="149"/>
      <c r="K402" s="4"/>
      <c r="L402" s="4"/>
      <c r="M402" s="4"/>
      <c r="N402" s="4"/>
      <c r="O402" s="4"/>
      <c r="P402" s="4"/>
      <c r="Q402" s="4"/>
      <c r="R402" s="4"/>
      <c r="S402" s="4"/>
      <c r="T402" s="148"/>
      <c r="U402" s="4"/>
      <c r="V402" s="4"/>
      <c r="W402" s="4">
        <v>862.5</v>
      </c>
      <c r="X402" s="142" t="s">
        <v>764</v>
      </c>
      <c r="Y402" s="191"/>
      <c r="Z402" s="196" t="s">
        <v>21</v>
      </c>
    </row>
    <row r="403" spans="2:26" ht="16" thickBot="1" x14ac:dyDescent="0.25">
      <c r="B403" s="196"/>
      <c r="C403" s="6"/>
      <c r="D403" s="4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78"/>
      <c r="U403" s="12"/>
      <c r="V403" s="12"/>
      <c r="W403" s="146"/>
      <c r="X403" s="147"/>
      <c r="Y403" s="191"/>
      <c r="Z403" s="196"/>
    </row>
    <row r="404" spans="2:26" ht="16" thickBot="1" x14ac:dyDescent="0.25">
      <c r="B404" s="662"/>
      <c r="C404" s="57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79"/>
      <c r="U404" s="4"/>
      <c r="V404" s="4"/>
      <c r="W404" s="4"/>
      <c r="X404" s="142"/>
      <c r="Y404" s="643"/>
      <c r="Z404" s="196"/>
    </row>
    <row r="405" spans="2:26" ht="16" thickBot="1" x14ac:dyDescent="0.25">
      <c r="B405" s="662"/>
      <c r="C405" s="57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79"/>
      <c r="U405" s="4"/>
      <c r="V405" s="4"/>
      <c r="W405" s="4"/>
      <c r="X405" s="142"/>
      <c r="Y405" s="643"/>
      <c r="Z405" s="196"/>
    </row>
    <row r="406" spans="2:26" ht="16" thickBot="1" x14ac:dyDescent="0.25">
      <c r="B406" s="476"/>
      <c r="C406" s="663"/>
      <c r="D406" s="664">
        <f>SUM(D401:D403)</f>
        <v>0</v>
      </c>
      <c r="E406" s="664">
        <f>SUM(E401:E403)</f>
        <v>0</v>
      </c>
      <c r="F406" s="66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642"/>
      <c r="U406" s="642"/>
      <c r="V406" s="642"/>
      <c r="W406" s="8"/>
      <c r="X406" s="666"/>
      <c r="Y406" s="571"/>
      <c r="Z406" s="198"/>
    </row>
    <row r="407" spans="2:26" ht="16" thickBot="1" x14ac:dyDescent="0.25">
      <c r="B407" s="570">
        <v>45714</v>
      </c>
      <c r="C407" s="573"/>
      <c r="D407" s="139"/>
      <c r="E407" s="139"/>
      <c r="F407" s="4"/>
      <c r="G407" s="4">
        <v>800</v>
      </c>
      <c r="H407" s="4"/>
      <c r="I407" s="688">
        <v>10521.58</v>
      </c>
      <c r="J407" s="4"/>
      <c r="K407" s="4"/>
      <c r="L407" s="4">
        <v>163.98</v>
      </c>
      <c r="M407" s="4"/>
      <c r="N407" s="4"/>
      <c r="O407" s="4"/>
      <c r="P407" s="4">
        <v>180</v>
      </c>
      <c r="Q407" s="4"/>
      <c r="R407" s="4"/>
      <c r="S407" s="4"/>
      <c r="T407" s="148"/>
      <c r="U407" s="4"/>
      <c r="V407" s="4">
        <v>1200</v>
      </c>
      <c r="W407" s="4">
        <v>160</v>
      </c>
      <c r="X407" s="689" t="s">
        <v>770</v>
      </c>
      <c r="Y407" s="576">
        <f>SUM(F407:X413)</f>
        <v>13475.56</v>
      </c>
      <c r="Z407" s="464">
        <f>B407</f>
        <v>45714</v>
      </c>
    </row>
    <row r="408" spans="2:26" ht="16" thickBot="1" x14ac:dyDescent="0.25">
      <c r="B408" s="570" t="s">
        <v>22</v>
      </c>
      <c r="C408" s="572"/>
      <c r="D408" s="4"/>
      <c r="E408" s="4"/>
      <c r="F408" s="4"/>
      <c r="G408" s="4"/>
      <c r="H408" s="4"/>
      <c r="I408" s="4"/>
      <c r="J408" s="149"/>
      <c r="K408" s="4"/>
      <c r="L408" s="4"/>
      <c r="M408" s="4"/>
      <c r="N408" s="4"/>
      <c r="O408" s="4"/>
      <c r="P408" s="4"/>
      <c r="Q408" s="4"/>
      <c r="R408" s="4"/>
      <c r="S408" s="4"/>
      <c r="T408" s="148"/>
      <c r="U408" s="4"/>
      <c r="V408" s="4"/>
      <c r="W408" s="4">
        <v>450</v>
      </c>
      <c r="X408" s="142" t="s">
        <v>771</v>
      </c>
      <c r="Y408" s="638"/>
      <c r="Z408" s="464"/>
    </row>
    <row r="409" spans="2:26" ht="16" thickBot="1" x14ac:dyDescent="0.25">
      <c r="B409" s="570"/>
      <c r="C409" s="572"/>
      <c r="D409" s="4"/>
      <c r="E409" s="4"/>
      <c r="F409" s="4"/>
      <c r="G409" s="4"/>
      <c r="H409" s="4"/>
      <c r="I409" s="4"/>
      <c r="J409" s="149"/>
      <c r="K409" s="4"/>
      <c r="L409" s="4"/>
      <c r="M409" s="4"/>
      <c r="N409" s="4"/>
      <c r="O409" s="4"/>
      <c r="P409" s="4"/>
      <c r="Q409" s="4"/>
      <c r="R409" s="4"/>
      <c r="S409" s="4"/>
      <c r="T409" s="148"/>
      <c r="U409" s="4"/>
      <c r="V409" s="4"/>
      <c r="W409" s="4"/>
      <c r="X409" s="142"/>
      <c r="Y409" s="638"/>
      <c r="Z409" s="464"/>
    </row>
    <row r="410" spans="2:26" ht="16" thickBot="1" x14ac:dyDescent="0.25">
      <c r="B410" s="570"/>
      <c r="C410" s="572"/>
      <c r="D410" s="4"/>
      <c r="E410" s="4"/>
      <c r="F410" s="4"/>
      <c r="G410" s="4"/>
      <c r="H410" s="4"/>
      <c r="I410" s="4"/>
      <c r="J410" s="149"/>
      <c r="K410" s="4"/>
      <c r="L410" s="4"/>
      <c r="M410" s="4"/>
      <c r="N410" s="4"/>
      <c r="O410" s="4"/>
      <c r="P410" s="4"/>
      <c r="Q410" s="4"/>
      <c r="R410" s="4"/>
      <c r="S410" s="4"/>
      <c r="T410" s="148"/>
      <c r="U410" s="4"/>
      <c r="V410" s="4"/>
      <c r="W410" s="4"/>
      <c r="X410" s="142"/>
      <c r="Y410" s="638"/>
      <c r="Z410" s="464"/>
    </row>
    <row r="411" spans="2:26" ht="16" thickBot="1" x14ac:dyDescent="0.25">
      <c r="B411" s="570"/>
      <c r="C411" s="572"/>
      <c r="D411" s="4"/>
      <c r="E411" s="4"/>
      <c r="F411" s="4"/>
      <c r="G411" s="4"/>
      <c r="H411" s="4"/>
      <c r="I411" s="4"/>
      <c r="J411" s="149"/>
      <c r="K411" s="4"/>
      <c r="L411" s="4"/>
      <c r="M411" s="4"/>
      <c r="N411" s="4"/>
      <c r="O411" s="4"/>
      <c r="P411" s="4"/>
      <c r="Q411" s="4"/>
      <c r="R411" s="4"/>
      <c r="S411" s="4"/>
      <c r="T411" s="148"/>
      <c r="U411" s="4"/>
      <c r="V411" s="4"/>
      <c r="W411" s="4"/>
      <c r="X411" s="142"/>
      <c r="Y411" s="638"/>
      <c r="Z411" s="464"/>
    </row>
    <row r="412" spans="2:26" ht="16" thickBot="1" x14ac:dyDescent="0.25">
      <c r="B412" s="570"/>
      <c r="C412" s="572"/>
      <c r="D412" s="4"/>
      <c r="E412" s="4"/>
      <c r="F412" s="4"/>
      <c r="G412" s="4"/>
      <c r="H412" s="4"/>
      <c r="I412" s="4"/>
      <c r="J412" s="149"/>
      <c r="K412" s="4"/>
      <c r="L412" s="4"/>
      <c r="M412" s="4"/>
      <c r="N412" s="4"/>
      <c r="O412" s="4"/>
      <c r="P412" s="4"/>
      <c r="Q412" s="4"/>
      <c r="R412" s="4"/>
      <c r="S412" s="4"/>
      <c r="T412" s="148"/>
      <c r="U412" s="4"/>
      <c r="V412" s="4"/>
      <c r="W412" s="4"/>
      <c r="X412" s="142"/>
      <c r="Y412" s="638"/>
      <c r="Z412" s="464"/>
    </row>
    <row r="413" spans="2:26" ht="16" thickBot="1" x14ac:dyDescent="0.25">
      <c r="B413" s="197"/>
      <c r="C413" s="257"/>
      <c r="D413" s="171">
        <f>SUM(D407:D412)</f>
        <v>0</v>
      </c>
      <c r="E413" s="171">
        <f>SUM(E407:E412)</f>
        <v>0</v>
      </c>
      <c r="F413" s="245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72"/>
      <c r="Y413" s="241"/>
      <c r="Z413" s="465"/>
    </row>
    <row r="414" spans="2:26" ht="16" thickBot="1" x14ac:dyDescent="0.25">
      <c r="B414" s="196">
        <v>45715</v>
      </c>
      <c r="C414" s="207"/>
      <c r="D414" s="8"/>
      <c r="E414" s="146"/>
      <c r="F414" s="146"/>
      <c r="G414" s="146">
        <f>1021.61+688.5+79+79</f>
        <v>1868.1100000000001</v>
      </c>
      <c r="H414" s="146"/>
      <c r="I414" s="246"/>
      <c r="J414" s="146"/>
      <c r="K414" s="146">
        <v>575</v>
      </c>
      <c r="L414" s="146">
        <v>8827.49</v>
      </c>
      <c r="M414" s="146"/>
      <c r="N414" s="146">
        <v>2588.9</v>
      </c>
      <c r="O414" s="146"/>
      <c r="P414" s="146"/>
      <c r="Q414" s="8">
        <v>359.91</v>
      </c>
      <c r="R414" s="8"/>
      <c r="S414" s="146">
        <v>7157.54</v>
      </c>
      <c r="T414" s="204"/>
      <c r="U414" s="146"/>
      <c r="V414" s="146"/>
      <c r="W414" s="146">
        <v>119.99</v>
      </c>
      <c r="X414" s="247" t="s">
        <v>411</v>
      </c>
      <c r="Y414" s="171">
        <f>SUM(F414:W421)</f>
        <v>21920.920000000002</v>
      </c>
      <c r="Z414" s="196">
        <f>B414</f>
        <v>45715</v>
      </c>
    </row>
    <row r="415" spans="2:26" ht="16" thickBot="1" x14ac:dyDescent="0.25">
      <c r="B415" s="196" t="s">
        <v>23</v>
      </c>
      <c r="C415" s="7"/>
      <c r="D415" s="4"/>
      <c r="E415" s="146"/>
      <c r="F415" s="146"/>
      <c r="G415" s="146"/>
      <c r="H415" s="146"/>
      <c r="I415" s="463"/>
      <c r="J415" s="146"/>
      <c r="K415" s="146"/>
      <c r="L415" s="146"/>
      <c r="M415" s="146"/>
      <c r="N415" s="146"/>
      <c r="O415" s="146"/>
      <c r="P415" s="146"/>
      <c r="Q415" s="4"/>
      <c r="R415" s="4"/>
      <c r="S415" s="146"/>
      <c r="T415" s="204"/>
      <c r="U415" s="146"/>
      <c r="V415" s="146"/>
      <c r="W415" s="146">
        <v>370</v>
      </c>
      <c r="X415" s="247" t="s">
        <v>396</v>
      </c>
      <c r="Y415" s="240"/>
      <c r="Z415" s="196"/>
    </row>
    <row r="416" spans="2:26" ht="16" thickBot="1" x14ac:dyDescent="0.25">
      <c r="B416" s="196"/>
      <c r="C416" s="7"/>
      <c r="D416" s="4"/>
      <c r="E416" s="146"/>
      <c r="F416" s="146"/>
      <c r="G416" s="146"/>
      <c r="H416" s="146"/>
      <c r="I416" s="463"/>
      <c r="J416" s="146"/>
      <c r="K416" s="146"/>
      <c r="L416" s="146"/>
      <c r="M416" s="146"/>
      <c r="N416" s="146"/>
      <c r="O416" s="146"/>
      <c r="P416" s="146"/>
      <c r="Q416" s="4"/>
      <c r="R416" s="4"/>
      <c r="S416" s="146"/>
      <c r="T416" s="204"/>
      <c r="U416" s="146"/>
      <c r="V416" s="146"/>
      <c r="W416" s="146">
        <v>53.98</v>
      </c>
      <c r="X416" s="247" t="s">
        <v>279</v>
      </c>
      <c r="Y416" s="4"/>
      <c r="Z416" s="464"/>
    </row>
    <row r="417" spans="2:26" ht="16" thickBot="1" x14ac:dyDescent="0.25">
      <c r="B417" s="196"/>
      <c r="C417" s="7"/>
      <c r="D417" s="4"/>
      <c r="E417" s="146"/>
      <c r="F417" s="146"/>
      <c r="G417" s="146"/>
      <c r="H417" s="146"/>
      <c r="I417" s="463"/>
      <c r="J417" s="146"/>
      <c r="K417" s="146"/>
      <c r="L417" s="146"/>
      <c r="M417" s="146"/>
      <c r="N417" s="146"/>
      <c r="O417" s="146"/>
      <c r="P417" s="146"/>
      <c r="Q417" s="4"/>
      <c r="R417" s="4"/>
      <c r="S417" s="146"/>
      <c r="T417" s="204"/>
      <c r="U417" s="146"/>
      <c r="V417" s="146"/>
      <c r="W417" s="146"/>
      <c r="X417" s="247"/>
      <c r="Y417" s="4"/>
      <c r="Z417" s="464"/>
    </row>
    <row r="418" spans="2:26" ht="16" thickBot="1" x14ac:dyDescent="0.25">
      <c r="B418" s="198"/>
      <c r="C418" s="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150"/>
      <c r="Y418" s="4"/>
      <c r="Z418" s="465" t="s">
        <v>23</v>
      </c>
    </row>
    <row r="419" spans="2:26" ht="16" thickBot="1" x14ac:dyDescent="0.25">
      <c r="B419" s="476"/>
      <c r="C419" s="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150"/>
      <c r="Y419" s="10"/>
      <c r="Z419" s="465"/>
    </row>
    <row r="420" spans="2:26" ht="16" thickBot="1" x14ac:dyDescent="0.25">
      <c r="B420" s="476"/>
      <c r="C420" s="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150"/>
      <c r="Y420" s="10"/>
      <c r="Z420" s="465"/>
    </row>
    <row r="421" spans="2:26" ht="16" thickBot="1" x14ac:dyDescent="0.25">
      <c r="B421" s="197"/>
      <c r="C421" s="249"/>
      <c r="D421" s="171">
        <f>SUM(D414:D420)</f>
        <v>0</v>
      </c>
      <c r="E421" s="171">
        <f>SUM(E414:E420)</f>
        <v>0</v>
      </c>
      <c r="F421" s="252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250"/>
      <c r="Y421" s="251"/>
      <c r="Z421" s="198"/>
    </row>
    <row r="422" spans="2:26" ht="16" thickBot="1" x14ac:dyDescent="0.25">
      <c r="B422" s="556">
        <v>45716</v>
      </c>
      <c r="C422" s="557"/>
      <c r="D422" s="558"/>
      <c r="E422" s="558"/>
      <c r="F422" s="146"/>
      <c r="G422" s="146">
        <v>800</v>
      </c>
      <c r="H422" s="146"/>
      <c r="I422" s="246"/>
      <c r="J422" s="146"/>
      <c r="K422" s="146"/>
      <c r="L422" s="146"/>
      <c r="M422" s="146"/>
      <c r="N422" s="146"/>
      <c r="O422" s="146"/>
      <c r="P422" s="146"/>
      <c r="Q422" s="8"/>
      <c r="R422" s="8"/>
      <c r="S422" s="146"/>
      <c r="T422" s="204"/>
      <c r="U422" s="146"/>
      <c r="V422" s="146"/>
      <c r="W422" s="146">
        <v>4797.6899999999996</v>
      </c>
      <c r="X422" s="247" t="s">
        <v>764</v>
      </c>
      <c r="Y422" s="559">
        <f>SUM(F422:W425)</f>
        <v>5597.69</v>
      </c>
      <c r="Z422" s="560">
        <f>B422</f>
        <v>45716</v>
      </c>
    </row>
    <row r="423" spans="2:26" ht="16" thickBot="1" x14ac:dyDescent="0.25">
      <c r="B423" s="206" t="s">
        <v>24</v>
      </c>
      <c r="C423" s="6"/>
      <c r="D423" s="146"/>
      <c r="E423" s="146"/>
      <c r="F423" s="14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150"/>
      <c r="Y423" s="639"/>
      <c r="Z423" s="196"/>
    </row>
    <row r="424" spans="2:26" ht="16" thickBot="1" x14ac:dyDescent="0.25">
      <c r="B424" s="206"/>
      <c r="C424" s="6"/>
      <c r="D424" s="146"/>
      <c r="E424" s="146"/>
      <c r="F424" s="146"/>
      <c r="G424" s="146"/>
      <c r="H424" s="146"/>
      <c r="I424" s="246"/>
      <c r="J424" s="146"/>
      <c r="K424" s="146"/>
      <c r="L424" s="146"/>
      <c r="M424" s="146"/>
      <c r="N424" s="146"/>
      <c r="O424" s="146"/>
      <c r="P424" s="146"/>
      <c r="Q424" s="8"/>
      <c r="R424" s="8"/>
      <c r="S424" s="146"/>
      <c r="T424" s="204"/>
      <c r="U424" s="146"/>
      <c r="V424" s="146"/>
      <c r="W424" s="146"/>
      <c r="X424" s="247"/>
      <c r="Y424" s="639"/>
      <c r="Z424" s="196"/>
    </row>
    <row r="425" spans="2:26" ht="16" thickBot="1" x14ac:dyDescent="0.25">
      <c r="B425" s="197"/>
      <c r="C425" s="137"/>
      <c r="D425" s="1">
        <f>SUM(D422:D424)</f>
        <v>0</v>
      </c>
      <c r="E425" s="1">
        <f>SUM(E422:E424)</f>
        <v>0</v>
      </c>
      <c r="F425" s="2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250"/>
      <c r="Y425" s="251"/>
      <c r="Z425" s="198"/>
    </row>
    <row r="426" spans="2:26" ht="16" thickBot="1" x14ac:dyDescent="0.25">
      <c r="B426" s="127">
        <v>45717</v>
      </c>
      <c r="C426" s="6"/>
      <c r="D426" s="146"/>
      <c r="E426" s="146"/>
      <c r="F426" s="146">
        <v>1500</v>
      </c>
      <c r="G426" s="146"/>
      <c r="H426" s="146"/>
      <c r="I426" s="246"/>
      <c r="J426" s="146"/>
      <c r="K426" s="146"/>
      <c r="L426" s="146">
        <v>8599.61</v>
      </c>
      <c r="M426" s="146"/>
      <c r="N426" s="146"/>
      <c r="O426" s="146">
        <f>6400+8130</f>
        <v>14530</v>
      </c>
      <c r="P426" s="146"/>
      <c r="Q426" s="8">
        <v>279.93</v>
      </c>
      <c r="R426" s="8"/>
      <c r="S426" s="146"/>
      <c r="T426" s="204"/>
      <c r="U426" s="146"/>
      <c r="V426" s="146"/>
      <c r="W426" s="146"/>
      <c r="X426" s="247"/>
      <c r="Y426" s="171">
        <f>SUM(F426:W432)</f>
        <v>24909.54</v>
      </c>
      <c r="Z426" s="196">
        <f>B426</f>
        <v>45717</v>
      </c>
    </row>
    <row r="427" spans="2:26" ht="16" thickBot="1" x14ac:dyDescent="0.25">
      <c r="B427" s="548" t="s">
        <v>25</v>
      </c>
      <c r="C427" s="6"/>
      <c r="D427" s="4"/>
      <c r="E427" s="4"/>
      <c r="F427" s="14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150"/>
      <c r="Y427" s="639"/>
      <c r="Z427" s="196" t="s">
        <v>25</v>
      </c>
    </row>
    <row r="428" spans="2:26" ht="16" thickBot="1" x14ac:dyDescent="0.25">
      <c r="B428" s="208"/>
      <c r="C428" s="6"/>
      <c r="D428" s="4"/>
      <c r="E428" s="4"/>
      <c r="F428" s="14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150"/>
      <c r="Y428" s="639"/>
      <c r="Z428" s="196"/>
    </row>
    <row r="429" spans="2:26" ht="16" thickBot="1" x14ac:dyDescent="0.25">
      <c r="B429" s="208"/>
      <c r="C429" s="6"/>
      <c r="D429" s="4"/>
      <c r="E429" s="4"/>
      <c r="F429" s="14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150"/>
      <c r="Y429" s="639"/>
      <c r="Z429" s="196"/>
    </row>
    <row r="430" spans="2:26" ht="16" thickBot="1" x14ac:dyDescent="0.25">
      <c r="B430" s="208"/>
      <c r="C430" s="6"/>
      <c r="D430" s="4"/>
      <c r="E430" s="4"/>
      <c r="F430" s="14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150"/>
      <c r="Y430" s="639"/>
      <c r="Z430" s="196"/>
    </row>
    <row r="431" spans="2:26" ht="16" thickBot="1" x14ac:dyDescent="0.25">
      <c r="B431" s="199"/>
      <c r="C431" s="7"/>
      <c r="D431" s="143"/>
      <c r="E431" s="14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48"/>
      <c r="U431" s="4"/>
      <c r="V431" s="4"/>
      <c r="W431" s="4"/>
      <c r="X431" s="150"/>
      <c r="Y431" s="10"/>
      <c r="Z431" s="196"/>
    </row>
    <row r="432" spans="2:26" ht="16" thickBot="1" x14ac:dyDescent="0.25">
      <c r="B432" s="198"/>
      <c r="C432" s="137"/>
      <c r="D432" s="9">
        <f>SUM(D426:D431)</f>
        <v>0</v>
      </c>
      <c r="E432" s="9">
        <f>SUM(E426:E431)</f>
        <v>0</v>
      </c>
      <c r="F432" s="245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254"/>
      <c r="R432" s="144"/>
      <c r="S432" s="144"/>
      <c r="T432" s="144"/>
      <c r="U432" s="144"/>
      <c r="V432" s="144"/>
      <c r="W432" s="144"/>
      <c r="X432" s="172"/>
      <c r="Y432" s="11"/>
      <c r="Z432" s="198"/>
    </row>
    <row r="433" spans="2:26" ht="16" thickBot="1" x14ac:dyDescent="0.25">
      <c r="B433" s="196">
        <v>45718</v>
      </c>
      <c r="C433" s="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253"/>
      <c r="R433" s="253"/>
      <c r="S433" s="146"/>
      <c r="T433" s="204"/>
      <c r="U433" s="146"/>
      <c r="V433" s="146"/>
      <c r="W433" s="146"/>
      <c r="X433" s="182"/>
      <c r="Y433" s="1">
        <f>SUM(F433:W436)</f>
        <v>0</v>
      </c>
      <c r="Z433" s="196">
        <f>B433</f>
        <v>45718</v>
      </c>
    </row>
    <row r="434" spans="2:26" ht="16" thickBot="1" x14ac:dyDescent="0.25">
      <c r="B434" s="198" t="s">
        <v>26</v>
      </c>
      <c r="C434" s="5"/>
      <c r="D434" s="4"/>
      <c r="E434" s="4"/>
      <c r="F434" s="4"/>
      <c r="G434" s="15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150"/>
      <c r="Y434" s="12"/>
      <c r="Z434" s="198" t="s">
        <v>26</v>
      </c>
    </row>
    <row r="435" spans="2:26" ht="16" thickBot="1" x14ac:dyDescent="0.25">
      <c r="B435" s="268"/>
      <c r="C435" s="152"/>
      <c r="D435" s="143"/>
      <c r="E435" s="14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150"/>
      <c r="Y435" s="10"/>
      <c r="Z435" s="268"/>
    </row>
    <row r="436" spans="2:26" ht="16" thickBot="1" x14ac:dyDescent="0.25">
      <c r="B436" s="267"/>
      <c r="C436" s="255"/>
      <c r="D436" s="1">
        <f>SUM(D433:D435)</f>
        <v>0</v>
      </c>
      <c r="E436" s="1">
        <f>SUM(E433:E435)</f>
        <v>0</v>
      </c>
      <c r="F436" s="245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72"/>
      <c r="Y436" s="248"/>
      <c r="Z436" s="268"/>
    </row>
    <row r="437" spans="2:26" x14ac:dyDescent="0.2">
      <c r="B437" s="101"/>
      <c r="C437" s="243"/>
      <c r="D437" s="242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8"/>
      <c r="Z437" s="130"/>
    </row>
    <row r="438" spans="2:26" ht="16" thickBot="1" x14ac:dyDescent="0.25">
      <c r="B438" s="101"/>
      <c r="C438" s="243"/>
      <c r="D438" s="189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2"/>
      <c r="Z438" s="128"/>
    </row>
    <row r="439" spans="2:26" ht="16" thickBot="1" x14ac:dyDescent="0.25">
      <c r="B439" s="101"/>
      <c r="C439" s="101"/>
      <c r="D439" s="105">
        <f>SUM(D436,D432,D425,D421,D413,D406,D400)</f>
        <v>0</v>
      </c>
      <c r="E439" s="105">
        <f>SUM(E436,E432,E425,E421,E413,E406,E400)</f>
        <v>0</v>
      </c>
      <c r="F439" s="104">
        <f t="shared" ref="F439:S439" si="8">SUM(F396:F438)</f>
        <v>1500</v>
      </c>
      <c r="G439" s="103">
        <f t="shared" si="8"/>
        <v>4000.17</v>
      </c>
      <c r="H439" s="103">
        <f t="shared" si="8"/>
        <v>0</v>
      </c>
      <c r="I439" s="103">
        <f t="shared" si="8"/>
        <v>10521.58</v>
      </c>
      <c r="J439" s="103">
        <f t="shared" si="8"/>
        <v>0</v>
      </c>
      <c r="K439" s="103">
        <f t="shared" si="8"/>
        <v>575</v>
      </c>
      <c r="L439" s="103">
        <f t="shared" si="8"/>
        <v>34524.15</v>
      </c>
      <c r="M439" s="103">
        <f t="shared" si="8"/>
        <v>0</v>
      </c>
      <c r="N439" s="103">
        <f t="shared" si="8"/>
        <v>2588.9</v>
      </c>
      <c r="O439" s="103">
        <f t="shared" si="8"/>
        <v>14530</v>
      </c>
      <c r="P439" s="103">
        <f t="shared" si="8"/>
        <v>230</v>
      </c>
      <c r="Q439" s="103">
        <f t="shared" si="8"/>
        <v>1279.72</v>
      </c>
      <c r="R439" s="103">
        <f t="shared" si="8"/>
        <v>0</v>
      </c>
      <c r="S439" s="103">
        <f t="shared" si="8"/>
        <v>7157.54</v>
      </c>
      <c r="T439" s="103"/>
      <c r="U439" s="103">
        <f>SUM(U400:U438)</f>
        <v>0</v>
      </c>
      <c r="V439" s="103">
        <f>SUM(V396:V438)</f>
        <v>1200</v>
      </c>
      <c r="W439" s="103">
        <f>SUM(W396:W438)</f>
        <v>7074.16</v>
      </c>
      <c r="X439" s="153"/>
      <c r="Y439" s="155">
        <f>SUM(Y396:Y436)</f>
        <v>85181.22</v>
      </c>
      <c r="Z439" s="129"/>
    </row>
    <row r="440" spans="2:26" ht="27" thickBot="1" x14ac:dyDescent="0.25">
      <c r="B440" s="101"/>
      <c r="C440" s="154" t="s">
        <v>0</v>
      </c>
      <c r="D440" s="154" t="s">
        <v>1</v>
      </c>
      <c r="E440" s="154" t="s">
        <v>2</v>
      </c>
      <c r="F440" s="154" t="s">
        <v>3</v>
      </c>
      <c r="G440" s="154" t="s">
        <v>4</v>
      </c>
      <c r="H440" s="154" t="s">
        <v>5</v>
      </c>
      <c r="I440" s="154" t="s">
        <v>6</v>
      </c>
      <c r="J440" s="154" t="s">
        <v>7</v>
      </c>
      <c r="K440" s="154" t="s">
        <v>8</v>
      </c>
      <c r="L440" s="154" t="s">
        <v>9</v>
      </c>
      <c r="M440" s="154" t="s">
        <v>309</v>
      </c>
      <c r="N440" s="154" t="s">
        <v>11</v>
      </c>
      <c r="O440" s="154" t="s">
        <v>12</v>
      </c>
      <c r="P440" s="154" t="s">
        <v>13</v>
      </c>
      <c r="Q440" s="154" t="s">
        <v>14</v>
      </c>
      <c r="R440" s="154" t="s">
        <v>15</v>
      </c>
      <c r="S440" s="154" t="s">
        <v>311</v>
      </c>
      <c r="T440" s="154" t="s">
        <v>16</v>
      </c>
      <c r="U440" s="154" t="s">
        <v>403</v>
      </c>
      <c r="V440" s="154" t="s">
        <v>17</v>
      </c>
      <c r="W440" s="154" t="s">
        <v>18</v>
      </c>
      <c r="X440" s="154"/>
      <c r="Y440" s="154" t="s">
        <v>19</v>
      </c>
      <c r="Z440" s="126"/>
    </row>
    <row r="441" spans="2:26" ht="16" thickBot="1" x14ac:dyDescent="0.25">
      <c r="B441" s="101"/>
      <c r="C441" s="101"/>
      <c r="D441" s="101"/>
      <c r="E441" s="727" t="str">
        <f>M441</f>
        <v>24 FEBRUARY - 2 MARCH 2025</v>
      </c>
      <c r="F441" s="719"/>
      <c r="G441" s="719"/>
      <c r="H441" s="720"/>
      <c r="I441" s="101"/>
      <c r="J441" s="101"/>
      <c r="K441" s="101"/>
      <c r="L441" s="101"/>
      <c r="M441" s="727" t="str">
        <f>V441</f>
        <v>24 FEBRUARY - 2 MARCH 2025</v>
      </c>
      <c r="N441" s="719"/>
      <c r="O441" s="719"/>
      <c r="P441" s="720"/>
      <c r="Q441" s="101"/>
      <c r="R441" s="101"/>
      <c r="S441" s="101"/>
      <c r="T441" s="101"/>
      <c r="U441" s="101"/>
      <c r="V441" s="727" t="str">
        <f>V394</f>
        <v>24 FEBRUARY - 2 MARCH 2025</v>
      </c>
      <c r="W441" s="719"/>
      <c r="X441" s="719"/>
      <c r="Y441" s="720"/>
      <c r="Z441" s="101"/>
    </row>
    <row r="442" spans="2:26" ht="16" thickBot="1" x14ac:dyDescent="0.25"/>
    <row r="443" spans="2:26" ht="16" thickBot="1" x14ac:dyDescent="0.25">
      <c r="E443" s="718" t="s">
        <v>794</v>
      </c>
      <c r="F443" s="719"/>
      <c r="G443" s="719"/>
      <c r="H443" s="720"/>
      <c r="K443" s="106"/>
      <c r="L443" s="106"/>
      <c r="M443" s="721" t="str">
        <f>E443</f>
        <v>3 - 9 MARCH 2025</v>
      </c>
      <c r="N443" s="722"/>
      <c r="O443" s="722"/>
      <c r="P443" s="723"/>
      <c r="Q443" s="106"/>
      <c r="R443" s="106"/>
      <c r="S443" s="106"/>
      <c r="T443" s="106"/>
      <c r="U443" s="106"/>
      <c r="V443" s="724" t="str">
        <f>M443</f>
        <v>3 - 9 MARCH 2025</v>
      </c>
      <c r="W443" s="725"/>
      <c r="X443" s="725"/>
      <c r="Y443" s="726"/>
      <c r="Z443" s="106"/>
    </row>
    <row r="444" spans="2:26" ht="27" thickBot="1" x14ac:dyDescent="0.25">
      <c r="C444" s="126" t="s">
        <v>0</v>
      </c>
      <c r="D444" s="135" t="s">
        <v>1</v>
      </c>
      <c r="E444" s="258" t="s">
        <v>2</v>
      </c>
      <c r="F444" s="259" t="s">
        <v>3</v>
      </c>
      <c r="G444" s="260" t="s">
        <v>4</v>
      </c>
      <c r="H444" s="261" t="s">
        <v>5</v>
      </c>
      <c r="I444" s="262" t="s">
        <v>6</v>
      </c>
      <c r="J444" s="262" t="s">
        <v>7</v>
      </c>
      <c r="K444" s="262" t="s">
        <v>8</v>
      </c>
      <c r="L444" s="262" t="s">
        <v>9</v>
      </c>
      <c r="M444" s="262" t="s">
        <v>10</v>
      </c>
      <c r="N444" s="262" t="s">
        <v>11</v>
      </c>
      <c r="O444" s="262" t="s">
        <v>12</v>
      </c>
      <c r="P444" s="262" t="s">
        <v>13</v>
      </c>
      <c r="Q444" s="262" t="s">
        <v>14</v>
      </c>
      <c r="R444" s="262" t="s">
        <v>15</v>
      </c>
      <c r="S444" s="262" t="s">
        <v>311</v>
      </c>
      <c r="T444" s="262" t="s">
        <v>16</v>
      </c>
      <c r="U444" s="154" t="s">
        <v>403</v>
      </c>
      <c r="V444" s="263" t="s">
        <v>17</v>
      </c>
      <c r="W444" s="263" t="s">
        <v>18</v>
      </c>
      <c r="X444" s="264"/>
      <c r="Y444" s="265" t="s">
        <v>19</v>
      </c>
      <c r="Z444" s="266"/>
    </row>
    <row r="445" spans="2:26" ht="16" thickBot="1" x14ac:dyDescent="0.25">
      <c r="B445" s="196">
        <v>45719</v>
      </c>
      <c r="C445" s="136"/>
      <c r="D445" s="139"/>
      <c r="E445" s="139"/>
      <c r="F445" s="139"/>
      <c r="G445" s="139">
        <v>800</v>
      </c>
      <c r="H445" s="139"/>
      <c r="I445" s="139"/>
      <c r="J445" s="139"/>
      <c r="K445" s="139"/>
      <c r="L445" s="139">
        <v>6507.63</v>
      </c>
      <c r="M445" s="139"/>
      <c r="N445" s="139"/>
      <c r="O445" s="139"/>
      <c r="P445" s="139"/>
      <c r="Q445" s="139"/>
      <c r="R445" s="139"/>
      <c r="S445" s="139"/>
      <c r="T445" s="140"/>
      <c r="U445" s="139"/>
      <c r="V445" s="139"/>
      <c r="W445" s="139">
        <f>154+39.99</f>
        <v>193.99</v>
      </c>
      <c r="X445" s="141" t="s">
        <v>297</v>
      </c>
      <c r="Y445" s="239">
        <f>SUM(F445:X449)</f>
        <v>7862.62</v>
      </c>
      <c r="Z445" s="269">
        <f>B445</f>
        <v>45719</v>
      </c>
    </row>
    <row r="446" spans="2:26" ht="16" thickBot="1" x14ac:dyDescent="0.25">
      <c r="B446" s="196" t="s">
        <v>20</v>
      </c>
      <c r="C446" s="203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204"/>
      <c r="U446" s="146"/>
      <c r="V446" s="146"/>
      <c r="W446" s="146">
        <v>101</v>
      </c>
      <c r="X446" s="182" t="s">
        <v>795</v>
      </c>
      <c r="Y446" s="191"/>
      <c r="Z446" s="196" t="s">
        <v>20</v>
      </c>
    </row>
    <row r="447" spans="2:26" ht="16" thickBot="1" x14ac:dyDescent="0.25">
      <c r="B447" s="196"/>
      <c r="C447" s="203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204"/>
      <c r="U447" s="146"/>
      <c r="V447" s="146"/>
      <c r="W447" s="146">
        <v>260</v>
      </c>
      <c r="X447" s="182" t="s">
        <v>396</v>
      </c>
      <c r="Y447" s="191"/>
      <c r="Z447" s="196"/>
    </row>
    <row r="448" spans="2:26" ht="16" thickBot="1" x14ac:dyDescent="0.25">
      <c r="B448" s="206"/>
      <c r="C448" s="632"/>
      <c r="D448" s="4"/>
      <c r="E448" s="4"/>
      <c r="F448" s="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633"/>
      <c r="U448" s="8"/>
      <c r="V448" s="8"/>
      <c r="W448" s="8"/>
      <c r="X448" s="634"/>
      <c r="Y448" s="635"/>
      <c r="Z448" s="196"/>
    </row>
    <row r="449" spans="2:26" ht="16" thickBot="1" x14ac:dyDescent="0.25">
      <c r="B449" s="197"/>
      <c r="C449" s="137"/>
      <c r="D449" s="171">
        <f>SUM(D445:D447)</f>
        <v>0</v>
      </c>
      <c r="E449" s="658">
        <f>SUM(E445:E447)</f>
        <v>0</v>
      </c>
      <c r="F449" s="659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5"/>
      <c r="Y449" s="138"/>
      <c r="Z449" s="198"/>
    </row>
    <row r="450" spans="2:26" ht="16" thickBot="1" x14ac:dyDescent="0.25">
      <c r="B450" s="196">
        <v>45720</v>
      </c>
      <c r="C450" s="6"/>
      <c r="D450" s="146"/>
      <c r="E450" s="146"/>
      <c r="F450" s="139"/>
      <c r="G450" s="139">
        <f>1090.25+81+81</f>
        <v>1252.25</v>
      </c>
      <c r="H450" s="139"/>
      <c r="I450" s="139">
        <v>5681</v>
      </c>
      <c r="J450" s="574"/>
      <c r="K450" s="139"/>
      <c r="L450" s="139">
        <v>7318.55</v>
      </c>
      <c r="M450" s="139"/>
      <c r="N450" s="139"/>
      <c r="O450" s="139"/>
      <c r="P450" s="139"/>
      <c r="Q450" s="139">
        <v>319.92</v>
      </c>
      <c r="R450" s="139"/>
      <c r="S450" s="139"/>
      <c r="T450" s="140"/>
      <c r="U450" s="139"/>
      <c r="V450" s="139"/>
      <c r="W450" s="139">
        <v>85</v>
      </c>
      <c r="X450" s="575" t="s">
        <v>802</v>
      </c>
      <c r="Y450" s="238">
        <f>SUM(F450:W455)</f>
        <v>15362.72</v>
      </c>
      <c r="Z450" s="196">
        <f>B450</f>
        <v>45720</v>
      </c>
    </row>
    <row r="451" spans="2:26" ht="16" thickBot="1" x14ac:dyDescent="0.25">
      <c r="B451" s="196" t="s">
        <v>21</v>
      </c>
      <c r="C451" s="6"/>
      <c r="D451" s="146"/>
      <c r="E451" s="146"/>
      <c r="F451" s="4"/>
      <c r="G451" s="4"/>
      <c r="H451" s="4"/>
      <c r="I451" s="4"/>
      <c r="J451" s="149"/>
      <c r="K451" s="4"/>
      <c r="L451" s="4"/>
      <c r="M451" s="4"/>
      <c r="N451" s="4"/>
      <c r="O451" s="4"/>
      <c r="P451" s="4"/>
      <c r="Q451" s="4"/>
      <c r="R451" s="4"/>
      <c r="S451" s="4"/>
      <c r="T451" s="148"/>
      <c r="U451" s="4"/>
      <c r="V451" s="4"/>
      <c r="W451" s="4">
        <v>133</v>
      </c>
      <c r="X451" s="142" t="s">
        <v>377</v>
      </c>
      <c r="Y451" s="191"/>
      <c r="Z451" s="196" t="s">
        <v>21</v>
      </c>
    </row>
    <row r="452" spans="2:26" ht="16" thickBot="1" x14ac:dyDescent="0.25">
      <c r="B452" s="196"/>
      <c r="C452" s="6"/>
      <c r="D452" s="4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78"/>
      <c r="U452" s="12"/>
      <c r="V452" s="12"/>
      <c r="W452" s="146">
        <v>573</v>
      </c>
      <c r="X452" s="147" t="s">
        <v>637</v>
      </c>
      <c r="Y452" s="191"/>
      <c r="Z452" s="196"/>
    </row>
    <row r="453" spans="2:26" ht="16" thickBot="1" x14ac:dyDescent="0.25">
      <c r="B453" s="662"/>
      <c r="C453" s="57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79"/>
      <c r="U453" s="4"/>
      <c r="V453" s="4"/>
      <c r="W453" s="4"/>
      <c r="X453" s="142"/>
      <c r="Y453" s="643"/>
      <c r="Z453" s="196"/>
    </row>
    <row r="454" spans="2:26" ht="16" thickBot="1" x14ac:dyDescent="0.25">
      <c r="B454" s="662"/>
      <c r="C454" s="57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79"/>
      <c r="U454" s="4"/>
      <c r="V454" s="4"/>
      <c r="W454" s="4"/>
      <c r="X454" s="142"/>
      <c r="Y454" s="643"/>
      <c r="Z454" s="196"/>
    </row>
    <row r="455" spans="2:26" ht="16" thickBot="1" x14ac:dyDescent="0.25">
      <c r="B455" s="476"/>
      <c r="C455" s="663"/>
      <c r="D455" s="664">
        <f>SUM(D450:D452)</f>
        <v>0</v>
      </c>
      <c r="E455" s="664">
        <f>SUM(E450:E452)</f>
        <v>0</v>
      </c>
      <c r="F455" s="66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642"/>
      <c r="U455" s="642"/>
      <c r="V455" s="642"/>
      <c r="W455" s="8"/>
      <c r="X455" s="666"/>
      <c r="Y455" s="571"/>
      <c r="Z455" s="198"/>
    </row>
    <row r="456" spans="2:26" ht="16" thickBot="1" x14ac:dyDescent="0.25">
      <c r="B456" s="570">
        <v>45721</v>
      </c>
      <c r="C456" s="573"/>
      <c r="D456" s="139"/>
      <c r="E456" s="139"/>
      <c r="F456" s="4"/>
      <c r="G456" s="4">
        <v>800</v>
      </c>
      <c r="H456" s="4"/>
      <c r="I456" s="68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48"/>
      <c r="U456" s="4"/>
      <c r="V456" s="4"/>
      <c r="W456" s="4"/>
      <c r="X456" s="689"/>
      <c r="Y456" s="576">
        <f>SUM(F456:X462)</f>
        <v>800</v>
      </c>
      <c r="Z456" s="464">
        <f>B456</f>
        <v>45721</v>
      </c>
    </row>
    <row r="457" spans="2:26" ht="16" thickBot="1" x14ac:dyDescent="0.25">
      <c r="B457" s="570" t="s">
        <v>22</v>
      </c>
      <c r="C457" s="572"/>
      <c r="D457" s="4"/>
      <c r="E457" s="4"/>
      <c r="F457" s="4"/>
      <c r="G457" s="4"/>
      <c r="H457" s="4"/>
      <c r="I457" s="4"/>
      <c r="J457" s="149"/>
      <c r="K457" s="4"/>
      <c r="L457" s="4"/>
      <c r="M457" s="4"/>
      <c r="N457" s="4"/>
      <c r="O457" s="4"/>
      <c r="P457" s="4"/>
      <c r="Q457" s="4"/>
      <c r="R457" s="4"/>
      <c r="S457" s="4"/>
      <c r="T457" s="148"/>
      <c r="U457" s="4"/>
      <c r="V457" s="4"/>
      <c r="W457" s="4"/>
      <c r="X457" s="142"/>
      <c r="Y457" s="638"/>
      <c r="Z457" s="464"/>
    </row>
    <row r="458" spans="2:26" ht="16" thickBot="1" x14ac:dyDescent="0.25">
      <c r="B458" s="570"/>
      <c r="C458" s="572"/>
      <c r="D458" s="4"/>
      <c r="E458" s="4"/>
      <c r="F458" s="4"/>
      <c r="G458" s="4"/>
      <c r="H458" s="4"/>
      <c r="I458" s="4"/>
      <c r="J458" s="149"/>
      <c r="K458" s="4"/>
      <c r="L458" s="4"/>
      <c r="M458" s="4"/>
      <c r="N458" s="4"/>
      <c r="O458" s="4"/>
      <c r="P458" s="4"/>
      <c r="Q458" s="4"/>
      <c r="R458" s="4"/>
      <c r="S458" s="4"/>
      <c r="T458" s="148"/>
      <c r="U458" s="4"/>
      <c r="V458" s="4"/>
      <c r="W458" s="4"/>
      <c r="X458" s="142"/>
      <c r="Y458" s="638"/>
      <c r="Z458" s="464"/>
    </row>
    <row r="459" spans="2:26" ht="16" thickBot="1" x14ac:dyDescent="0.25">
      <c r="B459" s="570"/>
      <c r="C459" s="572"/>
      <c r="D459" s="4"/>
      <c r="E459" s="4"/>
      <c r="F459" s="4"/>
      <c r="G459" s="4"/>
      <c r="H459" s="4"/>
      <c r="I459" s="4"/>
      <c r="J459" s="149"/>
      <c r="K459" s="4"/>
      <c r="L459" s="4"/>
      <c r="M459" s="4"/>
      <c r="N459" s="4"/>
      <c r="O459" s="4"/>
      <c r="P459" s="4"/>
      <c r="Q459" s="4"/>
      <c r="R459" s="4"/>
      <c r="S459" s="4"/>
      <c r="T459" s="148"/>
      <c r="U459" s="4"/>
      <c r="V459" s="4"/>
      <c r="W459" s="4"/>
      <c r="X459" s="142"/>
      <c r="Y459" s="638"/>
      <c r="Z459" s="464"/>
    </row>
    <row r="460" spans="2:26" ht="16" thickBot="1" x14ac:dyDescent="0.25">
      <c r="B460" s="570"/>
      <c r="C460" s="572"/>
      <c r="D460" s="4"/>
      <c r="E460" s="4"/>
      <c r="F460" s="4"/>
      <c r="G460" s="4"/>
      <c r="H460" s="4"/>
      <c r="I460" s="4"/>
      <c r="J460" s="149"/>
      <c r="K460" s="4"/>
      <c r="L460" s="4"/>
      <c r="M460" s="4"/>
      <c r="N460" s="4"/>
      <c r="O460" s="4"/>
      <c r="P460" s="4"/>
      <c r="Q460" s="4"/>
      <c r="R460" s="4"/>
      <c r="S460" s="4"/>
      <c r="T460" s="148"/>
      <c r="U460" s="4"/>
      <c r="V460" s="4"/>
      <c r="W460" s="4"/>
      <c r="X460" s="142"/>
      <c r="Y460" s="638"/>
      <c r="Z460" s="464"/>
    </row>
    <row r="461" spans="2:26" ht="16" thickBot="1" x14ac:dyDescent="0.25">
      <c r="B461" s="570"/>
      <c r="C461" s="572"/>
      <c r="D461" s="4"/>
      <c r="E461" s="4"/>
      <c r="F461" s="4"/>
      <c r="G461" s="4"/>
      <c r="H461" s="4"/>
      <c r="I461" s="4"/>
      <c r="J461" s="149"/>
      <c r="K461" s="4"/>
      <c r="L461" s="4"/>
      <c r="M461" s="4"/>
      <c r="N461" s="4"/>
      <c r="O461" s="4"/>
      <c r="P461" s="4"/>
      <c r="Q461" s="4"/>
      <c r="R461" s="4"/>
      <c r="S461" s="4"/>
      <c r="T461" s="148"/>
      <c r="U461" s="4"/>
      <c r="V461" s="4"/>
      <c r="W461" s="4"/>
      <c r="X461" s="142"/>
      <c r="Y461" s="638"/>
      <c r="Z461" s="464"/>
    </row>
    <row r="462" spans="2:26" ht="16" thickBot="1" x14ac:dyDescent="0.25">
      <c r="B462" s="197"/>
      <c r="C462" s="257"/>
      <c r="D462" s="171">
        <f>SUM(D456:D461)</f>
        <v>0</v>
      </c>
      <c r="E462" s="171">
        <f>SUM(E456:E461)</f>
        <v>0</v>
      </c>
      <c r="F462" s="245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72"/>
      <c r="Y462" s="241"/>
      <c r="Z462" s="465"/>
    </row>
    <row r="463" spans="2:26" ht="16" thickBot="1" x14ac:dyDescent="0.25">
      <c r="B463" s="196">
        <v>45722</v>
      </c>
      <c r="C463" s="207"/>
      <c r="D463" s="8"/>
      <c r="E463" s="146"/>
      <c r="F463" s="146"/>
      <c r="G463" s="146">
        <v>800</v>
      </c>
      <c r="H463" s="146"/>
      <c r="I463" s="246">
        <v>4358.5</v>
      </c>
      <c r="J463" s="146"/>
      <c r="K463" s="146"/>
      <c r="L463" s="146">
        <v>7386.52</v>
      </c>
      <c r="M463" s="146"/>
      <c r="N463" s="146"/>
      <c r="O463" s="146"/>
      <c r="P463" s="146"/>
      <c r="Q463" s="8">
        <v>319.92</v>
      </c>
      <c r="R463" s="8"/>
      <c r="S463" s="146"/>
      <c r="T463" s="204"/>
      <c r="U463" s="146"/>
      <c r="V463" s="146"/>
      <c r="W463" s="146">
        <v>379.25</v>
      </c>
      <c r="X463" s="247" t="s">
        <v>411</v>
      </c>
      <c r="Y463" s="171">
        <f>SUM(F463:W470)</f>
        <v>13244.19</v>
      </c>
      <c r="Z463" s="196">
        <f>B463</f>
        <v>45722</v>
      </c>
    </row>
    <row r="464" spans="2:26" ht="16" thickBot="1" x14ac:dyDescent="0.25">
      <c r="B464" s="196" t="s">
        <v>23</v>
      </c>
      <c r="C464" s="7"/>
      <c r="D464" s="4"/>
      <c r="E464" s="146"/>
      <c r="F464" s="146"/>
      <c r="G464" s="146"/>
      <c r="H464" s="146"/>
      <c r="I464" s="463"/>
      <c r="J464" s="146"/>
      <c r="K464" s="146"/>
      <c r="L464" s="146"/>
      <c r="M464" s="146"/>
      <c r="N464" s="146"/>
      <c r="O464" s="146"/>
      <c r="P464" s="146"/>
      <c r="Q464" s="4"/>
      <c r="R464" s="4"/>
      <c r="S464" s="146"/>
      <c r="T464" s="204"/>
      <c r="U464" s="146"/>
      <c r="V464" s="146"/>
      <c r="W464" s="146"/>
      <c r="X464" s="247"/>
      <c r="Y464" s="240"/>
      <c r="Z464" s="196"/>
    </row>
    <row r="465" spans="2:26" ht="16" thickBot="1" x14ac:dyDescent="0.25">
      <c r="B465" s="196"/>
      <c r="C465" s="7"/>
      <c r="D465" s="4"/>
      <c r="E465" s="146"/>
      <c r="F465" s="146"/>
      <c r="G465" s="146"/>
      <c r="H465" s="146"/>
      <c r="I465" s="463"/>
      <c r="J465" s="146"/>
      <c r="K465" s="146"/>
      <c r="L465" s="146"/>
      <c r="M465" s="146"/>
      <c r="N465" s="146"/>
      <c r="O465" s="146"/>
      <c r="P465" s="146"/>
      <c r="Q465" s="4"/>
      <c r="R465" s="4"/>
      <c r="S465" s="146"/>
      <c r="T465" s="204"/>
      <c r="U465" s="146"/>
      <c r="V465" s="146"/>
      <c r="W465" s="146"/>
      <c r="X465" s="247"/>
      <c r="Y465" s="4"/>
      <c r="Z465" s="464"/>
    </row>
    <row r="466" spans="2:26" ht="16" thickBot="1" x14ac:dyDescent="0.25">
      <c r="B466" s="196"/>
      <c r="C466" s="7"/>
      <c r="D466" s="4"/>
      <c r="E466" s="146"/>
      <c r="F466" s="146"/>
      <c r="G466" s="146"/>
      <c r="H466" s="146"/>
      <c r="I466" s="463"/>
      <c r="J466" s="146"/>
      <c r="K466" s="146"/>
      <c r="L466" s="146"/>
      <c r="M466" s="146"/>
      <c r="N466" s="146"/>
      <c r="O466" s="146"/>
      <c r="P466" s="146"/>
      <c r="Q466" s="4"/>
      <c r="R466" s="4"/>
      <c r="S466" s="146"/>
      <c r="T466" s="204"/>
      <c r="U466" s="146"/>
      <c r="V466" s="146"/>
      <c r="W466" s="146"/>
      <c r="X466" s="247"/>
      <c r="Y466" s="4"/>
      <c r="Z466" s="464"/>
    </row>
    <row r="467" spans="2:26" ht="16" thickBot="1" x14ac:dyDescent="0.25">
      <c r="B467" s="198"/>
      <c r="C467" s="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150"/>
      <c r="Y467" s="4"/>
      <c r="Z467" s="465" t="s">
        <v>23</v>
      </c>
    </row>
    <row r="468" spans="2:26" ht="16" thickBot="1" x14ac:dyDescent="0.25">
      <c r="B468" s="476"/>
      <c r="C468" s="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150"/>
      <c r="Y468" s="10"/>
      <c r="Z468" s="465"/>
    </row>
    <row r="469" spans="2:26" ht="16" thickBot="1" x14ac:dyDescent="0.25">
      <c r="B469" s="476"/>
      <c r="C469" s="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150"/>
      <c r="Y469" s="10"/>
      <c r="Z469" s="465"/>
    </row>
    <row r="470" spans="2:26" ht="16" thickBot="1" x14ac:dyDescent="0.25">
      <c r="B470" s="197"/>
      <c r="C470" s="249"/>
      <c r="D470" s="171">
        <f>SUM(D463:D469)</f>
        <v>0</v>
      </c>
      <c r="E470" s="171">
        <f>SUM(E463:E469)</f>
        <v>0</v>
      </c>
      <c r="F470" s="252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250"/>
      <c r="Y470" s="251"/>
      <c r="Z470" s="198"/>
    </row>
    <row r="471" spans="2:26" ht="16" thickBot="1" x14ac:dyDescent="0.25">
      <c r="B471" s="556">
        <v>45723</v>
      </c>
      <c r="C471" s="557"/>
      <c r="D471" s="558"/>
      <c r="E471" s="558"/>
      <c r="F471" s="146"/>
      <c r="G471" s="146">
        <v>800.08</v>
      </c>
      <c r="H471" s="146"/>
      <c r="I471" s="246"/>
      <c r="J471" s="146"/>
      <c r="K471" s="146"/>
      <c r="L471" s="146"/>
      <c r="M471" s="146"/>
      <c r="N471" s="146"/>
      <c r="O471" s="146">
        <v>18610</v>
      </c>
      <c r="P471" s="146"/>
      <c r="Q471" s="8"/>
      <c r="R471" s="8"/>
      <c r="S471" s="146"/>
      <c r="T471" s="204"/>
      <c r="U471" s="146"/>
      <c r="V471" s="146"/>
      <c r="W471" s="146">
        <v>76</v>
      </c>
      <c r="X471" s="247" t="s">
        <v>710</v>
      </c>
      <c r="Y471" s="559">
        <f>SUM(F471:W475)</f>
        <v>20437.03</v>
      </c>
      <c r="Z471" s="560">
        <f>B471</f>
        <v>45723</v>
      </c>
    </row>
    <row r="472" spans="2:26" ht="16" thickBot="1" x14ac:dyDescent="0.25">
      <c r="B472" s="206" t="s">
        <v>24</v>
      </c>
      <c r="C472" s="6"/>
      <c r="D472" s="146"/>
      <c r="E472" s="146"/>
      <c r="F472" s="14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>
        <v>165.98</v>
      </c>
      <c r="X472" s="150" t="s">
        <v>411</v>
      </c>
      <c r="Y472" s="639"/>
      <c r="Z472" s="196"/>
    </row>
    <row r="473" spans="2:26" ht="16" thickBot="1" x14ac:dyDescent="0.25">
      <c r="B473" s="206"/>
      <c r="C473" s="6"/>
      <c r="D473" s="146"/>
      <c r="E473" s="146"/>
      <c r="F473" s="146"/>
      <c r="G473" s="146"/>
      <c r="H473" s="146"/>
      <c r="I473" s="639"/>
      <c r="J473" s="146"/>
      <c r="K473" s="146"/>
      <c r="L473" s="146"/>
      <c r="M473" s="146"/>
      <c r="N473" s="146"/>
      <c r="O473" s="146"/>
      <c r="P473" s="146"/>
      <c r="Q473" s="8"/>
      <c r="R473" s="8"/>
      <c r="S473" s="146"/>
      <c r="T473" s="146"/>
      <c r="U473" s="146"/>
      <c r="V473" s="146"/>
      <c r="W473" s="146">
        <v>344.1</v>
      </c>
      <c r="X473" s="709" t="s">
        <v>637</v>
      </c>
      <c r="Y473" s="639"/>
      <c r="Z473" s="196"/>
    </row>
    <row r="474" spans="2:26" ht="16" thickBot="1" x14ac:dyDescent="0.25">
      <c r="B474" s="206"/>
      <c r="C474" s="6"/>
      <c r="D474" s="146"/>
      <c r="E474" s="146"/>
      <c r="F474" s="146"/>
      <c r="G474" s="146"/>
      <c r="H474" s="146"/>
      <c r="I474" s="246"/>
      <c r="J474" s="146"/>
      <c r="K474" s="146"/>
      <c r="L474" s="146"/>
      <c r="M474" s="146"/>
      <c r="N474" s="146"/>
      <c r="O474" s="146"/>
      <c r="P474" s="146"/>
      <c r="Q474" s="8"/>
      <c r="R474" s="8"/>
      <c r="S474" s="146"/>
      <c r="T474" s="204"/>
      <c r="U474" s="146"/>
      <c r="V474" s="146"/>
      <c r="W474" s="146">
        <v>200.87</v>
      </c>
      <c r="X474" s="247" t="s">
        <v>820</v>
      </c>
      <c r="Y474" s="639"/>
      <c r="Z474" s="196"/>
    </row>
    <row r="475" spans="2:26" ht="16" thickBot="1" x14ac:dyDescent="0.25">
      <c r="B475" s="197"/>
      <c r="C475" s="137"/>
      <c r="D475" s="1">
        <f>SUM(D471:D474)</f>
        <v>0</v>
      </c>
      <c r="E475" s="1">
        <f>SUM(E471:E474)</f>
        <v>0</v>
      </c>
      <c r="F475" s="2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>
        <v>240</v>
      </c>
      <c r="X475" s="250" t="s">
        <v>396</v>
      </c>
      <c r="Y475" s="251"/>
      <c r="Z475" s="198"/>
    </row>
    <row r="476" spans="2:26" ht="16" thickBot="1" x14ac:dyDescent="0.25">
      <c r="B476" s="127">
        <v>45724</v>
      </c>
      <c r="C476" s="6"/>
      <c r="D476" s="146"/>
      <c r="E476" s="146"/>
      <c r="F476" s="146"/>
      <c r="G476" s="146">
        <v>700</v>
      </c>
      <c r="H476" s="146"/>
      <c r="I476" s="246"/>
      <c r="J476" s="146"/>
      <c r="K476" s="146"/>
      <c r="L476" s="146">
        <v>3311.83</v>
      </c>
      <c r="M476" s="146"/>
      <c r="N476" s="146">
        <v>3258.8</v>
      </c>
      <c r="O476" s="146"/>
      <c r="P476" s="146"/>
      <c r="Q476" s="8">
        <v>163.96</v>
      </c>
      <c r="R476" s="8"/>
      <c r="S476" s="146"/>
      <c r="T476" s="204"/>
      <c r="U476" s="146"/>
      <c r="V476" s="146"/>
      <c r="W476" s="146"/>
      <c r="X476" s="247"/>
      <c r="Y476" s="171">
        <f>SUM(F476:W482)</f>
        <v>7434.59</v>
      </c>
      <c r="Z476" s="196">
        <f>B476</f>
        <v>45724</v>
      </c>
    </row>
    <row r="477" spans="2:26" ht="16" thickBot="1" x14ac:dyDescent="0.25">
      <c r="B477" s="548" t="s">
        <v>25</v>
      </c>
      <c r="C477" s="6"/>
      <c r="D477" s="4"/>
      <c r="E477" s="4"/>
      <c r="F477" s="14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150"/>
      <c r="Y477" s="639"/>
      <c r="Z477" s="196" t="s">
        <v>25</v>
      </c>
    </row>
    <row r="478" spans="2:26" ht="16" thickBot="1" x14ac:dyDescent="0.25">
      <c r="B478" s="208"/>
      <c r="C478" s="6"/>
      <c r="D478" s="4"/>
      <c r="E478" s="4"/>
      <c r="F478" s="14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150"/>
      <c r="Y478" s="639"/>
      <c r="Z478" s="196"/>
    </row>
    <row r="479" spans="2:26" ht="16" thickBot="1" x14ac:dyDescent="0.25">
      <c r="B479" s="208"/>
      <c r="C479" s="6"/>
      <c r="D479" s="4"/>
      <c r="E479" s="4"/>
      <c r="F479" s="14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150"/>
      <c r="Y479" s="639"/>
      <c r="Z479" s="196"/>
    </row>
    <row r="480" spans="2:26" ht="16" thickBot="1" x14ac:dyDescent="0.25">
      <c r="B480" s="208"/>
      <c r="C480" s="6"/>
      <c r="D480" s="4"/>
      <c r="E480" s="4"/>
      <c r="F480" s="14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150"/>
      <c r="Y480" s="639"/>
      <c r="Z480" s="196"/>
    </row>
    <row r="481" spans="2:26" ht="16" thickBot="1" x14ac:dyDescent="0.25">
      <c r="B481" s="199"/>
      <c r="C481" s="7"/>
      <c r="D481" s="143"/>
      <c r="E481" s="14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48"/>
      <c r="U481" s="4"/>
      <c r="V481" s="4"/>
      <c r="W481" s="4"/>
      <c r="X481" s="150"/>
      <c r="Y481" s="10"/>
      <c r="Z481" s="196"/>
    </row>
    <row r="482" spans="2:26" ht="16" thickBot="1" x14ac:dyDescent="0.25">
      <c r="B482" s="198"/>
      <c r="C482" s="137"/>
      <c r="D482" s="9">
        <f>SUM(D476:D481)</f>
        <v>0</v>
      </c>
      <c r="E482" s="9">
        <f>SUM(E476:E481)</f>
        <v>0</v>
      </c>
      <c r="F482" s="245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254"/>
      <c r="R482" s="144"/>
      <c r="S482" s="144"/>
      <c r="T482" s="144"/>
      <c r="U482" s="144"/>
      <c r="V482" s="144"/>
      <c r="W482" s="144"/>
      <c r="X482" s="172"/>
      <c r="Y482" s="11"/>
      <c r="Z482" s="198"/>
    </row>
    <row r="483" spans="2:26" ht="16" thickBot="1" x14ac:dyDescent="0.25">
      <c r="B483" s="196">
        <v>45725</v>
      </c>
      <c r="C483" s="6"/>
      <c r="D483" s="146"/>
      <c r="E483" s="146"/>
      <c r="F483" s="146"/>
      <c r="G483" s="146">
        <v>800</v>
      </c>
      <c r="H483" s="146"/>
      <c r="I483" s="146"/>
      <c r="J483" s="146"/>
      <c r="K483" s="146"/>
      <c r="L483" s="146">
        <v>8701.5300000000007</v>
      </c>
      <c r="M483" s="146"/>
      <c r="N483" s="146"/>
      <c r="O483" s="146"/>
      <c r="P483" s="146"/>
      <c r="Q483" s="253">
        <v>319.92</v>
      </c>
      <c r="R483" s="253"/>
      <c r="S483" s="146"/>
      <c r="T483" s="204"/>
      <c r="U483" s="146"/>
      <c r="V483" s="146"/>
      <c r="W483" s="146">
        <f>302.3+768.4</f>
        <v>1070.7</v>
      </c>
      <c r="X483" s="182" t="s">
        <v>279</v>
      </c>
      <c r="Y483" s="1">
        <f>SUM(F483:W486)</f>
        <v>10892.150000000001</v>
      </c>
      <c r="Z483" s="196">
        <f>B483</f>
        <v>45725</v>
      </c>
    </row>
    <row r="484" spans="2:26" ht="16" thickBot="1" x14ac:dyDescent="0.25">
      <c r="B484" s="198" t="s">
        <v>26</v>
      </c>
      <c r="C484" s="5"/>
      <c r="D484" s="4"/>
      <c r="E484" s="4"/>
      <c r="F484" s="4"/>
      <c r="G484" s="15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150"/>
      <c r="Y484" s="12"/>
      <c r="Z484" s="198" t="s">
        <v>26</v>
      </c>
    </row>
    <row r="485" spans="2:26" ht="16" thickBot="1" x14ac:dyDescent="0.25">
      <c r="B485" s="268"/>
      <c r="C485" s="152"/>
      <c r="D485" s="143"/>
      <c r="E485" s="14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150"/>
      <c r="Y485" s="10"/>
      <c r="Z485" s="268"/>
    </row>
    <row r="486" spans="2:26" ht="16" thickBot="1" x14ac:dyDescent="0.25">
      <c r="B486" s="267"/>
      <c r="C486" s="255"/>
      <c r="D486" s="1">
        <f>SUM(D483:D485)</f>
        <v>0</v>
      </c>
      <c r="E486" s="1">
        <f>SUM(E483:E485)</f>
        <v>0</v>
      </c>
      <c r="F486" s="245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72"/>
      <c r="Y486" s="248"/>
      <c r="Z486" s="268"/>
    </row>
    <row r="487" spans="2:26" x14ac:dyDescent="0.2">
      <c r="B487" s="101"/>
      <c r="C487" s="243"/>
      <c r="D487" s="242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8"/>
      <c r="Z487" s="130"/>
    </row>
    <row r="488" spans="2:26" ht="16" thickBot="1" x14ac:dyDescent="0.25">
      <c r="B488" s="101"/>
      <c r="C488" s="243"/>
      <c r="D488" s="189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2"/>
      <c r="Z488" s="128"/>
    </row>
    <row r="489" spans="2:26" ht="16" thickBot="1" x14ac:dyDescent="0.25">
      <c r="B489" s="101"/>
      <c r="C489" s="101"/>
      <c r="D489" s="105">
        <f>SUM(D486,D482,D475,D470,D462,D455,D449)</f>
        <v>0</v>
      </c>
      <c r="E489" s="105">
        <f>SUM(E486,E482,E475,E470,E462,E455,E449)</f>
        <v>0</v>
      </c>
      <c r="F489" s="104">
        <f t="shared" ref="F489:S489" si="9">SUM(F445:F488)</f>
        <v>0</v>
      </c>
      <c r="G489" s="103">
        <f t="shared" si="9"/>
        <v>5952.33</v>
      </c>
      <c r="H489" s="103">
        <f t="shared" si="9"/>
        <v>0</v>
      </c>
      <c r="I489" s="103">
        <f t="shared" si="9"/>
        <v>10039.5</v>
      </c>
      <c r="J489" s="103">
        <f t="shared" si="9"/>
        <v>0</v>
      </c>
      <c r="K489" s="103">
        <f t="shared" si="9"/>
        <v>0</v>
      </c>
      <c r="L489" s="103">
        <f t="shared" si="9"/>
        <v>33226.06</v>
      </c>
      <c r="M489" s="103">
        <f t="shared" si="9"/>
        <v>0</v>
      </c>
      <c r="N489" s="103">
        <f t="shared" si="9"/>
        <v>3258.8</v>
      </c>
      <c r="O489" s="103">
        <f t="shared" si="9"/>
        <v>18610</v>
      </c>
      <c r="P489" s="103">
        <f t="shared" si="9"/>
        <v>0</v>
      </c>
      <c r="Q489" s="103">
        <f t="shared" si="9"/>
        <v>1123.72</v>
      </c>
      <c r="R489" s="103">
        <f t="shared" si="9"/>
        <v>0</v>
      </c>
      <c r="S489" s="103">
        <f t="shared" si="9"/>
        <v>0</v>
      </c>
      <c r="T489" s="103"/>
      <c r="U489" s="103">
        <f>SUM(U449:U488)</f>
        <v>0</v>
      </c>
      <c r="V489" s="103">
        <f>SUM(V445:V488)</f>
        <v>0</v>
      </c>
      <c r="W489" s="103">
        <f>SUM(W445:W488)</f>
        <v>3822.8900000000003</v>
      </c>
      <c r="X489" s="153"/>
      <c r="Y489" s="155">
        <f>SUM(Y445:Y486)</f>
        <v>76033.299999999988</v>
      </c>
      <c r="Z489" s="129"/>
    </row>
    <row r="490" spans="2:26" ht="27" thickBot="1" x14ac:dyDescent="0.25">
      <c r="B490" s="101"/>
      <c r="C490" s="154" t="s">
        <v>0</v>
      </c>
      <c r="D490" s="154" t="s">
        <v>1</v>
      </c>
      <c r="E490" s="154" t="s">
        <v>2</v>
      </c>
      <c r="F490" s="154" t="s">
        <v>3</v>
      </c>
      <c r="G490" s="154" t="s">
        <v>4</v>
      </c>
      <c r="H490" s="154" t="s">
        <v>5</v>
      </c>
      <c r="I490" s="154" t="s">
        <v>6</v>
      </c>
      <c r="J490" s="154" t="s">
        <v>7</v>
      </c>
      <c r="K490" s="154" t="s">
        <v>8</v>
      </c>
      <c r="L490" s="154" t="s">
        <v>9</v>
      </c>
      <c r="M490" s="154" t="s">
        <v>309</v>
      </c>
      <c r="N490" s="154" t="s">
        <v>11</v>
      </c>
      <c r="O490" s="154" t="s">
        <v>12</v>
      </c>
      <c r="P490" s="154" t="s">
        <v>13</v>
      </c>
      <c r="Q490" s="154" t="s">
        <v>14</v>
      </c>
      <c r="R490" s="154" t="s">
        <v>15</v>
      </c>
      <c r="S490" s="154" t="s">
        <v>311</v>
      </c>
      <c r="T490" s="154" t="s">
        <v>16</v>
      </c>
      <c r="U490" s="154" t="s">
        <v>403</v>
      </c>
      <c r="V490" s="154" t="s">
        <v>17</v>
      </c>
      <c r="W490" s="154" t="s">
        <v>18</v>
      </c>
      <c r="X490" s="154"/>
      <c r="Y490" s="154" t="s">
        <v>19</v>
      </c>
      <c r="Z490" s="126"/>
    </row>
    <row r="491" spans="2:26" ht="16" thickBot="1" x14ac:dyDescent="0.25">
      <c r="B491" s="101"/>
      <c r="C491" s="101"/>
      <c r="D491" s="101"/>
      <c r="E491" s="727" t="str">
        <f>M491</f>
        <v>3 - 9 MARCH 2025</v>
      </c>
      <c r="F491" s="719"/>
      <c r="G491" s="719"/>
      <c r="H491" s="720"/>
      <c r="I491" s="101"/>
      <c r="J491" s="101"/>
      <c r="K491" s="101"/>
      <c r="L491" s="101"/>
      <c r="M491" s="727" t="str">
        <f>V491</f>
        <v>3 - 9 MARCH 2025</v>
      </c>
      <c r="N491" s="719"/>
      <c r="O491" s="719"/>
      <c r="P491" s="720"/>
      <c r="Q491" s="101"/>
      <c r="R491" s="101"/>
      <c r="S491" s="101"/>
      <c r="T491" s="101"/>
      <c r="U491" s="101"/>
      <c r="V491" s="727" t="str">
        <f>V443</f>
        <v>3 - 9 MARCH 2025</v>
      </c>
      <c r="W491" s="719"/>
      <c r="X491" s="719"/>
      <c r="Y491" s="720"/>
      <c r="Z491" s="101"/>
    </row>
    <row r="492" spans="2:26" ht="16" thickBot="1" x14ac:dyDescent="0.25"/>
    <row r="493" spans="2:26" ht="16" thickBot="1" x14ac:dyDescent="0.25">
      <c r="E493" s="718" t="s">
        <v>829</v>
      </c>
      <c r="F493" s="719"/>
      <c r="G493" s="719"/>
      <c r="H493" s="720"/>
      <c r="K493" s="106"/>
      <c r="L493" s="106"/>
      <c r="M493" s="721" t="str">
        <f>E493</f>
        <v>10 - 16 MARCH 2025</v>
      </c>
      <c r="N493" s="722"/>
      <c r="O493" s="722"/>
      <c r="P493" s="723"/>
      <c r="Q493" s="106"/>
      <c r="R493" s="106"/>
      <c r="S493" s="106"/>
      <c r="T493" s="106"/>
      <c r="U493" s="106"/>
      <c r="V493" s="724" t="str">
        <f>M493</f>
        <v>10 - 16 MARCH 2025</v>
      </c>
      <c r="W493" s="725"/>
      <c r="X493" s="725"/>
      <c r="Y493" s="726"/>
      <c r="Z493" s="106"/>
    </row>
    <row r="494" spans="2:26" ht="27" thickBot="1" x14ac:dyDescent="0.25">
      <c r="C494" s="126" t="s">
        <v>0</v>
      </c>
      <c r="D494" s="135" t="s">
        <v>1</v>
      </c>
      <c r="E494" s="258" t="s">
        <v>2</v>
      </c>
      <c r="F494" s="259" t="s">
        <v>3</v>
      </c>
      <c r="G494" s="260" t="s">
        <v>4</v>
      </c>
      <c r="H494" s="261" t="s">
        <v>5</v>
      </c>
      <c r="I494" s="262" t="s">
        <v>6</v>
      </c>
      <c r="J494" s="262" t="s">
        <v>7</v>
      </c>
      <c r="K494" s="262" t="s">
        <v>8</v>
      </c>
      <c r="L494" s="262" t="s">
        <v>9</v>
      </c>
      <c r="M494" s="262" t="s">
        <v>10</v>
      </c>
      <c r="N494" s="262" t="s">
        <v>11</v>
      </c>
      <c r="O494" s="262" t="s">
        <v>12</v>
      </c>
      <c r="P494" s="262" t="s">
        <v>13</v>
      </c>
      <c r="Q494" s="262" t="s">
        <v>14</v>
      </c>
      <c r="R494" s="262" t="s">
        <v>15</v>
      </c>
      <c r="S494" s="262" t="s">
        <v>311</v>
      </c>
      <c r="T494" s="262" t="s">
        <v>16</v>
      </c>
      <c r="U494" s="154" t="s">
        <v>403</v>
      </c>
      <c r="V494" s="263" t="s">
        <v>17</v>
      </c>
      <c r="W494" s="263" t="s">
        <v>18</v>
      </c>
      <c r="X494" s="264"/>
      <c r="Y494" s="265" t="s">
        <v>19</v>
      </c>
      <c r="Z494" s="266"/>
    </row>
    <row r="495" spans="2:26" ht="16" thickBot="1" x14ac:dyDescent="0.25">
      <c r="B495" s="196">
        <v>45726</v>
      </c>
      <c r="C495" s="136"/>
      <c r="D495" s="139"/>
      <c r="E495" s="139"/>
      <c r="F495" s="139">
        <v>1500</v>
      </c>
      <c r="G495" s="139">
        <v>800</v>
      </c>
      <c r="H495" s="139"/>
      <c r="I495" s="139"/>
      <c r="J495" s="139"/>
      <c r="K495" s="139"/>
      <c r="L495" s="139">
        <v>7112.6</v>
      </c>
      <c r="M495" s="139"/>
      <c r="N495" s="139"/>
      <c r="O495" s="139"/>
      <c r="P495" s="139">
        <v>180</v>
      </c>
      <c r="Q495" s="139">
        <v>404.91</v>
      </c>
      <c r="R495" s="139"/>
      <c r="S495" s="139"/>
      <c r="T495" s="140"/>
      <c r="U495" s="139"/>
      <c r="V495" s="139">
        <v>1200</v>
      </c>
      <c r="W495" s="139">
        <v>49</v>
      </c>
      <c r="X495" s="141" t="s">
        <v>411</v>
      </c>
      <c r="Y495" s="239">
        <f>SUM(F495:X499)</f>
        <v>11246.51</v>
      </c>
      <c r="Z495" s="269">
        <f>B495</f>
        <v>45726</v>
      </c>
    </row>
    <row r="496" spans="2:26" ht="16" thickBot="1" x14ac:dyDescent="0.25">
      <c r="B496" s="196" t="s">
        <v>20</v>
      </c>
      <c r="C496" s="203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204"/>
      <c r="U496" s="146"/>
      <c r="V496" s="146"/>
      <c r="W496" s="146"/>
      <c r="X496" s="182"/>
      <c r="Y496" s="191"/>
      <c r="Z496" s="196" t="s">
        <v>20</v>
      </c>
    </row>
    <row r="497" spans="2:26" ht="16" thickBot="1" x14ac:dyDescent="0.25">
      <c r="B497" s="196"/>
      <c r="C497" s="203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204"/>
      <c r="U497" s="146"/>
      <c r="V497" s="146"/>
      <c r="W497" s="146"/>
      <c r="X497" s="182"/>
      <c r="Y497" s="191"/>
      <c r="Z497" s="196"/>
    </row>
    <row r="498" spans="2:26" ht="16" thickBot="1" x14ac:dyDescent="0.25">
      <c r="B498" s="206"/>
      <c r="C498" s="632"/>
      <c r="D498" s="4"/>
      <c r="E498" s="4"/>
      <c r="F498" s="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633"/>
      <c r="U498" s="8"/>
      <c r="V498" s="8"/>
      <c r="W498" s="8"/>
      <c r="X498" s="634"/>
      <c r="Y498" s="635"/>
      <c r="Z498" s="196"/>
    </row>
    <row r="499" spans="2:26" ht="16" thickBot="1" x14ac:dyDescent="0.25">
      <c r="B499" s="197"/>
      <c r="C499" s="137"/>
      <c r="D499" s="171">
        <f>SUM(D495:D497)</f>
        <v>0</v>
      </c>
      <c r="E499" s="658">
        <f>SUM(E495:E497)</f>
        <v>0</v>
      </c>
      <c r="F499" s="659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5"/>
      <c r="Y499" s="138"/>
      <c r="Z499" s="198"/>
    </row>
    <row r="500" spans="2:26" ht="16" thickBot="1" x14ac:dyDescent="0.25">
      <c r="B500" s="196">
        <v>45727</v>
      </c>
      <c r="C500" s="6"/>
      <c r="D500" s="146"/>
      <c r="E500" s="146"/>
      <c r="F500" s="139"/>
      <c r="G500" s="139">
        <f>583.24+81+81</f>
        <v>745.24</v>
      </c>
      <c r="H500" s="139"/>
      <c r="I500" s="139">
        <v>19333.8</v>
      </c>
      <c r="J500" s="574"/>
      <c r="K500" s="139"/>
      <c r="L500" s="139">
        <v>6523.64</v>
      </c>
      <c r="M500" s="139"/>
      <c r="N500" s="139"/>
      <c r="O500" s="139"/>
      <c r="P500" s="139"/>
      <c r="Q500" s="139">
        <v>359.92</v>
      </c>
      <c r="R500" s="139"/>
      <c r="S500" s="139">
        <v>4771.7</v>
      </c>
      <c r="T500" s="140"/>
      <c r="U500" s="139"/>
      <c r="V500" s="139"/>
      <c r="W500" s="139"/>
      <c r="X500" s="575"/>
      <c r="Y500" s="238">
        <f>SUM(F500:W505)</f>
        <v>31734.3</v>
      </c>
      <c r="Z500" s="196">
        <f>B500</f>
        <v>45727</v>
      </c>
    </row>
    <row r="501" spans="2:26" ht="16" thickBot="1" x14ac:dyDescent="0.25">
      <c r="B501" s="196" t="s">
        <v>21</v>
      </c>
      <c r="C501" s="6"/>
      <c r="D501" s="146"/>
      <c r="E501" s="146"/>
      <c r="F501" s="4"/>
      <c r="G501" s="4"/>
      <c r="H501" s="4"/>
      <c r="I501" s="4"/>
      <c r="J501" s="149"/>
      <c r="K501" s="4"/>
      <c r="L501" s="4"/>
      <c r="M501" s="4"/>
      <c r="N501" s="4"/>
      <c r="O501" s="4"/>
      <c r="P501" s="4"/>
      <c r="Q501" s="4"/>
      <c r="R501" s="4"/>
      <c r="S501" s="4"/>
      <c r="T501" s="148"/>
      <c r="U501" s="4"/>
      <c r="V501" s="4"/>
      <c r="W501" s="4"/>
      <c r="X501" s="142"/>
      <c r="Y501" s="191"/>
      <c r="Z501" s="196" t="s">
        <v>21</v>
      </c>
    </row>
    <row r="502" spans="2:26" ht="16" thickBot="1" x14ac:dyDescent="0.25">
      <c r="B502" s="196"/>
      <c r="C502" s="6"/>
      <c r="D502" s="4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78"/>
      <c r="U502" s="12"/>
      <c r="V502" s="12"/>
      <c r="W502" s="146"/>
      <c r="X502" s="147"/>
      <c r="Y502" s="191"/>
      <c r="Z502" s="196"/>
    </row>
    <row r="503" spans="2:26" ht="16" thickBot="1" x14ac:dyDescent="0.25">
      <c r="B503" s="662"/>
      <c r="C503" s="57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79"/>
      <c r="U503" s="4"/>
      <c r="V503" s="4"/>
      <c r="W503" s="4"/>
      <c r="X503" s="142"/>
      <c r="Y503" s="643"/>
      <c r="Z503" s="196"/>
    </row>
    <row r="504" spans="2:26" ht="16" thickBot="1" x14ac:dyDescent="0.25">
      <c r="B504" s="662"/>
      <c r="C504" s="57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79"/>
      <c r="U504" s="4"/>
      <c r="V504" s="4"/>
      <c r="W504" s="4"/>
      <c r="X504" s="142"/>
      <c r="Y504" s="643"/>
      <c r="Z504" s="196"/>
    </row>
    <row r="505" spans="2:26" ht="16" thickBot="1" x14ac:dyDescent="0.25">
      <c r="B505" s="476"/>
      <c r="C505" s="663"/>
      <c r="D505" s="664">
        <f>SUM(D500:D502)</f>
        <v>0</v>
      </c>
      <c r="E505" s="664">
        <f>SUM(E500:E502)</f>
        <v>0</v>
      </c>
      <c r="F505" s="66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642"/>
      <c r="U505" s="642"/>
      <c r="V505" s="642"/>
      <c r="W505" s="8"/>
      <c r="X505" s="666"/>
      <c r="Y505" s="571"/>
      <c r="Z505" s="198"/>
    </row>
    <row r="506" spans="2:26" ht="16" thickBot="1" x14ac:dyDescent="0.25">
      <c r="B506" s="570">
        <v>45728</v>
      </c>
      <c r="C506" s="573"/>
      <c r="D506" s="139"/>
      <c r="E506" s="139"/>
      <c r="F506" s="4"/>
      <c r="G506" s="4">
        <f>800+600</f>
        <v>1400</v>
      </c>
      <c r="H506" s="4"/>
      <c r="I506" s="68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48"/>
      <c r="U506" s="4"/>
      <c r="V506" s="4"/>
      <c r="W506" s="4"/>
      <c r="X506" s="689"/>
      <c r="Y506" s="576">
        <f>SUM(F506:X512)</f>
        <v>1400</v>
      </c>
      <c r="Z506" s="464">
        <f>B506</f>
        <v>45728</v>
      </c>
    </row>
    <row r="507" spans="2:26" ht="16" thickBot="1" x14ac:dyDescent="0.25">
      <c r="B507" s="570" t="s">
        <v>22</v>
      </c>
      <c r="C507" s="572"/>
      <c r="D507" s="4"/>
      <c r="E507" s="4"/>
      <c r="F507" s="4"/>
      <c r="G507" s="4"/>
      <c r="H507" s="4"/>
      <c r="I507" s="4"/>
      <c r="J507" s="149"/>
      <c r="K507" s="4"/>
      <c r="L507" s="4"/>
      <c r="M507" s="4"/>
      <c r="N507" s="4"/>
      <c r="O507" s="4"/>
      <c r="P507" s="4"/>
      <c r="Q507" s="4"/>
      <c r="R507" s="4"/>
      <c r="S507" s="4"/>
      <c r="T507" s="148"/>
      <c r="U507" s="4"/>
      <c r="V507" s="4"/>
      <c r="W507" s="4"/>
      <c r="X507" s="142"/>
      <c r="Y507" s="638"/>
      <c r="Z507" s="464"/>
    </row>
    <row r="508" spans="2:26" ht="16" thickBot="1" x14ac:dyDescent="0.25">
      <c r="B508" s="570"/>
      <c r="C508" s="572"/>
      <c r="D508" s="4"/>
      <c r="E508" s="4"/>
      <c r="F508" s="4"/>
      <c r="G508" s="4"/>
      <c r="H508" s="4"/>
      <c r="I508" s="4"/>
      <c r="J508" s="149"/>
      <c r="K508" s="4"/>
      <c r="L508" s="4"/>
      <c r="M508" s="4"/>
      <c r="N508" s="4"/>
      <c r="O508" s="4"/>
      <c r="P508" s="4"/>
      <c r="Q508" s="4"/>
      <c r="R508" s="4"/>
      <c r="S508" s="4"/>
      <c r="T508" s="148"/>
      <c r="U508" s="4"/>
      <c r="V508" s="4"/>
      <c r="W508" s="4"/>
      <c r="X508" s="142"/>
      <c r="Y508" s="638"/>
      <c r="Z508" s="464"/>
    </row>
    <row r="509" spans="2:26" ht="16" thickBot="1" x14ac:dyDescent="0.25">
      <c r="B509" s="570"/>
      <c r="C509" s="572"/>
      <c r="D509" s="4"/>
      <c r="E509" s="4"/>
      <c r="F509" s="4"/>
      <c r="G509" s="4"/>
      <c r="H509" s="4"/>
      <c r="I509" s="4"/>
      <c r="J509" s="149"/>
      <c r="K509" s="4"/>
      <c r="L509" s="4"/>
      <c r="M509" s="4"/>
      <c r="N509" s="4"/>
      <c r="O509" s="4"/>
      <c r="P509" s="4"/>
      <c r="Q509" s="4"/>
      <c r="R509" s="4"/>
      <c r="S509" s="4"/>
      <c r="T509" s="148"/>
      <c r="U509" s="4"/>
      <c r="V509" s="4"/>
      <c r="W509" s="4"/>
      <c r="X509" s="142"/>
      <c r="Y509" s="638"/>
      <c r="Z509" s="464"/>
    </row>
    <row r="510" spans="2:26" ht="16" thickBot="1" x14ac:dyDescent="0.25">
      <c r="B510" s="570"/>
      <c r="C510" s="572"/>
      <c r="D510" s="4"/>
      <c r="E510" s="4"/>
      <c r="F510" s="4"/>
      <c r="G510" s="4"/>
      <c r="H510" s="4"/>
      <c r="I510" s="4"/>
      <c r="J510" s="149"/>
      <c r="K510" s="4"/>
      <c r="L510" s="4"/>
      <c r="M510" s="4"/>
      <c r="N510" s="4"/>
      <c r="O510" s="4"/>
      <c r="P510" s="4"/>
      <c r="Q510" s="4"/>
      <c r="R510" s="4"/>
      <c r="S510" s="4"/>
      <c r="T510" s="148"/>
      <c r="U510" s="4"/>
      <c r="V510" s="4"/>
      <c r="W510" s="4"/>
      <c r="X510" s="142"/>
      <c r="Y510" s="638"/>
      <c r="Z510" s="464"/>
    </row>
    <row r="511" spans="2:26" ht="16" thickBot="1" x14ac:dyDescent="0.25">
      <c r="B511" s="570"/>
      <c r="C511" s="572"/>
      <c r="D511" s="4"/>
      <c r="E511" s="4"/>
      <c r="F511" s="4"/>
      <c r="G511" s="4"/>
      <c r="H511" s="4"/>
      <c r="I511" s="4"/>
      <c r="J511" s="149"/>
      <c r="K511" s="4"/>
      <c r="L511" s="4"/>
      <c r="M511" s="4"/>
      <c r="N511" s="4"/>
      <c r="O511" s="4"/>
      <c r="P511" s="4"/>
      <c r="Q511" s="4"/>
      <c r="R511" s="4"/>
      <c r="S511" s="4"/>
      <c r="T511" s="148"/>
      <c r="U511" s="4"/>
      <c r="V511" s="4"/>
      <c r="W511" s="4"/>
      <c r="X511" s="142"/>
      <c r="Y511" s="638"/>
      <c r="Z511" s="464"/>
    </row>
    <row r="512" spans="2:26" ht="16" thickBot="1" x14ac:dyDescent="0.25">
      <c r="B512" s="197"/>
      <c r="C512" s="257"/>
      <c r="D512" s="171">
        <f>SUM(D506:D511)</f>
        <v>0</v>
      </c>
      <c r="E512" s="171">
        <f>SUM(E506:E511)</f>
        <v>0</v>
      </c>
      <c r="F512" s="245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72"/>
      <c r="Y512" s="241"/>
      <c r="Z512" s="465"/>
    </row>
    <row r="513" spans="2:26" ht="16" thickBot="1" x14ac:dyDescent="0.25">
      <c r="B513" s="196">
        <v>45729</v>
      </c>
      <c r="C513" s="207"/>
      <c r="D513" s="8"/>
      <c r="E513" s="146"/>
      <c r="F513" s="146"/>
      <c r="G513" s="146"/>
      <c r="H513" s="146"/>
      <c r="I513" s="246"/>
      <c r="J513" s="146"/>
      <c r="K513" s="146"/>
      <c r="L513" s="146">
        <f>145+6290.62</f>
        <v>6435.62</v>
      </c>
      <c r="M513" s="146"/>
      <c r="N513" s="146"/>
      <c r="O513" s="146"/>
      <c r="P513" s="146"/>
      <c r="Q513" s="8">
        <v>224.95</v>
      </c>
      <c r="R513" s="8"/>
      <c r="S513" s="146"/>
      <c r="T513" s="204"/>
      <c r="U513" s="146"/>
      <c r="V513" s="146"/>
      <c r="W513" s="146"/>
      <c r="X513" s="247"/>
      <c r="Y513" s="171">
        <f>SUM(F513:W520)</f>
        <v>6660.57</v>
      </c>
      <c r="Z513" s="196">
        <f>B513</f>
        <v>45729</v>
      </c>
    </row>
    <row r="514" spans="2:26" ht="16" thickBot="1" x14ac:dyDescent="0.25">
      <c r="B514" s="196" t="s">
        <v>23</v>
      </c>
      <c r="C514" s="7"/>
      <c r="D514" s="4"/>
      <c r="E514" s="146"/>
      <c r="F514" s="146"/>
      <c r="G514" s="146"/>
      <c r="H514" s="146"/>
      <c r="I514" s="463"/>
      <c r="J514" s="146"/>
      <c r="K514" s="146"/>
      <c r="L514" s="146"/>
      <c r="M514" s="146"/>
      <c r="N514" s="146"/>
      <c r="O514" s="146"/>
      <c r="P514" s="146"/>
      <c r="Q514" s="4"/>
      <c r="R514" s="4"/>
      <c r="S514" s="146"/>
      <c r="T514" s="204"/>
      <c r="U514" s="146"/>
      <c r="V514" s="146"/>
      <c r="W514" s="146"/>
      <c r="X514" s="247"/>
      <c r="Y514" s="240"/>
      <c r="Z514" s="196"/>
    </row>
    <row r="515" spans="2:26" ht="16" thickBot="1" x14ac:dyDescent="0.25">
      <c r="B515" s="196"/>
      <c r="C515" s="7"/>
      <c r="D515" s="4"/>
      <c r="E515" s="146"/>
      <c r="F515" s="146"/>
      <c r="G515" s="146"/>
      <c r="H515" s="146"/>
      <c r="I515" s="463"/>
      <c r="J515" s="146"/>
      <c r="K515" s="146"/>
      <c r="L515" s="146"/>
      <c r="M515" s="146"/>
      <c r="N515" s="146"/>
      <c r="O515" s="146"/>
      <c r="P515" s="146"/>
      <c r="Q515" s="4"/>
      <c r="R515" s="4"/>
      <c r="S515" s="146"/>
      <c r="T515" s="204"/>
      <c r="U515" s="146"/>
      <c r="V515" s="146"/>
      <c r="W515" s="146"/>
      <c r="X515" s="247"/>
      <c r="Y515" s="4"/>
      <c r="Z515" s="464"/>
    </row>
    <row r="516" spans="2:26" ht="16" thickBot="1" x14ac:dyDescent="0.25">
      <c r="B516" s="196"/>
      <c r="C516" s="7"/>
      <c r="D516" s="4"/>
      <c r="E516" s="146"/>
      <c r="F516" s="146"/>
      <c r="G516" s="146"/>
      <c r="H516" s="146"/>
      <c r="I516" s="463"/>
      <c r="J516" s="146"/>
      <c r="K516" s="146"/>
      <c r="L516" s="146"/>
      <c r="M516" s="146"/>
      <c r="N516" s="146"/>
      <c r="O516" s="146"/>
      <c r="P516" s="146"/>
      <c r="Q516" s="4"/>
      <c r="R516" s="4"/>
      <c r="S516" s="146"/>
      <c r="T516" s="204"/>
      <c r="U516" s="146"/>
      <c r="V516" s="146"/>
      <c r="W516" s="146"/>
      <c r="X516" s="247"/>
      <c r="Y516" s="4"/>
      <c r="Z516" s="464"/>
    </row>
    <row r="517" spans="2:26" ht="16" thickBot="1" x14ac:dyDescent="0.25">
      <c r="B517" s="198"/>
      <c r="C517" s="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150"/>
      <c r="Y517" s="4"/>
      <c r="Z517" s="465" t="s">
        <v>23</v>
      </c>
    </row>
    <row r="518" spans="2:26" ht="16" thickBot="1" x14ac:dyDescent="0.25">
      <c r="B518" s="476"/>
      <c r="C518" s="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150"/>
      <c r="Y518" s="10"/>
      <c r="Z518" s="465"/>
    </row>
    <row r="519" spans="2:26" ht="16" thickBot="1" x14ac:dyDescent="0.25">
      <c r="B519" s="476"/>
      <c r="C519" s="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150"/>
      <c r="Y519" s="10"/>
      <c r="Z519" s="465"/>
    </row>
    <row r="520" spans="2:26" ht="16" thickBot="1" x14ac:dyDescent="0.25">
      <c r="B520" s="197"/>
      <c r="C520" s="249"/>
      <c r="D520" s="171">
        <f>SUM(D513:D519)</f>
        <v>0</v>
      </c>
      <c r="E520" s="171">
        <f>SUM(E513:E519)</f>
        <v>0</v>
      </c>
      <c r="F520" s="252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250"/>
      <c r="Y520" s="251"/>
      <c r="Z520" s="198"/>
    </row>
    <row r="521" spans="2:26" ht="16" thickBot="1" x14ac:dyDescent="0.25">
      <c r="B521" s="556">
        <v>45730</v>
      </c>
      <c r="C521" s="557"/>
      <c r="D521" s="558"/>
      <c r="E521" s="558"/>
      <c r="F521" s="146"/>
      <c r="G521" s="146">
        <v>500</v>
      </c>
      <c r="H521" s="146"/>
      <c r="I521" s="246"/>
      <c r="J521" s="146"/>
      <c r="K521" s="146"/>
      <c r="L521" s="146"/>
      <c r="M521" s="146"/>
      <c r="N521" s="146"/>
      <c r="O521" s="146"/>
      <c r="P521" s="146"/>
      <c r="Q521" s="8"/>
      <c r="R521" s="8"/>
      <c r="S521" s="146"/>
      <c r="T521" s="204"/>
      <c r="U521" s="146"/>
      <c r="V521" s="146"/>
      <c r="W521" s="146"/>
      <c r="X521" s="247"/>
      <c r="Y521" s="559">
        <f>SUM(F521:W525)</f>
        <v>500</v>
      </c>
      <c r="Z521" s="560">
        <f>B521</f>
        <v>45730</v>
      </c>
    </row>
    <row r="522" spans="2:26" ht="16" thickBot="1" x14ac:dyDescent="0.25">
      <c r="B522" s="206" t="s">
        <v>24</v>
      </c>
      <c r="C522" s="6"/>
      <c r="D522" s="146"/>
      <c r="E522" s="146"/>
      <c r="F522" s="14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150"/>
      <c r="Y522" s="639"/>
      <c r="Z522" s="196"/>
    </row>
    <row r="523" spans="2:26" ht="16" thickBot="1" x14ac:dyDescent="0.25">
      <c r="B523" s="206"/>
      <c r="C523" s="6"/>
      <c r="D523" s="146"/>
      <c r="E523" s="146"/>
      <c r="F523" s="146"/>
      <c r="G523" s="146"/>
      <c r="H523" s="146"/>
      <c r="I523" s="639"/>
      <c r="J523" s="146"/>
      <c r="K523" s="146"/>
      <c r="L523" s="146"/>
      <c r="M523" s="146"/>
      <c r="N523" s="146"/>
      <c r="O523" s="146"/>
      <c r="P523" s="146"/>
      <c r="Q523" s="8"/>
      <c r="R523" s="8"/>
      <c r="S523" s="146"/>
      <c r="T523" s="146"/>
      <c r="U523" s="146"/>
      <c r="V523" s="146"/>
      <c r="W523" s="146"/>
      <c r="X523" s="709"/>
      <c r="Y523" s="639"/>
      <c r="Z523" s="196"/>
    </row>
    <row r="524" spans="2:26" ht="16" thickBot="1" x14ac:dyDescent="0.25">
      <c r="B524" s="206"/>
      <c r="C524" s="6"/>
      <c r="D524" s="146"/>
      <c r="E524" s="146"/>
      <c r="F524" s="146"/>
      <c r="G524" s="146"/>
      <c r="H524" s="146"/>
      <c r="I524" s="246"/>
      <c r="J524" s="146"/>
      <c r="K524" s="146"/>
      <c r="L524" s="146"/>
      <c r="M524" s="146"/>
      <c r="N524" s="146"/>
      <c r="O524" s="146"/>
      <c r="P524" s="146"/>
      <c r="Q524" s="8"/>
      <c r="R524" s="8"/>
      <c r="S524" s="146"/>
      <c r="T524" s="204"/>
      <c r="U524" s="146"/>
      <c r="V524" s="146"/>
      <c r="W524" s="146"/>
      <c r="X524" s="247"/>
      <c r="Y524" s="639"/>
      <c r="Z524" s="196"/>
    </row>
    <row r="525" spans="2:26" ht="16" thickBot="1" x14ac:dyDescent="0.25">
      <c r="B525" s="197"/>
      <c r="C525" s="137"/>
      <c r="D525" s="1">
        <f>SUM(D521:D524)</f>
        <v>0</v>
      </c>
      <c r="E525" s="1">
        <f>SUM(E521:E524)</f>
        <v>0</v>
      </c>
      <c r="F525" s="2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250"/>
      <c r="Y525" s="251"/>
      <c r="Z525" s="198"/>
    </row>
    <row r="526" spans="2:26" ht="16" thickBot="1" x14ac:dyDescent="0.25">
      <c r="B526" s="127">
        <v>45731</v>
      </c>
      <c r="C526" s="6"/>
      <c r="D526" s="146"/>
      <c r="E526" s="146"/>
      <c r="F526" s="146">
        <v>1500</v>
      </c>
      <c r="G526" s="146"/>
      <c r="H526" s="146"/>
      <c r="I526" s="246"/>
      <c r="J526" s="146"/>
      <c r="K526" s="146"/>
      <c r="L526" s="146">
        <v>7462.66</v>
      </c>
      <c r="M526" s="146"/>
      <c r="N526" s="146"/>
      <c r="O526" s="146">
        <f>10755+7100</f>
        <v>17855</v>
      </c>
      <c r="P526" s="146"/>
      <c r="Q526" s="8">
        <v>359.92</v>
      </c>
      <c r="R526" s="8"/>
      <c r="S526" s="146"/>
      <c r="T526" s="204"/>
      <c r="U526" s="146"/>
      <c r="V526" s="146"/>
      <c r="W526" s="146"/>
      <c r="X526" s="247"/>
      <c r="Y526" s="171">
        <f>SUM(F526:W532)</f>
        <v>27177.579999999998</v>
      </c>
      <c r="Z526" s="196">
        <f>B526</f>
        <v>45731</v>
      </c>
    </row>
    <row r="527" spans="2:26" ht="16" thickBot="1" x14ac:dyDescent="0.25">
      <c r="B527" s="548" t="s">
        <v>25</v>
      </c>
      <c r="C527" s="6"/>
      <c r="D527" s="4"/>
      <c r="E527" s="4"/>
      <c r="F527" s="14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150"/>
      <c r="Y527" s="639"/>
      <c r="Z527" s="196" t="s">
        <v>25</v>
      </c>
    </row>
    <row r="528" spans="2:26" ht="16" thickBot="1" x14ac:dyDescent="0.25">
      <c r="B528" s="208"/>
      <c r="C528" s="6"/>
      <c r="D528" s="4"/>
      <c r="E528" s="4"/>
      <c r="F528" s="14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150"/>
      <c r="Y528" s="639"/>
      <c r="Z528" s="196"/>
    </row>
    <row r="529" spans="2:26" ht="16" thickBot="1" x14ac:dyDescent="0.25">
      <c r="B529" s="208"/>
      <c r="C529" s="6"/>
      <c r="D529" s="4"/>
      <c r="E529" s="4"/>
      <c r="F529" s="14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150"/>
      <c r="Y529" s="639"/>
      <c r="Z529" s="196"/>
    </row>
    <row r="530" spans="2:26" ht="16" thickBot="1" x14ac:dyDescent="0.25">
      <c r="B530" s="208"/>
      <c r="C530" s="6"/>
      <c r="D530" s="4"/>
      <c r="E530" s="4"/>
      <c r="F530" s="14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150"/>
      <c r="Y530" s="639"/>
      <c r="Z530" s="196"/>
    </row>
    <row r="531" spans="2:26" ht="16" thickBot="1" x14ac:dyDescent="0.25">
      <c r="B531" s="199"/>
      <c r="C531" s="7"/>
      <c r="D531" s="143"/>
      <c r="E531" s="14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48"/>
      <c r="U531" s="4"/>
      <c r="V531" s="4"/>
      <c r="W531" s="4"/>
      <c r="X531" s="150"/>
      <c r="Y531" s="10"/>
      <c r="Z531" s="196"/>
    </row>
    <row r="532" spans="2:26" ht="16" thickBot="1" x14ac:dyDescent="0.25">
      <c r="B532" s="198"/>
      <c r="C532" s="137"/>
      <c r="D532" s="9">
        <f>SUM(D526:D531)</f>
        <v>0</v>
      </c>
      <c r="E532" s="9">
        <f>SUM(E526:E531)</f>
        <v>0</v>
      </c>
      <c r="F532" s="245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254"/>
      <c r="R532" s="144"/>
      <c r="S532" s="144"/>
      <c r="T532" s="144"/>
      <c r="U532" s="144"/>
      <c r="V532" s="144"/>
      <c r="W532" s="144"/>
      <c r="X532" s="172"/>
      <c r="Y532" s="11"/>
      <c r="Z532" s="198"/>
    </row>
    <row r="533" spans="2:26" ht="16" thickBot="1" x14ac:dyDescent="0.25">
      <c r="B533" s="196">
        <v>45732</v>
      </c>
      <c r="C533" s="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253"/>
      <c r="R533" s="253"/>
      <c r="S533" s="146"/>
      <c r="T533" s="204"/>
      <c r="U533" s="146"/>
      <c r="V533" s="146"/>
      <c r="W533" s="146">
        <f>85.98+109</f>
        <v>194.98000000000002</v>
      </c>
      <c r="X533" s="182" t="s">
        <v>472</v>
      </c>
      <c r="Y533" s="1">
        <f>SUM(F533:W536)</f>
        <v>1310.98</v>
      </c>
      <c r="Z533" s="196">
        <f>B533</f>
        <v>45732</v>
      </c>
    </row>
    <row r="534" spans="2:26" ht="16" thickBot="1" x14ac:dyDescent="0.25">
      <c r="B534" s="198" t="s">
        <v>26</v>
      </c>
      <c r="C534" s="5"/>
      <c r="D534" s="4"/>
      <c r="E534" s="4"/>
      <c r="F534" s="4"/>
      <c r="G534" s="15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>
        <v>1116</v>
      </c>
      <c r="X534" s="150" t="s">
        <v>763</v>
      </c>
      <c r="Y534" s="12"/>
      <c r="Z534" s="198" t="s">
        <v>26</v>
      </c>
    </row>
    <row r="535" spans="2:26" ht="16" thickBot="1" x14ac:dyDescent="0.25">
      <c r="B535" s="268"/>
      <c r="C535" s="152"/>
      <c r="D535" s="143"/>
      <c r="E535" s="14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150"/>
      <c r="Y535" s="10"/>
      <c r="Z535" s="268"/>
    </row>
    <row r="536" spans="2:26" ht="16" thickBot="1" x14ac:dyDescent="0.25">
      <c r="B536" s="267"/>
      <c r="C536" s="255"/>
      <c r="D536" s="1">
        <f>SUM(D533:D535)</f>
        <v>0</v>
      </c>
      <c r="E536" s="1">
        <f>SUM(E533:E535)</f>
        <v>0</v>
      </c>
      <c r="F536" s="245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72"/>
      <c r="Y536" s="248"/>
      <c r="Z536" s="268"/>
    </row>
    <row r="537" spans="2:26" x14ac:dyDescent="0.2">
      <c r="B537" s="101"/>
      <c r="C537" s="243"/>
      <c r="D537" s="242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8"/>
      <c r="Z537" s="130"/>
    </row>
    <row r="538" spans="2:26" ht="16" thickBot="1" x14ac:dyDescent="0.25">
      <c r="B538" s="101"/>
      <c r="C538" s="243"/>
      <c r="D538" s="189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2"/>
      <c r="Z538" s="128"/>
    </row>
    <row r="539" spans="2:26" ht="16" thickBot="1" x14ac:dyDescent="0.25">
      <c r="B539" s="101"/>
      <c r="C539" s="101"/>
      <c r="D539" s="105">
        <f>SUM(D536,D532,D525,D520,D512,D505,D499)</f>
        <v>0</v>
      </c>
      <c r="E539" s="105">
        <f>SUM(E536,E532,E525,E520,E512,E505,E499)</f>
        <v>0</v>
      </c>
      <c r="F539" s="104">
        <f t="shared" ref="F539:S539" si="10">SUM(F495:F538)</f>
        <v>3000</v>
      </c>
      <c r="G539" s="103">
        <f t="shared" si="10"/>
        <v>3445.24</v>
      </c>
      <c r="H539" s="103">
        <f t="shared" si="10"/>
        <v>0</v>
      </c>
      <c r="I539" s="103">
        <f t="shared" si="10"/>
        <v>19333.8</v>
      </c>
      <c r="J539" s="103">
        <f t="shared" si="10"/>
        <v>0</v>
      </c>
      <c r="K539" s="103">
        <f t="shared" si="10"/>
        <v>0</v>
      </c>
      <c r="L539" s="103">
        <f t="shared" si="10"/>
        <v>27534.52</v>
      </c>
      <c r="M539" s="103">
        <f t="shared" si="10"/>
        <v>0</v>
      </c>
      <c r="N539" s="103">
        <f t="shared" si="10"/>
        <v>0</v>
      </c>
      <c r="O539" s="103">
        <f t="shared" si="10"/>
        <v>17855</v>
      </c>
      <c r="P539" s="103">
        <f t="shared" si="10"/>
        <v>180</v>
      </c>
      <c r="Q539" s="103">
        <f t="shared" si="10"/>
        <v>1349.7</v>
      </c>
      <c r="R539" s="103">
        <f t="shared" si="10"/>
        <v>0</v>
      </c>
      <c r="S539" s="103">
        <f t="shared" si="10"/>
        <v>4771.7</v>
      </c>
      <c r="T539" s="103"/>
      <c r="U539" s="103">
        <f>SUM(U499:U538)</f>
        <v>0</v>
      </c>
      <c r="V539" s="103">
        <f>SUM(V495:V538)</f>
        <v>1200</v>
      </c>
      <c r="W539" s="103">
        <f>SUM(W495:W538)</f>
        <v>1359.98</v>
      </c>
      <c r="X539" s="153"/>
      <c r="Y539" s="155">
        <f>SUM(Y495:Y536)</f>
        <v>80029.939999999988</v>
      </c>
      <c r="Z539" s="129"/>
    </row>
    <row r="540" spans="2:26" ht="27" thickBot="1" x14ac:dyDescent="0.25">
      <c r="B540" s="101"/>
      <c r="C540" s="154" t="s">
        <v>0</v>
      </c>
      <c r="D540" s="154" t="s">
        <v>1</v>
      </c>
      <c r="E540" s="154" t="s">
        <v>2</v>
      </c>
      <c r="F540" s="154" t="s">
        <v>3</v>
      </c>
      <c r="G540" s="154" t="s">
        <v>4</v>
      </c>
      <c r="H540" s="154" t="s">
        <v>5</v>
      </c>
      <c r="I540" s="154" t="s">
        <v>6</v>
      </c>
      <c r="J540" s="154" t="s">
        <v>7</v>
      </c>
      <c r="K540" s="154" t="s">
        <v>8</v>
      </c>
      <c r="L540" s="154" t="s">
        <v>9</v>
      </c>
      <c r="M540" s="154" t="s">
        <v>309</v>
      </c>
      <c r="N540" s="154" t="s">
        <v>11</v>
      </c>
      <c r="O540" s="154" t="s">
        <v>12</v>
      </c>
      <c r="P540" s="154" t="s">
        <v>13</v>
      </c>
      <c r="Q540" s="154" t="s">
        <v>14</v>
      </c>
      <c r="R540" s="154" t="s">
        <v>15</v>
      </c>
      <c r="S540" s="154" t="s">
        <v>311</v>
      </c>
      <c r="T540" s="154" t="s">
        <v>16</v>
      </c>
      <c r="U540" s="154" t="s">
        <v>403</v>
      </c>
      <c r="V540" s="154" t="s">
        <v>17</v>
      </c>
      <c r="W540" s="154" t="s">
        <v>18</v>
      </c>
      <c r="X540" s="154"/>
      <c r="Y540" s="154" t="s">
        <v>19</v>
      </c>
      <c r="Z540" s="126"/>
    </row>
    <row r="541" spans="2:26" ht="16" thickBot="1" x14ac:dyDescent="0.25">
      <c r="B541" s="101"/>
      <c r="C541" s="101"/>
      <c r="D541" s="101"/>
      <c r="E541" s="727" t="str">
        <f>M541</f>
        <v>10 - 16 MARCH 2025</v>
      </c>
      <c r="F541" s="719"/>
      <c r="G541" s="719"/>
      <c r="H541" s="720"/>
      <c r="I541" s="101"/>
      <c r="J541" s="101"/>
      <c r="K541" s="101"/>
      <c r="L541" s="101"/>
      <c r="M541" s="727" t="str">
        <f>V541</f>
        <v>10 - 16 MARCH 2025</v>
      </c>
      <c r="N541" s="719"/>
      <c r="O541" s="719"/>
      <c r="P541" s="720"/>
      <c r="Q541" s="101"/>
      <c r="R541" s="101"/>
      <c r="S541" s="101"/>
      <c r="T541" s="101"/>
      <c r="U541" s="101"/>
      <c r="V541" s="727" t="str">
        <f>V493</f>
        <v>10 - 16 MARCH 2025</v>
      </c>
      <c r="W541" s="719"/>
      <c r="X541" s="719"/>
      <c r="Y541" s="720"/>
      <c r="Z541" s="101"/>
    </row>
    <row r="542" spans="2:26" ht="16" thickBot="1" x14ac:dyDescent="0.25"/>
    <row r="543" spans="2:26" ht="16" thickBot="1" x14ac:dyDescent="0.25">
      <c r="E543" s="718" t="s">
        <v>855</v>
      </c>
      <c r="F543" s="719"/>
      <c r="G543" s="719"/>
      <c r="H543" s="720"/>
      <c r="K543" s="106"/>
      <c r="L543" s="106"/>
      <c r="M543" s="721" t="str">
        <f>E543</f>
        <v>17 - 23 MARCH 2025</v>
      </c>
      <c r="N543" s="722"/>
      <c r="O543" s="722"/>
      <c r="P543" s="723"/>
      <c r="Q543" s="106"/>
      <c r="R543" s="106"/>
      <c r="S543" s="106"/>
      <c r="T543" s="106"/>
      <c r="U543" s="106"/>
      <c r="V543" s="724" t="str">
        <f>M543</f>
        <v>17 - 23 MARCH 2025</v>
      </c>
      <c r="W543" s="725"/>
      <c r="X543" s="725"/>
      <c r="Y543" s="726"/>
      <c r="Z543" s="106"/>
    </row>
    <row r="544" spans="2:26" ht="27" thickBot="1" x14ac:dyDescent="0.25">
      <c r="C544" s="126" t="s">
        <v>0</v>
      </c>
      <c r="D544" s="135" t="s">
        <v>1</v>
      </c>
      <c r="E544" s="258" t="s">
        <v>2</v>
      </c>
      <c r="F544" s="259" t="s">
        <v>3</v>
      </c>
      <c r="G544" s="260" t="s">
        <v>4</v>
      </c>
      <c r="H544" s="261" t="s">
        <v>5</v>
      </c>
      <c r="I544" s="262" t="s">
        <v>6</v>
      </c>
      <c r="J544" s="262" t="s">
        <v>7</v>
      </c>
      <c r="K544" s="262" t="s">
        <v>8</v>
      </c>
      <c r="L544" s="262" t="s">
        <v>9</v>
      </c>
      <c r="M544" s="262" t="s">
        <v>10</v>
      </c>
      <c r="N544" s="262" t="s">
        <v>11</v>
      </c>
      <c r="O544" s="262" t="s">
        <v>12</v>
      </c>
      <c r="P544" s="262" t="s">
        <v>13</v>
      </c>
      <c r="Q544" s="262" t="s">
        <v>14</v>
      </c>
      <c r="R544" s="262" t="s">
        <v>15</v>
      </c>
      <c r="S544" s="262" t="s">
        <v>311</v>
      </c>
      <c r="T544" s="262" t="s">
        <v>16</v>
      </c>
      <c r="U544" s="154" t="s">
        <v>403</v>
      </c>
      <c r="V544" s="263" t="s">
        <v>17</v>
      </c>
      <c r="W544" s="263" t="s">
        <v>18</v>
      </c>
      <c r="X544" s="264"/>
      <c r="Y544" s="265" t="s">
        <v>19</v>
      </c>
      <c r="Z544" s="266"/>
    </row>
    <row r="545" spans="2:26" ht="16" thickBot="1" x14ac:dyDescent="0.25">
      <c r="B545" s="196">
        <v>45733</v>
      </c>
      <c r="C545" s="136"/>
      <c r="D545" s="139"/>
      <c r="E545" s="139"/>
      <c r="F545" s="139"/>
      <c r="G545" s="139">
        <v>1500</v>
      </c>
      <c r="H545" s="139"/>
      <c r="I545" s="139">
        <v>18571.13</v>
      </c>
      <c r="J545" s="139"/>
      <c r="K545" s="139"/>
      <c r="L545" s="139">
        <v>8474.49</v>
      </c>
      <c r="M545" s="139"/>
      <c r="N545" s="139">
        <v>778</v>
      </c>
      <c r="O545" s="139"/>
      <c r="P545" s="139"/>
      <c r="Q545" s="139">
        <v>359.92</v>
      </c>
      <c r="R545" s="139"/>
      <c r="S545" s="139"/>
      <c r="T545" s="140"/>
      <c r="U545" s="139"/>
      <c r="V545" s="139"/>
      <c r="W545" s="139">
        <v>505</v>
      </c>
      <c r="X545" s="141" t="s">
        <v>763</v>
      </c>
      <c r="Y545" s="239">
        <f>SUM(F545:X551)</f>
        <v>34085.090000000004</v>
      </c>
      <c r="Z545" s="269">
        <f>B545</f>
        <v>45733</v>
      </c>
    </row>
    <row r="546" spans="2:26" ht="16" thickBot="1" x14ac:dyDescent="0.25">
      <c r="B546" s="196" t="s">
        <v>20</v>
      </c>
      <c r="C546" s="203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204"/>
      <c r="U546" s="146"/>
      <c r="V546" s="146"/>
      <c r="W546" s="146">
        <v>105.98</v>
      </c>
      <c r="X546" s="182" t="s">
        <v>411</v>
      </c>
      <c r="Y546" s="191"/>
      <c r="Z546" s="196" t="s">
        <v>20</v>
      </c>
    </row>
    <row r="547" spans="2:26" ht="16" thickBot="1" x14ac:dyDescent="0.25">
      <c r="B547" s="196"/>
      <c r="C547" s="203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204"/>
      <c r="U547" s="146"/>
      <c r="V547" s="146"/>
      <c r="W547" s="146">
        <v>700</v>
      </c>
      <c r="X547" s="182" t="s">
        <v>499</v>
      </c>
      <c r="Y547" s="191"/>
      <c r="Z547" s="196"/>
    </row>
    <row r="548" spans="2:26" ht="16" thickBot="1" x14ac:dyDescent="0.25">
      <c r="B548" s="712"/>
      <c r="C548" s="57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48"/>
      <c r="U548" s="4"/>
      <c r="V548" s="4"/>
      <c r="W548" s="4">
        <v>759</v>
      </c>
      <c r="X548" s="150" t="s">
        <v>396</v>
      </c>
      <c r="Y548" s="635"/>
      <c r="Z548" s="196"/>
    </row>
    <row r="549" spans="2:26" ht="16" thickBot="1" x14ac:dyDescent="0.25">
      <c r="B549" s="712"/>
      <c r="C549" s="57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48"/>
      <c r="U549" s="4"/>
      <c r="V549" s="4"/>
      <c r="W549" s="4">
        <v>1517.45</v>
      </c>
      <c r="X549" s="150" t="s">
        <v>343</v>
      </c>
      <c r="Y549" s="635"/>
      <c r="Z549" s="196"/>
    </row>
    <row r="550" spans="2:26" ht="16" thickBot="1" x14ac:dyDescent="0.25">
      <c r="B550" s="712"/>
      <c r="C550" s="57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48"/>
      <c r="U550" s="4"/>
      <c r="V550" s="4"/>
      <c r="W550" s="4">
        <v>241.12</v>
      </c>
      <c r="X550" s="150" t="s">
        <v>279</v>
      </c>
      <c r="Y550" s="635"/>
      <c r="Z550" s="196"/>
    </row>
    <row r="551" spans="2:26" ht="16" thickBot="1" x14ac:dyDescent="0.25">
      <c r="B551" s="197"/>
      <c r="C551" s="137"/>
      <c r="D551" s="171">
        <f>SUM(D545:D547)</f>
        <v>0</v>
      </c>
      <c r="E551" s="658">
        <f>SUM(E545:E547)</f>
        <v>0</v>
      </c>
      <c r="F551" s="659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>
        <v>573</v>
      </c>
      <c r="X551" s="145" t="s">
        <v>637</v>
      </c>
      <c r="Y551" s="138"/>
      <c r="Z551" s="198"/>
    </row>
    <row r="552" spans="2:26" ht="16" thickBot="1" x14ac:dyDescent="0.25">
      <c r="B552" s="196">
        <v>45734</v>
      </c>
      <c r="C552" s="6"/>
      <c r="D552" s="146"/>
      <c r="E552" s="146"/>
      <c r="F552" s="139"/>
      <c r="G552" s="139">
        <f>1138.37+81+81</f>
        <v>1300.3699999999999</v>
      </c>
      <c r="H552" s="139"/>
      <c r="I552" s="139"/>
      <c r="J552" s="574"/>
      <c r="K552" s="139"/>
      <c r="L552" s="139">
        <v>7198.61</v>
      </c>
      <c r="M552" s="139"/>
      <c r="N552" s="139"/>
      <c r="O552" s="139"/>
      <c r="P552" s="139"/>
      <c r="Q552" s="139">
        <v>314.93</v>
      </c>
      <c r="R552" s="139"/>
      <c r="S552" s="139"/>
      <c r="T552" s="140"/>
      <c r="U552" s="139"/>
      <c r="V552" s="139"/>
      <c r="W552" s="139">
        <v>133</v>
      </c>
      <c r="X552" s="575" t="s">
        <v>377</v>
      </c>
      <c r="Y552" s="238">
        <f>SUM(F552:W557)</f>
        <v>9766.31</v>
      </c>
      <c r="Z552" s="196">
        <f>B552</f>
        <v>45734</v>
      </c>
    </row>
    <row r="553" spans="2:26" ht="16" thickBot="1" x14ac:dyDescent="0.25">
      <c r="B553" s="196" t="s">
        <v>21</v>
      </c>
      <c r="C553" s="6"/>
      <c r="D553" s="146"/>
      <c r="E553" s="146"/>
      <c r="F553" s="4"/>
      <c r="G553" s="4"/>
      <c r="H553" s="4"/>
      <c r="I553" s="4"/>
      <c r="J553" s="149"/>
      <c r="K553" s="4"/>
      <c r="L553" s="4"/>
      <c r="M553" s="4"/>
      <c r="N553" s="4"/>
      <c r="O553" s="4"/>
      <c r="P553" s="4"/>
      <c r="Q553" s="4"/>
      <c r="R553" s="4"/>
      <c r="S553" s="4"/>
      <c r="T553" s="148"/>
      <c r="U553" s="4"/>
      <c r="V553" s="4"/>
      <c r="W553" s="4">
        <v>819.4</v>
      </c>
      <c r="X553" s="142" t="s">
        <v>637</v>
      </c>
      <c r="Y553" s="191"/>
      <c r="Z553" s="196" t="s">
        <v>21</v>
      </c>
    </row>
    <row r="554" spans="2:26" ht="16" thickBot="1" x14ac:dyDescent="0.25">
      <c r="B554" s="196"/>
      <c r="C554" s="6"/>
      <c r="D554" s="4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78"/>
      <c r="U554" s="12"/>
      <c r="V554" s="12"/>
      <c r="W554" s="146"/>
      <c r="X554" s="147"/>
      <c r="Y554" s="191"/>
      <c r="Z554" s="196"/>
    </row>
    <row r="555" spans="2:26" ht="16" thickBot="1" x14ac:dyDescent="0.25">
      <c r="B555" s="662"/>
      <c r="C555" s="57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79"/>
      <c r="U555" s="4"/>
      <c r="V555" s="4"/>
      <c r="W555" s="4"/>
      <c r="X555" s="142"/>
      <c r="Y555" s="643"/>
      <c r="Z555" s="196"/>
    </row>
    <row r="556" spans="2:26" ht="16" thickBot="1" x14ac:dyDescent="0.25">
      <c r="B556" s="662"/>
      <c r="C556" s="57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79"/>
      <c r="U556" s="4"/>
      <c r="V556" s="4"/>
      <c r="W556" s="4"/>
      <c r="X556" s="142"/>
      <c r="Y556" s="643"/>
      <c r="Z556" s="196"/>
    </row>
    <row r="557" spans="2:26" ht="16" thickBot="1" x14ac:dyDescent="0.25">
      <c r="B557" s="476"/>
      <c r="C557" s="663"/>
      <c r="D557" s="664">
        <f>SUM(D552:D554)</f>
        <v>0</v>
      </c>
      <c r="E557" s="664">
        <f>SUM(E552:E554)</f>
        <v>0</v>
      </c>
      <c r="F557" s="66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642"/>
      <c r="U557" s="642"/>
      <c r="V557" s="642"/>
      <c r="W557" s="8"/>
      <c r="X557" s="666"/>
      <c r="Y557" s="571"/>
      <c r="Z557" s="198"/>
    </row>
    <row r="558" spans="2:26" ht="16" thickBot="1" x14ac:dyDescent="0.25">
      <c r="B558" s="570">
        <v>45735</v>
      </c>
      <c r="C558" s="573"/>
      <c r="D558" s="139"/>
      <c r="E558" s="139"/>
      <c r="F558" s="4"/>
      <c r="G558" s="4">
        <v>800</v>
      </c>
      <c r="H558" s="4"/>
      <c r="I558" s="68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48"/>
      <c r="U558" s="4"/>
      <c r="V558" s="4"/>
      <c r="W558" s="4"/>
      <c r="X558" s="689"/>
      <c r="Y558" s="576">
        <f>SUM(F558:X564)</f>
        <v>800</v>
      </c>
      <c r="Z558" s="464">
        <f>B558</f>
        <v>45735</v>
      </c>
    </row>
    <row r="559" spans="2:26" ht="16" thickBot="1" x14ac:dyDescent="0.25">
      <c r="B559" s="570" t="s">
        <v>22</v>
      </c>
      <c r="C559" s="572"/>
      <c r="D559" s="4"/>
      <c r="E559" s="4"/>
      <c r="F559" s="4"/>
      <c r="G559" s="4"/>
      <c r="H559" s="4"/>
      <c r="I559" s="4"/>
      <c r="J559" s="149"/>
      <c r="K559" s="4"/>
      <c r="L559" s="4"/>
      <c r="M559" s="4"/>
      <c r="N559" s="4"/>
      <c r="O559" s="4"/>
      <c r="P559" s="4"/>
      <c r="Q559" s="4"/>
      <c r="R559" s="4"/>
      <c r="S559" s="4"/>
      <c r="T559" s="148"/>
      <c r="U559" s="4"/>
      <c r="V559" s="4"/>
      <c r="W559" s="4"/>
      <c r="X559" s="142"/>
      <c r="Y559" s="638"/>
      <c r="Z559" s="464"/>
    </row>
    <row r="560" spans="2:26" ht="16" thickBot="1" x14ac:dyDescent="0.25">
      <c r="B560" s="570"/>
      <c r="C560" s="572"/>
      <c r="D560" s="4"/>
      <c r="E560" s="4"/>
      <c r="F560" s="4"/>
      <c r="G560" s="4"/>
      <c r="H560" s="4"/>
      <c r="I560" s="4"/>
      <c r="J560" s="149"/>
      <c r="K560" s="4"/>
      <c r="L560" s="4"/>
      <c r="M560" s="4"/>
      <c r="N560" s="4"/>
      <c r="O560" s="4"/>
      <c r="P560" s="4"/>
      <c r="Q560" s="4"/>
      <c r="R560" s="4"/>
      <c r="S560" s="4"/>
      <c r="T560" s="148"/>
      <c r="U560" s="4"/>
      <c r="V560" s="4"/>
      <c r="W560" s="4"/>
      <c r="X560" s="142"/>
      <c r="Y560" s="638"/>
      <c r="Z560" s="464"/>
    </row>
    <row r="561" spans="2:26" ht="16" thickBot="1" x14ac:dyDescent="0.25">
      <c r="B561" s="570"/>
      <c r="C561" s="572"/>
      <c r="D561" s="4"/>
      <c r="E561" s="4"/>
      <c r="F561" s="4"/>
      <c r="G561" s="4"/>
      <c r="H561" s="4"/>
      <c r="I561" s="4"/>
      <c r="J561" s="149"/>
      <c r="K561" s="4"/>
      <c r="L561" s="4"/>
      <c r="M561" s="4"/>
      <c r="N561" s="4"/>
      <c r="O561" s="4"/>
      <c r="P561" s="4"/>
      <c r="Q561" s="4"/>
      <c r="R561" s="4"/>
      <c r="S561" s="4"/>
      <c r="T561" s="148"/>
      <c r="U561" s="4"/>
      <c r="V561" s="4"/>
      <c r="W561" s="4"/>
      <c r="X561" s="142"/>
      <c r="Y561" s="638"/>
      <c r="Z561" s="464"/>
    </row>
    <row r="562" spans="2:26" ht="16" thickBot="1" x14ac:dyDescent="0.25">
      <c r="B562" s="570"/>
      <c r="C562" s="572"/>
      <c r="D562" s="4"/>
      <c r="E562" s="4"/>
      <c r="F562" s="4"/>
      <c r="G562" s="4"/>
      <c r="H562" s="4"/>
      <c r="I562" s="4"/>
      <c r="J562" s="149"/>
      <c r="K562" s="4"/>
      <c r="L562" s="4"/>
      <c r="M562" s="4"/>
      <c r="N562" s="4"/>
      <c r="O562" s="4"/>
      <c r="P562" s="4"/>
      <c r="Q562" s="4"/>
      <c r="R562" s="4"/>
      <c r="S562" s="4"/>
      <c r="T562" s="148"/>
      <c r="U562" s="4"/>
      <c r="V562" s="4"/>
      <c r="W562" s="4"/>
      <c r="X562" s="142"/>
      <c r="Y562" s="638"/>
      <c r="Z562" s="464"/>
    </row>
    <row r="563" spans="2:26" ht="16" thickBot="1" x14ac:dyDescent="0.25">
      <c r="B563" s="570"/>
      <c r="C563" s="572"/>
      <c r="D563" s="4"/>
      <c r="E563" s="4"/>
      <c r="F563" s="4"/>
      <c r="G563" s="4"/>
      <c r="H563" s="4"/>
      <c r="I563" s="4"/>
      <c r="J563" s="149"/>
      <c r="K563" s="4"/>
      <c r="L563" s="4"/>
      <c r="M563" s="4"/>
      <c r="N563" s="4"/>
      <c r="O563" s="4"/>
      <c r="P563" s="4"/>
      <c r="Q563" s="4"/>
      <c r="R563" s="4"/>
      <c r="S563" s="4"/>
      <c r="T563" s="148"/>
      <c r="U563" s="4"/>
      <c r="V563" s="4"/>
      <c r="W563" s="4"/>
      <c r="X563" s="142"/>
      <c r="Y563" s="638"/>
      <c r="Z563" s="464"/>
    </row>
    <row r="564" spans="2:26" ht="16" thickBot="1" x14ac:dyDescent="0.25">
      <c r="B564" s="197"/>
      <c r="C564" s="257"/>
      <c r="D564" s="171">
        <f>SUM(D558:D563)</f>
        <v>0</v>
      </c>
      <c r="E564" s="171">
        <f>SUM(E558:E563)</f>
        <v>0</v>
      </c>
      <c r="F564" s="245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72"/>
      <c r="Y564" s="241"/>
      <c r="Z564" s="465"/>
    </row>
    <row r="565" spans="2:26" ht="16" thickBot="1" x14ac:dyDescent="0.25">
      <c r="B565" s="196">
        <v>45736</v>
      </c>
      <c r="C565" s="207"/>
      <c r="D565" s="8"/>
      <c r="E565" s="146"/>
      <c r="F565" s="146"/>
      <c r="G565" s="146">
        <v>800</v>
      </c>
      <c r="H565" s="146"/>
      <c r="I565" s="246"/>
      <c r="J565" s="146"/>
      <c r="K565" s="146">
        <v>4906.7299999999996</v>
      </c>
      <c r="L565" s="146"/>
      <c r="M565" s="146"/>
      <c r="N565" s="146"/>
      <c r="O565" s="146"/>
      <c r="P565" s="146"/>
      <c r="Q565" s="8"/>
      <c r="R565" s="8"/>
      <c r="S565" s="146">
        <v>7157.54</v>
      </c>
      <c r="T565" s="204"/>
      <c r="U565" s="146"/>
      <c r="V565" s="146"/>
      <c r="W565" s="146"/>
      <c r="X565" s="247"/>
      <c r="Y565" s="171">
        <f>SUM(F565:W572)</f>
        <v>12864.27</v>
      </c>
      <c r="Z565" s="196">
        <f>B565</f>
        <v>45736</v>
      </c>
    </row>
    <row r="566" spans="2:26" ht="16" thickBot="1" x14ac:dyDescent="0.25">
      <c r="B566" s="196" t="s">
        <v>23</v>
      </c>
      <c r="C566" s="7"/>
      <c r="D566" s="4"/>
      <c r="E566" s="146"/>
      <c r="F566" s="146"/>
      <c r="G566" s="146"/>
      <c r="H566" s="146"/>
      <c r="I566" s="463"/>
      <c r="J566" s="146"/>
      <c r="K566" s="146"/>
      <c r="L566" s="146"/>
      <c r="M566" s="146"/>
      <c r="N566" s="146"/>
      <c r="O566" s="146"/>
      <c r="P566" s="146"/>
      <c r="Q566" s="4"/>
      <c r="R566" s="4"/>
      <c r="S566" s="146"/>
      <c r="T566" s="204"/>
      <c r="U566" s="146"/>
      <c r="V566" s="146"/>
      <c r="W566" s="146"/>
      <c r="X566" s="247"/>
      <c r="Y566" s="240"/>
      <c r="Z566" s="196"/>
    </row>
    <row r="567" spans="2:26" ht="16" thickBot="1" x14ac:dyDescent="0.25">
      <c r="B567" s="196"/>
      <c r="C567" s="7"/>
      <c r="D567" s="4"/>
      <c r="E567" s="146"/>
      <c r="F567" s="146"/>
      <c r="G567" s="146"/>
      <c r="H567" s="146"/>
      <c r="I567" s="463"/>
      <c r="J567" s="146"/>
      <c r="K567" s="146"/>
      <c r="L567" s="146"/>
      <c r="M567" s="146"/>
      <c r="N567" s="146"/>
      <c r="O567" s="146"/>
      <c r="P567" s="146"/>
      <c r="Q567" s="4"/>
      <c r="R567" s="4"/>
      <c r="S567" s="146"/>
      <c r="T567" s="204"/>
      <c r="U567" s="146"/>
      <c r="V567" s="146"/>
      <c r="W567" s="146"/>
      <c r="X567" s="247"/>
      <c r="Y567" s="4"/>
      <c r="Z567" s="464"/>
    </row>
    <row r="568" spans="2:26" ht="16" thickBot="1" x14ac:dyDescent="0.25">
      <c r="B568" s="196"/>
      <c r="C568" s="7"/>
      <c r="D568" s="4"/>
      <c r="E568" s="146"/>
      <c r="F568" s="146"/>
      <c r="G568" s="146"/>
      <c r="H568" s="146"/>
      <c r="I568" s="463"/>
      <c r="J568" s="146"/>
      <c r="K568" s="146"/>
      <c r="L568" s="146"/>
      <c r="M568" s="146"/>
      <c r="N568" s="146"/>
      <c r="O568" s="146"/>
      <c r="P568" s="146"/>
      <c r="Q568" s="4"/>
      <c r="R568" s="4"/>
      <c r="S568" s="146"/>
      <c r="T568" s="204"/>
      <c r="U568" s="146"/>
      <c r="V568" s="146"/>
      <c r="W568" s="146"/>
      <c r="X568" s="247"/>
      <c r="Y568" s="4"/>
      <c r="Z568" s="464"/>
    </row>
    <row r="569" spans="2:26" ht="16" thickBot="1" x14ac:dyDescent="0.25">
      <c r="B569" s="198"/>
      <c r="C569" s="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150"/>
      <c r="Y569" s="4"/>
      <c r="Z569" s="465" t="s">
        <v>23</v>
      </c>
    </row>
    <row r="570" spans="2:26" ht="16" thickBot="1" x14ac:dyDescent="0.25">
      <c r="B570" s="476"/>
      <c r="C570" s="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150"/>
      <c r="Y570" s="10"/>
      <c r="Z570" s="465"/>
    </row>
    <row r="571" spans="2:26" ht="16" thickBot="1" x14ac:dyDescent="0.25">
      <c r="B571" s="476"/>
      <c r="C571" s="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150"/>
      <c r="Y571" s="10"/>
      <c r="Z571" s="465"/>
    </row>
    <row r="572" spans="2:26" ht="16" thickBot="1" x14ac:dyDescent="0.25">
      <c r="B572" s="197"/>
      <c r="C572" s="249"/>
      <c r="D572" s="171">
        <f>SUM(D565:D571)</f>
        <v>0</v>
      </c>
      <c r="E572" s="171">
        <f>SUM(E565:E571)</f>
        <v>0</v>
      </c>
      <c r="F572" s="252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250"/>
      <c r="Y572" s="251"/>
      <c r="Z572" s="198"/>
    </row>
    <row r="573" spans="2:26" ht="16" thickBot="1" x14ac:dyDescent="0.25">
      <c r="B573" s="556">
        <v>45737</v>
      </c>
      <c r="C573" s="557"/>
      <c r="D573" s="558"/>
      <c r="E573" s="558"/>
      <c r="F573" s="146"/>
      <c r="G573" s="146">
        <v>800</v>
      </c>
      <c r="H573" s="146"/>
      <c r="I573" s="246"/>
      <c r="J573" s="146"/>
      <c r="K573" s="146"/>
      <c r="L573" s="146"/>
      <c r="M573" s="146"/>
      <c r="N573" s="146"/>
      <c r="O573" s="146"/>
      <c r="P573" s="146"/>
      <c r="Q573" s="8"/>
      <c r="R573" s="8"/>
      <c r="S573" s="146"/>
      <c r="T573" s="204"/>
      <c r="U573" s="146"/>
      <c r="V573" s="146"/>
      <c r="W573" s="146"/>
      <c r="X573" s="247"/>
      <c r="Y573" s="559">
        <f>SUM(F573:W577)</f>
        <v>800</v>
      </c>
      <c r="Z573" s="560">
        <f>B573</f>
        <v>45737</v>
      </c>
    </row>
    <row r="574" spans="2:26" ht="16" thickBot="1" x14ac:dyDescent="0.25">
      <c r="B574" s="206" t="s">
        <v>24</v>
      </c>
      <c r="C574" s="6"/>
      <c r="D574" s="146"/>
      <c r="E574" s="146"/>
      <c r="F574" s="14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150"/>
      <c r="Y574" s="639"/>
      <c r="Z574" s="196"/>
    </row>
    <row r="575" spans="2:26" ht="16" thickBot="1" x14ac:dyDescent="0.25">
      <c r="B575" s="206"/>
      <c r="C575" s="6"/>
      <c r="D575" s="146"/>
      <c r="E575" s="146"/>
      <c r="F575" s="146"/>
      <c r="G575" s="146"/>
      <c r="H575" s="146"/>
      <c r="I575" s="639"/>
      <c r="J575" s="146"/>
      <c r="K575" s="146"/>
      <c r="L575" s="146"/>
      <c r="M575" s="146"/>
      <c r="N575" s="146"/>
      <c r="O575" s="146"/>
      <c r="P575" s="146"/>
      <c r="Q575" s="8"/>
      <c r="R575" s="8"/>
      <c r="S575" s="146"/>
      <c r="T575" s="146"/>
      <c r="U575" s="146"/>
      <c r="V575" s="146"/>
      <c r="W575" s="146"/>
      <c r="X575" s="709"/>
      <c r="Y575" s="639"/>
      <c r="Z575" s="196"/>
    </row>
    <row r="576" spans="2:26" ht="16" thickBot="1" x14ac:dyDescent="0.25">
      <c r="B576" s="206"/>
      <c r="C576" s="6"/>
      <c r="D576" s="146"/>
      <c r="E576" s="146"/>
      <c r="F576" s="146"/>
      <c r="G576" s="146"/>
      <c r="H576" s="146"/>
      <c r="I576" s="246"/>
      <c r="J576" s="146"/>
      <c r="K576" s="146"/>
      <c r="L576" s="146"/>
      <c r="M576" s="146"/>
      <c r="N576" s="146"/>
      <c r="O576" s="146"/>
      <c r="P576" s="146"/>
      <c r="Q576" s="8"/>
      <c r="R576" s="8"/>
      <c r="S576" s="146"/>
      <c r="T576" s="204"/>
      <c r="U576" s="146"/>
      <c r="V576" s="146"/>
      <c r="W576" s="146"/>
      <c r="X576" s="247"/>
      <c r="Y576" s="639"/>
      <c r="Z576" s="196"/>
    </row>
    <row r="577" spans="2:26" ht="16" thickBot="1" x14ac:dyDescent="0.25">
      <c r="B577" s="197"/>
      <c r="C577" s="137"/>
      <c r="D577" s="1">
        <f>SUM(D573:D576)</f>
        <v>0</v>
      </c>
      <c r="E577" s="1">
        <f>SUM(E573:E576)</f>
        <v>0</v>
      </c>
      <c r="F577" s="2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250"/>
      <c r="Y577" s="251"/>
      <c r="Z577" s="198"/>
    </row>
    <row r="578" spans="2:26" ht="16" thickBot="1" x14ac:dyDescent="0.25">
      <c r="B578" s="127">
        <v>45738</v>
      </c>
      <c r="C578" s="6"/>
      <c r="D578" s="146"/>
      <c r="E578" s="146"/>
      <c r="F578" s="146"/>
      <c r="G578" s="146"/>
      <c r="H578" s="146"/>
      <c r="I578" s="246"/>
      <c r="J578" s="146"/>
      <c r="K578" s="146"/>
      <c r="L578" s="146"/>
      <c r="M578" s="146"/>
      <c r="N578" s="146"/>
      <c r="O578" s="146"/>
      <c r="P578" s="146"/>
      <c r="Q578" s="8"/>
      <c r="R578" s="8"/>
      <c r="S578" s="146"/>
      <c r="T578" s="204"/>
      <c r="U578" s="146"/>
      <c r="V578" s="146"/>
      <c r="W578" s="146"/>
      <c r="X578" s="247"/>
      <c r="Y578" s="171">
        <f>SUM(F578:W584)</f>
        <v>0</v>
      </c>
      <c r="Z578" s="196">
        <f>B578</f>
        <v>45738</v>
      </c>
    </row>
    <row r="579" spans="2:26" ht="16" thickBot="1" x14ac:dyDescent="0.25">
      <c r="B579" s="548" t="s">
        <v>25</v>
      </c>
      <c r="C579" s="6"/>
      <c r="D579" s="4"/>
      <c r="E579" s="4"/>
      <c r="F579" s="14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150"/>
      <c r="Y579" s="639"/>
      <c r="Z579" s="196" t="s">
        <v>25</v>
      </c>
    </row>
    <row r="580" spans="2:26" ht="16" thickBot="1" x14ac:dyDescent="0.25">
      <c r="B580" s="208"/>
      <c r="C580" s="6"/>
      <c r="D580" s="4"/>
      <c r="E580" s="4"/>
      <c r="F580" s="14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150"/>
      <c r="Y580" s="639"/>
      <c r="Z580" s="196"/>
    </row>
    <row r="581" spans="2:26" ht="16" thickBot="1" x14ac:dyDescent="0.25">
      <c r="B581" s="208"/>
      <c r="C581" s="6"/>
      <c r="D581" s="4"/>
      <c r="E581" s="4"/>
      <c r="F581" s="14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150"/>
      <c r="Y581" s="639"/>
      <c r="Z581" s="196"/>
    </row>
    <row r="582" spans="2:26" ht="16" thickBot="1" x14ac:dyDescent="0.25">
      <c r="B582" s="208"/>
      <c r="C582" s="6"/>
      <c r="D582" s="4"/>
      <c r="E582" s="4"/>
      <c r="F582" s="14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150"/>
      <c r="Y582" s="639"/>
      <c r="Z582" s="196"/>
    </row>
    <row r="583" spans="2:26" ht="16" thickBot="1" x14ac:dyDescent="0.25">
      <c r="B583" s="199"/>
      <c r="C583" s="7"/>
      <c r="D583" s="143"/>
      <c r="E583" s="14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48"/>
      <c r="U583" s="4"/>
      <c r="V583" s="4"/>
      <c r="W583" s="4"/>
      <c r="X583" s="150"/>
      <c r="Y583" s="10"/>
      <c r="Z583" s="196"/>
    </row>
    <row r="584" spans="2:26" ht="16" thickBot="1" x14ac:dyDescent="0.25">
      <c r="B584" s="198"/>
      <c r="C584" s="137"/>
      <c r="D584" s="9">
        <f>SUM(D578:D583)</f>
        <v>0</v>
      </c>
      <c r="E584" s="9">
        <f>SUM(E578:E583)</f>
        <v>0</v>
      </c>
      <c r="F584" s="245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254"/>
      <c r="R584" s="144"/>
      <c r="S584" s="144"/>
      <c r="T584" s="144"/>
      <c r="U584" s="144"/>
      <c r="V584" s="144"/>
      <c r="W584" s="144"/>
      <c r="X584" s="172"/>
      <c r="Y584" s="11"/>
      <c r="Z584" s="198"/>
    </row>
    <row r="585" spans="2:26" ht="16" thickBot="1" x14ac:dyDescent="0.25">
      <c r="B585" s="196">
        <v>45739</v>
      </c>
      <c r="C585" s="6"/>
      <c r="D585" s="146"/>
      <c r="E585" s="146"/>
      <c r="F585" s="146"/>
      <c r="G585" s="146"/>
      <c r="H585" s="146"/>
      <c r="I585" s="146"/>
      <c r="J585" s="146"/>
      <c r="K585" s="146"/>
      <c r="L585" s="146">
        <v>9647.24</v>
      </c>
      <c r="M585" s="146"/>
      <c r="N585" s="146"/>
      <c r="O585" s="146"/>
      <c r="P585" s="146"/>
      <c r="Q585" s="253">
        <f>404.91+249.95</f>
        <v>654.86</v>
      </c>
      <c r="R585" s="253"/>
      <c r="S585" s="146"/>
      <c r="T585" s="204"/>
      <c r="U585" s="146"/>
      <c r="V585" s="146"/>
      <c r="W585" s="146"/>
      <c r="X585" s="182"/>
      <c r="Y585" s="1">
        <f>SUM(F585:W588)</f>
        <v>10302.1</v>
      </c>
      <c r="Z585" s="196">
        <f>B585</f>
        <v>45739</v>
      </c>
    </row>
    <row r="586" spans="2:26" ht="16" thickBot="1" x14ac:dyDescent="0.25">
      <c r="B586" s="198" t="s">
        <v>26</v>
      </c>
      <c r="C586" s="5"/>
      <c r="D586" s="4"/>
      <c r="E586" s="4"/>
      <c r="F586" s="4"/>
      <c r="G586" s="15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150"/>
      <c r="Y586" s="12"/>
      <c r="Z586" s="198" t="s">
        <v>26</v>
      </c>
    </row>
    <row r="587" spans="2:26" ht="16" thickBot="1" x14ac:dyDescent="0.25">
      <c r="B587" s="268"/>
      <c r="C587" s="152"/>
      <c r="D587" s="143"/>
      <c r="E587" s="14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150"/>
      <c r="Y587" s="10"/>
      <c r="Z587" s="268"/>
    </row>
    <row r="588" spans="2:26" ht="16" thickBot="1" x14ac:dyDescent="0.25">
      <c r="B588" s="267"/>
      <c r="C588" s="255"/>
      <c r="D588" s="1">
        <f>SUM(D585:D587)</f>
        <v>0</v>
      </c>
      <c r="E588" s="1">
        <f>SUM(E585:E587)</f>
        <v>0</v>
      </c>
      <c r="F588" s="245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72"/>
      <c r="Y588" s="248"/>
      <c r="Z588" s="268"/>
    </row>
    <row r="589" spans="2:26" x14ac:dyDescent="0.2">
      <c r="B589" s="101"/>
      <c r="C589" s="243"/>
      <c r="D589" s="242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8"/>
      <c r="Z589" s="130"/>
    </row>
    <row r="590" spans="2:26" ht="16" thickBot="1" x14ac:dyDescent="0.25">
      <c r="B590" s="101"/>
      <c r="C590" s="243"/>
      <c r="D590" s="189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2"/>
      <c r="Z590" s="128"/>
    </row>
    <row r="591" spans="2:26" ht="16" thickBot="1" x14ac:dyDescent="0.25">
      <c r="B591" s="101"/>
      <c r="C591" s="101"/>
      <c r="D591" s="105">
        <f>SUM(D588,D584,D577,D572,D564,D557,D551)</f>
        <v>0</v>
      </c>
      <c r="E591" s="105">
        <f>SUM(E588,E584,E577,E572,E564,E557,E551)</f>
        <v>0</v>
      </c>
      <c r="F591" s="104">
        <f t="shared" ref="F591:S591" si="11">SUM(F545:F590)</f>
        <v>0</v>
      </c>
      <c r="G591" s="103">
        <f t="shared" si="11"/>
        <v>5200.37</v>
      </c>
      <c r="H591" s="103">
        <f t="shared" si="11"/>
        <v>0</v>
      </c>
      <c r="I591" s="103">
        <f t="shared" si="11"/>
        <v>18571.13</v>
      </c>
      <c r="J591" s="103">
        <f t="shared" si="11"/>
        <v>0</v>
      </c>
      <c r="K591" s="103">
        <f t="shared" si="11"/>
        <v>4906.7299999999996</v>
      </c>
      <c r="L591" s="103">
        <f t="shared" si="11"/>
        <v>25320.339999999997</v>
      </c>
      <c r="M591" s="103">
        <f t="shared" si="11"/>
        <v>0</v>
      </c>
      <c r="N591" s="103">
        <f t="shared" si="11"/>
        <v>778</v>
      </c>
      <c r="O591" s="103">
        <f t="shared" si="11"/>
        <v>0</v>
      </c>
      <c r="P591" s="103">
        <f t="shared" si="11"/>
        <v>0</v>
      </c>
      <c r="Q591" s="103">
        <f t="shared" si="11"/>
        <v>1329.71</v>
      </c>
      <c r="R591" s="103">
        <f t="shared" si="11"/>
        <v>0</v>
      </c>
      <c r="S591" s="103">
        <f t="shared" si="11"/>
        <v>7157.54</v>
      </c>
      <c r="T591" s="103"/>
      <c r="U591" s="103">
        <f>SUM(U551:U590)</f>
        <v>0</v>
      </c>
      <c r="V591" s="103">
        <f>SUM(V545:V590)</f>
        <v>0</v>
      </c>
      <c r="W591" s="103">
        <f>SUM(W545:W590)</f>
        <v>5353.95</v>
      </c>
      <c r="X591" s="153"/>
      <c r="Y591" s="155">
        <f>SUM(Y545:Y588)</f>
        <v>68617.77</v>
      </c>
      <c r="Z591" s="129"/>
    </row>
    <row r="592" spans="2:26" ht="27" thickBot="1" x14ac:dyDescent="0.25">
      <c r="B592" s="101"/>
      <c r="C592" s="154" t="s">
        <v>0</v>
      </c>
      <c r="D592" s="154" t="s">
        <v>1</v>
      </c>
      <c r="E592" s="154" t="s">
        <v>2</v>
      </c>
      <c r="F592" s="154" t="s">
        <v>3</v>
      </c>
      <c r="G592" s="154" t="s">
        <v>4</v>
      </c>
      <c r="H592" s="154" t="s">
        <v>5</v>
      </c>
      <c r="I592" s="154" t="s">
        <v>6</v>
      </c>
      <c r="J592" s="154" t="s">
        <v>7</v>
      </c>
      <c r="K592" s="154" t="s">
        <v>8</v>
      </c>
      <c r="L592" s="154" t="s">
        <v>9</v>
      </c>
      <c r="M592" s="154" t="s">
        <v>309</v>
      </c>
      <c r="N592" s="154" t="s">
        <v>11</v>
      </c>
      <c r="O592" s="154" t="s">
        <v>12</v>
      </c>
      <c r="P592" s="154" t="s">
        <v>13</v>
      </c>
      <c r="Q592" s="154" t="s">
        <v>14</v>
      </c>
      <c r="R592" s="154" t="s">
        <v>15</v>
      </c>
      <c r="S592" s="154" t="s">
        <v>311</v>
      </c>
      <c r="T592" s="154" t="s">
        <v>16</v>
      </c>
      <c r="U592" s="154" t="s">
        <v>403</v>
      </c>
      <c r="V592" s="154" t="s">
        <v>17</v>
      </c>
      <c r="W592" s="154" t="s">
        <v>18</v>
      </c>
      <c r="X592" s="154"/>
      <c r="Y592" s="154" t="s">
        <v>19</v>
      </c>
      <c r="Z592" s="126"/>
    </row>
    <row r="593" spans="2:26" ht="16" thickBot="1" x14ac:dyDescent="0.25">
      <c r="B593" s="101"/>
      <c r="C593" s="101"/>
      <c r="D593" s="101"/>
      <c r="E593" s="727" t="str">
        <f>M593</f>
        <v>17 - 23 MARCH 2025</v>
      </c>
      <c r="F593" s="719"/>
      <c r="G593" s="719"/>
      <c r="H593" s="720"/>
      <c r="I593" s="101"/>
      <c r="J593" s="101"/>
      <c r="K593" s="101"/>
      <c r="L593" s="101"/>
      <c r="M593" s="727" t="str">
        <f>V593</f>
        <v>17 - 23 MARCH 2025</v>
      </c>
      <c r="N593" s="719"/>
      <c r="O593" s="719"/>
      <c r="P593" s="720"/>
      <c r="Q593" s="101"/>
      <c r="R593" s="101"/>
      <c r="S593" s="101"/>
      <c r="T593" s="101"/>
      <c r="U593" s="101"/>
      <c r="V593" s="727" t="str">
        <f>V543</f>
        <v>17 - 23 MARCH 2025</v>
      </c>
      <c r="W593" s="719"/>
      <c r="X593" s="719"/>
      <c r="Y593" s="720"/>
      <c r="Z593" s="101"/>
    </row>
    <row r="594" spans="2:26" ht="16" thickBot="1" x14ac:dyDescent="0.25"/>
    <row r="595" spans="2:26" ht="16" thickBot="1" x14ac:dyDescent="0.25">
      <c r="E595" s="718" t="s">
        <v>890</v>
      </c>
      <c r="F595" s="719"/>
      <c r="G595" s="719"/>
      <c r="H595" s="720"/>
      <c r="K595" s="106"/>
      <c r="L595" s="106"/>
      <c r="M595" s="721" t="str">
        <f>E595</f>
        <v>24 - 30 march 2025</v>
      </c>
      <c r="N595" s="722"/>
      <c r="O595" s="722"/>
      <c r="P595" s="723"/>
      <c r="Q595" s="106"/>
      <c r="R595" s="106"/>
      <c r="S595" s="106"/>
      <c r="T595" s="106"/>
      <c r="U595" s="106"/>
      <c r="V595" s="724" t="str">
        <f>M595</f>
        <v>24 - 30 march 2025</v>
      </c>
      <c r="W595" s="725"/>
      <c r="X595" s="725"/>
      <c r="Y595" s="726"/>
      <c r="Z595" s="106"/>
    </row>
    <row r="596" spans="2:26" ht="27" thickBot="1" x14ac:dyDescent="0.25">
      <c r="C596" s="126" t="s">
        <v>0</v>
      </c>
      <c r="D596" s="135" t="s">
        <v>1</v>
      </c>
      <c r="E596" s="258" t="s">
        <v>2</v>
      </c>
      <c r="F596" s="259" t="s">
        <v>3</v>
      </c>
      <c r="G596" s="260" t="s">
        <v>4</v>
      </c>
      <c r="H596" s="261" t="s">
        <v>5</v>
      </c>
      <c r="I596" s="262" t="s">
        <v>6</v>
      </c>
      <c r="J596" s="262" t="s">
        <v>7</v>
      </c>
      <c r="K596" s="262" t="s">
        <v>8</v>
      </c>
      <c r="L596" s="262" t="s">
        <v>9</v>
      </c>
      <c r="M596" s="262" t="s">
        <v>10</v>
      </c>
      <c r="N596" s="262" t="s">
        <v>11</v>
      </c>
      <c r="O596" s="262" t="s">
        <v>12</v>
      </c>
      <c r="P596" s="262" t="s">
        <v>13</v>
      </c>
      <c r="Q596" s="262" t="s">
        <v>14</v>
      </c>
      <c r="R596" s="262" t="s">
        <v>15</v>
      </c>
      <c r="S596" s="262" t="s">
        <v>311</v>
      </c>
      <c r="T596" s="262" t="s">
        <v>16</v>
      </c>
      <c r="U596" s="154" t="s">
        <v>403</v>
      </c>
      <c r="V596" s="263" t="s">
        <v>17</v>
      </c>
      <c r="W596" s="263" t="s">
        <v>18</v>
      </c>
      <c r="X596" s="264"/>
      <c r="Y596" s="265" t="s">
        <v>19</v>
      </c>
      <c r="Z596" s="266"/>
    </row>
    <row r="597" spans="2:26" ht="16" thickBot="1" x14ac:dyDescent="0.25">
      <c r="B597" s="196">
        <v>45740</v>
      </c>
      <c r="C597" s="136"/>
      <c r="D597" s="139"/>
      <c r="E597" s="139"/>
      <c r="F597" s="139"/>
      <c r="G597" s="139"/>
      <c r="H597" s="139"/>
      <c r="I597" s="139"/>
      <c r="J597" s="139"/>
      <c r="K597" s="139"/>
      <c r="L597" s="139">
        <v>7646.45</v>
      </c>
      <c r="M597" s="139"/>
      <c r="N597" s="139"/>
      <c r="O597" s="139"/>
      <c r="P597" s="139"/>
      <c r="Q597" s="139">
        <v>404.91</v>
      </c>
      <c r="R597" s="139"/>
      <c r="S597" s="139"/>
      <c r="T597" s="140"/>
      <c r="U597" s="139"/>
      <c r="V597" s="139"/>
      <c r="W597" s="139">
        <v>91.99</v>
      </c>
      <c r="X597" s="141" t="s">
        <v>411</v>
      </c>
      <c r="Y597" s="239">
        <f>SUM(F597:X601)</f>
        <v>8444.48</v>
      </c>
      <c r="Z597" s="269">
        <f>B597</f>
        <v>45740</v>
      </c>
    </row>
    <row r="598" spans="2:26" ht="16" thickBot="1" x14ac:dyDescent="0.25">
      <c r="B598" s="196" t="s">
        <v>20</v>
      </c>
      <c r="C598" s="203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204"/>
      <c r="U598" s="146"/>
      <c r="V598" s="146"/>
      <c r="W598" s="146">
        <v>301.13</v>
      </c>
      <c r="X598" s="182" t="s">
        <v>279</v>
      </c>
      <c r="Y598" s="191"/>
      <c r="Z598" s="196" t="s">
        <v>20</v>
      </c>
    </row>
    <row r="599" spans="2:26" ht="16" thickBot="1" x14ac:dyDescent="0.25">
      <c r="B599" s="196"/>
      <c r="C599" s="203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204"/>
      <c r="U599" s="146"/>
      <c r="V599" s="146"/>
      <c r="W599" s="146"/>
      <c r="X599" s="182"/>
      <c r="Y599" s="191"/>
      <c r="Z599" s="196"/>
    </row>
    <row r="600" spans="2:26" ht="16" thickBot="1" x14ac:dyDescent="0.25">
      <c r="B600" s="206"/>
      <c r="C600" s="632"/>
      <c r="D600" s="4"/>
      <c r="E600" s="4"/>
      <c r="F600" s="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633"/>
      <c r="U600" s="8"/>
      <c r="V600" s="8"/>
      <c r="W600" s="8"/>
      <c r="X600" s="634"/>
      <c r="Y600" s="635"/>
      <c r="Z600" s="196"/>
    </row>
    <row r="601" spans="2:26" ht="16" thickBot="1" x14ac:dyDescent="0.25">
      <c r="B601" s="197"/>
      <c r="C601" s="137"/>
      <c r="D601" s="171">
        <f>SUM(D597:D599)</f>
        <v>0</v>
      </c>
      <c r="E601" s="658">
        <f>SUM(E597:E599)</f>
        <v>0</v>
      </c>
      <c r="F601" s="659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5"/>
      <c r="Y601" s="138"/>
      <c r="Z601" s="198"/>
    </row>
    <row r="602" spans="2:26" ht="16" thickBot="1" x14ac:dyDescent="0.25">
      <c r="B602" s="196">
        <v>45741</v>
      </c>
      <c r="C602" s="6"/>
      <c r="D602" s="146"/>
      <c r="E602" s="146"/>
      <c r="F602" s="139"/>
      <c r="G602" s="139">
        <f>1299.61+500+81+81</f>
        <v>1961.61</v>
      </c>
      <c r="H602" s="139"/>
      <c r="I602" s="139"/>
      <c r="J602" s="574"/>
      <c r="K602" s="139">
        <v>575</v>
      </c>
      <c r="L602" s="139">
        <v>8418.33</v>
      </c>
      <c r="M602" s="139"/>
      <c r="N602" s="139">
        <v>1327.8</v>
      </c>
      <c r="O602" s="139"/>
      <c r="P602" s="139">
        <f>180+76</f>
        <v>256</v>
      </c>
      <c r="Q602" s="139">
        <v>404.91</v>
      </c>
      <c r="R602" s="139"/>
      <c r="S602" s="139"/>
      <c r="T602" s="140"/>
      <c r="U602" s="139"/>
      <c r="V602" s="139">
        <v>600</v>
      </c>
      <c r="W602" s="139">
        <v>50</v>
      </c>
      <c r="X602" s="575" t="s">
        <v>377</v>
      </c>
      <c r="Y602" s="238">
        <f>SUM(F602:W607)</f>
        <v>14171.649999999998</v>
      </c>
      <c r="Z602" s="196">
        <f>B602</f>
        <v>45741</v>
      </c>
    </row>
    <row r="603" spans="2:26" ht="16" thickBot="1" x14ac:dyDescent="0.25">
      <c r="B603" s="196" t="s">
        <v>21</v>
      </c>
      <c r="C603" s="6"/>
      <c r="D603" s="146"/>
      <c r="E603" s="146"/>
      <c r="F603" s="4"/>
      <c r="G603" s="4"/>
      <c r="H603" s="4"/>
      <c r="I603" s="4"/>
      <c r="J603" s="149"/>
      <c r="K603" s="4"/>
      <c r="L603" s="4"/>
      <c r="M603" s="4"/>
      <c r="N603" s="4"/>
      <c r="O603" s="4"/>
      <c r="P603" s="4"/>
      <c r="Q603" s="4"/>
      <c r="R603" s="4"/>
      <c r="S603" s="4"/>
      <c r="T603" s="148"/>
      <c r="U603" s="4"/>
      <c r="V603" s="4"/>
      <c r="W603" s="4">
        <v>98</v>
      </c>
      <c r="X603" s="142" t="s">
        <v>411</v>
      </c>
      <c r="Y603" s="191"/>
      <c r="Z603" s="196" t="s">
        <v>21</v>
      </c>
    </row>
    <row r="604" spans="2:26" ht="16" thickBot="1" x14ac:dyDescent="0.25">
      <c r="B604" s="196"/>
      <c r="C604" s="6"/>
      <c r="D604" s="4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78"/>
      <c r="U604" s="12"/>
      <c r="V604" s="12"/>
      <c r="W604" s="146">
        <v>480</v>
      </c>
      <c r="X604" s="147" t="s">
        <v>396</v>
      </c>
      <c r="Y604" s="191"/>
      <c r="Z604" s="196"/>
    </row>
    <row r="605" spans="2:26" ht="16" thickBot="1" x14ac:dyDescent="0.25">
      <c r="B605" s="662"/>
      <c r="C605" s="57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79"/>
      <c r="U605" s="4"/>
      <c r="V605" s="4"/>
      <c r="W605" s="4"/>
      <c r="X605" s="142"/>
      <c r="Y605" s="643"/>
      <c r="Z605" s="196"/>
    </row>
    <row r="606" spans="2:26" ht="16" thickBot="1" x14ac:dyDescent="0.25">
      <c r="B606" s="662"/>
      <c r="C606" s="57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79"/>
      <c r="U606" s="4"/>
      <c r="V606" s="4"/>
      <c r="W606" s="4"/>
      <c r="X606" s="142"/>
      <c r="Y606" s="643"/>
      <c r="Z606" s="196"/>
    </row>
    <row r="607" spans="2:26" ht="16" thickBot="1" x14ac:dyDescent="0.25">
      <c r="B607" s="476"/>
      <c r="C607" s="663"/>
      <c r="D607" s="664">
        <f>SUM(D602:D604)</f>
        <v>0</v>
      </c>
      <c r="E607" s="664">
        <f>SUM(E602:E604)</f>
        <v>0</v>
      </c>
      <c r="F607" s="66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642"/>
      <c r="U607" s="642"/>
      <c r="V607" s="642"/>
      <c r="W607" s="8"/>
      <c r="X607" s="666"/>
      <c r="Y607" s="571"/>
      <c r="Z607" s="198"/>
    </row>
    <row r="608" spans="2:26" ht="16" thickBot="1" x14ac:dyDescent="0.25">
      <c r="B608" s="570">
        <v>45742</v>
      </c>
      <c r="C608" s="573"/>
      <c r="D608" s="139"/>
      <c r="E608" s="139"/>
      <c r="F608" s="4"/>
      <c r="G608" s="4">
        <v>800</v>
      </c>
      <c r="H608" s="4"/>
      <c r="I608" s="68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48"/>
      <c r="U608" s="4"/>
      <c r="V608" s="4"/>
      <c r="W608" s="4"/>
      <c r="X608" s="689"/>
      <c r="Y608" s="576">
        <f>SUM(F608:X614)</f>
        <v>800</v>
      </c>
      <c r="Z608" s="464">
        <f>B608</f>
        <v>45742</v>
      </c>
    </row>
    <row r="609" spans="2:26" ht="16" thickBot="1" x14ac:dyDescent="0.25">
      <c r="B609" s="570" t="s">
        <v>22</v>
      </c>
      <c r="C609" s="572"/>
      <c r="D609" s="4"/>
      <c r="E609" s="4"/>
      <c r="F609" s="4"/>
      <c r="G609" s="4"/>
      <c r="H609" s="4"/>
      <c r="I609" s="4"/>
      <c r="J609" s="149"/>
      <c r="K609" s="4"/>
      <c r="L609" s="4"/>
      <c r="M609" s="4"/>
      <c r="N609" s="4"/>
      <c r="O609" s="4"/>
      <c r="P609" s="4"/>
      <c r="Q609" s="4"/>
      <c r="R609" s="4"/>
      <c r="S609" s="4"/>
      <c r="T609" s="148"/>
      <c r="U609" s="4"/>
      <c r="V609" s="4"/>
      <c r="W609" s="4"/>
      <c r="X609" s="142"/>
      <c r="Y609" s="638"/>
      <c r="Z609" s="464"/>
    </row>
    <row r="610" spans="2:26" ht="16" thickBot="1" x14ac:dyDescent="0.25">
      <c r="B610" s="570"/>
      <c r="C610" s="572"/>
      <c r="D610" s="4"/>
      <c r="E610" s="4"/>
      <c r="F610" s="4"/>
      <c r="G610" s="4"/>
      <c r="H610" s="4"/>
      <c r="I610" s="4"/>
      <c r="J610" s="149"/>
      <c r="K610" s="4"/>
      <c r="L610" s="4"/>
      <c r="M610" s="4"/>
      <c r="N610" s="4"/>
      <c r="O610" s="4"/>
      <c r="P610" s="4"/>
      <c r="Q610" s="4"/>
      <c r="R610" s="4"/>
      <c r="S610" s="4"/>
      <c r="T610" s="148"/>
      <c r="U610" s="4"/>
      <c r="V610" s="4"/>
      <c r="W610" s="4"/>
      <c r="X610" s="142"/>
      <c r="Y610" s="638"/>
      <c r="Z610" s="464"/>
    </row>
    <row r="611" spans="2:26" ht="16" thickBot="1" x14ac:dyDescent="0.25">
      <c r="B611" s="570"/>
      <c r="C611" s="572"/>
      <c r="D611" s="4"/>
      <c r="E611" s="4"/>
      <c r="F611" s="4"/>
      <c r="G611" s="4"/>
      <c r="H611" s="4"/>
      <c r="I611" s="4"/>
      <c r="J611" s="149"/>
      <c r="K611" s="4"/>
      <c r="L611" s="4"/>
      <c r="M611" s="4"/>
      <c r="N611" s="4"/>
      <c r="O611" s="4"/>
      <c r="P611" s="4"/>
      <c r="Q611" s="4"/>
      <c r="R611" s="4"/>
      <c r="S611" s="4"/>
      <c r="T611" s="148"/>
      <c r="U611" s="4"/>
      <c r="V611" s="4"/>
      <c r="W611" s="4"/>
      <c r="X611" s="142"/>
      <c r="Y611" s="638"/>
      <c r="Z611" s="464"/>
    </row>
    <row r="612" spans="2:26" ht="16" thickBot="1" x14ac:dyDescent="0.25">
      <c r="B612" s="570"/>
      <c r="C612" s="572"/>
      <c r="D612" s="4"/>
      <c r="E612" s="4"/>
      <c r="F612" s="4"/>
      <c r="G612" s="4"/>
      <c r="H612" s="4"/>
      <c r="I612" s="4"/>
      <c r="J612" s="149"/>
      <c r="K612" s="4"/>
      <c r="L612" s="4"/>
      <c r="M612" s="4"/>
      <c r="N612" s="4"/>
      <c r="O612" s="4"/>
      <c r="P612" s="4"/>
      <c r="Q612" s="4"/>
      <c r="R612" s="4"/>
      <c r="S612" s="4"/>
      <c r="T612" s="148"/>
      <c r="U612" s="4"/>
      <c r="V612" s="4"/>
      <c r="W612" s="4"/>
      <c r="X612" s="142"/>
      <c r="Y612" s="638"/>
      <c r="Z612" s="464"/>
    </row>
    <row r="613" spans="2:26" ht="16" thickBot="1" x14ac:dyDescent="0.25">
      <c r="B613" s="570"/>
      <c r="C613" s="572"/>
      <c r="D613" s="4"/>
      <c r="E613" s="4"/>
      <c r="F613" s="4"/>
      <c r="G613" s="4"/>
      <c r="H613" s="4"/>
      <c r="I613" s="4"/>
      <c r="J613" s="149"/>
      <c r="K613" s="4"/>
      <c r="L613" s="4"/>
      <c r="M613" s="4"/>
      <c r="N613" s="4"/>
      <c r="O613" s="4"/>
      <c r="P613" s="4"/>
      <c r="Q613" s="4"/>
      <c r="R613" s="4"/>
      <c r="S613" s="4"/>
      <c r="T613" s="148"/>
      <c r="U613" s="4"/>
      <c r="V613" s="4"/>
      <c r="W613" s="4"/>
      <c r="X613" s="142"/>
      <c r="Y613" s="638"/>
      <c r="Z613" s="464"/>
    </row>
    <row r="614" spans="2:26" ht="16" thickBot="1" x14ac:dyDescent="0.25">
      <c r="B614" s="197"/>
      <c r="C614" s="257"/>
      <c r="D614" s="171">
        <f>SUM(D608:D613)</f>
        <v>0</v>
      </c>
      <c r="E614" s="171">
        <f>SUM(E608:E613)</f>
        <v>0</v>
      </c>
      <c r="F614" s="245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72"/>
      <c r="Y614" s="241"/>
      <c r="Z614" s="465"/>
    </row>
    <row r="615" spans="2:26" ht="16" thickBot="1" x14ac:dyDescent="0.25">
      <c r="B615" s="196">
        <v>45743</v>
      </c>
      <c r="C615" s="207"/>
      <c r="D615" s="8"/>
      <c r="E615" s="146"/>
      <c r="F615" s="146"/>
      <c r="G615" s="146">
        <v>800</v>
      </c>
      <c r="H615" s="146"/>
      <c r="I615" s="246"/>
      <c r="J615" s="146"/>
      <c r="K615" s="146"/>
      <c r="L615" s="146">
        <v>7935.61</v>
      </c>
      <c r="M615" s="146"/>
      <c r="N615" s="146"/>
      <c r="O615" s="146"/>
      <c r="P615" s="146"/>
      <c r="Q615" s="8">
        <v>404.91</v>
      </c>
      <c r="R615" s="8"/>
      <c r="S615" s="146">
        <v>7157.54</v>
      </c>
      <c r="T615" s="204"/>
      <c r="U615" s="146"/>
      <c r="V615" s="146"/>
      <c r="W615" s="146">
        <v>50</v>
      </c>
      <c r="X615" s="247" t="s">
        <v>338</v>
      </c>
      <c r="Y615" s="171">
        <f>SUM(F615:W622)</f>
        <v>16348.060000000001</v>
      </c>
      <c r="Z615" s="196">
        <f>B615</f>
        <v>45743</v>
      </c>
    </row>
    <row r="616" spans="2:26" ht="16" thickBot="1" x14ac:dyDescent="0.25">
      <c r="B616" s="196" t="s">
        <v>23</v>
      </c>
      <c r="C616" s="7"/>
      <c r="D616" s="4"/>
      <c r="E616" s="146"/>
      <c r="F616" s="146"/>
      <c r="G616" s="146"/>
      <c r="H616" s="146"/>
      <c r="I616" s="463"/>
      <c r="J616" s="146"/>
      <c r="K616" s="146"/>
      <c r="L616" s="146"/>
      <c r="M616" s="146"/>
      <c r="N616" s="146"/>
      <c r="O616" s="146"/>
      <c r="P616" s="146"/>
      <c r="Q616" s="4"/>
      <c r="R616" s="4"/>
      <c r="S616" s="146"/>
      <c r="T616" s="204"/>
      <c r="U616" s="146"/>
      <c r="V616" s="146"/>
      <c r="W616" s="146"/>
      <c r="X616" s="247"/>
      <c r="Y616" s="240"/>
      <c r="Z616" s="196"/>
    </row>
    <row r="617" spans="2:26" ht="16" thickBot="1" x14ac:dyDescent="0.25">
      <c r="B617" s="196"/>
      <c r="C617" s="7"/>
      <c r="D617" s="4"/>
      <c r="E617" s="146"/>
      <c r="F617" s="146"/>
      <c r="G617" s="146"/>
      <c r="H617" s="146"/>
      <c r="I617" s="463"/>
      <c r="J617" s="146"/>
      <c r="K617" s="146"/>
      <c r="L617" s="146"/>
      <c r="M617" s="146"/>
      <c r="N617" s="146"/>
      <c r="O617" s="146"/>
      <c r="P617" s="146"/>
      <c r="Q617" s="4"/>
      <c r="R617" s="4"/>
      <c r="S617" s="146"/>
      <c r="T617" s="204"/>
      <c r="U617" s="146"/>
      <c r="V617" s="146"/>
      <c r="W617" s="146"/>
      <c r="X617" s="247"/>
      <c r="Y617" s="4"/>
      <c r="Z617" s="464"/>
    </row>
    <row r="618" spans="2:26" ht="16" thickBot="1" x14ac:dyDescent="0.25">
      <c r="B618" s="196"/>
      <c r="C618" s="7"/>
      <c r="D618" s="4"/>
      <c r="E618" s="146"/>
      <c r="F618" s="146"/>
      <c r="G618" s="146"/>
      <c r="H618" s="146"/>
      <c r="I618" s="463"/>
      <c r="J618" s="146"/>
      <c r="K618" s="146"/>
      <c r="L618" s="146"/>
      <c r="M618" s="146"/>
      <c r="N618" s="146"/>
      <c r="O618" s="146"/>
      <c r="P618" s="146"/>
      <c r="Q618" s="4"/>
      <c r="R618" s="4"/>
      <c r="S618" s="146"/>
      <c r="T618" s="204"/>
      <c r="U618" s="146"/>
      <c r="V618" s="146"/>
      <c r="W618" s="146"/>
      <c r="X618" s="247"/>
      <c r="Y618" s="4"/>
      <c r="Z618" s="464"/>
    </row>
    <row r="619" spans="2:26" ht="16" thickBot="1" x14ac:dyDescent="0.25">
      <c r="B619" s="198"/>
      <c r="C619" s="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150"/>
      <c r="Y619" s="4"/>
      <c r="Z619" s="465" t="s">
        <v>23</v>
      </c>
    </row>
    <row r="620" spans="2:26" ht="16" thickBot="1" x14ac:dyDescent="0.25">
      <c r="B620" s="476"/>
      <c r="C620" s="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150"/>
      <c r="Y620" s="10"/>
      <c r="Z620" s="465"/>
    </row>
    <row r="621" spans="2:26" ht="16" thickBot="1" x14ac:dyDescent="0.25">
      <c r="B621" s="476"/>
      <c r="C621" s="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150"/>
      <c r="Y621" s="10"/>
      <c r="Z621" s="465"/>
    </row>
    <row r="622" spans="2:26" ht="16" thickBot="1" x14ac:dyDescent="0.25">
      <c r="B622" s="197"/>
      <c r="C622" s="249"/>
      <c r="D622" s="171">
        <f>SUM(D615:D621)</f>
        <v>0</v>
      </c>
      <c r="E622" s="171">
        <f>SUM(E615:E621)</f>
        <v>0</v>
      </c>
      <c r="F622" s="252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250"/>
      <c r="Y622" s="251"/>
      <c r="Z622" s="198"/>
    </row>
    <row r="623" spans="2:26" ht="16" thickBot="1" x14ac:dyDescent="0.25">
      <c r="B623" s="556">
        <v>45744</v>
      </c>
      <c r="C623" s="557"/>
      <c r="D623" s="558"/>
      <c r="E623" s="558"/>
      <c r="F623" s="146"/>
      <c r="G623" s="146">
        <v>800</v>
      </c>
      <c r="H623" s="146"/>
      <c r="I623" s="246">
        <v>4358.5</v>
      </c>
      <c r="J623" s="146"/>
      <c r="K623" s="146"/>
      <c r="L623" s="146"/>
      <c r="M623" s="146"/>
      <c r="N623" s="146"/>
      <c r="O623" s="146"/>
      <c r="P623" s="146"/>
      <c r="Q623" s="8"/>
      <c r="R623" s="8"/>
      <c r="S623" s="146"/>
      <c r="T623" s="204"/>
      <c r="U623" s="146"/>
      <c r="V623" s="146"/>
      <c r="W623" s="146">
        <v>360</v>
      </c>
      <c r="X623" s="247" t="s">
        <v>637</v>
      </c>
      <c r="Y623" s="559">
        <f>SUM(F623:W627)</f>
        <v>5518.5</v>
      </c>
      <c r="Z623" s="560">
        <f>B623</f>
        <v>45744</v>
      </c>
    </row>
    <row r="624" spans="2:26" ht="16" thickBot="1" x14ac:dyDescent="0.25">
      <c r="B624" s="206" t="s">
        <v>24</v>
      </c>
      <c r="C624" s="6"/>
      <c r="D624" s="146"/>
      <c r="E624" s="146"/>
      <c r="F624" s="14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150"/>
      <c r="Y624" s="639"/>
      <c r="Z624" s="196"/>
    </row>
    <row r="625" spans="2:26" ht="16" thickBot="1" x14ac:dyDescent="0.25">
      <c r="B625" s="206"/>
      <c r="C625" s="6"/>
      <c r="D625" s="146"/>
      <c r="E625" s="146"/>
      <c r="F625" s="146"/>
      <c r="G625" s="146"/>
      <c r="H625" s="146"/>
      <c r="I625" s="639"/>
      <c r="J625" s="146"/>
      <c r="K625" s="146"/>
      <c r="L625" s="146"/>
      <c r="M625" s="146"/>
      <c r="N625" s="146"/>
      <c r="O625" s="146"/>
      <c r="P625" s="146"/>
      <c r="Q625" s="8"/>
      <c r="R625" s="8"/>
      <c r="S625" s="146"/>
      <c r="T625" s="146"/>
      <c r="U625" s="146"/>
      <c r="V625" s="146"/>
      <c r="W625" s="146"/>
      <c r="X625" s="709"/>
      <c r="Y625" s="639"/>
      <c r="Z625" s="196"/>
    </row>
    <row r="626" spans="2:26" ht="16" thickBot="1" x14ac:dyDescent="0.25">
      <c r="B626" s="206"/>
      <c r="C626" s="6"/>
      <c r="D626" s="146"/>
      <c r="E626" s="146"/>
      <c r="F626" s="146"/>
      <c r="G626" s="146"/>
      <c r="H626" s="146"/>
      <c r="I626" s="246"/>
      <c r="J626" s="146"/>
      <c r="K626" s="146"/>
      <c r="L626" s="146"/>
      <c r="M626" s="146"/>
      <c r="N626" s="146"/>
      <c r="O626" s="146"/>
      <c r="P626" s="146"/>
      <c r="Q626" s="8"/>
      <c r="R626" s="8"/>
      <c r="S626" s="146"/>
      <c r="T626" s="204"/>
      <c r="U626" s="146"/>
      <c r="V626" s="146"/>
      <c r="W626" s="146"/>
      <c r="X626" s="247"/>
      <c r="Y626" s="639"/>
      <c r="Z626" s="196"/>
    </row>
    <row r="627" spans="2:26" ht="16" thickBot="1" x14ac:dyDescent="0.25">
      <c r="B627" s="197"/>
      <c r="C627" s="137"/>
      <c r="D627" s="1">
        <f>SUM(D623:D626)</f>
        <v>0</v>
      </c>
      <c r="E627" s="1">
        <f>SUM(E623:E626)</f>
        <v>0</v>
      </c>
      <c r="F627" s="2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250"/>
      <c r="Y627" s="251"/>
      <c r="Z627" s="198"/>
    </row>
    <row r="628" spans="2:26" ht="16" thickBot="1" x14ac:dyDescent="0.25">
      <c r="B628" s="127">
        <v>45745</v>
      </c>
      <c r="C628" s="6"/>
      <c r="D628" s="146"/>
      <c r="E628" s="146"/>
      <c r="F628" s="146">
        <v>1500</v>
      </c>
      <c r="G628" s="146"/>
      <c r="H628" s="146"/>
      <c r="I628" s="246"/>
      <c r="J628" s="146"/>
      <c r="K628" s="146"/>
      <c r="L628" s="146">
        <v>10379.52</v>
      </c>
      <c r="M628" s="146"/>
      <c r="N628" s="146"/>
      <c r="O628" s="146">
        <f>9335+6900</f>
        <v>16235</v>
      </c>
      <c r="P628" s="146"/>
      <c r="Q628" s="8">
        <v>449.9</v>
      </c>
      <c r="R628" s="8"/>
      <c r="S628" s="146"/>
      <c r="T628" s="204"/>
      <c r="U628" s="146"/>
      <c r="V628" s="146"/>
      <c r="W628" s="146"/>
      <c r="X628" s="247"/>
      <c r="Y628" s="171">
        <f>SUM(F628:W634)</f>
        <v>28564.420000000002</v>
      </c>
      <c r="Z628" s="196">
        <f>B628</f>
        <v>45745</v>
      </c>
    </row>
    <row r="629" spans="2:26" ht="16" thickBot="1" x14ac:dyDescent="0.25">
      <c r="B629" s="548" t="s">
        <v>25</v>
      </c>
      <c r="C629" s="6"/>
      <c r="D629" s="4"/>
      <c r="E629" s="4"/>
      <c r="F629" s="14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150"/>
      <c r="Y629" s="639"/>
      <c r="Z629" s="196" t="s">
        <v>25</v>
      </c>
    </row>
    <row r="630" spans="2:26" ht="16" thickBot="1" x14ac:dyDescent="0.25">
      <c r="B630" s="208"/>
      <c r="C630" s="6"/>
      <c r="D630" s="4"/>
      <c r="E630" s="4"/>
      <c r="F630" s="14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150"/>
      <c r="Y630" s="639"/>
      <c r="Z630" s="196"/>
    </row>
    <row r="631" spans="2:26" ht="16" thickBot="1" x14ac:dyDescent="0.25">
      <c r="B631" s="208"/>
      <c r="C631" s="6"/>
      <c r="D631" s="4"/>
      <c r="E631" s="4"/>
      <c r="F631" s="14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150"/>
      <c r="Y631" s="639"/>
      <c r="Z631" s="196"/>
    </row>
    <row r="632" spans="2:26" ht="16" thickBot="1" x14ac:dyDescent="0.25">
      <c r="B632" s="208"/>
      <c r="C632" s="6"/>
      <c r="D632" s="4"/>
      <c r="E632" s="4"/>
      <c r="F632" s="14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150"/>
      <c r="Y632" s="639"/>
      <c r="Z632" s="196"/>
    </row>
    <row r="633" spans="2:26" ht="16" thickBot="1" x14ac:dyDescent="0.25">
      <c r="B633" s="199"/>
      <c r="C633" s="7"/>
      <c r="D633" s="143"/>
      <c r="E633" s="14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48"/>
      <c r="U633" s="4"/>
      <c r="V633" s="4"/>
      <c r="W633" s="4"/>
      <c r="X633" s="150"/>
      <c r="Y633" s="10"/>
      <c r="Z633" s="196"/>
    </row>
    <row r="634" spans="2:26" ht="16" thickBot="1" x14ac:dyDescent="0.25">
      <c r="B634" s="198"/>
      <c r="C634" s="137"/>
      <c r="D634" s="9">
        <f>SUM(D628:D633)</f>
        <v>0</v>
      </c>
      <c r="E634" s="9">
        <f>SUM(E628:E633)</f>
        <v>0</v>
      </c>
      <c r="F634" s="245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254"/>
      <c r="R634" s="144"/>
      <c r="S634" s="144"/>
      <c r="T634" s="144"/>
      <c r="U634" s="144"/>
      <c r="V634" s="144"/>
      <c r="W634" s="144"/>
      <c r="X634" s="172"/>
      <c r="Y634" s="11"/>
      <c r="Z634" s="198"/>
    </row>
    <row r="635" spans="2:26" ht="16" thickBot="1" x14ac:dyDescent="0.25">
      <c r="B635" s="196">
        <v>45746</v>
      </c>
      <c r="C635" s="6"/>
      <c r="D635" s="146"/>
      <c r="E635" s="146"/>
      <c r="F635" s="146"/>
      <c r="G635" s="146"/>
      <c r="H635" s="146"/>
      <c r="I635" s="146"/>
      <c r="J635" s="146"/>
      <c r="K635" s="146"/>
      <c r="L635" s="146">
        <v>184.98</v>
      </c>
      <c r="M635" s="146"/>
      <c r="N635" s="146"/>
      <c r="O635" s="146"/>
      <c r="P635" s="146"/>
      <c r="Q635" s="253"/>
      <c r="R635" s="253"/>
      <c r="S635" s="146"/>
      <c r="T635" s="204"/>
      <c r="U635" s="146"/>
      <c r="V635" s="146"/>
      <c r="W635" s="146"/>
      <c r="X635" s="182"/>
      <c r="Y635" s="1">
        <f>SUM(F635:W638)</f>
        <v>184.98</v>
      </c>
      <c r="Z635" s="196">
        <f>B635</f>
        <v>45746</v>
      </c>
    </row>
    <row r="636" spans="2:26" ht="16" thickBot="1" x14ac:dyDescent="0.25">
      <c r="B636" s="198" t="s">
        <v>26</v>
      </c>
      <c r="C636" s="5"/>
      <c r="D636" s="4"/>
      <c r="E636" s="4"/>
      <c r="F636" s="4"/>
      <c r="G636" s="15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150"/>
      <c r="Y636" s="12"/>
      <c r="Z636" s="198" t="s">
        <v>26</v>
      </c>
    </row>
    <row r="637" spans="2:26" ht="16" thickBot="1" x14ac:dyDescent="0.25">
      <c r="B637" s="268"/>
      <c r="C637" s="152"/>
      <c r="D637" s="143"/>
      <c r="E637" s="14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150"/>
      <c r="Y637" s="10"/>
      <c r="Z637" s="268"/>
    </row>
    <row r="638" spans="2:26" ht="16" thickBot="1" x14ac:dyDescent="0.25">
      <c r="B638" s="267"/>
      <c r="C638" s="255"/>
      <c r="D638" s="1">
        <f>SUM(D635:D637)</f>
        <v>0</v>
      </c>
      <c r="E638" s="1">
        <f>SUM(E635:E637)</f>
        <v>0</v>
      </c>
      <c r="F638" s="245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72"/>
      <c r="Y638" s="248"/>
      <c r="Z638" s="268"/>
    </row>
    <row r="639" spans="2:26" x14ac:dyDescent="0.2">
      <c r="B639" s="101"/>
      <c r="C639" s="243"/>
      <c r="D639" s="242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8"/>
      <c r="Z639" s="130"/>
    </row>
    <row r="640" spans="2:26" ht="16" thickBot="1" x14ac:dyDescent="0.25">
      <c r="B640" s="101"/>
      <c r="C640" s="243"/>
      <c r="D640" s="189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2"/>
      <c r="Z640" s="128"/>
    </row>
    <row r="641" spans="2:26" ht="16" thickBot="1" x14ac:dyDescent="0.25">
      <c r="B641" s="101"/>
      <c r="C641" s="101"/>
      <c r="D641" s="105">
        <f>SUM(D638,D634,D627,D622,D614,D607,D601)</f>
        <v>0</v>
      </c>
      <c r="E641" s="105">
        <f>SUM(E638,E634,E627,E622,E614,E607,E601)</f>
        <v>0</v>
      </c>
      <c r="F641" s="104">
        <f t="shared" ref="F641:S641" si="12">SUM(F597:F640)</f>
        <v>1500</v>
      </c>
      <c r="G641" s="103">
        <f t="shared" si="12"/>
        <v>4361.6099999999997</v>
      </c>
      <c r="H641" s="103">
        <f t="shared" si="12"/>
        <v>0</v>
      </c>
      <c r="I641" s="103">
        <f t="shared" si="12"/>
        <v>4358.5</v>
      </c>
      <c r="J641" s="103">
        <f t="shared" si="12"/>
        <v>0</v>
      </c>
      <c r="K641" s="103">
        <f t="shared" si="12"/>
        <v>575</v>
      </c>
      <c r="L641" s="103">
        <f t="shared" si="12"/>
        <v>34564.890000000007</v>
      </c>
      <c r="M641" s="103">
        <f t="shared" si="12"/>
        <v>0</v>
      </c>
      <c r="N641" s="103">
        <f t="shared" si="12"/>
        <v>1327.8</v>
      </c>
      <c r="O641" s="103">
        <f t="shared" si="12"/>
        <v>16235</v>
      </c>
      <c r="P641" s="103">
        <f t="shared" si="12"/>
        <v>256</v>
      </c>
      <c r="Q641" s="103">
        <f t="shared" si="12"/>
        <v>1664.63</v>
      </c>
      <c r="R641" s="103">
        <f t="shared" si="12"/>
        <v>0</v>
      </c>
      <c r="S641" s="103">
        <f t="shared" si="12"/>
        <v>7157.54</v>
      </c>
      <c r="T641" s="103"/>
      <c r="U641" s="103">
        <f>SUM(U601:U640)</f>
        <v>0</v>
      </c>
      <c r="V641" s="103">
        <f>SUM(V597:V640)</f>
        <v>600</v>
      </c>
      <c r="W641" s="103">
        <f>SUM(W597:W640)</f>
        <v>1431.12</v>
      </c>
      <c r="X641" s="153"/>
      <c r="Y641" s="155">
        <f>SUM(Y597:Y638)</f>
        <v>74032.09</v>
      </c>
      <c r="Z641" s="129"/>
    </row>
    <row r="642" spans="2:26" ht="27" thickBot="1" x14ac:dyDescent="0.25">
      <c r="B642" s="101"/>
      <c r="C642" s="154" t="s">
        <v>0</v>
      </c>
      <c r="D642" s="154" t="s">
        <v>1</v>
      </c>
      <c r="E642" s="154" t="s">
        <v>2</v>
      </c>
      <c r="F642" s="154" t="s">
        <v>3</v>
      </c>
      <c r="G642" s="154" t="s">
        <v>4</v>
      </c>
      <c r="H642" s="154" t="s">
        <v>5</v>
      </c>
      <c r="I642" s="154" t="s">
        <v>6</v>
      </c>
      <c r="J642" s="154" t="s">
        <v>7</v>
      </c>
      <c r="K642" s="154" t="s">
        <v>8</v>
      </c>
      <c r="L642" s="154" t="s">
        <v>9</v>
      </c>
      <c r="M642" s="154" t="s">
        <v>309</v>
      </c>
      <c r="N642" s="154" t="s">
        <v>11</v>
      </c>
      <c r="O642" s="154" t="s">
        <v>12</v>
      </c>
      <c r="P642" s="154" t="s">
        <v>13</v>
      </c>
      <c r="Q642" s="154" t="s">
        <v>14</v>
      </c>
      <c r="R642" s="154" t="s">
        <v>15</v>
      </c>
      <c r="S642" s="154" t="s">
        <v>311</v>
      </c>
      <c r="T642" s="154" t="s">
        <v>16</v>
      </c>
      <c r="U642" s="154" t="s">
        <v>403</v>
      </c>
      <c r="V642" s="154" t="s">
        <v>17</v>
      </c>
      <c r="W642" s="154" t="s">
        <v>18</v>
      </c>
      <c r="X642" s="154"/>
      <c r="Y642" s="154" t="s">
        <v>19</v>
      </c>
      <c r="Z642" s="126"/>
    </row>
    <row r="643" spans="2:26" ht="16" thickBot="1" x14ac:dyDescent="0.25">
      <c r="B643" s="101"/>
      <c r="C643" s="101"/>
      <c r="D643" s="101"/>
      <c r="E643" s="727" t="str">
        <f>M643</f>
        <v>24 - 30 march 2025</v>
      </c>
      <c r="F643" s="719"/>
      <c r="G643" s="719"/>
      <c r="H643" s="720"/>
      <c r="I643" s="101"/>
      <c r="J643" s="101"/>
      <c r="K643" s="101"/>
      <c r="L643" s="101"/>
      <c r="M643" s="727" t="str">
        <f>V643</f>
        <v>24 - 30 march 2025</v>
      </c>
      <c r="N643" s="719"/>
      <c r="O643" s="719"/>
      <c r="P643" s="720"/>
      <c r="Q643" s="101"/>
      <c r="R643" s="101"/>
      <c r="S643" s="101"/>
      <c r="T643" s="101"/>
      <c r="U643" s="101"/>
      <c r="V643" s="727" t="str">
        <f>V595</f>
        <v>24 - 30 march 2025</v>
      </c>
      <c r="W643" s="719"/>
      <c r="X643" s="719"/>
      <c r="Y643" s="720"/>
      <c r="Z643" s="101"/>
    </row>
    <row r="644" spans="2:26" ht="16" thickBot="1" x14ac:dyDescent="0.25"/>
    <row r="645" spans="2:26" ht="16" thickBot="1" x14ac:dyDescent="0.25">
      <c r="E645" s="718" t="s">
        <v>920</v>
      </c>
      <c r="F645" s="719"/>
      <c r="G645" s="719"/>
      <c r="H645" s="720"/>
      <c r="K645" s="106"/>
      <c r="L645" s="106"/>
      <c r="M645" s="721" t="str">
        <f>E645</f>
        <v>31 MAR - 6 APR 2025</v>
      </c>
      <c r="N645" s="722"/>
      <c r="O645" s="722"/>
      <c r="P645" s="723"/>
      <c r="Q645" s="106"/>
      <c r="R645" s="106"/>
      <c r="S645" s="106"/>
      <c r="T645" s="106"/>
      <c r="U645" s="106"/>
      <c r="V645" s="724" t="str">
        <f>M645</f>
        <v>31 MAR - 6 APR 2025</v>
      </c>
      <c r="W645" s="725"/>
      <c r="X645" s="725"/>
      <c r="Y645" s="726"/>
      <c r="Z645" s="106"/>
    </row>
    <row r="646" spans="2:26" ht="27" thickBot="1" x14ac:dyDescent="0.25">
      <c r="C646" s="126" t="s">
        <v>0</v>
      </c>
      <c r="D646" s="135" t="s">
        <v>1</v>
      </c>
      <c r="E646" s="258" t="s">
        <v>2</v>
      </c>
      <c r="F646" s="259" t="s">
        <v>3</v>
      </c>
      <c r="G646" s="260" t="s">
        <v>4</v>
      </c>
      <c r="H646" s="261" t="s">
        <v>5</v>
      </c>
      <c r="I646" s="262" t="s">
        <v>6</v>
      </c>
      <c r="J646" s="262" t="s">
        <v>7</v>
      </c>
      <c r="K646" s="262" t="s">
        <v>8</v>
      </c>
      <c r="L646" s="262" t="s">
        <v>9</v>
      </c>
      <c r="M646" s="262" t="s">
        <v>10</v>
      </c>
      <c r="N646" s="262" t="s">
        <v>11</v>
      </c>
      <c r="O646" s="262" t="s">
        <v>12</v>
      </c>
      <c r="P646" s="262" t="s">
        <v>13</v>
      </c>
      <c r="Q646" s="262" t="s">
        <v>14</v>
      </c>
      <c r="R646" s="262" t="s">
        <v>15</v>
      </c>
      <c r="S646" s="262" t="s">
        <v>311</v>
      </c>
      <c r="T646" s="262" t="s">
        <v>16</v>
      </c>
      <c r="U646" s="154" t="s">
        <v>403</v>
      </c>
      <c r="V646" s="263" t="s">
        <v>17</v>
      </c>
      <c r="W646" s="263" t="s">
        <v>18</v>
      </c>
      <c r="X646" s="264"/>
      <c r="Y646" s="265" t="s">
        <v>19</v>
      </c>
      <c r="Z646" s="266"/>
    </row>
    <row r="647" spans="2:26" ht="16" thickBot="1" x14ac:dyDescent="0.25">
      <c r="B647" s="196">
        <v>45747</v>
      </c>
      <c r="C647" s="136"/>
      <c r="D647" s="139"/>
      <c r="E647" s="139"/>
      <c r="F647" s="139"/>
      <c r="G647" s="139">
        <v>697.58</v>
      </c>
      <c r="H647" s="139"/>
      <c r="I647" s="139">
        <v>3708.75</v>
      </c>
      <c r="J647" s="139"/>
      <c r="K647" s="139"/>
      <c r="L647" s="139">
        <v>9033.42</v>
      </c>
      <c r="M647" s="139"/>
      <c r="N647" s="139"/>
      <c r="O647" s="139"/>
      <c r="P647" s="139"/>
      <c r="Q647" s="139">
        <v>413.91</v>
      </c>
      <c r="R647" s="139"/>
      <c r="S647" s="139"/>
      <c r="T647" s="140"/>
      <c r="U647" s="139"/>
      <c r="V647" s="139"/>
      <c r="W647" s="139">
        <v>50</v>
      </c>
      <c r="X647" s="141" t="s">
        <v>921</v>
      </c>
      <c r="Y647" s="239">
        <f>SUM(F647:X651)</f>
        <v>14858.66</v>
      </c>
      <c r="Z647" s="269">
        <f>B647</f>
        <v>45747</v>
      </c>
    </row>
    <row r="648" spans="2:26" ht="16" thickBot="1" x14ac:dyDescent="0.25">
      <c r="B648" s="196" t="s">
        <v>20</v>
      </c>
      <c r="C648" s="203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204"/>
      <c r="U648" s="146"/>
      <c r="V648" s="146"/>
      <c r="W648" s="146">
        <v>85</v>
      </c>
      <c r="X648" s="182" t="s">
        <v>494</v>
      </c>
      <c r="Y648" s="191"/>
      <c r="Z648" s="196" t="s">
        <v>20</v>
      </c>
    </row>
    <row r="649" spans="2:26" ht="16" thickBot="1" x14ac:dyDescent="0.25">
      <c r="B649" s="196"/>
      <c r="C649" s="203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204"/>
      <c r="U649" s="146"/>
      <c r="V649" s="146"/>
      <c r="W649" s="146">
        <v>870</v>
      </c>
      <c r="X649" s="182" t="s">
        <v>396</v>
      </c>
      <c r="Y649" s="191"/>
      <c r="Z649" s="196"/>
    </row>
    <row r="650" spans="2:26" ht="16" thickBot="1" x14ac:dyDescent="0.25">
      <c r="B650" s="206"/>
      <c r="C650" s="632"/>
      <c r="D650" s="4"/>
      <c r="E650" s="4"/>
      <c r="F650" s="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633"/>
      <c r="U650" s="8"/>
      <c r="V650" s="8"/>
      <c r="W650" s="8"/>
      <c r="X650" s="634"/>
      <c r="Y650" s="635"/>
      <c r="Z650" s="196"/>
    </row>
    <row r="651" spans="2:26" ht="16" thickBot="1" x14ac:dyDescent="0.25">
      <c r="B651" s="197"/>
      <c r="C651" s="137"/>
      <c r="D651" s="171">
        <f>SUM(D647:D649)</f>
        <v>0</v>
      </c>
      <c r="E651" s="658">
        <f>SUM(E647:E649)</f>
        <v>0</v>
      </c>
      <c r="F651" s="659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5"/>
      <c r="Y651" s="138"/>
      <c r="Z651" s="198"/>
    </row>
    <row r="652" spans="2:26" ht="16" thickBot="1" x14ac:dyDescent="0.25">
      <c r="B652" s="196">
        <v>45748</v>
      </c>
      <c r="C652" s="6"/>
      <c r="D652" s="146"/>
      <c r="E652" s="146"/>
      <c r="F652" s="139"/>
      <c r="G652" s="139">
        <f>468.46+81+81</f>
        <v>630.46</v>
      </c>
      <c r="H652" s="139"/>
      <c r="I652" s="139">
        <v>1713.5</v>
      </c>
      <c r="J652" s="574"/>
      <c r="K652" s="139"/>
      <c r="L652" s="139">
        <v>7268.62</v>
      </c>
      <c r="M652" s="139"/>
      <c r="N652" s="139"/>
      <c r="O652" s="139"/>
      <c r="P652" s="139">
        <v>16.899999999999999</v>
      </c>
      <c r="Q652" s="139">
        <f>49.99+335.92</f>
        <v>385.91</v>
      </c>
      <c r="R652" s="139"/>
      <c r="S652" s="139"/>
      <c r="T652" s="140"/>
      <c r="U652" s="139"/>
      <c r="V652" s="139"/>
      <c r="W652" s="139">
        <v>32.99</v>
      </c>
      <c r="X652" s="575" t="s">
        <v>279</v>
      </c>
      <c r="Y652" s="238">
        <f>SUM(F652:W657)</f>
        <v>10048.379999999999</v>
      </c>
      <c r="Z652" s="196">
        <f>B652</f>
        <v>45748</v>
      </c>
    </row>
    <row r="653" spans="2:26" ht="16" thickBot="1" x14ac:dyDescent="0.25">
      <c r="B653" s="196" t="s">
        <v>21</v>
      </c>
      <c r="C653" s="6"/>
      <c r="D653" s="146"/>
      <c r="E653" s="146"/>
      <c r="F653" s="4"/>
      <c r="G653" s="4"/>
      <c r="H653" s="4"/>
      <c r="I653" s="4"/>
      <c r="J653" s="149"/>
      <c r="K653" s="4"/>
      <c r="L653" s="4"/>
      <c r="M653" s="4"/>
      <c r="N653" s="4"/>
      <c r="O653" s="4"/>
      <c r="P653" s="4"/>
      <c r="Q653" s="4"/>
      <c r="R653" s="4"/>
      <c r="S653" s="4"/>
      <c r="T653" s="148"/>
      <c r="U653" s="4"/>
      <c r="V653" s="4"/>
      <c r="W653" s="4"/>
      <c r="X653" s="142"/>
      <c r="Y653" s="191"/>
      <c r="Z653" s="196" t="s">
        <v>21</v>
      </c>
    </row>
    <row r="654" spans="2:26" ht="16" thickBot="1" x14ac:dyDescent="0.25">
      <c r="B654" s="196"/>
      <c r="C654" s="6"/>
      <c r="D654" s="4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78"/>
      <c r="U654" s="12"/>
      <c r="V654" s="12"/>
      <c r="W654" s="146"/>
      <c r="X654" s="147"/>
      <c r="Y654" s="191"/>
      <c r="Z654" s="196"/>
    </row>
    <row r="655" spans="2:26" ht="16" thickBot="1" x14ac:dyDescent="0.25">
      <c r="B655" s="662"/>
      <c r="C655" s="57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79"/>
      <c r="U655" s="4"/>
      <c r="V655" s="4"/>
      <c r="W655" s="4"/>
      <c r="X655" s="142"/>
      <c r="Y655" s="643"/>
      <c r="Z655" s="196"/>
    </row>
    <row r="656" spans="2:26" ht="16" thickBot="1" x14ac:dyDescent="0.25">
      <c r="B656" s="662"/>
      <c r="C656" s="57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79"/>
      <c r="U656" s="4"/>
      <c r="V656" s="4"/>
      <c r="W656" s="4"/>
      <c r="X656" s="142"/>
      <c r="Y656" s="643"/>
      <c r="Z656" s="196"/>
    </row>
    <row r="657" spans="2:26" ht="16" thickBot="1" x14ac:dyDescent="0.25">
      <c r="B657" s="476"/>
      <c r="C657" s="663"/>
      <c r="D657" s="664">
        <f>SUM(D652:D654)</f>
        <v>0</v>
      </c>
      <c r="E657" s="664">
        <f>SUM(E652:E654)</f>
        <v>0</v>
      </c>
      <c r="F657" s="66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642"/>
      <c r="U657" s="642"/>
      <c r="V657" s="642"/>
      <c r="W657" s="8"/>
      <c r="X657" s="666"/>
      <c r="Y657" s="571"/>
      <c r="Z657" s="198"/>
    </row>
    <row r="658" spans="2:26" ht="16" thickBot="1" x14ac:dyDescent="0.25">
      <c r="B658" s="570">
        <v>45749</v>
      </c>
      <c r="C658" s="573"/>
      <c r="D658" s="139"/>
      <c r="E658" s="139"/>
      <c r="F658" s="4"/>
      <c r="G658" s="4">
        <v>800</v>
      </c>
      <c r="H658" s="4"/>
      <c r="I658" s="68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48"/>
      <c r="U658" s="4"/>
      <c r="V658" s="4"/>
      <c r="W658" s="4"/>
      <c r="X658" s="689"/>
      <c r="Y658" s="576">
        <f>SUM(F658:X664)</f>
        <v>800</v>
      </c>
      <c r="Z658" s="464">
        <f>B658</f>
        <v>45749</v>
      </c>
    </row>
    <row r="659" spans="2:26" ht="16" thickBot="1" x14ac:dyDescent="0.25">
      <c r="B659" s="570" t="s">
        <v>22</v>
      </c>
      <c r="C659" s="572"/>
      <c r="D659" s="4"/>
      <c r="E659" s="4"/>
      <c r="F659" s="4"/>
      <c r="G659" s="4"/>
      <c r="H659" s="4"/>
      <c r="I659" s="4"/>
      <c r="J659" s="149"/>
      <c r="K659" s="4"/>
      <c r="L659" s="4"/>
      <c r="M659" s="4"/>
      <c r="N659" s="4"/>
      <c r="O659" s="4"/>
      <c r="P659" s="4"/>
      <c r="Q659" s="4"/>
      <c r="R659" s="4"/>
      <c r="S659" s="4"/>
      <c r="T659" s="148"/>
      <c r="U659" s="4"/>
      <c r="V659" s="4"/>
      <c r="W659" s="4"/>
      <c r="X659" s="142"/>
      <c r="Y659" s="638"/>
      <c r="Z659" s="464"/>
    </row>
    <row r="660" spans="2:26" ht="16" thickBot="1" x14ac:dyDescent="0.25">
      <c r="B660" s="570"/>
      <c r="C660" s="572"/>
      <c r="D660" s="4"/>
      <c r="E660" s="4"/>
      <c r="F660" s="4"/>
      <c r="G660" s="4"/>
      <c r="H660" s="4"/>
      <c r="I660" s="4"/>
      <c r="J660" s="149"/>
      <c r="K660" s="4"/>
      <c r="L660" s="4"/>
      <c r="M660" s="4"/>
      <c r="N660" s="4"/>
      <c r="O660" s="4"/>
      <c r="P660" s="4"/>
      <c r="Q660" s="4"/>
      <c r="R660" s="4"/>
      <c r="S660" s="4"/>
      <c r="T660" s="148"/>
      <c r="U660" s="4"/>
      <c r="V660" s="4"/>
      <c r="W660" s="4"/>
      <c r="X660" s="142"/>
      <c r="Y660" s="638"/>
      <c r="Z660" s="464"/>
    </row>
    <row r="661" spans="2:26" ht="16" thickBot="1" x14ac:dyDescent="0.25">
      <c r="B661" s="570"/>
      <c r="C661" s="572"/>
      <c r="D661" s="4"/>
      <c r="E661" s="4"/>
      <c r="F661" s="4"/>
      <c r="G661" s="4"/>
      <c r="H661" s="4"/>
      <c r="I661" s="4"/>
      <c r="J661" s="149"/>
      <c r="K661" s="4"/>
      <c r="L661" s="4"/>
      <c r="M661" s="4"/>
      <c r="N661" s="4"/>
      <c r="O661" s="4"/>
      <c r="P661" s="4"/>
      <c r="Q661" s="4"/>
      <c r="R661" s="4"/>
      <c r="S661" s="4"/>
      <c r="T661" s="148"/>
      <c r="U661" s="4"/>
      <c r="V661" s="4"/>
      <c r="W661" s="4"/>
      <c r="X661" s="142"/>
      <c r="Y661" s="638"/>
      <c r="Z661" s="464"/>
    </row>
    <row r="662" spans="2:26" ht="16" thickBot="1" x14ac:dyDescent="0.25">
      <c r="B662" s="570"/>
      <c r="C662" s="572"/>
      <c r="D662" s="4"/>
      <c r="E662" s="4"/>
      <c r="F662" s="4"/>
      <c r="G662" s="4"/>
      <c r="H662" s="4"/>
      <c r="I662" s="4"/>
      <c r="J662" s="149"/>
      <c r="K662" s="4"/>
      <c r="L662" s="4"/>
      <c r="M662" s="4"/>
      <c r="N662" s="4"/>
      <c r="O662" s="4"/>
      <c r="P662" s="4"/>
      <c r="Q662" s="4"/>
      <c r="R662" s="4"/>
      <c r="S662" s="4"/>
      <c r="T662" s="148"/>
      <c r="U662" s="4"/>
      <c r="V662" s="4"/>
      <c r="W662" s="4"/>
      <c r="X662" s="142"/>
      <c r="Y662" s="638"/>
      <c r="Z662" s="464"/>
    </row>
    <row r="663" spans="2:26" ht="16" thickBot="1" x14ac:dyDescent="0.25">
      <c r="B663" s="570"/>
      <c r="C663" s="572"/>
      <c r="D663" s="4"/>
      <c r="E663" s="4"/>
      <c r="F663" s="4"/>
      <c r="G663" s="4"/>
      <c r="H663" s="4"/>
      <c r="I663" s="4"/>
      <c r="J663" s="149"/>
      <c r="K663" s="4"/>
      <c r="L663" s="4"/>
      <c r="M663" s="4"/>
      <c r="N663" s="4"/>
      <c r="O663" s="4"/>
      <c r="P663" s="4"/>
      <c r="Q663" s="4"/>
      <c r="R663" s="4"/>
      <c r="S663" s="4"/>
      <c r="T663" s="148"/>
      <c r="U663" s="4"/>
      <c r="V663" s="4"/>
      <c r="W663" s="4"/>
      <c r="X663" s="142"/>
      <c r="Y663" s="638"/>
      <c r="Z663" s="464"/>
    </row>
    <row r="664" spans="2:26" ht="16" thickBot="1" x14ac:dyDescent="0.25">
      <c r="B664" s="197"/>
      <c r="C664" s="257"/>
      <c r="D664" s="171">
        <f>SUM(D658:D663)</f>
        <v>0</v>
      </c>
      <c r="E664" s="171">
        <f>SUM(E658:E663)</f>
        <v>0</v>
      </c>
      <c r="F664" s="245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72"/>
      <c r="Y664" s="241"/>
      <c r="Z664" s="465"/>
    </row>
    <row r="665" spans="2:26" ht="16" thickBot="1" x14ac:dyDescent="0.25">
      <c r="B665" s="196">
        <v>45750</v>
      </c>
      <c r="C665" s="207"/>
      <c r="D665" s="8"/>
      <c r="E665" s="146"/>
      <c r="F665" s="146">
        <v>800</v>
      </c>
      <c r="G665" s="146">
        <v>800</v>
      </c>
      <c r="H665" s="146"/>
      <c r="I665" s="246">
        <v>16537</v>
      </c>
      <c r="J665" s="146"/>
      <c r="K665" s="146"/>
      <c r="L665" s="146"/>
      <c r="M665" s="146"/>
      <c r="N665" s="146"/>
      <c r="O665" s="146"/>
      <c r="P665" s="146"/>
      <c r="Q665" s="8">
        <v>449.91</v>
      </c>
      <c r="R665" s="8"/>
      <c r="S665" s="146">
        <v>7157.54</v>
      </c>
      <c r="T665" s="204"/>
      <c r="U665" s="146"/>
      <c r="V665" s="146"/>
      <c r="W665" s="146">
        <f>91.98+82.27</f>
        <v>174.25</v>
      </c>
      <c r="X665" s="247" t="s">
        <v>937</v>
      </c>
      <c r="Y665" s="171">
        <f>SUM(F665:W672)</f>
        <v>25918.7</v>
      </c>
      <c r="Z665" s="196">
        <f>B665</f>
        <v>45750</v>
      </c>
    </row>
    <row r="666" spans="2:26" ht="16" thickBot="1" x14ac:dyDescent="0.25">
      <c r="B666" s="196" t="s">
        <v>23</v>
      </c>
      <c r="C666" s="7"/>
      <c r="D666" s="4"/>
      <c r="E666" s="146"/>
      <c r="F666" s="146"/>
      <c r="G666" s="146"/>
      <c r="H666" s="146"/>
      <c r="I666" s="463"/>
      <c r="J666" s="146"/>
      <c r="K666" s="146"/>
      <c r="L666" s="146"/>
      <c r="M666" s="146"/>
      <c r="N666" s="146"/>
      <c r="O666" s="146"/>
      <c r="P666" s="146"/>
      <c r="Q666" s="4"/>
      <c r="R666" s="4"/>
      <c r="S666" s="146"/>
      <c r="T666" s="204"/>
      <c r="U666" s="146"/>
      <c r="V666" s="146"/>
      <c r="W666" s="146"/>
      <c r="X666" s="247"/>
      <c r="Y666" s="240"/>
      <c r="Z666" s="196"/>
    </row>
    <row r="667" spans="2:26" ht="16" thickBot="1" x14ac:dyDescent="0.25">
      <c r="B667" s="196"/>
      <c r="C667" s="7"/>
      <c r="D667" s="4"/>
      <c r="E667" s="146"/>
      <c r="F667" s="146"/>
      <c r="G667" s="146"/>
      <c r="H667" s="146"/>
      <c r="I667" s="463"/>
      <c r="J667" s="146"/>
      <c r="K667" s="146"/>
      <c r="L667" s="146"/>
      <c r="M667" s="146"/>
      <c r="N667" s="146"/>
      <c r="O667" s="146"/>
      <c r="P667" s="146"/>
      <c r="Q667" s="4"/>
      <c r="R667" s="4"/>
      <c r="S667" s="146"/>
      <c r="T667" s="204"/>
      <c r="U667" s="146"/>
      <c r="V667" s="146"/>
      <c r="W667" s="146"/>
      <c r="X667" s="247"/>
      <c r="Y667" s="4"/>
      <c r="Z667" s="464"/>
    </row>
    <row r="668" spans="2:26" ht="16" thickBot="1" x14ac:dyDescent="0.25">
      <c r="B668" s="196"/>
      <c r="C668" s="7"/>
      <c r="D668" s="4"/>
      <c r="E668" s="146"/>
      <c r="F668" s="146"/>
      <c r="G668" s="146"/>
      <c r="H668" s="146"/>
      <c r="I668" s="463"/>
      <c r="J668" s="146"/>
      <c r="K668" s="146"/>
      <c r="L668" s="146"/>
      <c r="M668" s="146"/>
      <c r="N668" s="146"/>
      <c r="O668" s="146"/>
      <c r="P668" s="146"/>
      <c r="Q668" s="4"/>
      <c r="R668" s="4"/>
      <c r="S668" s="146"/>
      <c r="T668" s="204"/>
      <c r="U668" s="146"/>
      <c r="V668" s="146"/>
      <c r="W668" s="146"/>
      <c r="X668" s="247"/>
      <c r="Y668" s="4"/>
      <c r="Z668" s="464"/>
    </row>
    <row r="669" spans="2:26" ht="16" thickBot="1" x14ac:dyDescent="0.25">
      <c r="B669" s="198"/>
      <c r="C669" s="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150"/>
      <c r="Y669" s="4"/>
      <c r="Z669" s="465" t="s">
        <v>23</v>
      </c>
    </row>
    <row r="670" spans="2:26" ht="16" thickBot="1" x14ac:dyDescent="0.25">
      <c r="B670" s="476"/>
      <c r="C670" s="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150"/>
      <c r="Y670" s="10"/>
      <c r="Z670" s="465"/>
    </row>
    <row r="671" spans="2:26" ht="16" thickBot="1" x14ac:dyDescent="0.25">
      <c r="B671" s="476"/>
      <c r="C671" s="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150"/>
      <c r="Y671" s="10"/>
      <c r="Z671" s="465"/>
    </row>
    <row r="672" spans="2:26" ht="16" thickBot="1" x14ac:dyDescent="0.25">
      <c r="B672" s="197"/>
      <c r="C672" s="249"/>
      <c r="D672" s="171">
        <f>SUM(D665:D671)</f>
        <v>0</v>
      </c>
      <c r="E672" s="171">
        <f>SUM(E665:E671)</f>
        <v>0</v>
      </c>
      <c r="F672" s="252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250"/>
      <c r="Y672" s="251"/>
      <c r="Z672" s="198"/>
    </row>
    <row r="673" spans="2:26" ht="16" thickBot="1" x14ac:dyDescent="0.25">
      <c r="B673" s="556">
        <v>45751</v>
      </c>
      <c r="C673" s="557"/>
      <c r="D673" s="558"/>
      <c r="E673" s="558"/>
      <c r="F673" s="146"/>
      <c r="G673" s="146">
        <v>800</v>
      </c>
      <c r="H673" s="146"/>
      <c r="I673" s="246"/>
      <c r="J673" s="146"/>
      <c r="K673" s="146"/>
      <c r="L673" s="146"/>
      <c r="M673" s="146"/>
      <c r="N673" s="146"/>
      <c r="O673" s="146">
        <f>12770+5900</f>
        <v>18670</v>
      </c>
      <c r="P673" s="146"/>
      <c r="Q673" s="8"/>
      <c r="R673" s="8"/>
      <c r="S673" s="146"/>
      <c r="T673" s="204"/>
      <c r="U673" s="146"/>
      <c r="V673" s="146"/>
      <c r="W673" s="146">
        <v>588</v>
      </c>
      <c r="X673" s="247" t="s">
        <v>949</v>
      </c>
      <c r="Y673" s="559">
        <f>SUM(F673:W677)</f>
        <v>23330.560000000001</v>
      </c>
      <c r="Z673" s="560">
        <f>B673</f>
        <v>45751</v>
      </c>
    </row>
    <row r="674" spans="2:26" ht="16" thickBot="1" x14ac:dyDescent="0.25">
      <c r="B674" s="206" t="s">
        <v>24</v>
      </c>
      <c r="C674" s="6"/>
      <c r="D674" s="146"/>
      <c r="E674" s="146"/>
      <c r="F674" s="14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>
        <v>407.24</v>
      </c>
      <c r="X674" s="150" t="s">
        <v>279</v>
      </c>
      <c r="Y674" s="639"/>
      <c r="Z674" s="196"/>
    </row>
    <row r="675" spans="2:26" ht="16" thickBot="1" x14ac:dyDescent="0.25">
      <c r="B675" s="206"/>
      <c r="C675" s="6"/>
      <c r="D675" s="146"/>
      <c r="E675" s="146"/>
      <c r="F675" s="146"/>
      <c r="G675" s="146"/>
      <c r="H675" s="146"/>
      <c r="I675" s="639"/>
      <c r="J675" s="146"/>
      <c r="K675" s="146"/>
      <c r="L675" s="146"/>
      <c r="M675" s="146"/>
      <c r="N675" s="146"/>
      <c r="O675" s="146"/>
      <c r="P675" s="146"/>
      <c r="Q675" s="8"/>
      <c r="R675" s="8"/>
      <c r="S675" s="146"/>
      <c r="T675" s="146"/>
      <c r="U675" s="146"/>
      <c r="V675" s="146"/>
      <c r="W675" s="146">
        <v>305</v>
      </c>
      <c r="X675" s="709" t="s">
        <v>426</v>
      </c>
      <c r="Y675" s="639"/>
      <c r="Z675" s="196"/>
    </row>
    <row r="676" spans="2:26" ht="16" thickBot="1" x14ac:dyDescent="0.25">
      <c r="B676" s="206"/>
      <c r="C676" s="6"/>
      <c r="D676" s="146"/>
      <c r="E676" s="146"/>
      <c r="F676" s="146"/>
      <c r="G676" s="146"/>
      <c r="H676" s="146"/>
      <c r="I676" s="246"/>
      <c r="J676" s="146"/>
      <c r="K676" s="146"/>
      <c r="L676" s="146"/>
      <c r="M676" s="146"/>
      <c r="N676" s="146"/>
      <c r="O676" s="146"/>
      <c r="P676" s="146"/>
      <c r="Q676" s="8"/>
      <c r="R676" s="8"/>
      <c r="S676" s="146"/>
      <c r="T676" s="204"/>
      <c r="U676" s="146"/>
      <c r="V676" s="146"/>
      <c r="W676" s="146">
        <v>406.32</v>
      </c>
      <c r="X676" s="247" t="s">
        <v>426</v>
      </c>
      <c r="Y676" s="639"/>
      <c r="Z676" s="196"/>
    </row>
    <row r="677" spans="2:26" ht="16" thickBot="1" x14ac:dyDescent="0.25">
      <c r="B677" s="197"/>
      <c r="C677" s="137"/>
      <c r="D677" s="1">
        <f>SUM(D673:D676)</f>
        <v>0</v>
      </c>
      <c r="E677" s="1">
        <f>SUM(E673:E676)</f>
        <v>0</v>
      </c>
      <c r="F677" s="2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>
        <v>2154</v>
      </c>
      <c r="X677" s="250" t="s">
        <v>637</v>
      </c>
      <c r="Y677" s="251"/>
      <c r="Z677" s="198"/>
    </row>
    <row r="678" spans="2:26" ht="16" thickBot="1" x14ac:dyDescent="0.25">
      <c r="B678" s="127">
        <v>45752</v>
      </c>
      <c r="C678" s="6"/>
      <c r="D678" s="146"/>
      <c r="E678" s="146"/>
      <c r="F678" s="146">
        <v>800</v>
      </c>
      <c r="G678" s="146"/>
      <c r="H678" s="146"/>
      <c r="I678" s="246"/>
      <c r="J678" s="146"/>
      <c r="K678" s="146"/>
      <c r="L678" s="146"/>
      <c r="M678" s="146"/>
      <c r="N678" s="146"/>
      <c r="O678" s="146"/>
      <c r="P678" s="146"/>
      <c r="Q678" s="8"/>
      <c r="R678" s="8"/>
      <c r="S678" s="146"/>
      <c r="T678" s="204"/>
      <c r="U678" s="146"/>
      <c r="V678" s="146"/>
      <c r="W678" s="146">
        <v>192.98</v>
      </c>
      <c r="X678" s="247" t="s">
        <v>426</v>
      </c>
      <c r="Y678" s="171">
        <f>SUM(F678:W684)</f>
        <v>992.98</v>
      </c>
      <c r="Z678" s="196">
        <f>B678</f>
        <v>45752</v>
      </c>
    </row>
    <row r="679" spans="2:26" ht="16" thickBot="1" x14ac:dyDescent="0.25">
      <c r="B679" s="548" t="s">
        <v>25</v>
      </c>
      <c r="C679" s="6"/>
      <c r="D679" s="4"/>
      <c r="E679" s="4"/>
      <c r="F679" s="14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150"/>
      <c r="Y679" s="639"/>
      <c r="Z679" s="196" t="s">
        <v>25</v>
      </c>
    </row>
    <row r="680" spans="2:26" ht="16" thickBot="1" x14ac:dyDescent="0.25">
      <c r="B680" s="208"/>
      <c r="C680" s="6"/>
      <c r="D680" s="4"/>
      <c r="E680" s="4"/>
      <c r="F680" s="14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150"/>
      <c r="Y680" s="639"/>
      <c r="Z680" s="196"/>
    </row>
    <row r="681" spans="2:26" ht="16" thickBot="1" x14ac:dyDescent="0.25">
      <c r="B681" s="208"/>
      <c r="C681" s="6"/>
      <c r="D681" s="4"/>
      <c r="E681" s="4"/>
      <c r="F681" s="14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150"/>
      <c r="Y681" s="639"/>
      <c r="Z681" s="196"/>
    </row>
    <row r="682" spans="2:26" ht="16" thickBot="1" x14ac:dyDescent="0.25">
      <c r="B682" s="208"/>
      <c r="C682" s="6"/>
      <c r="D682" s="4"/>
      <c r="E682" s="4"/>
      <c r="F682" s="14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150"/>
      <c r="Y682" s="639"/>
      <c r="Z682" s="196"/>
    </row>
    <row r="683" spans="2:26" ht="16" thickBot="1" x14ac:dyDescent="0.25">
      <c r="B683" s="199"/>
      <c r="C683" s="7"/>
      <c r="D683" s="143"/>
      <c r="E683" s="14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48"/>
      <c r="U683" s="4"/>
      <c r="V683" s="4"/>
      <c r="W683" s="4"/>
      <c r="X683" s="150"/>
      <c r="Y683" s="10"/>
      <c r="Z683" s="196"/>
    </row>
    <row r="684" spans="2:26" ht="16" thickBot="1" x14ac:dyDescent="0.25">
      <c r="B684" s="198"/>
      <c r="C684" s="137"/>
      <c r="D684" s="9">
        <f>SUM(D678:D683)</f>
        <v>0</v>
      </c>
      <c r="E684" s="9">
        <f>SUM(E678:E683)</f>
        <v>0</v>
      </c>
      <c r="F684" s="245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254"/>
      <c r="R684" s="144"/>
      <c r="S684" s="144"/>
      <c r="T684" s="144"/>
      <c r="U684" s="144"/>
      <c r="V684" s="144"/>
      <c r="W684" s="144"/>
      <c r="X684" s="172"/>
      <c r="Y684" s="11"/>
      <c r="Z684" s="198"/>
    </row>
    <row r="685" spans="2:26" ht="16" thickBot="1" x14ac:dyDescent="0.25">
      <c r="B685" s="196">
        <v>45753</v>
      </c>
      <c r="C685" s="6"/>
      <c r="D685" s="146"/>
      <c r="E685" s="146"/>
      <c r="F685" s="146"/>
      <c r="G685" s="146">
        <v>1650</v>
      </c>
      <c r="H685" s="146"/>
      <c r="I685" s="146"/>
      <c r="J685" s="146"/>
      <c r="K685" s="146"/>
      <c r="L685" s="146">
        <v>3881.84</v>
      </c>
      <c r="M685" s="146"/>
      <c r="N685" s="146"/>
      <c r="O685" s="146"/>
      <c r="P685" s="146"/>
      <c r="Q685" s="253">
        <v>349.93</v>
      </c>
      <c r="R685" s="253"/>
      <c r="S685" s="146"/>
      <c r="T685" s="204"/>
      <c r="U685" s="146"/>
      <c r="V685" s="146"/>
      <c r="W685" s="146">
        <v>220</v>
      </c>
      <c r="X685" s="182" t="s">
        <v>763</v>
      </c>
      <c r="Y685" s="1">
        <f>SUM(F685:W688)</f>
        <v>6101.77</v>
      </c>
      <c r="Z685" s="196">
        <f>B685</f>
        <v>45753</v>
      </c>
    </row>
    <row r="686" spans="2:26" ht="16" thickBot="1" x14ac:dyDescent="0.25">
      <c r="B686" s="198" t="s">
        <v>26</v>
      </c>
      <c r="C686" s="5"/>
      <c r="D686" s="4"/>
      <c r="E686" s="4"/>
      <c r="F686" s="4"/>
      <c r="G686" s="15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150"/>
      <c r="Y686" s="12"/>
      <c r="Z686" s="198" t="s">
        <v>26</v>
      </c>
    </row>
    <row r="687" spans="2:26" ht="16" thickBot="1" x14ac:dyDescent="0.25">
      <c r="B687" s="268"/>
      <c r="C687" s="152"/>
      <c r="D687" s="143"/>
      <c r="E687" s="14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150"/>
      <c r="Y687" s="10"/>
      <c r="Z687" s="268"/>
    </row>
    <row r="688" spans="2:26" ht="16" thickBot="1" x14ac:dyDescent="0.25">
      <c r="B688" s="267"/>
      <c r="C688" s="255"/>
      <c r="D688" s="1">
        <f>SUM(D685:D687)</f>
        <v>0</v>
      </c>
      <c r="E688" s="1">
        <f>SUM(E685:E687)</f>
        <v>0</v>
      </c>
      <c r="F688" s="245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72"/>
      <c r="Y688" s="248"/>
      <c r="Z688" s="268"/>
    </row>
    <row r="689" spans="2:26" x14ac:dyDescent="0.2">
      <c r="B689" s="101"/>
      <c r="C689" s="243"/>
      <c r="D689" s="242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8"/>
      <c r="Z689" s="130"/>
    </row>
    <row r="690" spans="2:26" ht="16" thickBot="1" x14ac:dyDescent="0.25">
      <c r="B690" s="101"/>
      <c r="C690" s="243"/>
      <c r="D690" s="189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2"/>
      <c r="Z690" s="128"/>
    </row>
    <row r="691" spans="2:26" ht="16" thickBot="1" x14ac:dyDescent="0.25">
      <c r="B691" s="101"/>
      <c r="C691" s="101"/>
      <c r="D691" s="105">
        <f>SUM(D688,D684,D677,D672,D664,D657,D651)</f>
        <v>0</v>
      </c>
      <c r="E691" s="105">
        <f>SUM(E688,E684,E677,E672,E664,E657,E651)</f>
        <v>0</v>
      </c>
      <c r="F691" s="104">
        <f t="shared" ref="F691:S691" si="13">SUM(F647:F690)</f>
        <v>1600</v>
      </c>
      <c r="G691" s="103">
        <f t="shared" si="13"/>
        <v>5378.04</v>
      </c>
      <c r="H691" s="103">
        <f t="shared" si="13"/>
        <v>0</v>
      </c>
      <c r="I691" s="103">
        <f t="shared" si="13"/>
        <v>21959.25</v>
      </c>
      <c r="J691" s="103">
        <f t="shared" si="13"/>
        <v>0</v>
      </c>
      <c r="K691" s="103">
        <f t="shared" si="13"/>
        <v>0</v>
      </c>
      <c r="L691" s="103">
        <f t="shared" si="13"/>
        <v>20183.88</v>
      </c>
      <c r="M691" s="103">
        <f t="shared" si="13"/>
        <v>0</v>
      </c>
      <c r="N691" s="103">
        <f t="shared" si="13"/>
        <v>0</v>
      </c>
      <c r="O691" s="103">
        <f t="shared" si="13"/>
        <v>18670</v>
      </c>
      <c r="P691" s="103">
        <f t="shared" si="13"/>
        <v>16.899999999999999</v>
      </c>
      <c r="Q691" s="103">
        <f t="shared" si="13"/>
        <v>1599.66</v>
      </c>
      <c r="R691" s="103">
        <f t="shared" si="13"/>
        <v>0</v>
      </c>
      <c r="S691" s="103">
        <f t="shared" si="13"/>
        <v>7157.54</v>
      </c>
      <c r="T691" s="103"/>
      <c r="U691" s="103">
        <f>SUM(U651:U690)</f>
        <v>0</v>
      </c>
      <c r="V691" s="103">
        <f>SUM(V647:V690)</f>
        <v>0</v>
      </c>
      <c r="W691" s="103">
        <f>SUM(W647:W690)</f>
        <v>5485.78</v>
      </c>
      <c r="X691" s="153"/>
      <c r="Y691" s="155">
        <f>SUM(Y647:Y688)</f>
        <v>82051.05</v>
      </c>
      <c r="Z691" s="129"/>
    </row>
    <row r="692" spans="2:26" ht="27" thickBot="1" x14ac:dyDescent="0.25">
      <c r="B692" s="101"/>
      <c r="C692" s="154" t="s">
        <v>0</v>
      </c>
      <c r="D692" s="154" t="s">
        <v>1</v>
      </c>
      <c r="E692" s="154" t="s">
        <v>2</v>
      </c>
      <c r="F692" s="154" t="s">
        <v>3</v>
      </c>
      <c r="G692" s="154" t="s">
        <v>4</v>
      </c>
      <c r="H692" s="154" t="s">
        <v>5</v>
      </c>
      <c r="I692" s="154" t="s">
        <v>6</v>
      </c>
      <c r="J692" s="154" t="s">
        <v>7</v>
      </c>
      <c r="K692" s="154" t="s">
        <v>8</v>
      </c>
      <c r="L692" s="154" t="s">
        <v>9</v>
      </c>
      <c r="M692" s="154" t="s">
        <v>309</v>
      </c>
      <c r="N692" s="154" t="s">
        <v>11</v>
      </c>
      <c r="O692" s="154" t="s">
        <v>12</v>
      </c>
      <c r="P692" s="154" t="s">
        <v>13</v>
      </c>
      <c r="Q692" s="154" t="s">
        <v>14</v>
      </c>
      <c r="R692" s="154" t="s">
        <v>15</v>
      </c>
      <c r="S692" s="154" t="s">
        <v>311</v>
      </c>
      <c r="T692" s="154" t="s">
        <v>16</v>
      </c>
      <c r="U692" s="154" t="s">
        <v>403</v>
      </c>
      <c r="V692" s="154" t="s">
        <v>17</v>
      </c>
      <c r="W692" s="154" t="s">
        <v>18</v>
      </c>
      <c r="X692" s="154"/>
      <c r="Y692" s="154" t="s">
        <v>19</v>
      </c>
      <c r="Z692" s="126"/>
    </row>
    <row r="693" spans="2:26" ht="16" thickBot="1" x14ac:dyDescent="0.25">
      <c r="B693" s="101"/>
      <c r="C693" s="101"/>
      <c r="D693" s="101"/>
      <c r="E693" s="727" t="str">
        <f>M693</f>
        <v>31 MAR - 6 APR 2025</v>
      </c>
      <c r="F693" s="719"/>
      <c r="G693" s="719"/>
      <c r="H693" s="720"/>
      <c r="I693" s="101"/>
      <c r="J693" s="101"/>
      <c r="K693" s="101"/>
      <c r="L693" s="101"/>
      <c r="M693" s="727" t="str">
        <f>V693</f>
        <v>31 MAR - 6 APR 2025</v>
      </c>
      <c r="N693" s="719"/>
      <c r="O693" s="719"/>
      <c r="P693" s="720"/>
      <c r="Q693" s="101"/>
      <c r="R693" s="101"/>
      <c r="S693" s="101"/>
      <c r="T693" s="101"/>
      <c r="U693" s="101"/>
      <c r="V693" s="727" t="str">
        <f>V645</f>
        <v>31 MAR - 6 APR 2025</v>
      </c>
      <c r="W693" s="719"/>
      <c r="X693" s="719"/>
      <c r="Y693" s="720"/>
      <c r="Z693" s="101"/>
    </row>
    <row r="694" spans="2:26" ht="16" thickBot="1" x14ac:dyDescent="0.25"/>
    <row r="695" spans="2:26" ht="16" thickBot="1" x14ac:dyDescent="0.25">
      <c r="E695" s="718" t="s">
        <v>955</v>
      </c>
      <c r="F695" s="719"/>
      <c r="G695" s="719"/>
      <c r="H695" s="720"/>
      <c r="K695" s="106"/>
      <c r="L695" s="106"/>
      <c r="M695" s="721" t="str">
        <f>E695</f>
        <v>7 - 13 april 2025</v>
      </c>
      <c r="N695" s="722"/>
      <c r="O695" s="722"/>
      <c r="P695" s="723"/>
      <c r="Q695" s="106"/>
      <c r="R695" s="106"/>
      <c r="S695" s="106"/>
      <c r="T695" s="106"/>
      <c r="U695" s="106"/>
      <c r="V695" s="724" t="str">
        <f>M695</f>
        <v>7 - 13 april 2025</v>
      </c>
      <c r="W695" s="725"/>
      <c r="X695" s="725"/>
      <c r="Y695" s="726"/>
      <c r="Z695" s="106"/>
    </row>
    <row r="696" spans="2:26" ht="27" thickBot="1" x14ac:dyDescent="0.25">
      <c r="C696" s="126" t="s">
        <v>0</v>
      </c>
      <c r="D696" s="135" t="s">
        <v>1</v>
      </c>
      <c r="E696" s="258" t="s">
        <v>2</v>
      </c>
      <c r="F696" s="259" t="s">
        <v>3</v>
      </c>
      <c r="G696" s="260" t="s">
        <v>4</v>
      </c>
      <c r="H696" s="261" t="s">
        <v>5</v>
      </c>
      <c r="I696" s="262" t="s">
        <v>6</v>
      </c>
      <c r="J696" s="262" t="s">
        <v>7</v>
      </c>
      <c r="K696" s="262" t="s">
        <v>8</v>
      </c>
      <c r="L696" s="262" t="s">
        <v>9</v>
      </c>
      <c r="M696" s="262" t="s">
        <v>10</v>
      </c>
      <c r="N696" s="262" t="s">
        <v>11</v>
      </c>
      <c r="O696" s="262" t="s">
        <v>12</v>
      </c>
      <c r="P696" s="262" t="s">
        <v>13</v>
      </c>
      <c r="Q696" s="262" t="s">
        <v>14</v>
      </c>
      <c r="R696" s="262" t="s">
        <v>15</v>
      </c>
      <c r="S696" s="262" t="s">
        <v>311</v>
      </c>
      <c r="T696" s="262" t="s">
        <v>16</v>
      </c>
      <c r="U696" s="154" t="s">
        <v>403</v>
      </c>
      <c r="V696" s="263" t="s">
        <v>17</v>
      </c>
      <c r="W696" s="263" t="s">
        <v>18</v>
      </c>
      <c r="X696" s="264"/>
      <c r="Y696" s="265" t="s">
        <v>19</v>
      </c>
      <c r="Z696" s="266"/>
    </row>
    <row r="697" spans="2:26" ht="16" thickBot="1" x14ac:dyDescent="0.25">
      <c r="B697" s="196">
        <v>45754</v>
      </c>
      <c r="C697" s="136"/>
      <c r="D697" s="139"/>
      <c r="E697" s="139"/>
      <c r="F697" s="139"/>
      <c r="G697" s="139">
        <v>800</v>
      </c>
      <c r="H697" s="139"/>
      <c r="I697" s="139"/>
      <c r="J697" s="139"/>
      <c r="K697" s="139"/>
      <c r="L697" s="139">
        <v>7033.48</v>
      </c>
      <c r="M697" s="139"/>
      <c r="N697" s="139"/>
      <c r="O697" s="139"/>
      <c r="P697" s="139"/>
      <c r="Q697" s="139">
        <v>449.91</v>
      </c>
      <c r="R697" s="139"/>
      <c r="S697" s="139"/>
      <c r="T697" s="140"/>
      <c r="U697" s="139"/>
      <c r="V697" s="139"/>
      <c r="W697" s="139">
        <v>60</v>
      </c>
      <c r="X697" s="141" t="s">
        <v>377</v>
      </c>
      <c r="Y697" s="239">
        <f>SUM(F697:X701)</f>
        <v>8823.39</v>
      </c>
      <c r="Z697" s="269">
        <f>B697</f>
        <v>45754</v>
      </c>
    </row>
    <row r="698" spans="2:26" ht="16" thickBot="1" x14ac:dyDescent="0.25">
      <c r="B698" s="196" t="s">
        <v>20</v>
      </c>
      <c r="C698" s="203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204"/>
      <c r="U698" s="146"/>
      <c r="V698" s="146"/>
      <c r="W698" s="146">
        <v>480</v>
      </c>
      <c r="X698" s="182" t="s">
        <v>396</v>
      </c>
      <c r="Y698" s="191"/>
      <c r="Z698" s="196" t="s">
        <v>20</v>
      </c>
    </row>
    <row r="699" spans="2:26" ht="16" thickBot="1" x14ac:dyDescent="0.25">
      <c r="B699" s="196"/>
      <c r="C699" s="203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204"/>
      <c r="U699" s="146"/>
      <c r="V699" s="146"/>
      <c r="W699" s="146"/>
      <c r="X699" s="182"/>
      <c r="Y699" s="191"/>
      <c r="Z699" s="196"/>
    </row>
    <row r="700" spans="2:26" ht="16" thickBot="1" x14ac:dyDescent="0.25">
      <c r="B700" s="206"/>
      <c r="C700" s="632"/>
      <c r="D700" s="4"/>
      <c r="E700" s="4"/>
      <c r="F700" s="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633"/>
      <c r="U700" s="8"/>
      <c r="V700" s="8"/>
      <c r="W700" s="8"/>
      <c r="X700" s="634"/>
      <c r="Y700" s="635"/>
      <c r="Z700" s="196"/>
    </row>
    <row r="701" spans="2:26" ht="16" thickBot="1" x14ac:dyDescent="0.25">
      <c r="B701" s="197"/>
      <c r="C701" s="137"/>
      <c r="D701" s="171">
        <f>SUM(D697:D699)</f>
        <v>0</v>
      </c>
      <c r="E701" s="658">
        <f>SUM(E697:E699)</f>
        <v>0</v>
      </c>
      <c r="F701" s="659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5"/>
      <c r="Y701" s="138"/>
      <c r="Z701" s="198"/>
    </row>
    <row r="702" spans="2:26" ht="16" thickBot="1" x14ac:dyDescent="0.25">
      <c r="B702" s="196">
        <v>45755</v>
      </c>
      <c r="C702" s="6"/>
      <c r="D702" s="146"/>
      <c r="E702" s="146"/>
      <c r="F702" s="139"/>
      <c r="G702" s="139">
        <f>495.89+81+81</f>
        <v>657.89</v>
      </c>
      <c r="H702" s="139"/>
      <c r="I702" s="139">
        <v>16547.13</v>
      </c>
      <c r="J702" s="574"/>
      <c r="K702" s="139">
        <v>548.32000000000005</v>
      </c>
      <c r="L702" s="139">
        <v>7963.4</v>
      </c>
      <c r="M702" s="139"/>
      <c r="N702" s="139"/>
      <c r="O702" s="139"/>
      <c r="P702" s="139">
        <v>75</v>
      </c>
      <c r="Q702" s="139"/>
      <c r="R702" s="139"/>
      <c r="S702" s="139"/>
      <c r="T702" s="140"/>
      <c r="U702" s="139"/>
      <c r="V702" s="139"/>
      <c r="W702" s="139">
        <v>30</v>
      </c>
      <c r="X702" s="575" t="s">
        <v>960</v>
      </c>
      <c r="Y702" s="238">
        <f>SUM(F702:W707)</f>
        <v>26405.389999999996</v>
      </c>
      <c r="Z702" s="196">
        <f>B702</f>
        <v>45755</v>
      </c>
    </row>
    <row r="703" spans="2:26" ht="16" thickBot="1" x14ac:dyDescent="0.25">
      <c r="B703" s="196" t="s">
        <v>21</v>
      </c>
      <c r="C703" s="6"/>
      <c r="D703" s="146"/>
      <c r="E703" s="146"/>
      <c r="F703" s="4"/>
      <c r="G703" s="4"/>
      <c r="H703" s="4"/>
      <c r="I703" s="4"/>
      <c r="J703" s="149"/>
      <c r="K703" s="4"/>
      <c r="L703" s="4"/>
      <c r="M703" s="4"/>
      <c r="N703" s="4"/>
      <c r="O703" s="4"/>
      <c r="P703" s="4"/>
      <c r="Q703" s="4"/>
      <c r="R703" s="4"/>
      <c r="S703" s="4"/>
      <c r="T703" s="148"/>
      <c r="U703" s="4"/>
      <c r="V703" s="4"/>
      <c r="W703" s="4">
        <v>77</v>
      </c>
      <c r="X703" s="142" t="s">
        <v>297</v>
      </c>
      <c r="Y703" s="191"/>
      <c r="Z703" s="196" t="s">
        <v>21</v>
      </c>
    </row>
    <row r="704" spans="2:26" ht="16" thickBot="1" x14ac:dyDescent="0.25">
      <c r="B704" s="196"/>
      <c r="C704" s="6"/>
      <c r="D704" s="4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78"/>
      <c r="U704" s="12"/>
      <c r="V704" s="12"/>
      <c r="W704" s="146">
        <v>242.48</v>
      </c>
      <c r="X704" s="147" t="s">
        <v>279</v>
      </c>
      <c r="Y704" s="191"/>
      <c r="Z704" s="196"/>
    </row>
    <row r="705" spans="2:26" ht="16" thickBot="1" x14ac:dyDescent="0.25">
      <c r="B705" s="662"/>
      <c r="C705" s="57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79"/>
      <c r="U705" s="4"/>
      <c r="V705" s="4"/>
      <c r="W705" s="4">
        <v>264.17</v>
      </c>
      <c r="X705" s="142" t="s">
        <v>411</v>
      </c>
      <c r="Y705" s="643"/>
      <c r="Z705" s="196"/>
    </row>
    <row r="706" spans="2:26" ht="16" thickBot="1" x14ac:dyDescent="0.25">
      <c r="B706" s="662"/>
      <c r="C706" s="57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79"/>
      <c r="U706" s="4"/>
      <c r="V706" s="4"/>
      <c r="W706" s="4"/>
      <c r="X706" s="142"/>
      <c r="Y706" s="643"/>
      <c r="Z706" s="196"/>
    </row>
    <row r="707" spans="2:26" ht="16" thickBot="1" x14ac:dyDescent="0.25">
      <c r="B707" s="476"/>
      <c r="C707" s="663"/>
      <c r="D707" s="664">
        <f>SUM(D702:D704)</f>
        <v>0</v>
      </c>
      <c r="E707" s="664">
        <f>SUM(E702:E704)</f>
        <v>0</v>
      </c>
      <c r="F707" s="66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642"/>
      <c r="U707" s="642"/>
      <c r="V707" s="642"/>
      <c r="W707" s="8"/>
      <c r="X707" s="666"/>
      <c r="Y707" s="571"/>
      <c r="Z707" s="198"/>
    </row>
    <row r="708" spans="2:26" ht="16" thickBot="1" x14ac:dyDescent="0.25">
      <c r="B708" s="570">
        <v>45756</v>
      </c>
      <c r="C708" s="573"/>
      <c r="D708" s="139"/>
      <c r="E708" s="139"/>
      <c r="F708" s="4"/>
      <c r="G708" s="4">
        <v>800</v>
      </c>
      <c r="H708" s="4"/>
      <c r="I708" s="68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48"/>
      <c r="U708" s="4"/>
      <c r="V708" s="4"/>
      <c r="W708" s="4"/>
      <c r="X708" s="689"/>
      <c r="Y708" s="576">
        <f>SUM(F708:X714)</f>
        <v>800</v>
      </c>
      <c r="Z708" s="464">
        <f>B708</f>
        <v>45756</v>
      </c>
    </row>
    <row r="709" spans="2:26" ht="16" thickBot="1" x14ac:dyDescent="0.25">
      <c r="B709" s="570" t="s">
        <v>22</v>
      </c>
      <c r="C709" s="572"/>
      <c r="D709" s="4"/>
      <c r="E709" s="4"/>
      <c r="F709" s="4"/>
      <c r="G709" s="4"/>
      <c r="H709" s="4"/>
      <c r="I709" s="4"/>
      <c r="J709" s="149"/>
      <c r="K709" s="4"/>
      <c r="L709" s="4"/>
      <c r="M709" s="4"/>
      <c r="N709" s="4"/>
      <c r="O709" s="4"/>
      <c r="P709" s="4"/>
      <c r="Q709" s="4"/>
      <c r="R709" s="4"/>
      <c r="S709" s="4"/>
      <c r="T709" s="148"/>
      <c r="U709" s="4"/>
      <c r="V709" s="4"/>
      <c r="W709" s="4"/>
      <c r="X709" s="142"/>
      <c r="Y709" s="638"/>
      <c r="Z709" s="464"/>
    </row>
    <row r="710" spans="2:26" ht="16" thickBot="1" x14ac:dyDescent="0.25">
      <c r="B710" s="570"/>
      <c r="C710" s="572"/>
      <c r="D710" s="4"/>
      <c r="E710" s="4"/>
      <c r="F710" s="4"/>
      <c r="G710" s="4"/>
      <c r="H710" s="4"/>
      <c r="I710" s="4"/>
      <c r="J710" s="149"/>
      <c r="K710" s="4"/>
      <c r="L710" s="4"/>
      <c r="M710" s="4"/>
      <c r="N710" s="4"/>
      <c r="O710" s="4"/>
      <c r="P710" s="4"/>
      <c r="Q710" s="4"/>
      <c r="R710" s="4"/>
      <c r="S710" s="4"/>
      <c r="T710" s="148"/>
      <c r="U710" s="4"/>
      <c r="V710" s="4"/>
      <c r="W710" s="4"/>
      <c r="X710" s="142"/>
      <c r="Y710" s="638"/>
      <c r="Z710" s="464"/>
    </row>
    <row r="711" spans="2:26" ht="16" thickBot="1" x14ac:dyDescent="0.25">
      <c r="B711" s="570"/>
      <c r="C711" s="572"/>
      <c r="D711" s="4"/>
      <c r="E711" s="4"/>
      <c r="F711" s="4"/>
      <c r="G711" s="4"/>
      <c r="H711" s="4"/>
      <c r="I711" s="4"/>
      <c r="J711" s="149"/>
      <c r="K711" s="4"/>
      <c r="L711" s="4"/>
      <c r="M711" s="4"/>
      <c r="N711" s="4"/>
      <c r="O711" s="4"/>
      <c r="P711" s="4"/>
      <c r="Q711" s="4"/>
      <c r="R711" s="4"/>
      <c r="S711" s="4"/>
      <c r="T711" s="148"/>
      <c r="U711" s="4"/>
      <c r="V711" s="4"/>
      <c r="W711" s="4"/>
      <c r="X711" s="142"/>
      <c r="Y711" s="638"/>
      <c r="Z711" s="464"/>
    </row>
    <row r="712" spans="2:26" ht="16" thickBot="1" x14ac:dyDescent="0.25">
      <c r="B712" s="570"/>
      <c r="C712" s="572"/>
      <c r="D712" s="4"/>
      <c r="E712" s="4"/>
      <c r="F712" s="4"/>
      <c r="G712" s="4"/>
      <c r="H712" s="4"/>
      <c r="I712" s="4"/>
      <c r="J712" s="149"/>
      <c r="K712" s="4"/>
      <c r="L712" s="4"/>
      <c r="M712" s="4"/>
      <c r="N712" s="4"/>
      <c r="O712" s="4"/>
      <c r="P712" s="4"/>
      <c r="Q712" s="4"/>
      <c r="R712" s="4"/>
      <c r="S712" s="4"/>
      <c r="T712" s="148"/>
      <c r="U712" s="4"/>
      <c r="V712" s="4"/>
      <c r="W712" s="4"/>
      <c r="X712" s="142"/>
      <c r="Y712" s="638"/>
      <c r="Z712" s="464"/>
    </row>
    <row r="713" spans="2:26" ht="16" thickBot="1" x14ac:dyDescent="0.25">
      <c r="B713" s="570"/>
      <c r="C713" s="572"/>
      <c r="D713" s="4"/>
      <c r="E713" s="4"/>
      <c r="F713" s="4"/>
      <c r="G713" s="4"/>
      <c r="H713" s="4"/>
      <c r="I713" s="4"/>
      <c r="J713" s="149"/>
      <c r="K713" s="4"/>
      <c r="L713" s="4"/>
      <c r="M713" s="4"/>
      <c r="N713" s="4"/>
      <c r="O713" s="4"/>
      <c r="P713" s="4"/>
      <c r="Q713" s="4"/>
      <c r="R713" s="4"/>
      <c r="S713" s="4"/>
      <c r="T713" s="148"/>
      <c r="U713" s="4"/>
      <c r="V713" s="4"/>
      <c r="W713" s="4"/>
      <c r="X713" s="142"/>
      <c r="Y713" s="638"/>
      <c r="Z713" s="464"/>
    </row>
    <row r="714" spans="2:26" ht="16" thickBot="1" x14ac:dyDescent="0.25">
      <c r="B714" s="197"/>
      <c r="C714" s="257"/>
      <c r="D714" s="171">
        <f>SUM(D708:D713)</f>
        <v>0</v>
      </c>
      <c r="E714" s="171">
        <f>SUM(E708:E713)</f>
        <v>0</v>
      </c>
      <c r="F714" s="245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72"/>
      <c r="Y714" s="241"/>
      <c r="Z714" s="465"/>
    </row>
    <row r="715" spans="2:26" ht="16" thickBot="1" x14ac:dyDescent="0.25">
      <c r="B715" s="196">
        <v>45757</v>
      </c>
      <c r="C715" s="207"/>
      <c r="D715" s="8"/>
      <c r="E715" s="146"/>
      <c r="F715" s="146">
        <v>1500</v>
      </c>
      <c r="G715" s="146">
        <v>800</v>
      </c>
      <c r="H715" s="146"/>
      <c r="I715" s="246">
        <v>3312</v>
      </c>
      <c r="J715" s="146"/>
      <c r="K715" s="146"/>
      <c r="L715" s="146">
        <v>6497.56</v>
      </c>
      <c r="M715" s="146"/>
      <c r="N715" s="146"/>
      <c r="O715" s="146"/>
      <c r="P715" s="146"/>
      <c r="Q715" s="8">
        <v>349.93</v>
      </c>
      <c r="R715" s="8"/>
      <c r="S715" s="146">
        <v>7157.54</v>
      </c>
      <c r="T715" s="204"/>
      <c r="U715" s="146"/>
      <c r="V715" s="146"/>
      <c r="W715" s="146">
        <v>49</v>
      </c>
      <c r="X715" s="247" t="s">
        <v>411</v>
      </c>
      <c r="Y715" s="171">
        <f>SUM(F715:W722)</f>
        <v>20637.150000000001</v>
      </c>
      <c r="Z715" s="196">
        <f>B715</f>
        <v>45757</v>
      </c>
    </row>
    <row r="716" spans="2:26" ht="16" thickBot="1" x14ac:dyDescent="0.25">
      <c r="B716" s="196" t="s">
        <v>23</v>
      </c>
      <c r="C716" s="7"/>
      <c r="D716" s="4"/>
      <c r="E716" s="146"/>
      <c r="F716" s="146"/>
      <c r="G716" s="146"/>
      <c r="H716" s="146"/>
      <c r="I716" s="463"/>
      <c r="J716" s="146"/>
      <c r="K716" s="146"/>
      <c r="L716" s="146"/>
      <c r="M716" s="146"/>
      <c r="N716" s="146"/>
      <c r="O716" s="146"/>
      <c r="P716" s="146"/>
      <c r="Q716" s="4"/>
      <c r="R716" s="4"/>
      <c r="S716" s="146"/>
      <c r="T716" s="204"/>
      <c r="U716" s="146"/>
      <c r="V716" s="146"/>
      <c r="W716" s="146">
        <v>451.12</v>
      </c>
      <c r="X716" s="247" t="s">
        <v>279</v>
      </c>
      <c r="Y716" s="240"/>
      <c r="Z716" s="196"/>
    </row>
    <row r="717" spans="2:26" ht="16" thickBot="1" x14ac:dyDescent="0.25">
      <c r="B717" s="196"/>
      <c r="C717" s="7"/>
      <c r="D717" s="4"/>
      <c r="E717" s="146"/>
      <c r="F717" s="146"/>
      <c r="G717" s="146"/>
      <c r="H717" s="146"/>
      <c r="I717" s="463"/>
      <c r="J717" s="146"/>
      <c r="K717" s="146"/>
      <c r="L717" s="146"/>
      <c r="M717" s="146"/>
      <c r="N717" s="146"/>
      <c r="O717" s="146"/>
      <c r="P717" s="146"/>
      <c r="Q717" s="4"/>
      <c r="R717" s="4"/>
      <c r="S717" s="146"/>
      <c r="T717" s="204"/>
      <c r="U717" s="146"/>
      <c r="V717" s="146"/>
      <c r="W717" s="146">
        <v>520</v>
      </c>
      <c r="X717" s="247" t="s">
        <v>771</v>
      </c>
      <c r="Y717" s="4"/>
      <c r="Z717" s="464"/>
    </row>
    <row r="718" spans="2:26" ht="16" thickBot="1" x14ac:dyDescent="0.25">
      <c r="B718" s="196"/>
      <c r="C718" s="7"/>
      <c r="D718" s="4"/>
      <c r="E718" s="146"/>
      <c r="F718" s="146"/>
      <c r="G718" s="146"/>
      <c r="H718" s="146"/>
      <c r="I718" s="463"/>
      <c r="J718" s="146"/>
      <c r="K718" s="146"/>
      <c r="L718" s="146"/>
      <c r="M718" s="146"/>
      <c r="N718" s="146"/>
      <c r="O718" s="146"/>
      <c r="P718" s="146"/>
      <c r="Q718" s="4"/>
      <c r="R718" s="4"/>
      <c r="S718" s="146"/>
      <c r="T718" s="204"/>
      <c r="U718" s="146"/>
      <c r="V718" s="146"/>
      <c r="W718" s="146"/>
      <c r="X718" s="247"/>
      <c r="Y718" s="4"/>
      <c r="Z718" s="464"/>
    </row>
    <row r="719" spans="2:26" ht="16" thickBot="1" x14ac:dyDescent="0.25">
      <c r="B719" s="198"/>
      <c r="C719" s="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150"/>
      <c r="Y719" s="4"/>
      <c r="Z719" s="465" t="s">
        <v>23</v>
      </c>
    </row>
    <row r="720" spans="2:26" ht="16" thickBot="1" x14ac:dyDescent="0.25">
      <c r="B720" s="476"/>
      <c r="C720" s="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150"/>
      <c r="Y720" s="10"/>
      <c r="Z720" s="465"/>
    </row>
    <row r="721" spans="2:26" ht="16" thickBot="1" x14ac:dyDescent="0.25">
      <c r="B721" s="476"/>
      <c r="C721" s="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150"/>
      <c r="Y721" s="10"/>
      <c r="Z721" s="465"/>
    </row>
    <row r="722" spans="2:26" ht="16" thickBot="1" x14ac:dyDescent="0.25">
      <c r="B722" s="197"/>
      <c r="C722" s="249"/>
      <c r="D722" s="171">
        <f>SUM(D715:D721)</f>
        <v>0</v>
      </c>
      <c r="E722" s="171">
        <f>SUM(E715:E721)</f>
        <v>0</v>
      </c>
      <c r="F722" s="252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250"/>
      <c r="Y722" s="251"/>
      <c r="Z722" s="198"/>
    </row>
    <row r="723" spans="2:26" ht="16" thickBot="1" x14ac:dyDescent="0.25">
      <c r="B723" s="556">
        <v>45758</v>
      </c>
      <c r="C723" s="557"/>
      <c r="D723" s="558"/>
      <c r="E723" s="558"/>
      <c r="F723" s="146"/>
      <c r="G723" s="146">
        <v>800</v>
      </c>
      <c r="H723" s="146"/>
      <c r="I723" s="246"/>
      <c r="J723" s="146"/>
      <c r="K723" s="146"/>
      <c r="L723" s="146"/>
      <c r="M723" s="146"/>
      <c r="N723" s="146"/>
      <c r="O723" s="146">
        <f>8420+6400</f>
        <v>14820</v>
      </c>
      <c r="P723" s="146"/>
      <c r="Q723" s="8"/>
      <c r="R723" s="8"/>
      <c r="S723" s="146"/>
      <c r="T723" s="204"/>
      <c r="U723" s="146"/>
      <c r="V723" s="146"/>
      <c r="W723" s="146"/>
      <c r="X723" s="247"/>
      <c r="Y723" s="559">
        <f>SUM(F723:W727)</f>
        <v>15620</v>
      </c>
      <c r="Z723" s="560">
        <f>B723</f>
        <v>45758</v>
      </c>
    </row>
    <row r="724" spans="2:26" ht="16" thickBot="1" x14ac:dyDescent="0.25">
      <c r="B724" s="206" t="s">
        <v>24</v>
      </c>
      <c r="C724" s="6"/>
      <c r="D724" s="146"/>
      <c r="E724" s="146"/>
      <c r="F724" s="14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150"/>
      <c r="Y724" s="639"/>
      <c r="Z724" s="196"/>
    </row>
    <row r="725" spans="2:26" ht="16" thickBot="1" x14ac:dyDescent="0.25">
      <c r="B725" s="206"/>
      <c r="C725" s="6"/>
      <c r="D725" s="146"/>
      <c r="E725" s="146"/>
      <c r="F725" s="146"/>
      <c r="G725" s="146"/>
      <c r="H725" s="146"/>
      <c r="I725" s="639"/>
      <c r="J725" s="146"/>
      <c r="K725" s="146"/>
      <c r="L725" s="146"/>
      <c r="M725" s="146"/>
      <c r="N725" s="146"/>
      <c r="O725" s="146"/>
      <c r="P725" s="146"/>
      <c r="Q725" s="8"/>
      <c r="R725" s="8"/>
      <c r="S725" s="146"/>
      <c r="T725" s="146"/>
      <c r="U725" s="146"/>
      <c r="V725" s="146"/>
      <c r="W725" s="146"/>
      <c r="X725" s="709"/>
      <c r="Y725" s="639"/>
      <c r="Z725" s="196"/>
    </row>
    <row r="726" spans="2:26" ht="16" thickBot="1" x14ac:dyDescent="0.25">
      <c r="B726" s="206"/>
      <c r="C726" s="6"/>
      <c r="D726" s="146"/>
      <c r="E726" s="146"/>
      <c r="F726" s="146"/>
      <c r="G726" s="146"/>
      <c r="H726" s="146"/>
      <c r="I726" s="246"/>
      <c r="J726" s="146"/>
      <c r="K726" s="146"/>
      <c r="L726" s="146"/>
      <c r="M726" s="146"/>
      <c r="N726" s="146"/>
      <c r="O726" s="146"/>
      <c r="P726" s="146"/>
      <c r="Q726" s="8"/>
      <c r="R726" s="8"/>
      <c r="S726" s="146"/>
      <c r="T726" s="204"/>
      <c r="U726" s="146"/>
      <c r="V726" s="146"/>
      <c r="W726" s="146"/>
      <c r="X726" s="247"/>
      <c r="Y726" s="639"/>
      <c r="Z726" s="196"/>
    </row>
    <row r="727" spans="2:26" ht="16" thickBot="1" x14ac:dyDescent="0.25">
      <c r="B727" s="197"/>
      <c r="C727" s="137"/>
      <c r="D727" s="1">
        <f>SUM(D723:D726)</f>
        <v>0</v>
      </c>
      <c r="E727" s="1">
        <f>SUM(E723:E726)</f>
        <v>0</v>
      </c>
      <c r="F727" s="2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250"/>
      <c r="Y727" s="251"/>
      <c r="Z727" s="198"/>
    </row>
    <row r="728" spans="2:26" ht="16" thickBot="1" x14ac:dyDescent="0.25">
      <c r="B728" s="127">
        <v>45759</v>
      </c>
      <c r="C728" s="6"/>
      <c r="D728" s="146"/>
      <c r="E728" s="146"/>
      <c r="F728" s="146"/>
      <c r="G728" s="146"/>
      <c r="H728" s="146"/>
      <c r="I728" s="246"/>
      <c r="J728" s="146"/>
      <c r="K728" s="146"/>
      <c r="L728" s="146">
        <v>6747.53</v>
      </c>
      <c r="M728" s="146"/>
      <c r="N728" s="146"/>
      <c r="O728" s="146"/>
      <c r="P728" s="146"/>
      <c r="Q728" s="8"/>
      <c r="R728" s="8"/>
      <c r="S728" s="146"/>
      <c r="T728" s="204"/>
      <c r="U728" s="146"/>
      <c r="V728" s="146"/>
      <c r="W728" s="146">
        <v>194.97</v>
      </c>
      <c r="X728" s="247"/>
      <c r="Y728" s="171">
        <f>SUM(F728:W734)</f>
        <v>6942.5</v>
      </c>
      <c r="Z728" s="196">
        <f>B728</f>
        <v>45759</v>
      </c>
    </row>
    <row r="729" spans="2:26" ht="16" thickBot="1" x14ac:dyDescent="0.25">
      <c r="B729" s="548" t="s">
        <v>25</v>
      </c>
      <c r="C729" s="6"/>
      <c r="D729" s="4"/>
      <c r="E729" s="4"/>
      <c r="F729" s="14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150"/>
      <c r="Y729" s="639"/>
      <c r="Z729" s="196" t="s">
        <v>25</v>
      </c>
    </row>
    <row r="730" spans="2:26" ht="16" thickBot="1" x14ac:dyDescent="0.25">
      <c r="B730" s="208"/>
      <c r="C730" s="6"/>
      <c r="D730" s="4"/>
      <c r="E730" s="4"/>
      <c r="F730" s="14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150"/>
      <c r="Y730" s="639"/>
      <c r="Z730" s="196"/>
    </row>
    <row r="731" spans="2:26" ht="16" thickBot="1" x14ac:dyDescent="0.25">
      <c r="B731" s="208"/>
      <c r="C731" s="6"/>
      <c r="D731" s="4"/>
      <c r="E731" s="4"/>
      <c r="F731" s="14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150"/>
      <c r="Y731" s="639"/>
      <c r="Z731" s="196"/>
    </row>
    <row r="732" spans="2:26" ht="16" thickBot="1" x14ac:dyDescent="0.25">
      <c r="B732" s="208"/>
      <c r="C732" s="6"/>
      <c r="D732" s="4"/>
      <c r="E732" s="4"/>
      <c r="F732" s="14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150"/>
      <c r="Y732" s="639"/>
      <c r="Z732" s="196"/>
    </row>
    <row r="733" spans="2:26" ht="16" thickBot="1" x14ac:dyDescent="0.25">
      <c r="B733" s="199"/>
      <c r="C733" s="7"/>
      <c r="D733" s="143"/>
      <c r="E733" s="14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48"/>
      <c r="U733" s="4"/>
      <c r="V733" s="4"/>
      <c r="W733" s="4"/>
      <c r="X733" s="150"/>
      <c r="Y733" s="10"/>
      <c r="Z733" s="196"/>
    </row>
    <row r="734" spans="2:26" ht="16" thickBot="1" x14ac:dyDescent="0.25">
      <c r="B734" s="198"/>
      <c r="C734" s="137"/>
      <c r="D734" s="9">
        <f>SUM(D728:D733)</f>
        <v>0</v>
      </c>
      <c r="E734" s="9">
        <f>SUM(E728:E733)</f>
        <v>0</v>
      </c>
      <c r="F734" s="245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254"/>
      <c r="R734" s="144"/>
      <c r="S734" s="144"/>
      <c r="T734" s="144"/>
      <c r="U734" s="144"/>
      <c r="V734" s="144"/>
      <c r="W734" s="144"/>
      <c r="X734" s="172"/>
      <c r="Y734" s="11"/>
      <c r="Z734" s="198"/>
    </row>
    <row r="735" spans="2:26" ht="16" thickBot="1" x14ac:dyDescent="0.25">
      <c r="B735" s="196">
        <v>45760</v>
      </c>
      <c r="C735" s="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>
        <v>181</v>
      </c>
      <c r="Q735" s="253"/>
      <c r="R735" s="253"/>
      <c r="S735" s="146"/>
      <c r="T735" s="204"/>
      <c r="U735" s="146"/>
      <c r="V735" s="146"/>
      <c r="W735" s="146">
        <v>79.5</v>
      </c>
      <c r="X735" s="182" t="s">
        <v>377</v>
      </c>
      <c r="Y735" s="1">
        <f>SUM(F735:W738)</f>
        <v>260.5</v>
      </c>
      <c r="Z735" s="196">
        <f>B735</f>
        <v>45760</v>
      </c>
    </row>
    <row r="736" spans="2:26" ht="16" thickBot="1" x14ac:dyDescent="0.25">
      <c r="B736" s="198" t="s">
        <v>26</v>
      </c>
      <c r="C736" s="5"/>
      <c r="D736" s="4"/>
      <c r="E736" s="4"/>
      <c r="F736" s="4"/>
      <c r="G736" s="15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150"/>
      <c r="Y736" s="12"/>
      <c r="Z736" s="198" t="s">
        <v>26</v>
      </c>
    </row>
    <row r="737" spans="2:26" ht="16" thickBot="1" x14ac:dyDescent="0.25">
      <c r="B737" s="268"/>
      <c r="C737" s="152"/>
      <c r="D737" s="143"/>
      <c r="E737" s="14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150"/>
      <c r="Y737" s="10"/>
      <c r="Z737" s="268"/>
    </row>
    <row r="738" spans="2:26" ht="16" thickBot="1" x14ac:dyDescent="0.25">
      <c r="B738" s="267"/>
      <c r="C738" s="255"/>
      <c r="D738" s="1">
        <f>SUM(D735:D737)</f>
        <v>0</v>
      </c>
      <c r="E738" s="1">
        <f>SUM(E735:E737)</f>
        <v>0</v>
      </c>
      <c r="F738" s="245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72"/>
      <c r="Y738" s="248"/>
      <c r="Z738" s="268"/>
    </row>
    <row r="739" spans="2:26" x14ac:dyDescent="0.2">
      <c r="B739" s="101"/>
      <c r="C739" s="243"/>
      <c r="D739" s="242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8"/>
      <c r="Z739" s="130"/>
    </row>
    <row r="740" spans="2:26" ht="16" thickBot="1" x14ac:dyDescent="0.25">
      <c r="B740" s="101"/>
      <c r="C740" s="243"/>
      <c r="D740" s="189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2"/>
      <c r="Z740" s="128"/>
    </row>
    <row r="741" spans="2:26" ht="16" thickBot="1" x14ac:dyDescent="0.25">
      <c r="B741" s="101"/>
      <c r="C741" s="101"/>
      <c r="D741" s="105">
        <f>SUM(D738,D734,D727,D722,D714,D707,D701)</f>
        <v>0</v>
      </c>
      <c r="E741" s="105">
        <f>SUM(E738,E734,E727,E722,E714,E707,E701)</f>
        <v>0</v>
      </c>
      <c r="F741" s="104">
        <f t="shared" ref="F741:S741" si="14">SUM(F697:F740)</f>
        <v>1500</v>
      </c>
      <c r="G741" s="103">
        <f t="shared" si="14"/>
        <v>3857.89</v>
      </c>
      <c r="H741" s="103">
        <f t="shared" si="14"/>
        <v>0</v>
      </c>
      <c r="I741" s="103">
        <f t="shared" si="14"/>
        <v>19859.13</v>
      </c>
      <c r="J741" s="103">
        <f t="shared" si="14"/>
        <v>0</v>
      </c>
      <c r="K741" s="103">
        <f t="shared" si="14"/>
        <v>548.32000000000005</v>
      </c>
      <c r="L741" s="103">
        <f t="shared" si="14"/>
        <v>28241.969999999998</v>
      </c>
      <c r="M741" s="103">
        <f t="shared" si="14"/>
        <v>0</v>
      </c>
      <c r="N741" s="103">
        <f t="shared" si="14"/>
        <v>0</v>
      </c>
      <c r="O741" s="103">
        <f t="shared" si="14"/>
        <v>14820</v>
      </c>
      <c r="P741" s="103">
        <f t="shared" si="14"/>
        <v>256</v>
      </c>
      <c r="Q741" s="103">
        <f t="shared" si="14"/>
        <v>799.84</v>
      </c>
      <c r="R741" s="103">
        <f t="shared" si="14"/>
        <v>0</v>
      </c>
      <c r="S741" s="103">
        <f t="shared" si="14"/>
        <v>7157.54</v>
      </c>
      <c r="T741" s="103"/>
      <c r="U741" s="103">
        <f>SUM(U701:U740)</f>
        <v>0</v>
      </c>
      <c r="V741" s="103">
        <f>SUM(V697:V740)</f>
        <v>0</v>
      </c>
      <c r="W741" s="103">
        <f>SUM(W697:W740)</f>
        <v>2448.2399999999998</v>
      </c>
      <c r="X741" s="153"/>
      <c r="Y741" s="155">
        <f>SUM(Y697:Y738)</f>
        <v>79488.929999999993</v>
      </c>
      <c r="Z741" s="129"/>
    </row>
    <row r="742" spans="2:26" ht="27" thickBot="1" x14ac:dyDescent="0.25">
      <c r="B742" s="101"/>
      <c r="C742" s="154" t="s">
        <v>0</v>
      </c>
      <c r="D742" s="154" t="s">
        <v>1</v>
      </c>
      <c r="E742" s="154" t="s">
        <v>2</v>
      </c>
      <c r="F742" s="154" t="s">
        <v>3</v>
      </c>
      <c r="G742" s="154" t="s">
        <v>4</v>
      </c>
      <c r="H742" s="154" t="s">
        <v>5</v>
      </c>
      <c r="I742" s="154" t="s">
        <v>6</v>
      </c>
      <c r="J742" s="154" t="s">
        <v>7</v>
      </c>
      <c r="K742" s="154" t="s">
        <v>8</v>
      </c>
      <c r="L742" s="154" t="s">
        <v>9</v>
      </c>
      <c r="M742" s="154" t="s">
        <v>309</v>
      </c>
      <c r="N742" s="154" t="s">
        <v>11</v>
      </c>
      <c r="O742" s="154" t="s">
        <v>12</v>
      </c>
      <c r="P742" s="154" t="s">
        <v>13</v>
      </c>
      <c r="Q742" s="154" t="s">
        <v>14</v>
      </c>
      <c r="R742" s="154" t="s">
        <v>15</v>
      </c>
      <c r="S742" s="154" t="s">
        <v>311</v>
      </c>
      <c r="T742" s="154" t="s">
        <v>16</v>
      </c>
      <c r="U742" s="154" t="s">
        <v>403</v>
      </c>
      <c r="V742" s="154" t="s">
        <v>17</v>
      </c>
      <c r="W742" s="154" t="s">
        <v>18</v>
      </c>
      <c r="X742" s="154"/>
      <c r="Y742" s="154" t="s">
        <v>19</v>
      </c>
      <c r="Z742" s="126"/>
    </row>
    <row r="743" spans="2:26" ht="16" thickBot="1" x14ac:dyDescent="0.25">
      <c r="B743" s="101"/>
      <c r="C743" s="101"/>
      <c r="D743" s="101"/>
      <c r="E743" s="727" t="str">
        <f>M743</f>
        <v>7 - 13 april 2025</v>
      </c>
      <c r="F743" s="719"/>
      <c r="G743" s="719"/>
      <c r="H743" s="720"/>
      <c r="I743" s="101"/>
      <c r="J743" s="101"/>
      <c r="K743" s="101"/>
      <c r="L743" s="101"/>
      <c r="M743" s="727" t="str">
        <f>V743</f>
        <v>7 - 13 april 2025</v>
      </c>
      <c r="N743" s="719"/>
      <c r="O743" s="719"/>
      <c r="P743" s="720"/>
      <c r="Q743" s="101"/>
      <c r="R743" s="101"/>
      <c r="S743" s="101"/>
      <c r="T743" s="101"/>
      <c r="U743" s="101"/>
      <c r="V743" s="727" t="str">
        <f>V695</f>
        <v>7 - 13 april 2025</v>
      </c>
      <c r="W743" s="719"/>
      <c r="X743" s="719"/>
      <c r="Y743" s="720"/>
      <c r="Z743" s="101"/>
    </row>
    <row r="744" spans="2:26" ht="16" thickBot="1" x14ac:dyDescent="0.25"/>
    <row r="745" spans="2:26" ht="16" thickBot="1" x14ac:dyDescent="0.25">
      <c r="E745" s="718" t="s">
        <v>991</v>
      </c>
      <c r="F745" s="719"/>
      <c r="G745" s="719"/>
      <c r="H745" s="720"/>
      <c r="K745" s="106"/>
      <c r="L745" s="106"/>
      <c r="M745" s="721" t="str">
        <f>E745</f>
        <v>14 - 20 APRIL 2025</v>
      </c>
      <c r="N745" s="722"/>
      <c r="O745" s="722"/>
      <c r="P745" s="723"/>
      <c r="Q745" s="106"/>
      <c r="R745" s="106"/>
      <c r="S745" s="106"/>
      <c r="T745" s="106"/>
      <c r="U745" s="106"/>
      <c r="V745" s="724" t="str">
        <f>M745</f>
        <v>14 - 20 APRIL 2025</v>
      </c>
      <c r="W745" s="725"/>
      <c r="X745" s="725"/>
      <c r="Y745" s="726"/>
      <c r="Z745" s="106"/>
    </row>
    <row r="746" spans="2:26" ht="27" thickBot="1" x14ac:dyDescent="0.25">
      <c r="C746" s="126" t="s">
        <v>0</v>
      </c>
      <c r="D746" s="135" t="s">
        <v>1</v>
      </c>
      <c r="E746" s="258" t="s">
        <v>2</v>
      </c>
      <c r="F746" s="259" t="s">
        <v>3</v>
      </c>
      <c r="G746" s="260" t="s">
        <v>4</v>
      </c>
      <c r="H746" s="261" t="s">
        <v>5</v>
      </c>
      <c r="I746" s="262" t="s">
        <v>6</v>
      </c>
      <c r="J746" s="262" t="s">
        <v>7</v>
      </c>
      <c r="K746" s="262" t="s">
        <v>8</v>
      </c>
      <c r="L746" s="262" t="s">
        <v>9</v>
      </c>
      <c r="M746" s="262" t="s">
        <v>10</v>
      </c>
      <c r="N746" s="262" t="s">
        <v>11</v>
      </c>
      <c r="O746" s="262" t="s">
        <v>12</v>
      </c>
      <c r="P746" s="262" t="s">
        <v>13</v>
      </c>
      <c r="Q746" s="262" t="s">
        <v>14</v>
      </c>
      <c r="R746" s="262" t="s">
        <v>15</v>
      </c>
      <c r="S746" s="262" t="s">
        <v>311</v>
      </c>
      <c r="T746" s="262" t="s">
        <v>16</v>
      </c>
      <c r="U746" s="154" t="s">
        <v>403</v>
      </c>
      <c r="V746" s="263" t="s">
        <v>17</v>
      </c>
      <c r="W746" s="263" t="s">
        <v>18</v>
      </c>
      <c r="X746" s="264"/>
      <c r="Y746" s="265" t="s">
        <v>19</v>
      </c>
      <c r="Z746" s="266"/>
    </row>
    <row r="747" spans="2:26" ht="16" thickBot="1" x14ac:dyDescent="0.25">
      <c r="B747" s="196">
        <v>45761</v>
      </c>
      <c r="C747" s="136"/>
      <c r="D747" s="139"/>
      <c r="E747" s="139"/>
      <c r="F747" s="139"/>
      <c r="G747" s="139">
        <f>752.42+561.43</f>
        <v>1313.85</v>
      </c>
      <c r="H747" s="139"/>
      <c r="I747" s="139">
        <v>33752.5</v>
      </c>
      <c r="J747" s="139"/>
      <c r="K747" s="139">
        <v>548.32000000000005</v>
      </c>
      <c r="L747" s="139">
        <v>7867.38</v>
      </c>
      <c r="M747" s="139"/>
      <c r="N747" s="139">
        <v>1005</v>
      </c>
      <c r="O747" s="139"/>
      <c r="P747" s="139">
        <v>90</v>
      </c>
      <c r="Q747" s="139">
        <v>479.85</v>
      </c>
      <c r="R747" s="139"/>
      <c r="S747" s="139"/>
      <c r="T747" s="140"/>
      <c r="U747" s="139"/>
      <c r="V747" s="139"/>
      <c r="W747" s="139">
        <v>130</v>
      </c>
      <c r="X747" s="141" t="s">
        <v>992</v>
      </c>
      <c r="Y747" s="239">
        <f>SUM(F747:X751)</f>
        <v>46799.889999999992</v>
      </c>
      <c r="Z747" s="269">
        <f>B747</f>
        <v>45761</v>
      </c>
    </row>
    <row r="748" spans="2:26" ht="16" thickBot="1" x14ac:dyDescent="0.25">
      <c r="B748" s="196" t="s">
        <v>20</v>
      </c>
      <c r="C748" s="203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204"/>
      <c r="U748" s="146"/>
      <c r="V748" s="146"/>
      <c r="W748" s="146">
        <f>666+418.5</f>
        <v>1084.5</v>
      </c>
      <c r="X748" s="182" t="s">
        <v>396</v>
      </c>
      <c r="Y748" s="191"/>
      <c r="Z748" s="196" t="s">
        <v>20</v>
      </c>
    </row>
    <row r="749" spans="2:26" ht="16" thickBot="1" x14ac:dyDescent="0.25">
      <c r="B749" s="196"/>
      <c r="C749" s="203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204"/>
      <c r="U749" s="146"/>
      <c r="V749" s="146"/>
      <c r="W749" s="146">
        <v>528.49</v>
      </c>
      <c r="X749" s="182" t="s">
        <v>343</v>
      </c>
      <c r="Y749" s="191"/>
      <c r="Z749" s="196"/>
    </row>
    <row r="750" spans="2:26" ht="16" thickBot="1" x14ac:dyDescent="0.25">
      <c r="B750" s="206"/>
      <c r="C750" s="632"/>
      <c r="D750" s="4"/>
      <c r="E750" s="4"/>
      <c r="F750" s="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633"/>
      <c r="U750" s="8"/>
      <c r="V750" s="8"/>
      <c r="W750" s="8"/>
      <c r="X750" s="634"/>
      <c r="Y750" s="635"/>
      <c r="Z750" s="196"/>
    </row>
    <row r="751" spans="2:26" ht="16" thickBot="1" x14ac:dyDescent="0.25">
      <c r="B751" s="197"/>
      <c r="C751" s="137"/>
      <c r="D751" s="171">
        <f>SUM(D747:D749)</f>
        <v>0</v>
      </c>
      <c r="E751" s="658">
        <f>SUM(E747:E749)</f>
        <v>0</v>
      </c>
      <c r="F751" s="659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5"/>
      <c r="Y751" s="138"/>
      <c r="Z751" s="198"/>
    </row>
    <row r="752" spans="2:26" ht="16" thickBot="1" x14ac:dyDescent="0.25">
      <c r="B752" s="196">
        <v>45762</v>
      </c>
      <c r="C752" s="6"/>
      <c r="D752" s="146"/>
      <c r="E752" s="146"/>
      <c r="F752" s="139"/>
      <c r="G752" s="139">
        <f>800+81+81</f>
        <v>962</v>
      </c>
      <c r="H752" s="139"/>
      <c r="I752" s="139"/>
      <c r="J752" s="574"/>
      <c r="K752" s="139"/>
      <c r="L752" s="139">
        <v>9543.25</v>
      </c>
      <c r="M752" s="139"/>
      <c r="N752" s="139"/>
      <c r="O752" s="139"/>
      <c r="P752" s="139">
        <v>16.899999999999999</v>
      </c>
      <c r="Q752" s="139">
        <v>449.91</v>
      </c>
      <c r="R752" s="139"/>
      <c r="S752" s="139"/>
      <c r="T752" s="140"/>
      <c r="U752" s="139"/>
      <c r="V752" s="139"/>
      <c r="W752" s="139">
        <v>119.98</v>
      </c>
      <c r="X752" s="575" t="s">
        <v>998</v>
      </c>
      <c r="Y752" s="238">
        <f>SUM(F752:W757)</f>
        <v>11092.039999999999</v>
      </c>
      <c r="Z752" s="196">
        <f>B752</f>
        <v>45762</v>
      </c>
    </row>
    <row r="753" spans="2:26" ht="16" thickBot="1" x14ac:dyDescent="0.25">
      <c r="B753" s="196" t="s">
        <v>21</v>
      </c>
      <c r="C753" s="6"/>
      <c r="D753" s="146"/>
      <c r="E753" s="146"/>
      <c r="F753" s="4"/>
      <c r="G753" s="4"/>
      <c r="H753" s="4"/>
      <c r="I753" s="4"/>
      <c r="J753" s="149"/>
      <c r="K753" s="4"/>
      <c r="L753" s="4"/>
      <c r="M753" s="4"/>
      <c r="N753" s="4"/>
      <c r="O753" s="4"/>
      <c r="P753" s="4"/>
      <c r="Q753" s="4"/>
      <c r="R753" s="4"/>
      <c r="S753" s="4"/>
      <c r="T753" s="148"/>
      <c r="U753" s="4"/>
      <c r="V753" s="4"/>
      <c r="W753" s="4"/>
      <c r="X753" s="142"/>
      <c r="Y753" s="191"/>
      <c r="Z753" s="196" t="s">
        <v>21</v>
      </c>
    </row>
    <row r="754" spans="2:26" ht="16" thickBot="1" x14ac:dyDescent="0.25">
      <c r="B754" s="196"/>
      <c r="C754" s="6"/>
      <c r="D754" s="4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78"/>
      <c r="U754" s="12"/>
      <c r="V754" s="12"/>
      <c r="W754" s="146"/>
      <c r="X754" s="147"/>
      <c r="Y754" s="191"/>
      <c r="Z754" s="196"/>
    </row>
    <row r="755" spans="2:26" ht="16" thickBot="1" x14ac:dyDescent="0.25">
      <c r="B755" s="662"/>
      <c r="C755" s="57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79"/>
      <c r="U755" s="4"/>
      <c r="V755" s="4"/>
      <c r="W755" s="4"/>
      <c r="X755" s="142"/>
      <c r="Y755" s="643"/>
      <c r="Z755" s="196"/>
    </row>
    <row r="756" spans="2:26" ht="16" thickBot="1" x14ac:dyDescent="0.25">
      <c r="B756" s="662"/>
      <c r="C756" s="57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79"/>
      <c r="U756" s="4"/>
      <c r="V756" s="4"/>
      <c r="W756" s="4"/>
      <c r="X756" s="142"/>
      <c r="Y756" s="643"/>
      <c r="Z756" s="196"/>
    </row>
    <row r="757" spans="2:26" ht="16" thickBot="1" x14ac:dyDescent="0.25">
      <c r="B757" s="476"/>
      <c r="C757" s="663"/>
      <c r="D757" s="664">
        <f>SUM(D752:D754)</f>
        <v>0</v>
      </c>
      <c r="E757" s="664">
        <f>SUM(E752:E754)</f>
        <v>0</v>
      </c>
      <c r="F757" s="66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642"/>
      <c r="U757" s="642"/>
      <c r="V757" s="642"/>
      <c r="W757" s="8"/>
      <c r="X757" s="666"/>
      <c r="Y757" s="571"/>
      <c r="Z757" s="198"/>
    </row>
    <row r="758" spans="2:26" ht="16" thickBot="1" x14ac:dyDescent="0.25">
      <c r="B758" s="570">
        <v>45763</v>
      </c>
      <c r="C758" s="573"/>
      <c r="D758" s="139"/>
      <c r="E758" s="139"/>
      <c r="F758" s="4">
        <v>1500</v>
      </c>
      <c r="G758" s="4">
        <v>800</v>
      </c>
      <c r="H758" s="4"/>
      <c r="I758" s="688"/>
      <c r="J758" s="4"/>
      <c r="K758" s="4"/>
      <c r="L758" s="4">
        <v>13966.23</v>
      </c>
      <c r="M758" s="4"/>
      <c r="N758" s="4"/>
      <c r="O758" s="4"/>
      <c r="P758" s="4">
        <v>180</v>
      </c>
      <c r="Q758" s="4">
        <f>299.94+299.94+149.97</f>
        <v>749.85</v>
      </c>
      <c r="R758" s="4"/>
      <c r="S758" s="4"/>
      <c r="T758" s="148"/>
      <c r="U758" s="4"/>
      <c r="V758" s="4"/>
      <c r="W758" s="4">
        <v>2640</v>
      </c>
      <c r="X758" s="689" t="s">
        <v>1005</v>
      </c>
      <c r="Y758" s="576">
        <f>SUM(F758:X764)</f>
        <v>19836.079999999998</v>
      </c>
      <c r="Z758" s="464">
        <f>B758</f>
        <v>45763</v>
      </c>
    </row>
    <row r="759" spans="2:26" ht="16" thickBot="1" x14ac:dyDescent="0.25">
      <c r="B759" s="570" t="s">
        <v>22</v>
      </c>
      <c r="C759" s="572"/>
      <c r="D759" s="4"/>
      <c r="E759" s="4"/>
      <c r="F759" s="4"/>
      <c r="G759" s="4"/>
      <c r="H759" s="4"/>
      <c r="I759" s="4"/>
      <c r="J759" s="149"/>
      <c r="K759" s="4"/>
      <c r="L759" s="4"/>
      <c r="M759" s="4"/>
      <c r="N759" s="4"/>
      <c r="O759" s="4"/>
      <c r="P759" s="4"/>
      <c r="Q759" s="4"/>
      <c r="R759" s="4"/>
      <c r="S759" s="4"/>
      <c r="T759" s="148"/>
      <c r="U759" s="4"/>
      <c r="V759" s="4"/>
      <c r="W759" s="4"/>
      <c r="X759" s="142"/>
      <c r="Y759" s="638"/>
      <c r="Z759" s="464"/>
    </row>
    <row r="760" spans="2:26" ht="16" thickBot="1" x14ac:dyDescent="0.25">
      <c r="B760" s="570"/>
      <c r="C760" s="572"/>
      <c r="D760" s="4"/>
      <c r="E760" s="4"/>
      <c r="F760" s="4"/>
      <c r="G760" s="4"/>
      <c r="H760" s="4"/>
      <c r="I760" s="4"/>
      <c r="J760" s="149"/>
      <c r="K760" s="4"/>
      <c r="L760" s="4"/>
      <c r="M760" s="4"/>
      <c r="N760" s="4"/>
      <c r="O760" s="4"/>
      <c r="P760" s="4"/>
      <c r="Q760" s="4"/>
      <c r="R760" s="4"/>
      <c r="S760" s="4"/>
      <c r="T760" s="148"/>
      <c r="U760" s="4"/>
      <c r="V760" s="4"/>
      <c r="W760" s="4"/>
      <c r="X760" s="142"/>
      <c r="Y760" s="638"/>
      <c r="Z760" s="464"/>
    </row>
    <row r="761" spans="2:26" ht="16" thickBot="1" x14ac:dyDescent="0.25">
      <c r="B761" s="570"/>
      <c r="C761" s="572"/>
      <c r="D761" s="4"/>
      <c r="E761" s="4"/>
      <c r="F761" s="4"/>
      <c r="G761" s="4"/>
      <c r="H761" s="4"/>
      <c r="I761" s="4"/>
      <c r="J761" s="149"/>
      <c r="K761" s="4"/>
      <c r="L761" s="4"/>
      <c r="M761" s="4"/>
      <c r="N761" s="4"/>
      <c r="O761" s="4"/>
      <c r="P761" s="4"/>
      <c r="Q761" s="4"/>
      <c r="R761" s="4"/>
      <c r="S761" s="4"/>
      <c r="T761" s="148"/>
      <c r="U761" s="4"/>
      <c r="V761" s="4"/>
      <c r="W761" s="4"/>
      <c r="X761" s="142"/>
      <c r="Y761" s="638"/>
      <c r="Z761" s="464"/>
    </row>
    <row r="762" spans="2:26" ht="16" thickBot="1" x14ac:dyDescent="0.25">
      <c r="B762" s="570"/>
      <c r="C762" s="572"/>
      <c r="D762" s="4"/>
      <c r="E762" s="4"/>
      <c r="F762" s="4"/>
      <c r="G762" s="4"/>
      <c r="H762" s="4"/>
      <c r="I762" s="4"/>
      <c r="J762" s="149"/>
      <c r="K762" s="4"/>
      <c r="L762" s="4"/>
      <c r="M762" s="4"/>
      <c r="N762" s="4"/>
      <c r="O762" s="4"/>
      <c r="P762" s="4"/>
      <c r="Q762" s="4"/>
      <c r="R762" s="4"/>
      <c r="S762" s="4"/>
      <c r="T762" s="148"/>
      <c r="U762" s="4"/>
      <c r="V762" s="4"/>
      <c r="W762" s="4"/>
      <c r="X762" s="142"/>
      <c r="Y762" s="638"/>
      <c r="Z762" s="464"/>
    </row>
    <row r="763" spans="2:26" ht="16" thickBot="1" x14ac:dyDescent="0.25">
      <c r="B763" s="570"/>
      <c r="C763" s="572"/>
      <c r="D763" s="4"/>
      <c r="E763" s="4"/>
      <c r="F763" s="4"/>
      <c r="G763" s="4"/>
      <c r="H763" s="4"/>
      <c r="I763" s="4"/>
      <c r="J763" s="149"/>
      <c r="K763" s="4"/>
      <c r="L763" s="4"/>
      <c r="M763" s="4"/>
      <c r="N763" s="4"/>
      <c r="O763" s="4"/>
      <c r="P763" s="4"/>
      <c r="Q763" s="4"/>
      <c r="R763" s="4"/>
      <c r="S763" s="4"/>
      <c r="T763" s="148"/>
      <c r="U763" s="4"/>
      <c r="V763" s="4"/>
      <c r="W763" s="4"/>
      <c r="X763" s="142"/>
      <c r="Y763" s="638"/>
      <c r="Z763" s="464"/>
    </row>
    <row r="764" spans="2:26" ht="16" thickBot="1" x14ac:dyDescent="0.25">
      <c r="B764" s="197"/>
      <c r="C764" s="257"/>
      <c r="D764" s="171">
        <f>SUM(D758:D763)</f>
        <v>0</v>
      </c>
      <c r="E764" s="171">
        <f>SUM(E758:E763)</f>
        <v>0</v>
      </c>
      <c r="F764" s="245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72"/>
      <c r="Y764" s="241"/>
      <c r="Z764" s="465"/>
    </row>
    <row r="765" spans="2:26" ht="16" thickBot="1" x14ac:dyDescent="0.25">
      <c r="B765" s="196">
        <v>45764</v>
      </c>
      <c r="C765" s="207"/>
      <c r="D765" s="8"/>
      <c r="E765" s="146"/>
      <c r="F765" s="146"/>
      <c r="G765" s="146">
        <f>2119.19+600+81+81</f>
        <v>2881.19</v>
      </c>
      <c r="H765" s="146"/>
      <c r="I765" s="246"/>
      <c r="J765" s="146"/>
      <c r="K765" s="146"/>
      <c r="L765" s="146">
        <f>44.99+6748.66</f>
        <v>6793.65</v>
      </c>
      <c r="M765" s="146"/>
      <c r="N765" s="146"/>
      <c r="O765" s="146"/>
      <c r="P765" s="146"/>
      <c r="Q765" s="8">
        <v>371.93</v>
      </c>
      <c r="R765" s="8"/>
      <c r="S765" s="146">
        <v>7157.54</v>
      </c>
      <c r="T765" s="204"/>
      <c r="U765" s="146"/>
      <c r="V765" s="146"/>
      <c r="W765" s="146"/>
      <c r="X765" s="247"/>
      <c r="Y765" s="171">
        <f>SUM(F765:W772)</f>
        <v>17204.310000000001</v>
      </c>
      <c r="Z765" s="196">
        <f>B765</f>
        <v>45764</v>
      </c>
    </row>
    <row r="766" spans="2:26" ht="16" thickBot="1" x14ac:dyDescent="0.25">
      <c r="B766" s="196" t="s">
        <v>23</v>
      </c>
      <c r="C766" s="7"/>
      <c r="D766" s="4"/>
      <c r="E766" s="146"/>
      <c r="F766" s="146"/>
      <c r="G766" s="146"/>
      <c r="H766" s="146"/>
      <c r="I766" s="463"/>
      <c r="J766" s="146"/>
      <c r="K766" s="146"/>
      <c r="L766" s="146"/>
      <c r="M766" s="146"/>
      <c r="N766" s="146"/>
      <c r="O766" s="146"/>
      <c r="P766" s="146"/>
      <c r="Q766" s="4"/>
      <c r="R766" s="4"/>
      <c r="S766" s="146"/>
      <c r="T766" s="204"/>
      <c r="U766" s="146"/>
      <c r="V766" s="146"/>
      <c r="W766" s="146"/>
      <c r="X766" s="247"/>
      <c r="Y766" s="240"/>
      <c r="Z766" s="196"/>
    </row>
    <row r="767" spans="2:26" ht="16" thickBot="1" x14ac:dyDescent="0.25">
      <c r="B767" s="196"/>
      <c r="C767" s="7"/>
      <c r="D767" s="4"/>
      <c r="E767" s="146"/>
      <c r="F767" s="146"/>
      <c r="G767" s="146"/>
      <c r="H767" s="146"/>
      <c r="I767" s="463"/>
      <c r="J767" s="146"/>
      <c r="K767" s="146"/>
      <c r="L767" s="146"/>
      <c r="M767" s="146"/>
      <c r="N767" s="146"/>
      <c r="O767" s="146"/>
      <c r="P767" s="146"/>
      <c r="Q767" s="4"/>
      <c r="R767" s="4"/>
      <c r="S767" s="146"/>
      <c r="T767" s="204"/>
      <c r="U767" s="146"/>
      <c r="V767" s="146"/>
      <c r="W767" s="146"/>
      <c r="X767" s="247"/>
      <c r="Y767" s="4"/>
      <c r="Z767" s="464"/>
    </row>
    <row r="768" spans="2:26" ht="16" thickBot="1" x14ac:dyDescent="0.25">
      <c r="B768" s="196"/>
      <c r="C768" s="7"/>
      <c r="D768" s="4"/>
      <c r="E768" s="146"/>
      <c r="F768" s="146"/>
      <c r="G768" s="146"/>
      <c r="H768" s="146"/>
      <c r="I768" s="463"/>
      <c r="J768" s="146"/>
      <c r="K768" s="146"/>
      <c r="L768" s="146"/>
      <c r="M768" s="146"/>
      <c r="N768" s="146"/>
      <c r="O768" s="146"/>
      <c r="P768" s="146"/>
      <c r="Q768" s="4"/>
      <c r="R768" s="4"/>
      <c r="S768" s="146"/>
      <c r="T768" s="204"/>
      <c r="U768" s="146"/>
      <c r="V768" s="146"/>
      <c r="W768" s="146"/>
      <c r="X768" s="247"/>
      <c r="Y768" s="4"/>
      <c r="Z768" s="464"/>
    </row>
    <row r="769" spans="2:26" ht="16" thickBot="1" x14ac:dyDescent="0.25">
      <c r="B769" s="198"/>
      <c r="C769" s="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150"/>
      <c r="Y769" s="4"/>
      <c r="Z769" s="465" t="s">
        <v>23</v>
      </c>
    </row>
    <row r="770" spans="2:26" ht="16" thickBot="1" x14ac:dyDescent="0.25">
      <c r="B770" s="476"/>
      <c r="C770" s="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150"/>
      <c r="Y770" s="10"/>
      <c r="Z770" s="465"/>
    </row>
    <row r="771" spans="2:26" ht="16" thickBot="1" x14ac:dyDescent="0.25">
      <c r="B771" s="476"/>
      <c r="C771" s="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150"/>
      <c r="Y771" s="10"/>
      <c r="Z771" s="465"/>
    </row>
    <row r="772" spans="2:26" ht="16" thickBot="1" x14ac:dyDescent="0.25">
      <c r="B772" s="197"/>
      <c r="C772" s="249"/>
      <c r="D772" s="171">
        <f>SUM(D765:D771)</f>
        <v>0</v>
      </c>
      <c r="E772" s="171">
        <f>SUM(E765:E771)</f>
        <v>0</v>
      </c>
      <c r="F772" s="252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250"/>
      <c r="Y772" s="251"/>
      <c r="Z772" s="198"/>
    </row>
    <row r="773" spans="2:26" ht="16" thickBot="1" x14ac:dyDescent="0.25">
      <c r="B773" s="556">
        <v>45765</v>
      </c>
      <c r="C773" s="557"/>
      <c r="D773" s="558"/>
      <c r="E773" s="558"/>
      <c r="F773" s="146"/>
      <c r="G773" s="146">
        <v>600</v>
      </c>
      <c r="H773" s="146"/>
      <c r="I773" s="246"/>
      <c r="J773" s="146"/>
      <c r="K773" s="146"/>
      <c r="L773" s="146">
        <v>7423.58</v>
      </c>
      <c r="M773" s="146"/>
      <c r="N773" s="146"/>
      <c r="O773" s="146"/>
      <c r="P773" s="146"/>
      <c r="Q773" s="8">
        <v>349.93</v>
      </c>
      <c r="R773" s="8"/>
      <c r="S773" s="146"/>
      <c r="T773" s="204"/>
      <c r="U773" s="146"/>
      <c r="V773" s="146"/>
      <c r="W773" s="146">
        <v>90</v>
      </c>
      <c r="X773" s="247" t="s">
        <v>377</v>
      </c>
      <c r="Y773" s="559">
        <f>SUM(F773:W777)</f>
        <v>8463.51</v>
      </c>
      <c r="Z773" s="560">
        <f>B773</f>
        <v>45765</v>
      </c>
    </row>
    <row r="774" spans="2:26" ht="16" thickBot="1" x14ac:dyDescent="0.25">
      <c r="B774" s="206" t="s">
        <v>24</v>
      </c>
      <c r="C774" s="6"/>
      <c r="D774" s="146"/>
      <c r="E774" s="146"/>
      <c r="F774" s="14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150"/>
      <c r="Y774" s="639"/>
      <c r="Z774" s="196"/>
    </row>
    <row r="775" spans="2:26" ht="16" thickBot="1" x14ac:dyDescent="0.25">
      <c r="B775" s="206"/>
      <c r="C775" s="6"/>
      <c r="D775" s="146"/>
      <c r="E775" s="146"/>
      <c r="F775" s="146"/>
      <c r="G775" s="146"/>
      <c r="H775" s="146"/>
      <c r="I775" s="639"/>
      <c r="J775" s="146"/>
      <c r="K775" s="146"/>
      <c r="L775" s="146"/>
      <c r="M775" s="146"/>
      <c r="N775" s="146"/>
      <c r="O775" s="146"/>
      <c r="P775" s="146"/>
      <c r="Q775" s="8"/>
      <c r="R775" s="8"/>
      <c r="S775" s="146"/>
      <c r="T775" s="146"/>
      <c r="U775" s="146"/>
      <c r="V775" s="146"/>
      <c r="W775" s="146"/>
      <c r="X775" s="709"/>
      <c r="Y775" s="639"/>
      <c r="Z775" s="196"/>
    </row>
    <row r="776" spans="2:26" ht="16" thickBot="1" x14ac:dyDescent="0.25">
      <c r="B776" s="206"/>
      <c r="C776" s="6"/>
      <c r="D776" s="146"/>
      <c r="E776" s="146"/>
      <c r="F776" s="146"/>
      <c r="G776" s="146"/>
      <c r="H776" s="146"/>
      <c r="I776" s="246"/>
      <c r="J776" s="146"/>
      <c r="K776" s="146"/>
      <c r="L776" s="146"/>
      <c r="M776" s="146"/>
      <c r="N776" s="146"/>
      <c r="O776" s="146"/>
      <c r="P776" s="146"/>
      <c r="Q776" s="8"/>
      <c r="R776" s="8"/>
      <c r="S776" s="146"/>
      <c r="T776" s="204"/>
      <c r="U776" s="146"/>
      <c r="V776" s="146"/>
      <c r="W776" s="146"/>
      <c r="X776" s="247"/>
      <c r="Y776" s="639"/>
      <c r="Z776" s="196"/>
    </row>
    <row r="777" spans="2:26" ht="16" thickBot="1" x14ac:dyDescent="0.25">
      <c r="B777" s="197"/>
      <c r="C777" s="137"/>
      <c r="D777" s="1">
        <f>SUM(D773:D776)</f>
        <v>0</v>
      </c>
      <c r="E777" s="1">
        <f>SUM(E773:E776)</f>
        <v>0</v>
      </c>
      <c r="F777" s="2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250"/>
      <c r="Y777" s="251"/>
      <c r="Z777" s="198"/>
    </row>
    <row r="778" spans="2:26" ht="16" thickBot="1" x14ac:dyDescent="0.25">
      <c r="B778" s="127">
        <v>45766</v>
      </c>
      <c r="C778" s="6"/>
      <c r="D778" s="146"/>
      <c r="E778" s="146"/>
      <c r="F778" s="146"/>
      <c r="G778" s="146"/>
      <c r="H778" s="146"/>
      <c r="I778" s="246"/>
      <c r="J778" s="146"/>
      <c r="K778" s="146"/>
      <c r="L778" s="146"/>
      <c r="M778" s="146"/>
      <c r="N778" s="146"/>
      <c r="O778" s="146"/>
      <c r="P778" s="146"/>
      <c r="Q778" s="8"/>
      <c r="R778" s="8"/>
      <c r="S778" s="146"/>
      <c r="T778" s="204"/>
      <c r="U778" s="146"/>
      <c r="V778" s="146"/>
      <c r="W778" s="146"/>
      <c r="X778" s="247"/>
      <c r="Y778" s="171">
        <f>SUM(F778:W784)</f>
        <v>0</v>
      </c>
      <c r="Z778" s="196">
        <f>B778</f>
        <v>45766</v>
      </c>
    </row>
    <row r="779" spans="2:26" ht="16" thickBot="1" x14ac:dyDescent="0.25">
      <c r="B779" s="548" t="s">
        <v>25</v>
      </c>
      <c r="C779" s="6"/>
      <c r="D779" s="4"/>
      <c r="E779" s="4"/>
      <c r="F779" s="14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150"/>
      <c r="Y779" s="639"/>
      <c r="Z779" s="196" t="s">
        <v>25</v>
      </c>
    </row>
    <row r="780" spans="2:26" ht="16" thickBot="1" x14ac:dyDescent="0.25">
      <c r="B780" s="208"/>
      <c r="C780" s="6"/>
      <c r="D780" s="4"/>
      <c r="E780" s="4"/>
      <c r="F780" s="14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150"/>
      <c r="Y780" s="639"/>
      <c r="Z780" s="196"/>
    </row>
    <row r="781" spans="2:26" ht="16" thickBot="1" x14ac:dyDescent="0.25">
      <c r="B781" s="208"/>
      <c r="C781" s="6"/>
      <c r="D781" s="4"/>
      <c r="E781" s="4"/>
      <c r="F781" s="14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150"/>
      <c r="Y781" s="639"/>
      <c r="Z781" s="196"/>
    </row>
    <row r="782" spans="2:26" ht="16" thickBot="1" x14ac:dyDescent="0.25">
      <c r="B782" s="208"/>
      <c r="C782" s="6"/>
      <c r="D782" s="4"/>
      <c r="E782" s="4"/>
      <c r="F782" s="14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150"/>
      <c r="Y782" s="639"/>
      <c r="Z782" s="196"/>
    </row>
    <row r="783" spans="2:26" ht="16" thickBot="1" x14ac:dyDescent="0.25">
      <c r="B783" s="199"/>
      <c r="C783" s="7"/>
      <c r="D783" s="143"/>
      <c r="E783" s="14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48"/>
      <c r="U783" s="4"/>
      <c r="V783" s="4"/>
      <c r="W783" s="4"/>
      <c r="X783" s="150"/>
      <c r="Y783" s="10"/>
      <c r="Z783" s="196"/>
    </row>
    <row r="784" spans="2:26" ht="16" thickBot="1" x14ac:dyDescent="0.25">
      <c r="B784" s="198"/>
      <c r="C784" s="137"/>
      <c r="D784" s="9">
        <f>SUM(D778:D783)</f>
        <v>0</v>
      </c>
      <c r="E784" s="9">
        <f>SUM(E778:E783)</f>
        <v>0</v>
      </c>
      <c r="F784" s="245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254"/>
      <c r="R784" s="144"/>
      <c r="S784" s="144"/>
      <c r="T784" s="144"/>
      <c r="U784" s="144"/>
      <c r="V784" s="144"/>
      <c r="W784" s="144"/>
      <c r="X784" s="172"/>
      <c r="Y784" s="11"/>
      <c r="Z784" s="198"/>
    </row>
    <row r="785" spans="2:26" ht="16" thickBot="1" x14ac:dyDescent="0.25">
      <c r="B785" s="196">
        <v>45767</v>
      </c>
      <c r="C785" s="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253"/>
      <c r="R785" s="253"/>
      <c r="S785" s="146"/>
      <c r="T785" s="204"/>
      <c r="U785" s="146"/>
      <c r="V785" s="146"/>
      <c r="W785" s="146"/>
      <c r="X785" s="182"/>
      <c r="Y785" s="1">
        <f>SUM(F785:W788)</f>
        <v>0</v>
      </c>
      <c r="Z785" s="196">
        <f>B785</f>
        <v>45767</v>
      </c>
    </row>
    <row r="786" spans="2:26" ht="16" thickBot="1" x14ac:dyDescent="0.25">
      <c r="B786" s="198" t="s">
        <v>26</v>
      </c>
      <c r="C786" s="5"/>
      <c r="D786" s="4"/>
      <c r="E786" s="4"/>
      <c r="F786" s="4"/>
      <c r="G786" s="15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150"/>
      <c r="Y786" s="12"/>
      <c r="Z786" s="198" t="s">
        <v>26</v>
      </c>
    </row>
    <row r="787" spans="2:26" ht="16" thickBot="1" x14ac:dyDescent="0.25">
      <c r="B787" s="268"/>
      <c r="C787" s="152"/>
      <c r="D787" s="143"/>
      <c r="E787" s="14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150"/>
      <c r="Y787" s="10"/>
      <c r="Z787" s="268"/>
    </row>
    <row r="788" spans="2:26" ht="16" thickBot="1" x14ac:dyDescent="0.25">
      <c r="B788" s="267"/>
      <c r="C788" s="255"/>
      <c r="D788" s="1">
        <f>SUM(D785:D787)</f>
        <v>0</v>
      </c>
      <c r="E788" s="1">
        <f>SUM(E785:E787)</f>
        <v>0</v>
      </c>
      <c r="F788" s="245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72"/>
      <c r="Y788" s="248"/>
      <c r="Z788" s="268"/>
    </row>
    <row r="789" spans="2:26" x14ac:dyDescent="0.2">
      <c r="B789" s="101"/>
      <c r="C789" s="243"/>
      <c r="D789" s="242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8"/>
      <c r="Z789" s="130"/>
    </row>
    <row r="790" spans="2:26" ht="16" thickBot="1" x14ac:dyDescent="0.25">
      <c r="B790" s="101"/>
      <c r="C790" s="243"/>
      <c r="D790" s="189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2"/>
      <c r="Z790" s="128"/>
    </row>
    <row r="791" spans="2:26" ht="16" thickBot="1" x14ac:dyDescent="0.25">
      <c r="B791" s="101"/>
      <c r="C791" s="101"/>
      <c r="D791" s="105">
        <f>SUM(D788,D784,D777,D772,D764,D757,D751)</f>
        <v>0</v>
      </c>
      <c r="E791" s="105">
        <f>SUM(E788,E784,E777,E772,E764,E757,E751)</f>
        <v>0</v>
      </c>
      <c r="F791" s="104">
        <f t="shared" ref="F791:S791" si="15">SUM(F747:F790)</f>
        <v>1500</v>
      </c>
      <c r="G791" s="103">
        <f t="shared" si="15"/>
        <v>6557.04</v>
      </c>
      <c r="H791" s="103">
        <f t="shared" si="15"/>
        <v>0</v>
      </c>
      <c r="I791" s="103">
        <f t="shared" si="15"/>
        <v>33752.5</v>
      </c>
      <c r="J791" s="103">
        <f t="shared" si="15"/>
        <v>0</v>
      </c>
      <c r="K791" s="103">
        <f t="shared" si="15"/>
        <v>548.32000000000005</v>
      </c>
      <c r="L791" s="103">
        <f t="shared" si="15"/>
        <v>45594.090000000004</v>
      </c>
      <c r="M791" s="103">
        <f t="shared" si="15"/>
        <v>0</v>
      </c>
      <c r="N791" s="103">
        <f t="shared" si="15"/>
        <v>1005</v>
      </c>
      <c r="O791" s="103">
        <f t="shared" si="15"/>
        <v>0</v>
      </c>
      <c r="P791" s="103">
        <f t="shared" si="15"/>
        <v>286.89999999999998</v>
      </c>
      <c r="Q791" s="103">
        <f t="shared" si="15"/>
        <v>2401.4699999999998</v>
      </c>
      <c r="R791" s="103">
        <f t="shared" si="15"/>
        <v>0</v>
      </c>
      <c r="S791" s="103">
        <f t="shared" si="15"/>
        <v>7157.54</v>
      </c>
      <c r="T791" s="103"/>
      <c r="U791" s="103">
        <f>SUM(U751:U790)</f>
        <v>0</v>
      </c>
      <c r="V791" s="103">
        <f>SUM(V747:V790)</f>
        <v>0</v>
      </c>
      <c r="W791" s="103">
        <f>SUM(W747:W790)</f>
        <v>4592.97</v>
      </c>
      <c r="X791" s="153"/>
      <c r="Y791" s="155">
        <f>SUM(Y747:Y788)</f>
        <v>103395.82999999999</v>
      </c>
      <c r="Z791" s="129"/>
    </row>
    <row r="792" spans="2:26" ht="27" thickBot="1" x14ac:dyDescent="0.25">
      <c r="B792" s="101"/>
      <c r="C792" s="154" t="s">
        <v>0</v>
      </c>
      <c r="D792" s="154" t="s">
        <v>1</v>
      </c>
      <c r="E792" s="154" t="s">
        <v>2</v>
      </c>
      <c r="F792" s="154" t="s">
        <v>3</v>
      </c>
      <c r="G792" s="154" t="s">
        <v>4</v>
      </c>
      <c r="H792" s="154" t="s">
        <v>5</v>
      </c>
      <c r="I792" s="154" t="s">
        <v>6</v>
      </c>
      <c r="J792" s="154" t="s">
        <v>7</v>
      </c>
      <c r="K792" s="154" t="s">
        <v>8</v>
      </c>
      <c r="L792" s="154" t="s">
        <v>9</v>
      </c>
      <c r="M792" s="154" t="s">
        <v>309</v>
      </c>
      <c r="N792" s="154" t="s">
        <v>11</v>
      </c>
      <c r="O792" s="154" t="s">
        <v>12</v>
      </c>
      <c r="P792" s="154" t="s">
        <v>13</v>
      </c>
      <c r="Q792" s="154" t="s">
        <v>14</v>
      </c>
      <c r="R792" s="154" t="s">
        <v>15</v>
      </c>
      <c r="S792" s="154" t="s">
        <v>311</v>
      </c>
      <c r="T792" s="154" t="s">
        <v>16</v>
      </c>
      <c r="U792" s="154" t="s">
        <v>403</v>
      </c>
      <c r="V792" s="154" t="s">
        <v>17</v>
      </c>
      <c r="W792" s="154" t="s">
        <v>18</v>
      </c>
      <c r="X792" s="154"/>
      <c r="Y792" s="154" t="s">
        <v>19</v>
      </c>
      <c r="Z792" s="126"/>
    </row>
    <row r="793" spans="2:26" ht="16" thickBot="1" x14ac:dyDescent="0.25">
      <c r="B793" s="101"/>
      <c r="C793" s="101"/>
      <c r="D793" s="101"/>
      <c r="E793" s="727" t="str">
        <f>M793</f>
        <v>14 - 20 APRIL 2025</v>
      </c>
      <c r="F793" s="719"/>
      <c r="G793" s="719"/>
      <c r="H793" s="720"/>
      <c r="I793" s="101"/>
      <c r="J793" s="101"/>
      <c r="K793" s="101"/>
      <c r="L793" s="101"/>
      <c r="M793" s="727" t="str">
        <f>V793</f>
        <v>14 - 20 APRIL 2025</v>
      </c>
      <c r="N793" s="719"/>
      <c r="O793" s="719"/>
      <c r="P793" s="720"/>
      <c r="Q793" s="101"/>
      <c r="R793" s="101"/>
      <c r="S793" s="101"/>
      <c r="T793" s="101"/>
      <c r="U793" s="101"/>
      <c r="V793" s="727" t="str">
        <f>V745</f>
        <v>14 - 20 APRIL 2025</v>
      </c>
      <c r="W793" s="719"/>
      <c r="X793" s="719"/>
      <c r="Y793" s="720"/>
      <c r="Z793" s="101"/>
    </row>
    <row r="794" spans="2:26" ht="16" thickBot="1" x14ac:dyDescent="0.25"/>
    <row r="795" spans="2:26" ht="16" thickBot="1" x14ac:dyDescent="0.25">
      <c r="E795" s="718" t="s">
        <v>1027</v>
      </c>
      <c r="F795" s="719"/>
      <c r="G795" s="719"/>
      <c r="H795" s="720"/>
      <c r="K795" s="106"/>
      <c r="L795" s="106"/>
      <c r="M795" s="721" t="str">
        <f>E795</f>
        <v>21 - 27 APRIL 2025</v>
      </c>
      <c r="N795" s="722"/>
      <c r="O795" s="722"/>
      <c r="P795" s="723"/>
      <c r="Q795" s="106"/>
      <c r="R795" s="106"/>
      <c r="S795" s="106"/>
      <c r="T795" s="106"/>
      <c r="U795" s="106"/>
      <c r="V795" s="724" t="str">
        <f>M795</f>
        <v>21 - 27 APRIL 2025</v>
      </c>
      <c r="W795" s="725"/>
      <c r="X795" s="725"/>
      <c r="Y795" s="726"/>
      <c r="Z795" s="106"/>
    </row>
    <row r="796" spans="2:26" ht="27" thickBot="1" x14ac:dyDescent="0.25">
      <c r="C796" s="126" t="s">
        <v>0</v>
      </c>
      <c r="D796" s="135" t="s">
        <v>1</v>
      </c>
      <c r="E796" s="258" t="s">
        <v>2</v>
      </c>
      <c r="F796" s="259" t="s">
        <v>3</v>
      </c>
      <c r="G796" s="260" t="s">
        <v>4</v>
      </c>
      <c r="H796" s="261" t="s">
        <v>5</v>
      </c>
      <c r="I796" s="262" t="s">
        <v>6</v>
      </c>
      <c r="J796" s="262" t="s">
        <v>7</v>
      </c>
      <c r="K796" s="262" t="s">
        <v>8</v>
      </c>
      <c r="L796" s="262" t="s">
        <v>9</v>
      </c>
      <c r="M796" s="262" t="s">
        <v>10</v>
      </c>
      <c r="N796" s="262" t="s">
        <v>11</v>
      </c>
      <c r="O796" s="262" t="s">
        <v>12</v>
      </c>
      <c r="P796" s="262" t="s">
        <v>13</v>
      </c>
      <c r="Q796" s="262" t="s">
        <v>14</v>
      </c>
      <c r="R796" s="262" t="s">
        <v>15</v>
      </c>
      <c r="S796" s="262" t="s">
        <v>311</v>
      </c>
      <c r="T796" s="262" t="s">
        <v>16</v>
      </c>
      <c r="U796" s="154" t="s">
        <v>403</v>
      </c>
      <c r="V796" s="263" t="s">
        <v>17</v>
      </c>
      <c r="W796" s="263" t="s">
        <v>18</v>
      </c>
      <c r="X796" s="264"/>
      <c r="Y796" s="265" t="s">
        <v>19</v>
      </c>
      <c r="Z796" s="266"/>
    </row>
    <row r="797" spans="2:26" ht="16" thickBot="1" x14ac:dyDescent="0.25">
      <c r="B797" s="196">
        <v>45768</v>
      </c>
      <c r="C797" s="136"/>
      <c r="D797" s="139"/>
      <c r="E797" s="139"/>
      <c r="F797" s="139"/>
      <c r="G797" s="139">
        <v>850</v>
      </c>
      <c r="H797" s="139"/>
      <c r="I797" s="139"/>
      <c r="J797" s="139"/>
      <c r="K797" s="139"/>
      <c r="L797" s="139">
        <v>6414.68</v>
      </c>
      <c r="M797" s="139"/>
      <c r="N797" s="139"/>
      <c r="O797" s="139"/>
      <c r="P797" s="139"/>
      <c r="Q797" s="139">
        <v>119.94</v>
      </c>
      <c r="R797" s="139"/>
      <c r="S797" s="139"/>
      <c r="T797" s="140"/>
      <c r="U797" s="139"/>
      <c r="V797" s="139"/>
      <c r="W797" s="139"/>
      <c r="X797" s="141"/>
      <c r="Y797" s="239">
        <f>SUM(F797:X801)</f>
        <v>7384.62</v>
      </c>
      <c r="Z797" s="269">
        <f>B797</f>
        <v>45768</v>
      </c>
    </row>
    <row r="798" spans="2:26" ht="16" thickBot="1" x14ac:dyDescent="0.25">
      <c r="B798" s="196" t="s">
        <v>20</v>
      </c>
      <c r="C798" s="203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204"/>
      <c r="U798" s="146"/>
      <c r="V798" s="146"/>
      <c r="W798" s="146"/>
      <c r="X798" s="182"/>
      <c r="Y798" s="191"/>
      <c r="Z798" s="196" t="s">
        <v>20</v>
      </c>
    </row>
    <row r="799" spans="2:26" ht="16" thickBot="1" x14ac:dyDescent="0.25">
      <c r="B799" s="196"/>
      <c r="C799" s="203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204"/>
      <c r="U799" s="146"/>
      <c r="V799" s="146"/>
      <c r="W799" s="146"/>
      <c r="X799" s="182"/>
      <c r="Y799" s="191"/>
      <c r="Z799" s="196"/>
    </row>
    <row r="800" spans="2:26" ht="16" thickBot="1" x14ac:dyDescent="0.25">
      <c r="B800" s="206"/>
      <c r="C800" s="632"/>
      <c r="D800" s="4"/>
      <c r="E800" s="4"/>
      <c r="F800" s="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633"/>
      <c r="U800" s="8"/>
      <c r="V800" s="8"/>
      <c r="W800" s="8"/>
      <c r="X800" s="634"/>
      <c r="Y800" s="635"/>
      <c r="Z800" s="196"/>
    </row>
    <row r="801" spans="2:26" ht="16" thickBot="1" x14ac:dyDescent="0.25">
      <c r="B801" s="197"/>
      <c r="C801" s="137"/>
      <c r="D801" s="171">
        <f>SUM(D797:D799)</f>
        <v>0</v>
      </c>
      <c r="E801" s="658">
        <f>SUM(E797:E799)</f>
        <v>0</v>
      </c>
      <c r="F801" s="659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5"/>
      <c r="Y801" s="138"/>
      <c r="Z801" s="198"/>
    </row>
    <row r="802" spans="2:26" ht="16" thickBot="1" x14ac:dyDescent="0.25">
      <c r="B802" s="196">
        <v>45769</v>
      </c>
      <c r="C802" s="6"/>
      <c r="D802" s="146"/>
      <c r="E802" s="146"/>
      <c r="F802" s="139"/>
      <c r="G802" s="139">
        <f>1910+81+81</f>
        <v>2072</v>
      </c>
      <c r="H802" s="139"/>
      <c r="I802" s="139"/>
      <c r="J802" s="574"/>
      <c r="K802" s="139"/>
      <c r="L802" s="139">
        <v>7924.45</v>
      </c>
      <c r="M802" s="139"/>
      <c r="N802" s="139">
        <v>5733.9</v>
      </c>
      <c r="O802" s="139">
        <f>5800+15765</f>
        <v>21565</v>
      </c>
      <c r="P802" s="139"/>
      <c r="Q802" s="139">
        <v>599.9</v>
      </c>
      <c r="R802" s="139"/>
      <c r="S802" s="139"/>
      <c r="T802" s="140"/>
      <c r="U802" s="139"/>
      <c r="V802" s="139"/>
      <c r="W802" s="139">
        <v>128</v>
      </c>
      <c r="X802" s="575" t="s">
        <v>426</v>
      </c>
      <c r="Y802" s="238">
        <f>SUM(F802:W807)</f>
        <v>38188.239999999998</v>
      </c>
      <c r="Z802" s="196">
        <f>B802</f>
        <v>45769</v>
      </c>
    </row>
    <row r="803" spans="2:26" ht="16" thickBot="1" x14ac:dyDescent="0.25">
      <c r="B803" s="196" t="s">
        <v>21</v>
      </c>
      <c r="C803" s="6"/>
      <c r="D803" s="146"/>
      <c r="E803" s="146"/>
      <c r="F803" s="4"/>
      <c r="G803" s="4"/>
      <c r="H803" s="4"/>
      <c r="I803" s="4"/>
      <c r="J803" s="149"/>
      <c r="K803" s="4"/>
      <c r="L803" s="4"/>
      <c r="M803" s="4"/>
      <c r="N803" s="4"/>
      <c r="O803" s="4"/>
      <c r="P803" s="4"/>
      <c r="Q803" s="4"/>
      <c r="R803" s="4"/>
      <c r="S803" s="4"/>
      <c r="T803" s="148"/>
      <c r="U803" s="4"/>
      <c r="V803" s="4"/>
      <c r="W803" s="4">
        <v>164.99</v>
      </c>
      <c r="X803" s="142" t="s">
        <v>297</v>
      </c>
      <c r="Y803" s="191"/>
      <c r="Z803" s="196" t="s">
        <v>21</v>
      </c>
    </row>
    <row r="804" spans="2:26" ht="16" thickBot="1" x14ac:dyDescent="0.25">
      <c r="B804" s="196"/>
      <c r="C804" s="6"/>
      <c r="D804" s="4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78"/>
      <c r="U804" s="12"/>
      <c r="V804" s="12"/>
      <c r="W804" s="146"/>
      <c r="X804" s="147"/>
      <c r="Y804" s="191"/>
      <c r="Z804" s="196"/>
    </row>
    <row r="805" spans="2:26" ht="16" thickBot="1" x14ac:dyDescent="0.25">
      <c r="B805" s="662"/>
      <c r="C805" s="57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79"/>
      <c r="U805" s="4"/>
      <c r="V805" s="4"/>
      <c r="W805" s="4"/>
      <c r="X805" s="142"/>
      <c r="Y805" s="643"/>
      <c r="Z805" s="196"/>
    </row>
    <row r="806" spans="2:26" ht="16" thickBot="1" x14ac:dyDescent="0.25">
      <c r="B806" s="662"/>
      <c r="C806" s="57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79"/>
      <c r="U806" s="4"/>
      <c r="V806" s="4"/>
      <c r="W806" s="4"/>
      <c r="X806" s="142"/>
      <c r="Y806" s="643"/>
      <c r="Z806" s="196"/>
    </row>
    <row r="807" spans="2:26" ht="16" thickBot="1" x14ac:dyDescent="0.25">
      <c r="B807" s="476"/>
      <c r="C807" s="663"/>
      <c r="D807" s="664">
        <f>SUM(D802:D804)</f>
        <v>0</v>
      </c>
      <c r="E807" s="664">
        <f>SUM(E802:E804)</f>
        <v>0</v>
      </c>
      <c r="F807" s="66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642"/>
      <c r="U807" s="642"/>
      <c r="V807" s="642"/>
      <c r="W807" s="8"/>
      <c r="X807" s="666"/>
      <c r="Y807" s="571"/>
      <c r="Z807" s="198"/>
    </row>
    <row r="808" spans="2:26" ht="16" thickBot="1" x14ac:dyDescent="0.25">
      <c r="B808" s="570">
        <v>45770</v>
      </c>
      <c r="C808" s="573"/>
      <c r="D808" s="139"/>
      <c r="E808" s="139"/>
      <c r="F808" s="4"/>
      <c r="G808" s="4">
        <v>800</v>
      </c>
      <c r="H808" s="4"/>
      <c r="I808" s="68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48"/>
      <c r="U808" s="4"/>
      <c r="V808" s="4"/>
      <c r="W808" s="4"/>
      <c r="X808" s="689"/>
      <c r="Y808" s="576">
        <f>SUM(F808:X814)</f>
        <v>800</v>
      </c>
      <c r="Z808" s="464">
        <f>B808</f>
        <v>45770</v>
      </c>
    </row>
    <row r="809" spans="2:26" ht="16" thickBot="1" x14ac:dyDescent="0.25">
      <c r="B809" s="570" t="s">
        <v>22</v>
      </c>
      <c r="C809" s="572"/>
      <c r="D809" s="4"/>
      <c r="E809" s="4"/>
      <c r="F809" s="4"/>
      <c r="G809" s="4"/>
      <c r="H809" s="4"/>
      <c r="I809" s="4"/>
      <c r="J809" s="149"/>
      <c r="K809" s="4"/>
      <c r="L809" s="4"/>
      <c r="M809" s="4"/>
      <c r="N809" s="4"/>
      <c r="O809" s="4"/>
      <c r="P809" s="4"/>
      <c r="Q809" s="4"/>
      <c r="R809" s="4"/>
      <c r="S809" s="4"/>
      <c r="T809" s="148"/>
      <c r="U809" s="4"/>
      <c r="V809" s="4"/>
      <c r="W809" s="4"/>
      <c r="X809" s="142"/>
      <c r="Y809" s="638"/>
      <c r="Z809" s="464"/>
    </row>
    <row r="810" spans="2:26" ht="16" thickBot="1" x14ac:dyDescent="0.25">
      <c r="B810" s="570"/>
      <c r="C810" s="572"/>
      <c r="D810" s="4"/>
      <c r="E810" s="4"/>
      <c r="F810" s="4"/>
      <c r="G810" s="4"/>
      <c r="H810" s="4"/>
      <c r="I810" s="4"/>
      <c r="J810" s="149"/>
      <c r="K810" s="4"/>
      <c r="L810" s="4"/>
      <c r="M810" s="4"/>
      <c r="N810" s="4"/>
      <c r="O810" s="4"/>
      <c r="P810" s="4"/>
      <c r="Q810" s="4"/>
      <c r="R810" s="4"/>
      <c r="S810" s="4"/>
      <c r="T810" s="148"/>
      <c r="U810" s="4"/>
      <c r="V810" s="4"/>
      <c r="W810" s="4"/>
      <c r="X810" s="142"/>
      <c r="Y810" s="638"/>
      <c r="Z810" s="464"/>
    </row>
    <row r="811" spans="2:26" ht="16" thickBot="1" x14ac:dyDescent="0.25">
      <c r="B811" s="570"/>
      <c r="C811" s="572"/>
      <c r="D811" s="4"/>
      <c r="E811" s="4"/>
      <c r="F811" s="4"/>
      <c r="G811" s="4"/>
      <c r="H811" s="4"/>
      <c r="I811" s="4"/>
      <c r="J811" s="149"/>
      <c r="K811" s="4"/>
      <c r="L811" s="4"/>
      <c r="M811" s="4"/>
      <c r="N811" s="4"/>
      <c r="O811" s="4"/>
      <c r="P811" s="4"/>
      <c r="Q811" s="4"/>
      <c r="R811" s="4"/>
      <c r="S811" s="4"/>
      <c r="T811" s="148"/>
      <c r="U811" s="4"/>
      <c r="V811" s="4"/>
      <c r="W811" s="4"/>
      <c r="X811" s="142"/>
      <c r="Y811" s="638"/>
      <c r="Z811" s="464"/>
    </row>
    <row r="812" spans="2:26" ht="16" thickBot="1" x14ac:dyDescent="0.25">
      <c r="B812" s="570"/>
      <c r="C812" s="572"/>
      <c r="D812" s="4"/>
      <c r="E812" s="4"/>
      <c r="F812" s="4"/>
      <c r="G812" s="4"/>
      <c r="H812" s="4"/>
      <c r="I812" s="4"/>
      <c r="J812" s="149"/>
      <c r="K812" s="4"/>
      <c r="L812" s="4"/>
      <c r="M812" s="4"/>
      <c r="N812" s="4"/>
      <c r="O812" s="4"/>
      <c r="P812" s="4"/>
      <c r="Q812" s="4"/>
      <c r="R812" s="4"/>
      <c r="S812" s="4"/>
      <c r="T812" s="148"/>
      <c r="U812" s="4"/>
      <c r="V812" s="4"/>
      <c r="W812" s="4"/>
      <c r="X812" s="142"/>
      <c r="Y812" s="638"/>
      <c r="Z812" s="464"/>
    </row>
    <row r="813" spans="2:26" ht="16" thickBot="1" x14ac:dyDescent="0.25">
      <c r="B813" s="570"/>
      <c r="C813" s="572"/>
      <c r="D813" s="4"/>
      <c r="E813" s="4"/>
      <c r="F813" s="4"/>
      <c r="G813" s="4"/>
      <c r="H813" s="4"/>
      <c r="I813" s="4"/>
      <c r="J813" s="149"/>
      <c r="K813" s="4"/>
      <c r="L813" s="4"/>
      <c r="M813" s="4"/>
      <c r="N813" s="4"/>
      <c r="O813" s="4"/>
      <c r="P813" s="4"/>
      <c r="Q813" s="4"/>
      <c r="R813" s="4"/>
      <c r="S813" s="4"/>
      <c r="T813" s="148"/>
      <c r="U813" s="4"/>
      <c r="V813" s="4"/>
      <c r="W813" s="4"/>
      <c r="X813" s="142"/>
      <c r="Y813" s="638"/>
      <c r="Z813" s="464"/>
    </row>
    <row r="814" spans="2:26" ht="16" thickBot="1" x14ac:dyDescent="0.25">
      <c r="B814" s="197"/>
      <c r="C814" s="257"/>
      <c r="D814" s="171">
        <f>SUM(D808:D813)</f>
        <v>0</v>
      </c>
      <c r="E814" s="171">
        <f>SUM(E808:E813)</f>
        <v>0</v>
      </c>
      <c r="F814" s="245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72"/>
      <c r="Y814" s="241"/>
      <c r="Z814" s="465"/>
    </row>
    <row r="815" spans="2:26" ht="16" thickBot="1" x14ac:dyDescent="0.25">
      <c r="B815" s="196">
        <v>45771</v>
      </c>
      <c r="C815" s="207"/>
      <c r="D815" s="8"/>
      <c r="E815" s="146"/>
      <c r="F815" s="146"/>
      <c r="G815" s="146">
        <v>800</v>
      </c>
      <c r="H815" s="146"/>
      <c r="I815" s="246"/>
      <c r="J815" s="146"/>
      <c r="K815" s="146"/>
      <c r="L815" s="146">
        <v>7601.61</v>
      </c>
      <c r="M815" s="146"/>
      <c r="N815" s="146"/>
      <c r="O815" s="146"/>
      <c r="P815" s="146"/>
      <c r="Q815" s="8">
        <f>479.92+129.25</f>
        <v>609.17000000000007</v>
      </c>
      <c r="R815" s="8"/>
      <c r="S815" s="146">
        <v>7157.54</v>
      </c>
      <c r="T815" s="204"/>
      <c r="U815" s="146"/>
      <c r="V815" s="146"/>
      <c r="W815" s="146">
        <v>370</v>
      </c>
      <c r="X815" s="247" t="s">
        <v>396</v>
      </c>
      <c r="Y815" s="171">
        <f>SUM(F815:W822)</f>
        <v>16538.32</v>
      </c>
      <c r="Z815" s="196">
        <f>B815</f>
        <v>45771</v>
      </c>
    </row>
    <row r="816" spans="2:26" ht="16" thickBot="1" x14ac:dyDescent="0.25">
      <c r="B816" s="196" t="s">
        <v>23</v>
      </c>
      <c r="C816" s="7"/>
      <c r="D816" s="4"/>
      <c r="E816" s="146"/>
      <c r="F816" s="146"/>
      <c r="G816" s="146"/>
      <c r="H816" s="146"/>
      <c r="I816" s="463"/>
      <c r="J816" s="146"/>
      <c r="K816" s="146"/>
      <c r="L816" s="146"/>
      <c r="M816" s="146"/>
      <c r="N816" s="146"/>
      <c r="O816" s="146"/>
      <c r="P816" s="146"/>
      <c r="Q816" s="4"/>
      <c r="R816" s="4"/>
      <c r="S816" s="146"/>
      <c r="T816" s="204"/>
      <c r="U816" s="146"/>
      <c r="V816" s="146"/>
      <c r="W816" s="146"/>
      <c r="X816" s="247"/>
      <c r="Y816" s="240"/>
      <c r="Z816" s="196"/>
    </row>
    <row r="817" spans="2:26" ht="16" thickBot="1" x14ac:dyDescent="0.25">
      <c r="B817" s="196"/>
      <c r="C817" s="7"/>
      <c r="D817" s="4"/>
      <c r="E817" s="146"/>
      <c r="F817" s="146"/>
      <c r="G817" s="146"/>
      <c r="H817" s="146"/>
      <c r="I817" s="463"/>
      <c r="J817" s="146"/>
      <c r="K817" s="146"/>
      <c r="L817" s="146"/>
      <c r="M817" s="146"/>
      <c r="N817" s="146"/>
      <c r="O817" s="146"/>
      <c r="P817" s="146"/>
      <c r="Q817" s="4"/>
      <c r="R817" s="4"/>
      <c r="S817" s="146"/>
      <c r="T817" s="204"/>
      <c r="U817" s="146"/>
      <c r="V817" s="146"/>
      <c r="W817" s="146"/>
      <c r="X817" s="247"/>
      <c r="Y817" s="4"/>
      <c r="Z817" s="464"/>
    </row>
    <row r="818" spans="2:26" ht="16" thickBot="1" x14ac:dyDescent="0.25">
      <c r="B818" s="196"/>
      <c r="C818" s="7"/>
      <c r="D818" s="4"/>
      <c r="E818" s="146"/>
      <c r="F818" s="146"/>
      <c r="G818" s="146"/>
      <c r="H818" s="146"/>
      <c r="I818" s="463"/>
      <c r="J818" s="146"/>
      <c r="K818" s="146"/>
      <c r="L818" s="146"/>
      <c r="M818" s="146"/>
      <c r="N818" s="146"/>
      <c r="O818" s="146"/>
      <c r="P818" s="146"/>
      <c r="Q818" s="4"/>
      <c r="R818" s="4"/>
      <c r="S818" s="146"/>
      <c r="T818" s="204"/>
      <c r="U818" s="146"/>
      <c r="V818" s="146"/>
      <c r="W818" s="146"/>
      <c r="X818" s="247"/>
      <c r="Y818" s="4"/>
      <c r="Z818" s="464"/>
    </row>
    <row r="819" spans="2:26" ht="16" thickBot="1" x14ac:dyDescent="0.25">
      <c r="B819" s="198"/>
      <c r="C819" s="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150"/>
      <c r="Y819" s="4"/>
      <c r="Z819" s="465" t="s">
        <v>23</v>
      </c>
    </row>
    <row r="820" spans="2:26" ht="16" thickBot="1" x14ac:dyDescent="0.25">
      <c r="B820" s="476"/>
      <c r="C820" s="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150"/>
      <c r="Y820" s="10"/>
      <c r="Z820" s="465"/>
    </row>
    <row r="821" spans="2:26" ht="16" thickBot="1" x14ac:dyDescent="0.25">
      <c r="B821" s="476"/>
      <c r="C821" s="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150"/>
      <c r="Y821" s="10"/>
      <c r="Z821" s="465"/>
    </row>
    <row r="822" spans="2:26" ht="16" thickBot="1" x14ac:dyDescent="0.25">
      <c r="B822" s="197"/>
      <c r="C822" s="249"/>
      <c r="D822" s="171">
        <f>SUM(D815:D821)</f>
        <v>0</v>
      </c>
      <c r="E822" s="171">
        <f>SUM(E815:E821)</f>
        <v>0</v>
      </c>
      <c r="F822" s="252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250"/>
      <c r="Y822" s="251"/>
      <c r="Z822" s="198"/>
    </row>
    <row r="823" spans="2:26" ht="16" thickBot="1" x14ac:dyDescent="0.25">
      <c r="B823" s="556">
        <v>45772</v>
      </c>
      <c r="C823" s="557"/>
      <c r="D823" s="558"/>
      <c r="E823" s="558"/>
      <c r="F823" s="146"/>
      <c r="G823" s="146">
        <v>806.95</v>
      </c>
      <c r="H823" s="146"/>
      <c r="I823" s="246"/>
      <c r="J823" s="146"/>
      <c r="K823" s="146"/>
      <c r="L823" s="146"/>
      <c r="M823" s="146"/>
      <c r="N823" s="146"/>
      <c r="O823" s="146"/>
      <c r="P823" s="146"/>
      <c r="Q823" s="8"/>
      <c r="R823" s="8"/>
      <c r="S823" s="146"/>
      <c r="T823" s="204"/>
      <c r="U823" s="146"/>
      <c r="V823" s="146"/>
      <c r="W823" s="146"/>
      <c r="X823" s="247"/>
      <c r="Y823" s="559">
        <f>SUM(F823:W827)</f>
        <v>806.95</v>
      </c>
      <c r="Z823" s="560">
        <f>B823</f>
        <v>45772</v>
      </c>
    </row>
    <row r="824" spans="2:26" ht="16" thickBot="1" x14ac:dyDescent="0.25">
      <c r="B824" s="206" t="s">
        <v>24</v>
      </c>
      <c r="C824" s="6"/>
      <c r="D824" s="146"/>
      <c r="E824" s="146"/>
      <c r="F824" s="14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150"/>
      <c r="Y824" s="639"/>
      <c r="Z824" s="196"/>
    </row>
    <row r="825" spans="2:26" ht="16" thickBot="1" x14ac:dyDescent="0.25">
      <c r="B825" s="206"/>
      <c r="C825" s="6"/>
      <c r="D825" s="146"/>
      <c r="E825" s="146"/>
      <c r="F825" s="146"/>
      <c r="G825" s="146"/>
      <c r="H825" s="146"/>
      <c r="I825" s="639"/>
      <c r="J825" s="146"/>
      <c r="K825" s="146"/>
      <c r="L825" s="146"/>
      <c r="M825" s="146"/>
      <c r="N825" s="146"/>
      <c r="O825" s="146"/>
      <c r="P825" s="146"/>
      <c r="Q825" s="8"/>
      <c r="R825" s="8"/>
      <c r="S825" s="146"/>
      <c r="T825" s="146"/>
      <c r="U825" s="146"/>
      <c r="V825" s="146"/>
      <c r="W825" s="146"/>
      <c r="X825" s="709"/>
      <c r="Y825" s="639"/>
      <c r="Z825" s="196"/>
    </row>
    <row r="826" spans="2:26" ht="16" thickBot="1" x14ac:dyDescent="0.25">
      <c r="B826" s="206"/>
      <c r="C826" s="6"/>
      <c r="D826" s="146"/>
      <c r="E826" s="146"/>
      <c r="F826" s="146"/>
      <c r="G826" s="146"/>
      <c r="H826" s="146"/>
      <c r="I826" s="246"/>
      <c r="J826" s="146"/>
      <c r="K826" s="146"/>
      <c r="L826" s="146"/>
      <c r="M826" s="146"/>
      <c r="N826" s="146"/>
      <c r="O826" s="146"/>
      <c r="P826" s="146"/>
      <c r="Q826" s="8"/>
      <c r="R826" s="8"/>
      <c r="S826" s="146"/>
      <c r="T826" s="204"/>
      <c r="U826" s="146"/>
      <c r="V826" s="146"/>
      <c r="W826" s="146"/>
      <c r="X826" s="247"/>
      <c r="Y826" s="639"/>
      <c r="Z826" s="196"/>
    </row>
    <row r="827" spans="2:26" ht="16" thickBot="1" x14ac:dyDescent="0.25">
      <c r="B827" s="197"/>
      <c r="C827" s="137"/>
      <c r="D827" s="1">
        <f>SUM(D823:D826)</f>
        <v>0</v>
      </c>
      <c r="E827" s="1">
        <f>SUM(E823:E826)</f>
        <v>0</v>
      </c>
      <c r="F827" s="2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250"/>
      <c r="Y827" s="251"/>
      <c r="Z827" s="198"/>
    </row>
    <row r="828" spans="2:26" ht="16" thickBot="1" x14ac:dyDescent="0.25">
      <c r="B828" s="127">
        <v>45773</v>
      </c>
      <c r="C828" s="6"/>
      <c r="D828" s="146"/>
      <c r="E828" s="146"/>
      <c r="F828" s="146">
        <v>1500</v>
      </c>
      <c r="G828" s="146"/>
      <c r="H828" s="146"/>
      <c r="I828" s="246"/>
      <c r="J828" s="146"/>
      <c r="K828" s="146"/>
      <c r="L828" s="146">
        <v>7333.42</v>
      </c>
      <c r="M828" s="146"/>
      <c r="N828" s="146"/>
      <c r="O828" s="146">
        <f>15070+6600</f>
        <v>21670</v>
      </c>
      <c r="P828" s="146"/>
      <c r="Q828" s="8">
        <v>461.19</v>
      </c>
      <c r="R828" s="8"/>
      <c r="S828" s="146"/>
      <c r="T828" s="204"/>
      <c r="U828" s="146"/>
      <c r="V828" s="146"/>
      <c r="W828" s="146">
        <v>145</v>
      </c>
      <c r="X828" s="247" t="s">
        <v>297</v>
      </c>
      <c r="Y828" s="171">
        <f>SUM(F828:W834)</f>
        <v>31109.609999999997</v>
      </c>
      <c r="Z828" s="196">
        <f>B828</f>
        <v>45773</v>
      </c>
    </row>
    <row r="829" spans="2:26" ht="16" thickBot="1" x14ac:dyDescent="0.25">
      <c r="B829" s="548" t="s">
        <v>25</v>
      </c>
      <c r="C829" s="6"/>
      <c r="D829" s="4"/>
      <c r="E829" s="4"/>
      <c r="F829" s="14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150"/>
      <c r="Y829" s="639"/>
      <c r="Z829" s="196" t="s">
        <v>25</v>
      </c>
    </row>
    <row r="830" spans="2:26" ht="16" thickBot="1" x14ac:dyDescent="0.25">
      <c r="B830" s="208"/>
      <c r="C830" s="6"/>
      <c r="D830" s="4"/>
      <c r="E830" s="4"/>
      <c r="F830" s="14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150"/>
      <c r="Y830" s="639"/>
      <c r="Z830" s="196"/>
    </row>
    <row r="831" spans="2:26" ht="16" thickBot="1" x14ac:dyDescent="0.25">
      <c r="B831" s="208"/>
      <c r="C831" s="6"/>
      <c r="D831" s="4"/>
      <c r="E831" s="4"/>
      <c r="F831" s="14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150"/>
      <c r="Y831" s="639"/>
      <c r="Z831" s="196"/>
    </row>
    <row r="832" spans="2:26" ht="16" thickBot="1" x14ac:dyDescent="0.25">
      <c r="B832" s="208"/>
      <c r="C832" s="6"/>
      <c r="D832" s="4"/>
      <c r="E832" s="4"/>
      <c r="F832" s="14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150"/>
      <c r="Y832" s="639"/>
      <c r="Z832" s="196"/>
    </row>
    <row r="833" spans="2:26" ht="16" thickBot="1" x14ac:dyDescent="0.25">
      <c r="B833" s="199"/>
      <c r="C833" s="7"/>
      <c r="D833" s="143"/>
      <c r="E833" s="14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48"/>
      <c r="U833" s="4"/>
      <c r="V833" s="4"/>
      <c r="W833" s="4"/>
      <c r="X833" s="150"/>
      <c r="Y833" s="10"/>
      <c r="Z833" s="196"/>
    </row>
    <row r="834" spans="2:26" ht="16" thickBot="1" x14ac:dyDescent="0.25">
      <c r="B834" s="198"/>
      <c r="C834" s="137"/>
      <c r="D834" s="9">
        <f>SUM(D828:D833)</f>
        <v>0</v>
      </c>
      <c r="E834" s="9">
        <f>SUM(E828:E833)</f>
        <v>0</v>
      </c>
      <c r="F834" s="245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254"/>
      <c r="R834" s="144"/>
      <c r="S834" s="144"/>
      <c r="T834" s="144"/>
      <c r="U834" s="144"/>
      <c r="V834" s="144"/>
      <c r="W834" s="144"/>
      <c r="X834" s="172"/>
      <c r="Y834" s="11"/>
      <c r="Z834" s="198"/>
    </row>
    <row r="835" spans="2:26" ht="16" thickBot="1" x14ac:dyDescent="0.25">
      <c r="B835" s="196">
        <v>45774</v>
      </c>
      <c r="C835" s="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253"/>
      <c r="R835" s="253"/>
      <c r="S835" s="146"/>
      <c r="T835" s="204"/>
      <c r="U835" s="146"/>
      <c r="V835" s="146"/>
      <c r="W835" s="146"/>
      <c r="X835" s="182"/>
      <c r="Y835" s="1">
        <f>SUM(F835:W838)</f>
        <v>0</v>
      </c>
      <c r="Z835" s="196">
        <f>B835</f>
        <v>45774</v>
      </c>
    </row>
    <row r="836" spans="2:26" ht="16" thickBot="1" x14ac:dyDescent="0.25">
      <c r="B836" s="198" t="s">
        <v>26</v>
      </c>
      <c r="C836" s="5"/>
      <c r="D836" s="4"/>
      <c r="E836" s="4"/>
      <c r="F836" s="4"/>
      <c r="G836" s="15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150"/>
      <c r="Y836" s="12"/>
      <c r="Z836" s="198" t="s">
        <v>26</v>
      </c>
    </row>
    <row r="837" spans="2:26" ht="16" thickBot="1" x14ac:dyDescent="0.25">
      <c r="B837" s="268"/>
      <c r="C837" s="152"/>
      <c r="D837" s="143"/>
      <c r="E837" s="14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150"/>
      <c r="Y837" s="10"/>
      <c r="Z837" s="268"/>
    </row>
    <row r="838" spans="2:26" ht="16" thickBot="1" x14ac:dyDescent="0.25">
      <c r="B838" s="267"/>
      <c r="C838" s="255"/>
      <c r="D838" s="1">
        <f>SUM(D835:D837)</f>
        <v>0</v>
      </c>
      <c r="E838" s="1">
        <f>SUM(E835:E837)</f>
        <v>0</v>
      </c>
      <c r="F838" s="245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72"/>
      <c r="Y838" s="248"/>
      <c r="Z838" s="268"/>
    </row>
    <row r="839" spans="2:26" x14ac:dyDescent="0.2">
      <c r="B839" s="101"/>
      <c r="C839" s="243"/>
      <c r="D839" s="242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8"/>
      <c r="Z839" s="130"/>
    </row>
    <row r="840" spans="2:26" ht="16" thickBot="1" x14ac:dyDescent="0.25">
      <c r="B840" s="101"/>
      <c r="C840" s="243"/>
      <c r="D840" s="189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2"/>
      <c r="Z840" s="128"/>
    </row>
    <row r="841" spans="2:26" ht="16" thickBot="1" x14ac:dyDescent="0.25">
      <c r="B841" s="101"/>
      <c r="C841" s="101"/>
      <c r="D841" s="105">
        <f>SUM(D838,D834,D827,D822,D814,D807,D801)</f>
        <v>0</v>
      </c>
      <c r="E841" s="105">
        <f>SUM(E838,E834,E827,E822,E814,E807,E801)</f>
        <v>0</v>
      </c>
      <c r="F841" s="104">
        <f t="shared" ref="F841:S841" si="16">SUM(F797:F840)</f>
        <v>1500</v>
      </c>
      <c r="G841" s="103">
        <f t="shared" si="16"/>
        <v>5328.95</v>
      </c>
      <c r="H841" s="103">
        <f t="shared" si="16"/>
        <v>0</v>
      </c>
      <c r="I841" s="103">
        <f t="shared" si="16"/>
        <v>0</v>
      </c>
      <c r="J841" s="103">
        <f t="shared" si="16"/>
        <v>0</v>
      </c>
      <c r="K841" s="103">
        <f t="shared" si="16"/>
        <v>0</v>
      </c>
      <c r="L841" s="103">
        <f t="shared" si="16"/>
        <v>29274.160000000003</v>
      </c>
      <c r="M841" s="103">
        <f t="shared" si="16"/>
        <v>0</v>
      </c>
      <c r="N841" s="103">
        <f t="shared" si="16"/>
        <v>5733.9</v>
      </c>
      <c r="O841" s="103">
        <f t="shared" si="16"/>
        <v>43235</v>
      </c>
      <c r="P841" s="103">
        <f t="shared" si="16"/>
        <v>0</v>
      </c>
      <c r="Q841" s="103">
        <f t="shared" si="16"/>
        <v>1790.2</v>
      </c>
      <c r="R841" s="103">
        <f t="shared" si="16"/>
        <v>0</v>
      </c>
      <c r="S841" s="103">
        <f t="shared" si="16"/>
        <v>7157.54</v>
      </c>
      <c r="T841" s="103"/>
      <c r="U841" s="103">
        <f>SUM(U801:U840)</f>
        <v>0</v>
      </c>
      <c r="V841" s="103">
        <f>SUM(V797:V840)</f>
        <v>0</v>
      </c>
      <c r="W841" s="103">
        <f>SUM(W797:W840)</f>
        <v>807.99</v>
      </c>
      <c r="X841" s="153"/>
      <c r="Y841" s="155">
        <f>SUM(Y797:Y838)</f>
        <v>94827.739999999991</v>
      </c>
      <c r="Z841" s="129"/>
    </row>
    <row r="842" spans="2:26" ht="27" thickBot="1" x14ac:dyDescent="0.25">
      <c r="B842" s="101"/>
      <c r="C842" s="154" t="s">
        <v>0</v>
      </c>
      <c r="D842" s="154" t="s">
        <v>1</v>
      </c>
      <c r="E842" s="154" t="s">
        <v>2</v>
      </c>
      <c r="F842" s="154" t="s">
        <v>3</v>
      </c>
      <c r="G842" s="154" t="s">
        <v>4</v>
      </c>
      <c r="H842" s="154" t="s">
        <v>5</v>
      </c>
      <c r="I842" s="154" t="s">
        <v>6</v>
      </c>
      <c r="J842" s="154" t="s">
        <v>7</v>
      </c>
      <c r="K842" s="154" t="s">
        <v>8</v>
      </c>
      <c r="L842" s="154" t="s">
        <v>9</v>
      </c>
      <c r="M842" s="154" t="s">
        <v>309</v>
      </c>
      <c r="N842" s="154" t="s">
        <v>11</v>
      </c>
      <c r="O842" s="154" t="s">
        <v>12</v>
      </c>
      <c r="P842" s="154" t="s">
        <v>13</v>
      </c>
      <c r="Q842" s="154" t="s">
        <v>14</v>
      </c>
      <c r="R842" s="154" t="s">
        <v>15</v>
      </c>
      <c r="S842" s="154" t="s">
        <v>311</v>
      </c>
      <c r="T842" s="154" t="s">
        <v>16</v>
      </c>
      <c r="U842" s="154" t="s">
        <v>403</v>
      </c>
      <c r="V842" s="154" t="s">
        <v>17</v>
      </c>
      <c r="W842" s="154" t="s">
        <v>18</v>
      </c>
      <c r="X842" s="154"/>
      <c r="Y842" s="154" t="s">
        <v>19</v>
      </c>
      <c r="Z842" s="126"/>
    </row>
    <row r="843" spans="2:26" ht="16" thickBot="1" x14ac:dyDescent="0.25">
      <c r="B843" s="101"/>
      <c r="C843" s="101"/>
      <c r="D843" s="101"/>
      <c r="E843" s="727" t="str">
        <f>M843</f>
        <v>21 - 27 APRIL 2025</v>
      </c>
      <c r="F843" s="719"/>
      <c r="G843" s="719"/>
      <c r="H843" s="720"/>
      <c r="I843" s="101"/>
      <c r="J843" s="101"/>
      <c r="K843" s="101"/>
      <c r="L843" s="101"/>
      <c r="M843" s="727" t="str">
        <f>V843</f>
        <v>21 - 27 APRIL 2025</v>
      </c>
      <c r="N843" s="719"/>
      <c r="O843" s="719"/>
      <c r="P843" s="720"/>
      <c r="Q843" s="101"/>
      <c r="R843" s="101"/>
      <c r="S843" s="101"/>
      <c r="T843" s="101"/>
      <c r="U843" s="101"/>
      <c r="V843" s="727" t="str">
        <f>V795</f>
        <v>21 - 27 APRIL 2025</v>
      </c>
      <c r="W843" s="719"/>
      <c r="X843" s="719"/>
      <c r="Y843" s="720"/>
      <c r="Z843" s="101"/>
    </row>
    <row r="844" spans="2:26" ht="16" thickBot="1" x14ac:dyDescent="0.25"/>
    <row r="845" spans="2:26" ht="16" thickBot="1" x14ac:dyDescent="0.25">
      <c r="E845" s="718" t="s">
        <v>1059</v>
      </c>
      <c r="F845" s="719"/>
      <c r="G845" s="719"/>
      <c r="H845" s="720"/>
      <c r="K845" s="106"/>
      <c r="L845" s="106"/>
      <c r="M845" s="721" t="str">
        <f>E845</f>
        <v>28 APRIL - 4 MAY 2025</v>
      </c>
      <c r="N845" s="722"/>
      <c r="O845" s="722"/>
      <c r="P845" s="723"/>
      <c r="Q845" s="106"/>
      <c r="R845" s="106"/>
      <c r="S845" s="106"/>
      <c r="T845" s="106"/>
      <c r="U845" s="106"/>
      <c r="V845" s="724" t="str">
        <f>M845</f>
        <v>28 APRIL - 4 MAY 2025</v>
      </c>
      <c r="W845" s="725"/>
      <c r="X845" s="725"/>
      <c r="Y845" s="726"/>
      <c r="Z845" s="106"/>
    </row>
    <row r="846" spans="2:26" ht="27" thickBot="1" x14ac:dyDescent="0.25">
      <c r="C846" s="126" t="s">
        <v>0</v>
      </c>
      <c r="D846" s="135" t="s">
        <v>1</v>
      </c>
      <c r="E846" s="258" t="s">
        <v>2</v>
      </c>
      <c r="F846" s="259" t="s">
        <v>3</v>
      </c>
      <c r="G846" s="260" t="s">
        <v>4</v>
      </c>
      <c r="H846" s="261" t="s">
        <v>5</v>
      </c>
      <c r="I846" s="262" t="s">
        <v>6</v>
      </c>
      <c r="J846" s="262" t="s">
        <v>7</v>
      </c>
      <c r="K846" s="262" t="s">
        <v>8</v>
      </c>
      <c r="L846" s="262" t="s">
        <v>9</v>
      </c>
      <c r="M846" s="262" t="s">
        <v>10</v>
      </c>
      <c r="N846" s="262" t="s">
        <v>11</v>
      </c>
      <c r="O846" s="262" t="s">
        <v>12</v>
      </c>
      <c r="P846" s="262" t="s">
        <v>13</v>
      </c>
      <c r="Q846" s="262" t="s">
        <v>14</v>
      </c>
      <c r="R846" s="262" t="s">
        <v>15</v>
      </c>
      <c r="S846" s="262" t="s">
        <v>311</v>
      </c>
      <c r="T846" s="262" t="s">
        <v>16</v>
      </c>
      <c r="U846" s="154" t="s">
        <v>403</v>
      </c>
      <c r="V846" s="263" t="s">
        <v>17</v>
      </c>
      <c r="W846" s="263" t="s">
        <v>18</v>
      </c>
      <c r="X846" s="264"/>
      <c r="Y846" s="265" t="s">
        <v>19</v>
      </c>
      <c r="Z846" s="266"/>
    </row>
    <row r="847" spans="2:26" ht="16" thickBot="1" x14ac:dyDescent="0.25">
      <c r="B847" s="196">
        <v>45775</v>
      </c>
      <c r="C847" s="136"/>
      <c r="D847" s="139"/>
      <c r="E847" s="139"/>
      <c r="F847" s="139"/>
      <c r="G847" s="139">
        <v>673</v>
      </c>
      <c r="H847" s="139"/>
      <c r="I847" s="139"/>
      <c r="J847" s="139"/>
      <c r="K847" s="139"/>
      <c r="L847" s="139">
        <v>7530.6</v>
      </c>
      <c r="M847" s="139"/>
      <c r="N847" s="139"/>
      <c r="O847" s="139"/>
      <c r="P847" s="139"/>
      <c r="Q847" s="139">
        <v>1488.55</v>
      </c>
      <c r="R847" s="139"/>
      <c r="S847" s="139"/>
      <c r="T847" s="140"/>
      <c r="U847" s="139"/>
      <c r="V847" s="139"/>
      <c r="W847" s="139">
        <v>106.99</v>
      </c>
      <c r="X847" s="141" t="s">
        <v>297</v>
      </c>
      <c r="Y847" s="239">
        <f>SUM(F847:X851)</f>
        <v>10279.14</v>
      </c>
      <c r="Z847" s="269">
        <f>B847</f>
        <v>45775</v>
      </c>
    </row>
    <row r="848" spans="2:26" ht="16" thickBot="1" x14ac:dyDescent="0.25">
      <c r="B848" s="196" t="s">
        <v>20</v>
      </c>
      <c r="C848" s="203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204"/>
      <c r="U848" s="146"/>
      <c r="V848" s="146"/>
      <c r="W848" s="146">
        <v>480</v>
      </c>
      <c r="X848" s="182" t="s">
        <v>396</v>
      </c>
      <c r="Y848" s="191"/>
      <c r="Z848" s="196" t="s">
        <v>20</v>
      </c>
    </row>
    <row r="849" spans="2:26" ht="16" thickBot="1" x14ac:dyDescent="0.25">
      <c r="B849" s="196"/>
      <c r="C849" s="203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204"/>
      <c r="U849" s="146"/>
      <c r="V849" s="146"/>
      <c r="W849" s="146"/>
      <c r="X849" s="182"/>
      <c r="Y849" s="191"/>
      <c r="Z849" s="196"/>
    </row>
    <row r="850" spans="2:26" ht="16" thickBot="1" x14ac:dyDescent="0.25">
      <c r="B850" s="206"/>
      <c r="C850" s="632"/>
      <c r="D850" s="4"/>
      <c r="E850" s="4"/>
      <c r="F850" s="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633"/>
      <c r="U850" s="8"/>
      <c r="V850" s="8"/>
      <c r="W850" s="8"/>
      <c r="X850" s="634"/>
      <c r="Y850" s="635"/>
      <c r="Z850" s="196"/>
    </row>
    <row r="851" spans="2:26" ht="16" thickBot="1" x14ac:dyDescent="0.25">
      <c r="B851" s="197"/>
      <c r="C851" s="137"/>
      <c r="D851" s="171">
        <f>SUM(D847:D849)</f>
        <v>0</v>
      </c>
      <c r="E851" s="658">
        <f>SUM(E847:E849)</f>
        <v>0</v>
      </c>
      <c r="F851" s="659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5"/>
      <c r="Y851" s="138"/>
      <c r="Z851" s="198"/>
    </row>
    <row r="852" spans="2:26" ht="16" thickBot="1" x14ac:dyDescent="0.25">
      <c r="B852" s="196">
        <v>45776</v>
      </c>
      <c r="C852" s="6"/>
      <c r="D852" s="146"/>
      <c r="E852" s="146"/>
      <c r="F852" s="139"/>
      <c r="G852" s="139">
        <f>592.8+81+81</f>
        <v>754.8</v>
      </c>
      <c r="H852" s="139"/>
      <c r="I852" s="139">
        <v>20531.88</v>
      </c>
      <c r="J852" s="574"/>
      <c r="K852" s="139"/>
      <c r="L852" s="139">
        <v>7367.59</v>
      </c>
      <c r="M852" s="139"/>
      <c r="N852" s="139"/>
      <c r="O852" s="139"/>
      <c r="P852" s="139"/>
      <c r="Q852" s="139"/>
      <c r="R852" s="139"/>
      <c r="S852" s="139"/>
      <c r="T852" s="140"/>
      <c r="U852" s="139"/>
      <c r="V852" s="139"/>
      <c r="W852" s="139">
        <v>190.98</v>
      </c>
      <c r="X852" s="575" t="s">
        <v>411</v>
      </c>
      <c r="Y852" s="238">
        <f>SUM(F852:W857)</f>
        <v>29397.25</v>
      </c>
      <c r="Z852" s="196">
        <f>B852</f>
        <v>45776</v>
      </c>
    </row>
    <row r="853" spans="2:26" ht="16" thickBot="1" x14ac:dyDescent="0.25">
      <c r="B853" s="196" t="s">
        <v>21</v>
      </c>
      <c r="C853" s="6"/>
      <c r="D853" s="146"/>
      <c r="E853" s="146"/>
      <c r="F853" s="4"/>
      <c r="G853" s="4"/>
      <c r="H853" s="4"/>
      <c r="I853" s="4"/>
      <c r="J853" s="149"/>
      <c r="K853" s="4"/>
      <c r="L853" s="4"/>
      <c r="M853" s="4"/>
      <c r="N853" s="4"/>
      <c r="O853" s="4"/>
      <c r="P853" s="4"/>
      <c r="Q853" s="4"/>
      <c r="R853" s="4"/>
      <c r="S853" s="4"/>
      <c r="T853" s="148"/>
      <c r="U853" s="4"/>
      <c r="V853" s="4"/>
      <c r="W853" s="4">
        <v>552</v>
      </c>
      <c r="X853" s="142" t="s">
        <v>1064</v>
      </c>
      <c r="Y853" s="191"/>
      <c r="Z853" s="196" t="s">
        <v>21</v>
      </c>
    </row>
    <row r="854" spans="2:26" ht="16" thickBot="1" x14ac:dyDescent="0.25">
      <c r="B854" s="196"/>
      <c r="C854" s="6"/>
      <c r="D854" s="4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78"/>
      <c r="U854" s="12"/>
      <c r="V854" s="12"/>
      <c r="W854" s="146"/>
      <c r="X854" s="147"/>
      <c r="Y854" s="191"/>
      <c r="Z854" s="196"/>
    </row>
    <row r="855" spans="2:26" ht="16" thickBot="1" x14ac:dyDescent="0.25">
      <c r="B855" s="662"/>
      <c r="C855" s="57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79"/>
      <c r="U855" s="4"/>
      <c r="V855" s="4"/>
      <c r="W855" s="4"/>
      <c r="X855" s="142"/>
      <c r="Y855" s="643"/>
      <c r="Z855" s="196"/>
    </row>
    <row r="856" spans="2:26" ht="16" thickBot="1" x14ac:dyDescent="0.25">
      <c r="B856" s="662"/>
      <c r="C856" s="57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79"/>
      <c r="U856" s="4"/>
      <c r="V856" s="4"/>
      <c r="W856" s="4"/>
      <c r="X856" s="142"/>
      <c r="Y856" s="643"/>
      <c r="Z856" s="196"/>
    </row>
    <row r="857" spans="2:26" ht="16" thickBot="1" x14ac:dyDescent="0.25">
      <c r="B857" s="476"/>
      <c r="C857" s="663"/>
      <c r="D857" s="664">
        <f>SUM(D852:D854)</f>
        <v>0</v>
      </c>
      <c r="E857" s="664">
        <f>SUM(E852:E854)</f>
        <v>0</v>
      </c>
      <c r="F857" s="66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642"/>
      <c r="U857" s="642"/>
      <c r="V857" s="642"/>
      <c r="W857" s="8"/>
      <c r="X857" s="666"/>
      <c r="Y857" s="571"/>
      <c r="Z857" s="198"/>
    </row>
    <row r="858" spans="2:26" ht="16" thickBot="1" x14ac:dyDescent="0.25">
      <c r="B858" s="570">
        <v>45777</v>
      </c>
      <c r="C858" s="573"/>
      <c r="D858" s="139"/>
      <c r="E858" s="139"/>
      <c r="F858" s="4"/>
      <c r="G858" s="4">
        <v>800</v>
      </c>
      <c r="H858" s="4"/>
      <c r="I858" s="68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48"/>
      <c r="U858" s="4"/>
      <c r="V858" s="4"/>
      <c r="W858" s="4"/>
      <c r="X858" s="689"/>
      <c r="Y858" s="576">
        <f>SUM(F858:X864)</f>
        <v>800</v>
      </c>
      <c r="Z858" s="464">
        <f>B858</f>
        <v>45777</v>
      </c>
    </row>
    <row r="859" spans="2:26" ht="16" thickBot="1" x14ac:dyDescent="0.25">
      <c r="B859" s="570" t="s">
        <v>22</v>
      </c>
      <c r="C859" s="572"/>
      <c r="D859" s="4"/>
      <c r="E859" s="4"/>
      <c r="F859" s="4"/>
      <c r="G859" s="4"/>
      <c r="H859" s="4"/>
      <c r="I859" s="4"/>
      <c r="J859" s="149"/>
      <c r="K859" s="4"/>
      <c r="L859" s="4"/>
      <c r="M859" s="4"/>
      <c r="N859" s="4"/>
      <c r="O859" s="4"/>
      <c r="P859" s="4"/>
      <c r="Q859" s="4"/>
      <c r="R859" s="4"/>
      <c r="S859" s="4"/>
      <c r="T859" s="148"/>
      <c r="U859" s="4"/>
      <c r="V859" s="4"/>
      <c r="W859" s="4"/>
      <c r="X859" s="142"/>
      <c r="Y859" s="638"/>
      <c r="Z859" s="464"/>
    </row>
    <row r="860" spans="2:26" ht="16" thickBot="1" x14ac:dyDescent="0.25">
      <c r="B860" s="570"/>
      <c r="C860" s="572"/>
      <c r="D860" s="4"/>
      <c r="E860" s="4"/>
      <c r="F860" s="4"/>
      <c r="G860" s="4"/>
      <c r="H860" s="4"/>
      <c r="I860" s="4"/>
      <c r="J860" s="149"/>
      <c r="K860" s="4"/>
      <c r="L860" s="4"/>
      <c r="M860" s="4"/>
      <c r="N860" s="4"/>
      <c r="O860" s="4"/>
      <c r="P860" s="4"/>
      <c r="Q860" s="4"/>
      <c r="R860" s="4"/>
      <c r="S860" s="4"/>
      <c r="T860" s="148"/>
      <c r="U860" s="4"/>
      <c r="V860" s="4"/>
      <c r="W860" s="4"/>
      <c r="X860" s="142"/>
      <c r="Y860" s="638"/>
      <c r="Z860" s="464"/>
    </row>
    <row r="861" spans="2:26" ht="16" thickBot="1" x14ac:dyDescent="0.25">
      <c r="B861" s="570"/>
      <c r="C861" s="572"/>
      <c r="D861" s="4"/>
      <c r="E861" s="4"/>
      <c r="F861" s="4"/>
      <c r="G861" s="4"/>
      <c r="H861" s="4"/>
      <c r="I861" s="4"/>
      <c r="J861" s="149"/>
      <c r="K861" s="4"/>
      <c r="L861" s="4"/>
      <c r="M861" s="4"/>
      <c r="N861" s="4"/>
      <c r="O861" s="4"/>
      <c r="P861" s="4"/>
      <c r="Q861" s="4"/>
      <c r="R861" s="4"/>
      <c r="S861" s="4"/>
      <c r="T861" s="148"/>
      <c r="U861" s="4"/>
      <c r="V861" s="4"/>
      <c r="W861" s="4"/>
      <c r="X861" s="142"/>
      <c r="Y861" s="638"/>
      <c r="Z861" s="464"/>
    </row>
    <row r="862" spans="2:26" ht="16" thickBot="1" x14ac:dyDescent="0.25">
      <c r="B862" s="570"/>
      <c r="C862" s="572"/>
      <c r="D862" s="4"/>
      <c r="E862" s="4"/>
      <c r="F862" s="4"/>
      <c r="G862" s="4"/>
      <c r="H862" s="4"/>
      <c r="I862" s="4"/>
      <c r="J862" s="149"/>
      <c r="K862" s="4"/>
      <c r="L862" s="4"/>
      <c r="M862" s="4"/>
      <c r="N862" s="4"/>
      <c r="O862" s="4"/>
      <c r="P862" s="4"/>
      <c r="Q862" s="4"/>
      <c r="R862" s="4"/>
      <c r="S862" s="4"/>
      <c r="T862" s="148"/>
      <c r="U862" s="4"/>
      <c r="V862" s="4"/>
      <c r="W862" s="4"/>
      <c r="X862" s="142"/>
      <c r="Y862" s="638"/>
      <c r="Z862" s="464"/>
    </row>
    <row r="863" spans="2:26" ht="16" thickBot="1" x14ac:dyDescent="0.25">
      <c r="B863" s="570"/>
      <c r="C863" s="572"/>
      <c r="D863" s="4"/>
      <c r="E863" s="4"/>
      <c r="F863" s="4"/>
      <c r="G863" s="4"/>
      <c r="H863" s="4"/>
      <c r="I863" s="4"/>
      <c r="J863" s="149"/>
      <c r="K863" s="4"/>
      <c r="L863" s="4"/>
      <c r="M863" s="4"/>
      <c r="N863" s="4"/>
      <c r="O863" s="4"/>
      <c r="P863" s="4"/>
      <c r="Q863" s="4"/>
      <c r="R863" s="4"/>
      <c r="S863" s="4"/>
      <c r="T863" s="148"/>
      <c r="U863" s="4"/>
      <c r="V863" s="4"/>
      <c r="W863" s="4"/>
      <c r="X863" s="142"/>
      <c r="Y863" s="638"/>
      <c r="Z863" s="464"/>
    </row>
    <row r="864" spans="2:26" ht="16" thickBot="1" x14ac:dyDescent="0.25">
      <c r="B864" s="197"/>
      <c r="C864" s="257"/>
      <c r="D864" s="171">
        <f>SUM(D858:D863)</f>
        <v>0</v>
      </c>
      <c r="E864" s="171">
        <f>SUM(E858:E863)</f>
        <v>0</v>
      </c>
      <c r="F864" s="245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72"/>
      <c r="Y864" s="241"/>
      <c r="Z864" s="465"/>
    </row>
    <row r="865" spans="2:26" ht="16" thickBot="1" x14ac:dyDescent="0.25">
      <c r="B865" s="196">
        <v>45778</v>
      </c>
      <c r="C865" s="207"/>
      <c r="D865" s="8"/>
      <c r="E865" s="146"/>
      <c r="F865" s="146"/>
      <c r="G865" s="146">
        <f>800+1353.35</f>
        <v>2153.35</v>
      </c>
      <c r="H865" s="146"/>
      <c r="I865" s="246"/>
      <c r="J865" s="146"/>
      <c r="K865" s="146"/>
      <c r="L865" s="146">
        <v>9784.4500000000007</v>
      </c>
      <c r="M865" s="146"/>
      <c r="N865" s="146"/>
      <c r="O865" s="146"/>
      <c r="P865" s="146"/>
      <c r="Q865" s="8">
        <f>43.98+494.91</f>
        <v>538.89</v>
      </c>
      <c r="R865" s="8"/>
      <c r="S865" s="146">
        <v>7157.54</v>
      </c>
      <c r="T865" s="204"/>
      <c r="U865" s="146"/>
      <c r="V865" s="146"/>
      <c r="W865" s="146"/>
      <c r="X865" s="247"/>
      <c r="Y865" s="171">
        <f>SUM(F865:W872)</f>
        <v>19634.23</v>
      </c>
      <c r="Z865" s="196">
        <f>B865</f>
        <v>45778</v>
      </c>
    </row>
    <row r="866" spans="2:26" ht="16" thickBot="1" x14ac:dyDescent="0.25">
      <c r="B866" s="196" t="s">
        <v>23</v>
      </c>
      <c r="C866" s="7"/>
      <c r="D866" s="4"/>
      <c r="E866" s="146"/>
      <c r="F866" s="146"/>
      <c r="G866" s="146"/>
      <c r="H866" s="146"/>
      <c r="I866" s="463"/>
      <c r="J866" s="146"/>
      <c r="K866" s="146"/>
      <c r="L866" s="146"/>
      <c r="M866" s="146"/>
      <c r="N866" s="146"/>
      <c r="O866" s="146"/>
      <c r="P866" s="146"/>
      <c r="Q866" s="4"/>
      <c r="R866" s="4"/>
      <c r="S866" s="146"/>
      <c r="T866" s="204"/>
      <c r="U866" s="146"/>
      <c r="V866" s="146"/>
      <c r="W866" s="146"/>
      <c r="X866" s="247"/>
      <c r="Y866" s="240"/>
      <c r="Z866" s="196"/>
    </row>
    <row r="867" spans="2:26" ht="16" thickBot="1" x14ac:dyDescent="0.25">
      <c r="B867" s="196"/>
      <c r="C867" s="7"/>
      <c r="D867" s="4"/>
      <c r="E867" s="146"/>
      <c r="F867" s="146"/>
      <c r="G867" s="146"/>
      <c r="H867" s="146"/>
      <c r="I867" s="463"/>
      <c r="J867" s="146"/>
      <c r="K867" s="146"/>
      <c r="L867" s="146"/>
      <c r="M867" s="146"/>
      <c r="N867" s="146"/>
      <c r="O867" s="146"/>
      <c r="P867" s="146"/>
      <c r="Q867" s="4"/>
      <c r="R867" s="4"/>
      <c r="S867" s="146"/>
      <c r="T867" s="204"/>
      <c r="U867" s="146"/>
      <c r="V867" s="146"/>
      <c r="W867" s="146"/>
      <c r="X867" s="247"/>
      <c r="Y867" s="4"/>
      <c r="Z867" s="464"/>
    </row>
    <row r="868" spans="2:26" ht="16" thickBot="1" x14ac:dyDescent="0.25">
      <c r="B868" s="196"/>
      <c r="C868" s="7"/>
      <c r="D868" s="4"/>
      <c r="E868" s="146"/>
      <c r="F868" s="146"/>
      <c r="G868" s="146"/>
      <c r="H868" s="146"/>
      <c r="I868" s="463"/>
      <c r="J868" s="146"/>
      <c r="K868" s="146"/>
      <c r="L868" s="146"/>
      <c r="M868" s="146"/>
      <c r="N868" s="146"/>
      <c r="O868" s="146"/>
      <c r="P868" s="146"/>
      <c r="Q868" s="4"/>
      <c r="R868" s="4"/>
      <c r="S868" s="146"/>
      <c r="T868" s="204"/>
      <c r="U868" s="146"/>
      <c r="V868" s="146"/>
      <c r="W868" s="146"/>
      <c r="X868" s="247"/>
      <c r="Y868" s="4"/>
      <c r="Z868" s="464"/>
    </row>
    <row r="869" spans="2:26" ht="16" thickBot="1" x14ac:dyDescent="0.25">
      <c r="B869" s="198"/>
      <c r="C869" s="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150"/>
      <c r="Y869" s="4"/>
      <c r="Z869" s="465" t="s">
        <v>23</v>
      </c>
    </row>
    <row r="870" spans="2:26" ht="16" thickBot="1" x14ac:dyDescent="0.25">
      <c r="B870" s="476"/>
      <c r="C870" s="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150"/>
      <c r="Y870" s="10"/>
      <c r="Z870" s="465"/>
    </row>
    <row r="871" spans="2:26" ht="16" thickBot="1" x14ac:dyDescent="0.25">
      <c r="B871" s="476"/>
      <c r="C871" s="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150"/>
      <c r="Y871" s="10"/>
      <c r="Z871" s="465"/>
    </row>
    <row r="872" spans="2:26" ht="16" thickBot="1" x14ac:dyDescent="0.25">
      <c r="B872" s="197"/>
      <c r="C872" s="249"/>
      <c r="D872" s="171">
        <f>SUM(D865:D871)</f>
        <v>0</v>
      </c>
      <c r="E872" s="171">
        <f>SUM(E865:E871)</f>
        <v>0</v>
      </c>
      <c r="F872" s="252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250"/>
      <c r="Y872" s="251"/>
      <c r="Z872" s="198"/>
    </row>
    <row r="873" spans="2:26" ht="16" thickBot="1" x14ac:dyDescent="0.25">
      <c r="B873" s="556">
        <v>45779</v>
      </c>
      <c r="C873" s="557"/>
      <c r="D873" s="558"/>
      <c r="E873" s="558"/>
      <c r="F873" s="146">
        <v>1500</v>
      </c>
      <c r="G873" s="146">
        <v>800</v>
      </c>
      <c r="H873" s="146"/>
      <c r="I873" s="246"/>
      <c r="J873" s="146"/>
      <c r="K873" s="146"/>
      <c r="L873" s="146">
        <v>6539.52</v>
      </c>
      <c r="M873" s="146"/>
      <c r="N873" s="146"/>
      <c r="O873" s="146"/>
      <c r="P873" s="146">
        <v>180</v>
      </c>
      <c r="Q873" s="8">
        <v>274.95</v>
      </c>
      <c r="R873" s="8"/>
      <c r="S873" s="146"/>
      <c r="T873" s="204"/>
      <c r="U873" s="146"/>
      <c r="V873" s="146"/>
      <c r="W873" s="146"/>
      <c r="X873" s="247"/>
      <c r="Y873" s="559">
        <f>SUM(F873:W877)</f>
        <v>9294.4700000000012</v>
      </c>
      <c r="Z873" s="560">
        <f>B873</f>
        <v>45779</v>
      </c>
    </row>
    <row r="874" spans="2:26" ht="16" thickBot="1" x14ac:dyDescent="0.25">
      <c r="B874" s="206" t="s">
        <v>24</v>
      </c>
      <c r="C874" s="6"/>
      <c r="D874" s="146"/>
      <c r="E874" s="146"/>
      <c r="F874" s="14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150"/>
      <c r="Y874" s="639"/>
      <c r="Z874" s="196"/>
    </row>
    <row r="875" spans="2:26" ht="16" thickBot="1" x14ac:dyDescent="0.25">
      <c r="B875" s="206"/>
      <c r="C875" s="6"/>
      <c r="D875" s="146"/>
      <c r="E875" s="146"/>
      <c r="F875" s="146"/>
      <c r="G875" s="146"/>
      <c r="H875" s="146"/>
      <c r="I875" s="639"/>
      <c r="J875" s="146"/>
      <c r="K875" s="146"/>
      <c r="L875" s="146"/>
      <c r="M875" s="146"/>
      <c r="N875" s="146"/>
      <c r="O875" s="146"/>
      <c r="P875" s="146"/>
      <c r="Q875" s="8"/>
      <c r="R875" s="8"/>
      <c r="S875" s="146"/>
      <c r="T875" s="146"/>
      <c r="U875" s="146"/>
      <c r="V875" s="146"/>
      <c r="W875" s="146"/>
      <c r="X875" s="709"/>
      <c r="Y875" s="639"/>
      <c r="Z875" s="196"/>
    </row>
    <row r="876" spans="2:26" ht="16" thickBot="1" x14ac:dyDescent="0.25">
      <c r="B876" s="206"/>
      <c r="C876" s="6"/>
      <c r="D876" s="146"/>
      <c r="E876" s="146"/>
      <c r="F876" s="146"/>
      <c r="G876" s="146"/>
      <c r="H876" s="146"/>
      <c r="I876" s="246"/>
      <c r="J876" s="146"/>
      <c r="K876" s="146"/>
      <c r="L876" s="146"/>
      <c r="M876" s="146"/>
      <c r="N876" s="146"/>
      <c r="O876" s="146"/>
      <c r="P876" s="146"/>
      <c r="Q876" s="8"/>
      <c r="R876" s="8"/>
      <c r="S876" s="146"/>
      <c r="T876" s="204"/>
      <c r="U876" s="146"/>
      <c r="V876" s="146"/>
      <c r="W876" s="146"/>
      <c r="X876" s="247"/>
      <c r="Y876" s="639"/>
      <c r="Z876" s="196"/>
    </row>
    <row r="877" spans="2:26" ht="16" thickBot="1" x14ac:dyDescent="0.25">
      <c r="B877" s="197"/>
      <c r="C877" s="137"/>
      <c r="D877" s="1">
        <f>SUM(D873:D876)</f>
        <v>0</v>
      </c>
      <c r="E877" s="1">
        <f>SUM(E873:E876)</f>
        <v>0</v>
      </c>
      <c r="F877" s="2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250"/>
      <c r="Y877" s="251"/>
      <c r="Z877" s="198"/>
    </row>
    <row r="878" spans="2:26" ht="16" thickBot="1" x14ac:dyDescent="0.25">
      <c r="B878" s="127">
        <v>45780</v>
      </c>
      <c r="C878" s="6"/>
      <c r="D878" s="146"/>
      <c r="E878" s="146"/>
      <c r="F878" s="146"/>
      <c r="G878" s="146"/>
      <c r="H878" s="146"/>
      <c r="I878" s="246"/>
      <c r="J878" s="146"/>
      <c r="K878" s="146"/>
      <c r="L878" s="146">
        <v>7129.44</v>
      </c>
      <c r="M878" s="146"/>
      <c r="N878" s="146"/>
      <c r="O878" s="146">
        <f>6500+12950</f>
        <v>19450</v>
      </c>
      <c r="P878" s="146"/>
      <c r="Q878" s="8"/>
      <c r="R878" s="8"/>
      <c r="S878" s="146"/>
      <c r="T878" s="204"/>
      <c r="U878" s="146"/>
      <c r="V878" s="146"/>
      <c r="W878" s="146"/>
      <c r="X878" s="247"/>
      <c r="Y878" s="171">
        <f>SUM(F878:W884)</f>
        <v>26579.439999999999</v>
      </c>
      <c r="Z878" s="196">
        <f>B878</f>
        <v>45780</v>
      </c>
    </row>
    <row r="879" spans="2:26" ht="16" thickBot="1" x14ac:dyDescent="0.25">
      <c r="B879" s="548" t="s">
        <v>25</v>
      </c>
      <c r="C879" s="6"/>
      <c r="D879" s="4"/>
      <c r="E879" s="4"/>
      <c r="F879" s="14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150"/>
      <c r="Y879" s="639"/>
      <c r="Z879" s="196" t="s">
        <v>25</v>
      </c>
    </row>
    <row r="880" spans="2:26" ht="16" thickBot="1" x14ac:dyDescent="0.25">
      <c r="B880" s="208"/>
      <c r="C880" s="6"/>
      <c r="D880" s="4"/>
      <c r="E880" s="4"/>
      <c r="F880" s="14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150"/>
      <c r="Y880" s="639"/>
      <c r="Z880" s="196"/>
    </row>
    <row r="881" spans="2:26" ht="16" thickBot="1" x14ac:dyDescent="0.25">
      <c r="B881" s="208"/>
      <c r="C881" s="6"/>
      <c r="D881" s="4"/>
      <c r="E881" s="4"/>
      <c r="F881" s="14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150"/>
      <c r="Y881" s="639"/>
      <c r="Z881" s="196"/>
    </row>
    <row r="882" spans="2:26" ht="16" thickBot="1" x14ac:dyDescent="0.25">
      <c r="B882" s="208"/>
      <c r="C882" s="6"/>
      <c r="D882" s="4"/>
      <c r="E882" s="4"/>
      <c r="F882" s="14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150"/>
      <c r="Y882" s="639"/>
      <c r="Z882" s="196"/>
    </row>
    <row r="883" spans="2:26" ht="16" thickBot="1" x14ac:dyDescent="0.25">
      <c r="B883" s="199"/>
      <c r="C883" s="7"/>
      <c r="D883" s="143"/>
      <c r="E883" s="14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48"/>
      <c r="U883" s="4"/>
      <c r="V883" s="4"/>
      <c r="W883" s="4"/>
      <c r="X883" s="150"/>
      <c r="Y883" s="10"/>
      <c r="Z883" s="196"/>
    </row>
    <row r="884" spans="2:26" ht="16" thickBot="1" x14ac:dyDescent="0.25">
      <c r="B884" s="198"/>
      <c r="C884" s="137"/>
      <c r="D884" s="9">
        <f>SUM(D878:D883)</f>
        <v>0</v>
      </c>
      <c r="E884" s="9">
        <f>SUM(E878:E883)</f>
        <v>0</v>
      </c>
      <c r="F884" s="245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254"/>
      <c r="R884" s="144"/>
      <c r="S884" s="144"/>
      <c r="T884" s="144"/>
      <c r="U884" s="144"/>
      <c r="V884" s="144"/>
      <c r="W884" s="144"/>
      <c r="X884" s="172"/>
      <c r="Y884" s="11"/>
      <c r="Z884" s="198"/>
    </row>
    <row r="885" spans="2:26" ht="16" thickBot="1" x14ac:dyDescent="0.25">
      <c r="B885" s="196">
        <v>45781</v>
      </c>
      <c r="C885" s="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253"/>
      <c r="R885" s="253"/>
      <c r="S885" s="146"/>
      <c r="T885" s="204"/>
      <c r="U885" s="146"/>
      <c r="V885" s="146"/>
      <c r="W885" s="146">
        <v>54.99</v>
      </c>
      <c r="X885" s="182" t="s">
        <v>538</v>
      </c>
      <c r="Y885" s="1">
        <f>SUM(F885:W888)</f>
        <v>54.99</v>
      </c>
      <c r="Z885" s="196">
        <f>B885</f>
        <v>45781</v>
      </c>
    </row>
    <row r="886" spans="2:26" ht="16" thickBot="1" x14ac:dyDescent="0.25">
      <c r="B886" s="198" t="s">
        <v>26</v>
      </c>
      <c r="C886" s="5"/>
      <c r="D886" s="4"/>
      <c r="E886" s="4"/>
      <c r="F886" s="4"/>
      <c r="G886" s="15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150"/>
      <c r="Y886" s="12"/>
      <c r="Z886" s="198" t="s">
        <v>26</v>
      </c>
    </row>
    <row r="887" spans="2:26" ht="16" thickBot="1" x14ac:dyDescent="0.25">
      <c r="B887" s="268"/>
      <c r="C887" s="152"/>
      <c r="D887" s="143"/>
      <c r="E887" s="14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150"/>
      <c r="Y887" s="10"/>
      <c r="Z887" s="268"/>
    </row>
    <row r="888" spans="2:26" ht="16" thickBot="1" x14ac:dyDescent="0.25">
      <c r="B888" s="267"/>
      <c r="C888" s="255"/>
      <c r="D888" s="1">
        <f>SUM(D885:D887)</f>
        <v>0</v>
      </c>
      <c r="E888" s="1">
        <f>SUM(E885:E887)</f>
        <v>0</v>
      </c>
      <c r="F888" s="245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72"/>
      <c r="Y888" s="248"/>
      <c r="Z888" s="268"/>
    </row>
    <row r="889" spans="2:26" x14ac:dyDescent="0.2">
      <c r="B889" s="101"/>
      <c r="C889" s="243"/>
      <c r="D889" s="242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8"/>
      <c r="Z889" s="130"/>
    </row>
    <row r="890" spans="2:26" ht="16" thickBot="1" x14ac:dyDescent="0.25">
      <c r="B890" s="101"/>
      <c r="C890" s="243"/>
      <c r="D890" s="189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2"/>
      <c r="Z890" s="128"/>
    </row>
    <row r="891" spans="2:26" ht="16" thickBot="1" x14ac:dyDescent="0.25">
      <c r="B891" s="101"/>
      <c r="C891" s="101"/>
      <c r="D891" s="105">
        <f>SUM(D888,D884,D877,D872,D864,D857,D851)</f>
        <v>0</v>
      </c>
      <c r="E891" s="105">
        <f>SUM(E888,E884,E877,E872,E864,E857,E851)</f>
        <v>0</v>
      </c>
      <c r="F891" s="104">
        <f t="shared" ref="F891:S891" si="17">SUM(F847:F890)</f>
        <v>1500</v>
      </c>
      <c r="G891" s="103">
        <f t="shared" si="17"/>
        <v>5181.1499999999996</v>
      </c>
      <c r="H891" s="103">
        <f t="shared" si="17"/>
        <v>0</v>
      </c>
      <c r="I891" s="103">
        <f t="shared" si="17"/>
        <v>20531.88</v>
      </c>
      <c r="J891" s="103">
        <f t="shared" si="17"/>
        <v>0</v>
      </c>
      <c r="K891" s="103">
        <f t="shared" si="17"/>
        <v>0</v>
      </c>
      <c r="L891" s="103">
        <f t="shared" si="17"/>
        <v>38351.599999999999</v>
      </c>
      <c r="M891" s="103">
        <f t="shared" si="17"/>
        <v>0</v>
      </c>
      <c r="N891" s="103">
        <f t="shared" si="17"/>
        <v>0</v>
      </c>
      <c r="O891" s="103">
        <f t="shared" si="17"/>
        <v>19450</v>
      </c>
      <c r="P891" s="103">
        <f t="shared" si="17"/>
        <v>180</v>
      </c>
      <c r="Q891" s="103">
        <f t="shared" si="17"/>
        <v>2302.39</v>
      </c>
      <c r="R891" s="103">
        <f t="shared" si="17"/>
        <v>0</v>
      </c>
      <c r="S891" s="103">
        <f t="shared" si="17"/>
        <v>7157.54</v>
      </c>
      <c r="T891" s="103"/>
      <c r="U891" s="103">
        <f>SUM(U851:U890)</f>
        <v>0</v>
      </c>
      <c r="V891" s="103">
        <f>SUM(V847:V890)</f>
        <v>0</v>
      </c>
      <c r="W891" s="103">
        <f>SUM(W847:W890)</f>
        <v>1384.96</v>
      </c>
      <c r="X891" s="153"/>
      <c r="Y891" s="155">
        <f>SUM(Y847:Y888)</f>
        <v>96039.52</v>
      </c>
      <c r="Z891" s="129"/>
    </row>
    <row r="892" spans="2:26" ht="27" thickBot="1" x14ac:dyDescent="0.25">
      <c r="B892" s="101"/>
      <c r="C892" s="154" t="s">
        <v>0</v>
      </c>
      <c r="D892" s="154" t="s">
        <v>1</v>
      </c>
      <c r="E892" s="154" t="s">
        <v>2</v>
      </c>
      <c r="F892" s="154" t="s">
        <v>3</v>
      </c>
      <c r="G892" s="154" t="s">
        <v>4</v>
      </c>
      <c r="H892" s="154" t="s">
        <v>5</v>
      </c>
      <c r="I892" s="154" t="s">
        <v>6</v>
      </c>
      <c r="J892" s="154" t="s">
        <v>7</v>
      </c>
      <c r="K892" s="154" t="s">
        <v>8</v>
      </c>
      <c r="L892" s="154" t="s">
        <v>9</v>
      </c>
      <c r="M892" s="154" t="s">
        <v>309</v>
      </c>
      <c r="N892" s="154" t="s">
        <v>11</v>
      </c>
      <c r="O892" s="154" t="s">
        <v>12</v>
      </c>
      <c r="P892" s="154" t="s">
        <v>13</v>
      </c>
      <c r="Q892" s="154" t="s">
        <v>14</v>
      </c>
      <c r="R892" s="154" t="s">
        <v>15</v>
      </c>
      <c r="S892" s="154" t="s">
        <v>311</v>
      </c>
      <c r="T892" s="154" t="s">
        <v>16</v>
      </c>
      <c r="U892" s="154" t="s">
        <v>403</v>
      </c>
      <c r="V892" s="154" t="s">
        <v>17</v>
      </c>
      <c r="W892" s="154" t="s">
        <v>18</v>
      </c>
      <c r="X892" s="154"/>
      <c r="Y892" s="154" t="s">
        <v>19</v>
      </c>
      <c r="Z892" s="126"/>
    </row>
    <row r="893" spans="2:26" ht="16" thickBot="1" x14ac:dyDescent="0.25">
      <c r="B893" s="101"/>
      <c r="C893" s="101"/>
      <c r="D893" s="101"/>
      <c r="E893" s="727" t="str">
        <f>M893</f>
        <v>28 APRIL - 4 MAY 2025</v>
      </c>
      <c r="F893" s="719"/>
      <c r="G893" s="719"/>
      <c r="H893" s="720"/>
      <c r="I893" s="101"/>
      <c r="J893" s="101"/>
      <c r="K893" s="101"/>
      <c r="L893" s="101"/>
      <c r="M893" s="727" t="str">
        <f>V893</f>
        <v>28 APRIL - 4 MAY 2025</v>
      </c>
      <c r="N893" s="719"/>
      <c r="O893" s="719"/>
      <c r="P893" s="720"/>
      <c r="Q893" s="101"/>
      <c r="R893" s="101"/>
      <c r="S893" s="101"/>
      <c r="T893" s="101"/>
      <c r="U893" s="101"/>
      <c r="V893" s="727" t="str">
        <f>V845</f>
        <v>28 APRIL - 4 MAY 2025</v>
      </c>
      <c r="W893" s="719"/>
      <c r="X893" s="719"/>
      <c r="Y893" s="720"/>
      <c r="Z893" s="101"/>
    </row>
    <row r="894" spans="2:26" ht="16" thickBot="1" x14ac:dyDescent="0.25"/>
    <row r="895" spans="2:26" ht="16" thickBot="1" x14ac:dyDescent="0.25">
      <c r="E895" s="718" t="s">
        <v>1093</v>
      </c>
      <c r="F895" s="719"/>
      <c r="G895" s="719"/>
      <c r="H895" s="720"/>
      <c r="K895" s="106"/>
      <c r="L895" s="106"/>
      <c r="M895" s="721" t="str">
        <f>E895</f>
        <v>5 - 11 MAY 2025</v>
      </c>
      <c r="N895" s="722"/>
      <c r="O895" s="722"/>
      <c r="P895" s="723"/>
      <c r="Q895" s="106"/>
      <c r="R895" s="106"/>
      <c r="S895" s="106"/>
      <c r="T895" s="106"/>
      <c r="U895" s="106"/>
      <c r="V895" s="724" t="str">
        <f>M895</f>
        <v>5 - 11 MAY 2025</v>
      </c>
      <c r="W895" s="725"/>
      <c r="X895" s="725"/>
      <c r="Y895" s="726"/>
      <c r="Z895" s="106"/>
    </row>
    <row r="896" spans="2:26" ht="27" thickBot="1" x14ac:dyDescent="0.25">
      <c r="C896" s="126" t="s">
        <v>0</v>
      </c>
      <c r="D896" s="135" t="s">
        <v>1</v>
      </c>
      <c r="E896" s="258" t="s">
        <v>2</v>
      </c>
      <c r="F896" s="259" t="s">
        <v>3</v>
      </c>
      <c r="G896" s="260" t="s">
        <v>4</v>
      </c>
      <c r="H896" s="261" t="s">
        <v>5</v>
      </c>
      <c r="I896" s="262" t="s">
        <v>6</v>
      </c>
      <c r="J896" s="262" t="s">
        <v>7</v>
      </c>
      <c r="K896" s="262" t="s">
        <v>8</v>
      </c>
      <c r="L896" s="262" t="s">
        <v>9</v>
      </c>
      <c r="M896" s="262" t="s">
        <v>10</v>
      </c>
      <c r="N896" s="262" t="s">
        <v>11</v>
      </c>
      <c r="O896" s="262" t="s">
        <v>12</v>
      </c>
      <c r="P896" s="262" t="s">
        <v>13</v>
      </c>
      <c r="Q896" s="262" t="s">
        <v>14</v>
      </c>
      <c r="R896" s="262" t="s">
        <v>15</v>
      </c>
      <c r="S896" s="262" t="s">
        <v>311</v>
      </c>
      <c r="T896" s="262" t="s">
        <v>16</v>
      </c>
      <c r="U896" s="154" t="s">
        <v>403</v>
      </c>
      <c r="V896" s="263" t="s">
        <v>17</v>
      </c>
      <c r="W896" s="263" t="s">
        <v>18</v>
      </c>
      <c r="X896" s="264"/>
      <c r="Y896" s="265" t="s">
        <v>19</v>
      </c>
      <c r="Z896" s="266"/>
    </row>
    <row r="897" spans="2:26" ht="16" thickBot="1" x14ac:dyDescent="0.25">
      <c r="B897" s="196">
        <v>45782</v>
      </c>
      <c r="C897" s="136"/>
      <c r="D897" s="139"/>
      <c r="E897" s="139"/>
      <c r="F897" s="139"/>
      <c r="G897" s="139">
        <v>1431.25</v>
      </c>
      <c r="H897" s="139"/>
      <c r="I897" s="139"/>
      <c r="J897" s="139"/>
      <c r="K897" s="139"/>
      <c r="L897" s="139">
        <f>5255.72+5236.61</f>
        <v>10492.33</v>
      </c>
      <c r="M897" s="139"/>
      <c r="N897" s="139"/>
      <c r="O897" s="139"/>
      <c r="P897" s="139"/>
      <c r="Q897" s="139">
        <v>599.9</v>
      </c>
      <c r="R897" s="139"/>
      <c r="S897" s="139"/>
      <c r="T897" s="140"/>
      <c r="U897" s="139"/>
      <c r="V897" s="139"/>
      <c r="W897" s="139">
        <v>357</v>
      </c>
      <c r="X897" s="141" t="s">
        <v>377</v>
      </c>
      <c r="Y897" s="239">
        <f>SUM(F897:X901)</f>
        <v>13380.48</v>
      </c>
      <c r="Z897" s="269">
        <f>B897</f>
        <v>45782</v>
      </c>
    </row>
    <row r="898" spans="2:26" ht="16" thickBot="1" x14ac:dyDescent="0.25">
      <c r="B898" s="196" t="s">
        <v>20</v>
      </c>
      <c r="C898" s="203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204"/>
      <c r="U898" s="146"/>
      <c r="V898" s="146"/>
      <c r="W898" s="146">
        <v>500</v>
      </c>
      <c r="X898" s="182" t="s">
        <v>396</v>
      </c>
      <c r="Y898" s="191"/>
      <c r="Z898" s="196" t="s">
        <v>20</v>
      </c>
    </row>
    <row r="899" spans="2:26" ht="16" thickBot="1" x14ac:dyDescent="0.25">
      <c r="B899" s="196"/>
      <c r="C899" s="203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204"/>
      <c r="U899" s="146"/>
      <c r="V899" s="146"/>
      <c r="W899" s="146"/>
      <c r="X899" s="182"/>
      <c r="Y899" s="191"/>
      <c r="Z899" s="196"/>
    </row>
    <row r="900" spans="2:26" ht="16" thickBot="1" x14ac:dyDescent="0.25">
      <c r="B900" s="206"/>
      <c r="C900" s="632"/>
      <c r="D900" s="4"/>
      <c r="E900" s="4"/>
      <c r="F900" s="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633"/>
      <c r="U900" s="8"/>
      <c r="V900" s="8"/>
      <c r="W900" s="8"/>
      <c r="X900" s="634"/>
      <c r="Y900" s="635"/>
      <c r="Z900" s="196"/>
    </row>
    <row r="901" spans="2:26" ht="16" thickBot="1" x14ac:dyDescent="0.25">
      <c r="B901" s="197"/>
      <c r="C901" s="137"/>
      <c r="D901" s="171">
        <f>SUM(D897:D899)</f>
        <v>0</v>
      </c>
      <c r="E901" s="658">
        <f>SUM(E897:E899)</f>
        <v>0</v>
      </c>
      <c r="F901" s="659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5"/>
      <c r="Y901" s="138"/>
      <c r="Z901" s="198"/>
    </row>
    <row r="902" spans="2:26" ht="16" thickBot="1" x14ac:dyDescent="0.25">
      <c r="B902" s="196">
        <v>45783</v>
      </c>
      <c r="C902" s="6"/>
      <c r="D902" s="146"/>
      <c r="E902" s="146"/>
      <c r="F902" s="139"/>
      <c r="G902" s="139">
        <f>800+81+81+561.2</f>
        <v>1523.2</v>
      </c>
      <c r="H902" s="139"/>
      <c r="I902" s="139"/>
      <c r="J902" s="574"/>
      <c r="K902" s="139"/>
      <c r="L902" s="139">
        <v>3947.77</v>
      </c>
      <c r="M902" s="139"/>
      <c r="N902" s="139"/>
      <c r="O902" s="139"/>
      <c r="P902" s="139"/>
      <c r="Q902" s="139"/>
      <c r="R902" s="139"/>
      <c r="S902" s="139"/>
      <c r="T902" s="140"/>
      <c r="U902" s="139"/>
      <c r="V902" s="139"/>
      <c r="W902" s="139"/>
      <c r="X902" s="575"/>
      <c r="Y902" s="238">
        <f>SUM(F902:W907)</f>
        <v>5470.97</v>
      </c>
      <c r="Z902" s="196">
        <f>B902</f>
        <v>45783</v>
      </c>
    </row>
    <row r="903" spans="2:26" ht="16" thickBot="1" x14ac:dyDescent="0.25">
      <c r="B903" s="196" t="s">
        <v>21</v>
      </c>
      <c r="C903" s="6"/>
      <c r="D903" s="146"/>
      <c r="E903" s="146"/>
      <c r="F903" s="4"/>
      <c r="G903" s="4"/>
      <c r="H903" s="4"/>
      <c r="I903" s="4"/>
      <c r="J903" s="149"/>
      <c r="K903" s="4"/>
      <c r="L903" s="4"/>
      <c r="M903" s="4"/>
      <c r="N903" s="4"/>
      <c r="O903" s="4"/>
      <c r="P903" s="4"/>
      <c r="Q903" s="4"/>
      <c r="R903" s="4"/>
      <c r="S903" s="4"/>
      <c r="T903" s="148"/>
      <c r="U903" s="4"/>
      <c r="V903" s="4"/>
      <c r="W903" s="4"/>
      <c r="X903" s="142"/>
      <c r="Y903" s="191"/>
      <c r="Z903" s="196" t="s">
        <v>21</v>
      </c>
    </row>
    <row r="904" spans="2:26" ht="16" thickBot="1" x14ac:dyDescent="0.25">
      <c r="B904" s="196"/>
      <c r="C904" s="6"/>
      <c r="D904" s="4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78"/>
      <c r="U904" s="12"/>
      <c r="V904" s="12"/>
      <c r="W904" s="146"/>
      <c r="X904" s="147"/>
      <c r="Y904" s="191"/>
      <c r="Z904" s="196"/>
    </row>
    <row r="905" spans="2:26" ht="16" thickBot="1" x14ac:dyDescent="0.25">
      <c r="B905" s="662"/>
      <c r="C905" s="57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79"/>
      <c r="U905" s="4"/>
      <c r="V905" s="4"/>
      <c r="W905" s="4"/>
      <c r="X905" s="142"/>
      <c r="Y905" s="643"/>
      <c r="Z905" s="196"/>
    </row>
    <row r="906" spans="2:26" ht="16" thickBot="1" x14ac:dyDescent="0.25">
      <c r="B906" s="662"/>
      <c r="C906" s="57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79"/>
      <c r="U906" s="4"/>
      <c r="V906" s="4"/>
      <c r="W906" s="4"/>
      <c r="X906" s="142"/>
      <c r="Y906" s="643"/>
      <c r="Z906" s="196"/>
    </row>
    <row r="907" spans="2:26" ht="16" thickBot="1" x14ac:dyDescent="0.25">
      <c r="B907" s="476"/>
      <c r="C907" s="663"/>
      <c r="D907" s="664">
        <f>SUM(D902:D904)</f>
        <v>0</v>
      </c>
      <c r="E907" s="664">
        <f>SUM(E902:E904)</f>
        <v>0</v>
      </c>
      <c r="F907" s="66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642"/>
      <c r="U907" s="642"/>
      <c r="V907" s="642"/>
      <c r="W907" s="8"/>
      <c r="X907" s="666"/>
      <c r="Y907" s="571"/>
      <c r="Z907" s="198"/>
    </row>
    <row r="908" spans="2:26" ht="16" thickBot="1" x14ac:dyDescent="0.25">
      <c r="B908" s="570">
        <v>45784</v>
      </c>
      <c r="C908" s="573"/>
      <c r="D908" s="139"/>
      <c r="E908" s="139"/>
      <c r="F908" s="4"/>
      <c r="G908" s="4">
        <v>800.08</v>
      </c>
      <c r="H908" s="4"/>
      <c r="I908" s="68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48"/>
      <c r="U908" s="4"/>
      <c r="V908" s="4"/>
      <c r="W908" s="4"/>
      <c r="X908" s="689"/>
      <c r="Y908" s="576">
        <f>SUM(F908:X914)</f>
        <v>800.08</v>
      </c>
      <c r="Z908" s="464">
        <f>B908</f>
        <v>45784</v>
      </c>
    </row>
    <row r="909" spans="2:26" ht="16" thickBot="1" x14ac:dyDescent="0.25">
      <c r="B909" s="570" t="s">
        <v>22</v>
      </c>
      <c r="C909" s="572"/>
      <c r="D909" s="4"/>
      <c r="E909" s="4"/>
      <c r="F909" s="4"/>
      <c r="G909" s="4"/>
      <c r="H909" s="4"/>
      <c r="I909" s="4"/>
      <c r="J909" s="149"/>
      <c r="K909" s="4"/>
      <c r="L909" s="4"/>
      <c r="M909" s="4"/>
      <c r="N909" s="4"/>
      <c r="O909" s="4"/>
      <c r="P909" s="4"/>
      <c r="Q909" s="4"/>
      <c r="R909" s="4"/>
      <c r="S909" s="4"/>
      <c r="T909" s="148"/>
      <c r="U909" s="4"/>
      <c r="V909" s="4"/>
      <c r="W909" s="4"/>
      <c r="X909" s="142"/>
      <c r="Y909" s="638"/>
      <c r="Z909" s="464"/>
    </row>
    <row r="910" spans="2:26" ht="16" thickBot="1" x14ac:dyDescent="0.25">
      <c r="B910" s="570"/>
      <c r="C910" s="572"/>
      <c r="D910" s="4"/>
      <c r="E910" s="4"/>
      <c r="F910" s="4"/>
      <c r="G910" s="4"/>
      <c r="H910" s="4"/>
      <c r="I910" s="4"/>
      <c r="J910" s="149"/>
      <c r="K910" s="4"/>
      <c r="L910" s="4"/>
      <c r="M910" s="4"/>
      <c r="N910" s="4"/>
      <c r="O910" s="4"/>
      <c r="P910" s="4"/>
      <c r="Q910" s="4"/>
      <c r="R910" s="4"/>
      <c r="S910" s="4"/>
      <c r="T910" s="148"/>
      <c r="U910" s="4"/>
      <c r="V910" s="4"/>
      <c r="W910" s="4"/>
      <c r="X910" s="142"/>
      <c r="Y910" s="638"/>
      <c r="Z910" s="464"/>
    </row>
    <row r="911" spans="2:26" ht="16" thickBot="1" x14ac:dyDescent="0.25">
      <c r="B911" s="570"/>
      <c r="C911" s="572"/>
      <c r="D911" s="4"/>
      <c r="E911" s="4"/>
      <c r="F911" s="4"/>
      <c r="G911" s="4"/>
      <c r="H911" s="4"/>
      <c r="I911" s="4"/>
      <c r="J911" s="149"/>
      <c r="K911" s="4"/>
      <c r="L911" s="4"/>
      <c r="M911" s="4"/>
      <c r="N911" s="4"/>
      <c r="O911" s="4"/>
      <c r="P911" s="4"/>
      <c r="Q911" s="4"/>
      <c r="R911" s="4"/>
      <c r="S911" s="4"/>
      <c r="T911" s="148"/>
      <c r="U911" s="4"/>
      <c r="V911" s="4"/>
      <c r="W911" s="4"/>
      <c r="X911" s="142"/>
      <c r="Y911" s="638"/>
      <c r="Z911" s="464"/>
    </row>
    <row r="912" spans="2:26" ht="16" thickBot="1" x14ac:dyDescent="0.25">
      <c r="B912" s="570"/>
      <c r="C912" s="572"/>
      <c r="D912" s="4"/>
      <c r="E912" s="4"/>
      <c r="F912" s="4"/>
      <c r="G912" s="4"/>
      <c r="H912" s="4"/>
      <c r="I912" s="4"/>
      <c r="J912" s="149"/>
      <c r="K912" s="4"/>
      <c r="L912" s="4"/>
      <c r="M912" s="4"/>
      <c r="N912" s="4"/>
      <c r="O912" s="4"/>
      <c r="P912" s="4"/>
      <c r="Q912" s="4"/>
      <c r="R912" s="4"/>
      <c r="S912" s="4"/>
      <c r="T912" s="148"/>
      <c r="U912" s="4"/>
      <c r="V912" s="4"/>
      <c r="W912" s="4"/>
      <c r="X912" s="142"/>
      <c r="Y912" s="638"/>
      <c r="Z912" s="464"/>
    </row>
    <row r="913" spans="2:26" ht="16" thickBot="1" x14ac:dyDescent="0.25">
      <c r="B913" s="570"/>
      <c r="C913" s="572"/>
      <c r="D913" s="4"/>
      <c r="E913" s="4"/>
      <c r="F913" s="4"/>
      <c r="G913" s="4"/>
      <c r="H913" s="4"/>
      <c r="I913" s="4"/>
      <c r="J913" s="149"/>
      <c r="K913" s="4"/>
      <c r="L913" s="4"/>
      <c r="M913" s="4"/>
      <c r="N913" s="4"/>
      <c r="O913" s="4"/>
      <c r="P913" s="4"/>
      <c r="Q913" s="4"/>
      <c r="R913" s="4"/>
      <c r="S913" s="4"/>
      <c r="T913" s="148"/>
      <c r="U913" s="4"/>
      <c r="V913" s="4"/>
      <c r="W913" s="4"/>
      <c r="X913" s="142"/>
      <c r="Y913" s="638"/>
      <c r="Z913" s="464"/>
    </row>
    <row r="914" spans="2:26" ht="16" thickBot="1" x14ac:dyDescent="0.25">
      <c r="B914" s="197"/>
      <c r="C914" s="257"/>
      <c r="D914" s="171">
        <f>SUM(D908:D913)</f>
        <v>0</v>
      </c>
      <c r="E914" s="171">
        <f>SUM(E908:E913)</f>
        <v>0</v>
      </c>
      <c r="F914" s="245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72"/>
      <c r="Y914" s="241"/>
      <c r="Z914" s="465"/>
    </row>
    <row r="915" spans="2:26" ht="16" thickBot="1" x14ac:dyDescent="0.25">
      <c r="B915" s="196">
        <v>45785</v>
      </c>
      <c r="C915" s="207"/>
      <c r="D915" s="8"/>
      <c r="E915" s="146"/>
      <c r="F915" s="146">
        <v>700</v>
      </c>
      <c r="G915" s="146">
        <v>500</v>
      </c>
      <c r="H915" s="146"/>
      <c r="I915" s="246"/>
      <c r="J915" s="146"/>
      <c r="K915" s="146"/>
      <c r="L915" s="146">
        <v>6519.62</v>
      </c>
      <c r="M915" s="146"/>
      <c r="N915" s="146"/>
      <c r="O915" s="146"/>
      <c r="P915" s="146"/>
      <c r="Q915" s="8">
        <v>667.86</v>
      </c>
      <c r="R915" s="8"/>
      <c r="S915" s="146"/>
      <c r="T915" s="204"/>
      <c r="U915" s="146"/>
      <c r="V915" s="146"/>
      <c r="W915" s="146"/>
      <c r="X915" s="247"/>
      <c r="Y915" s="171">
        <f>SUM(F915:W922)</f>
        <v>8387.48</v>
      </c>
      <c r="Z915" s="196">
        <f>B915</f>
        <v>45785</v>
      </c>
    </row>
    <row r="916" spans="2:26" ht="16" thickBot="1" x14ac:dyDescent="0.25">
      <c r="B916" s="196" t="s">
        <v>23</v>
      </c>
      <c r="C916" s="7"/>
      <c r="D916" s="4"/>
      <c r="E916" s="146"/>
      <c r="F916" s="146"/>
      <c r="G916" s="146"/>
      <c r="H916" s="146"/>
      <c r="I916" s="463"/>
      <c r="J916" s="146"/>
      <c r="K916" s="146"/>
      <c r="L916" s="146"/>
      <c r="M916" s="146"/>
      <c r="N916" s="146"/>
      <c r="O916" s="146"/>
      <c r="P916" s="146"/>
      <c r="Q916" s="4"/>
      <c r="R916" s="4"/>
      <c r="S916" s="146"/>
      <c r="T916" s="204"/>
      <c r="U916" s="146"/>
      <c r="V916" s="146"/>
      <c r="W916" s="146"/>
      <c r="X916" s="247"/>
      <c r="Y916" s="240"/>
      <c r="Z916" s="196"/>
    </row>
    <row r="917" spans="2:26" ht="16" thickBot="1" x14ac:dyDescent="0.25">
      <c r="B917" s="196"/>
      <c r="C917" s="7"/>
      <c r="D917" s="4"/>
      <c r="E917" s="146"/>
      <c r="F917" s="146"/>
      <c r="G917" s="146"/>
      <c r="H917" s="146"/>
      <c r="I917" s="463"/>
      <c r="J917" s="146"/>
      <c r="K917" s="146"/>
      <c r="L917" s="146"/>
      <c r="M917" s="146"/>
      <c r="N917" s="146"/>
      <c r="O917" s="146"/>
      <c r="P917" s="146"/>
      <c r="Q917" s="4"/>
      <c r="R917" s="4"/>
      <c r="S917" s="146"/>
      <c r="T917" s="204"/>
      <c r="U917" s="146"/>
      <c r="V917" s="146"/>
      <c r="W917" s="146"/>
      <c r="X917" s="247"/>
      <c r="Y917" s="4"/>
      <c r="Z917" s="464"/>
    </row>
    <row r="918" spans="2:26" ht="16" thickBot="1" x14ac:dyDescent="0.25">
      <c r="B918" s="196"/>
      <c r="C918" s="7"/>
      <c r="D918" s="4"/>
      <c r="E918" s="146"/>
      <c r="F918" s="146"/>
      <c r="G918" s="146"/>
      <c r="H918" s="146"/>
      <c r="I918" s="463"/>
      <c r="J918" s="146"/>
      <c r="K918" s="146"/>
      <c r="L918" s="146"/>
      <c r="M918" s="146"/>
      <c r="N918" s="146"/>
      <c r="O918" s="146"/>
      <c r="P918" s="146"/>
      <c r="Q918" s="4"/>
      <c r="R918" s="4"/>
      <c r="S918" s="146"/>
      <c r="T918" s="204"/>
      <c r="U918" s="146"/>
      <c r="V918" s="146"/>
      <c r="W918" s="146"/>
      <c r="X918" s="247"/>
      <c r="Y918" s="4"/>
      <c r="Z918" s="464"/>
    </row>
    <row r="919" spans="2:26" ht="16" thickBot="1" x14ac:dyDescent="0.25">
      <c r="B919" s="198"/>
      <c r="C919" s="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150"/>
      <c r="Y919" s="4"/>
      <c r="Z919" s="465" t="s">
        <v>23</v>
      </c>
    </row>
    <row r="920" spans="2:26" ht="16" thickBot="1" x14ac:dyDescent="0.25">
      <c r="B920" s="476"/>
      <c r="C920" s="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150"/>
      <c r="Y920" s="10"/>
      <c r="Z920" s="465"/>
    </row>
    <row r="921" spans="2:26" ht="16" thickBot="1" x14ac:dyDescent="0.25">
      <c r="B921" s="476"/>
      <c r="C921" s="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150"/>
      <c r="Y921" s="10"/>
      <c r="Z921" s="465"/>
    </row>
    <row r="922" spans="2:26" ht="16" thickBot="1" x14ac:dyDescent="0.25">
      <c r="B922" s="197"/>
      <c r="C922" s="249"/>
      <c r="D922" s="171">
        <f>SUM(D915:D921)</f>
        <v>0</v>
      </c>
      <c r="E922" s="171">
        <f>SUM(E915:E921)</f>
        <v>0</v>
      </c>
      <c r="F922" s="252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250"/>
      <c r="Y922" s="251"/>
      <c r="Z922" s="198"/>
    </row>
    <row r="923" spans="2:26" ht="16" thickBot="1" x14ac:dyDescent="0.25">
      <c r="B923" s="556">
        <v>45786</v>
      </c>
      <c r="C923" s="557"/>
      <c r="D923" s="558"/>
      <c r="E923" s="558"/>
      <c r="F923" s="146"/>
      <c r="G923" s="146"/>
      <c r="H923" s="146"/>
      <c r="I923" s="246"/>
      <c r="J923" s="146"/>
      <c r="K923" s="146"/>
      <c r="L923" s="146"/>
      <c r="M923" s="146"/>
      <c r="N923" s="146"/>
      <c r="O923" s="146"/>
      <c r="P923" s="146"/>
      <c r="Q923" s="8"/>
      <c r="R923" s="8"/>
      <c r="S923" s="146"/>
      <c r="T923" s="204"/>
      <c r="U923" s="146"/>
      <c r="V923" s="146"/>
      <c r="W923" s="146"/>
      <c r="X923" s="247"/>
      <c r="Y923" s="559">
        <f>SUM(F923:W927)</f>
        <v>0</v>
      </c>
      <c r="Z923" s="560">
        <f>B923</f>
        <v>45786</v>
      </c>
    </row>
    <row r="924" spans="2:26" ht="16" thickBot="1" x14ac:dyDescent="0.25">
      <c r="B924" s="206" t="s">
        <v>24</v>
      </c>
      <c r="C924" s="6"/>
      <c r="D924" s="146"/>
      <c r="E924" s="146"/>
      <c r="F924" s="14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150"/>
      <c r="Y924" s="639"/>
      <c r="Z924" s="196"/>
    </row>
    <row r="925" spans="2:26" ht="16" thickBot="1" x14ac:dyDescent="0.25">
      <c r="B925" s="206"/>
      <c r="C925" s="6"/>
      <c r="D925" s="146"/>
      <c r="E925" s="146"/>
      <c r="F925" s="146"/>
      <c r="G925" s="146"/>
      <c r="H925" s="146"/>
      <c r="I925" s="639"/>
      <c r="J925" s="146"/>
      <c r="K925" s="146"/>
      <c r="L925" s="146"/>
      <c r="M925" s="146"/>
      <c r="N925" s="146"/>
      <c r="O925" s="146"/>
      <c r="P925" s="146"/>
      <c r="Q925" s="8"/>
      <c r="R925" s="8"/>
      <c r="S925" s="146"/>
      <c r="T925" s="146"/>
      <c r="U925" s="146"/>
      <c r="V925" s="146"/>
      <c r="W925" s="146"/>
      <c r="X925" s="709"/>
      <c r="Y925" s="639"/>
      <c r="Z925" s="196"/>
    </row>
    <row r="926" spans="2:26" ht="16" thickBot="1" x14ac:dyDescent="0.25">
      <c r="B926" s="206"/>
      <c r="C926" s="6"/>
      <c r="D926" s="146"/>
      <c r="E926" s="146"/>
      <c r="F926" s="146"/>
      <c r="G926" s="146"/>
      <c r="H926" s="146"/>
      <c r="I926" s="246"/>
      <c r="J926" s="146"/>
      <c r="K926" s="146"/>
      <c r="L926" s="146"/>
      <c r="M926" s="146"/>
      <c r="N926" s="146"/>
      <c r="O926" s="146"/>
      <c r="P926" s="146"/>
      <c r="Q926" s="8"/>
      <c r="R926" s="8"/>
      <c r="S926" s="146"/>
      <c r="T926" s="204"/>
      <c r="U926" s="146"/>
      <c r="V926" s="146"/>
      <c r="W926" s="146"/>
      <c r="X926" s="247"/>
      <c r="Y926" s="639"/>
      <c r="Z926" s="196"/>
    </row>
    <row r="927" spans="2:26" ht="16" thickBot="1" x14ac:dyDescent="0.25">
      <c r="B927" s="197"/>
      <c r="C927" s="137"/>
      <c r="D927" s="1">
        <f>SUM(D923:D926)</f>
        <v>0</v>
      </c>
      <c r="E927" s="1">
        <f>SUM(E923:E926)</f>
        <v>0</v>
      </c>
      <c r="F927" s="2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250"/>
      <c r="Y927" s="251"/>
      <c r="Z927" s="198"/>
    </row>
    <row r="928" spans="2:26" ht="16" thickBot="1" x14ac:dyDescent="0.25">
      <c r="B928" s="127">
        <v>45787</v>
      </c>
      <c r="C928" s="6"/>
      <c r="D928" s="146"/>
      <c r="E928" s="146"/>
      <c r="F928" s="146"/>
      <c r="G928" s="146"/>
      <c r="H928" s="146"/>
      <c r="I928" s="246"/>
      <c r="J928" s="146"/>
      <c r="K928" s="146"/>
      <c r="L928" s="146"/>
      <c r="M928" s="146"/>
      <c r="N928" s="146"/>
      <c r="O928" s="146"/>
      <c r="P928" s="146"/>
      <c r="Q928" s="8"/>
      <c r="R928" s="8"/>
      <c r="S928" s="146"/>
      <c r="T928" s="204"/>
      <c r="U928" s="146"/>
      <c r="V928" s="146"/>
      <c r="W928" s="146"/>
      <c r="X928" s="247"/>
      <c r="Y928" s="171">
        <f>SUM(F928:W934)</f>
        <v>0</v>
      </c>
      <c r="Z928" s="196">
        <f>B928</f>
        <v>45787</v>
      </c>
    </row>
    <row r="929" spans="2:26" ht="16" thickBot="1" x14ac:dyDescent="0.25">
      <c r="B929" s="548" t="s">
        <v>25</v>
      </c>
      <c r="C929" s="6"/>
      <c r="D929" s="4"/>
      <c r="E929" s="4"/>
      <c r="F929" s="14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150"/>
      <c r="Y929" s="639"/>
      <c r="Z929" s="196" t="s">
        <v>25</v>
      </c>
    </row>
    <row r="930" spans="2:26" ht="16" thickBot="1" x14ac:dyDescent="0.25">
      <c r="B930" s="208"/>
      <c r="C930" s="6"/>
      <c r="D930" s="4"/>
      <c r="E930" s="4"/>
      <c r="F930" s="14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150"/>
      <c r="Y930" s="639"/>
      <c r="Z930" s="196"/>
    </row>
    <row r="931" spans="2:26" ht="16" thickBot="1" x14ac:dyDescent="0.25">
      <c r="B931" s="208"/>
      <c r="C931" s="6"/>
      <c r="D931" s="4"/>
      <c r="E931" s="4"/>
      <c r="F931" s="14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150"/>
      <c r="Y931" s="639"/>
      <c r="Z931" s="196"/>
    </row>
    <row r="932" spans="2:26" ht="16" thickBot="1" x14ac:dyDescent="0.25">
      <c r="B932" s="208"/>
      <c r="C932" s="6"/>
      <c r="D932" s="4"/>
      <c r="E932" s="4"/>
      <c r="F932" s="14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150"/>
      <c r="Y932" s="639"/>
      <c r="Z932" s="196"/>
    </row>
    <row r="933" spans="2:26" ht="16" thickBot="1" x14ac:dyDescent="0.25">
      <c r="B933" s="199"/>
      <c r="C933" s="7"/>
      <c r="D933" s="143"/>
      <c r="E933" s="14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48"/>
      <c r="U933" s="4"/>
      <c r="V933" s="4"/>
      <c r="W933" s="4"/>
      <c r="X933" s="150"/>
      <c r="Y933" s="10"/>
      <c r="Z933" s="196"/>
    </row>
    <row r="934" spans="2:26" ht="16" thickBot="1" x14ac:dyDescent="0.25">
      <c r="B934" s="198"/>
      <c r="C934" s="137"/>
      <c r="D934" s="9">
        <f>SUM(D928:D933)</f>
        <v>0</v>
      </c>
      <c r="E934" s="9">
        <f>SUM(E928:E933)</f>
        <v>0</v>
      </c>
      <c r="F934" s="245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254"/>
      <c r="R934" s="144"/>
      <c r="S934" s="144"/>
      <c r="T934" s="144"/>
      <c r="U934" s="144"/>
      <c r="V934" s="144"/>
      <c r="W934" s="144"/>
      <c r="X934" s="172"/>
      <c r="Y934" s="11"/>
      <c r="Z934" s="198"/>
    </row>
    <row r="935" spans="2:26" ht="16" thickBot="1" x14ac:dyDescent="0.25">
      <c r="B935" s="196">
        <v>45788</v>
      </c>
      <c r="C935" s="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253"/>
      <c r="R935" s="253"/>
      <c r="S935" s="146"/>
      <c r="T935" s="204"/>
      <c r="U935" s="146"/>
      <c r="V935" s="146"/>
      <c r="W935" s="146"/>
      <c r="X935" s="182"/>
      <c r="Y935" s="1">
        <f>SUM(F935:W938)</f>
        <v>0</v>
      </c>
      <c r="Z935" s="196">
        <f>B935</f>
        <v>45788</v>
      </c>
    </row>
    <row r="936" spans="2:26" ht="16" thickBot="1" x14ac:dyDescent="0.25">
      <c r="B936" s="198" t="s">
        <v>26</v>
      </c>
      <c r="C936" s="5"/>
      <c r="D936" s="4"/>
      <c r="E936" s="4"/>
      <c r="F936" s="4"/>
      <c r="G936" s="15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150"/>
      <c r="Y936" s="12"/>
      <c r="Z936" s="198" t="s">
        <v>26</v>
      </c>
    </row>
    <row r="937" spans="2:26" ht="16" thickBot="1" x14ac:dyDescent="0.25">
      <c r="B937" s="268"/>
      <c r="C937" s="152"/>
      <c r="D937" s="143"/>
      <c r="E937" s="14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150"/>
      <c r="Y937" s="10"/>
      <c r="Z937" s="268"/>
    </row>
    <row r="938" spans="2:26" ht="16" thickBot="1" x14ac:dyDescent="0.25">
      <c r="B938" s="267"/>
      <c r="C938" s="255"/>
      <c r="D938" s="1">
        <f>SUM(D935:D937)</f>
        <v>0</v>
      </c>
      <c r="E938" s="1">
        <f>SUM(E935:E937)</f>
        <v>0</v>
      </c>
      <c r="F938" s="245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72"/>
      <c r="Y938" s="248"/>
      <c r="Z938" s="268"/>
    </row>
    <row r="939" spans="2:26" x14ac:dyDescent="0.2">
      <c r="B939" s="101"/>
      <c r="C939" s="243"/>
      <c r="D939" s="242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8"/>
      <c r="Z939" s="130"/>
    </row>
    <row r="940" spans="2:26" ht="16" thickBot="1" x14ac:dyDescent="0.25">
      <c r="B940" s="101"/>
      <c r="C940" s="243"/>
      <c r="D940" s="189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2"/>
      <c r="Z940" s="128"/>
    </row>
    <row r="941" spans="2:26" ht="16" thickBot="1" x14ac:dyDescent="0.25">
      <c r="B941" s="101"/>
      <c r="C941" s="101"/>
      <c r="D941" s="105">
        <f>SUM(D938,D934,D927,D922,D914,D907,D901)</f>
        <v>0</v>
      </c>
      <c r="E941" s="105">
        <f>SUM(E938,E934,E927,E922,E914,E907,E901)</f>
        <v>0</v>
      </c>
      <c r="F941" s="104">
        <f t="shared" ref="F941:S941" si="18">SUM(F897:F940)</f>
        <v>700</v>
      </c>
      <c r="G941" s="103">
        <f t="shared" si="18"/>
        <v>4254.53</v>
      </c>
      <c r="H941" s="103">
        <f t="shared" si="18"/>
        <v>0</v>
      </c>
      <c r="I941" s="103">
        <f t="shared" si="18"/>
        <v>0</v>
      </c>
      <c r="J941" s="103">
        <f t="shared" si="18"/>
        <v>0</v>
      </c>
      <c r="K941" s="103">
        <f t="shared" si="18"/>
        <v>0</v>
      </c>
      <c r="L941" s="103">
        <f t="shared" si="18"/>
        <v>20959.72</v>
      </c>
      <c r="M941" s="103">
        <f t="shared" si="18"/>
        <v>0</v>
      </c>
      <c r="N941" s="103">
        <f t="shared" si="18"/>
        <v>0</v>
      </c>
      <c r="O941" s="103">
        <f t="shared" si="18"/>
        <v>0</v>
      </c>
      <c r="P941" s="103">
        <f t="shared" si="18"/>
        <v>0</v>
      </c>
      <c r="Q941" s="103">
        <f t="shared" si="18"/>
        <v>1267.76</v>
      </c>
      <c r="R941" s="103">
        <f t="shared" si="18"/>
        <v>0</v>
      </c>
      <c r="S941" s="103">
        <f t="shared" si="18"/>
        <v>0</v>
      </c>
      <c r="T941" s="103"/>
      <c r="U941" s="103">
        <f>SUM(U901:U940)</f>
        <v>0</v>
      </c>
      <c r="V941" s="103">
        <f>SUM(V897:V940)</f>
        <v>0</v>
      </c>
      <c r="W941" s="103">
        <f>SUM(W897:W940)</f>
        <v>857</v>
      </c>
      <c r="X941" s="153"/>
      <c r="Y941" s="155">
        <f>SUM(Y897:Y938)</f>
        <v>28039.010000000002</v>
      </c>
      <c r="Z941" s="129"/>
    </row>
    <row r="942" spans="2:26" ht="27" thickBot="1" x14ac:dyDescent="0.25">
      <c r="B942" s="101"/>
      <c r="C942" s="154" t="s">
        <v>0</v>
      </c>
      <c r="D942" s="154" t="s">
        <v>1</v>
      </c>
      <c r="E942" s="154" t="s">
        <v>2</v>
      </c>
      <c r="F942" s="154" t="s">
        <v>3</v>
      </c>
      <c r="G942" s="154" t="s">
        <v>4</v>
      </c>
      <c r="H942" s="154" t="s">
        <v>5</v>
      </c>
      <c r="I942" s="154" t="s">
        <v>6</v>
      </c>
      <c r="J942" s="154" t="s">
        <v>7</v>
      </c>
      <c r="K942" s="154" t="s">
        <v>8</v>
      </c>
      <c r="L942" s="154" t="s">
        <v>9</v>
      </c>
      <c r="M942" s="154" t="s">
        <v>309</v>
      </c>
      <c r="N942" s="154" t="s">
        <v>11</v>
      </c>
      <c r="O942" s="154" t="s">
        <v>12</v>
      </c>
      <c r="P942" s="154" t="s">
        <v>13</v>
      </c>
      <c r="Q942" s="154" t="s">
        <v>14</v>
      </c>
      <c r="R942" s="154" t="s">
        <v>15</v>
      </c>
      <c r="S942" s="154" t="s">
        <v>311</v>
      </c>
      <c r="T942" s="154" t="s">
        <v>16</v>
      </c>
      <c r="U942" s="154" t="s">
        <v>403</v>
      </c>
      <c r="V942" s="154" t="s">
        <v>17</v>
      </c>
      <c r="W942" s="154" t="s">
        <v>18</v>
      </c>
      <c r="X942" s="154"/>
      <c r="Y942" s="154" t="s">
        <v>19</v>
      </c>
      <c r="Z942" s="126"/>
    </row>
    <row r="943" spans="2:26" ht="16" thickBot="1" x14ac:dyDescent="0.25">
      <c r="B943" s="101"/>
      <c r="C943" s="101"/>
      <c r="D943" s="101"/>
      <c r="E943" s="727" t="str">
        <f>M943</f>
        <v>5 - 11 MAY 2025</v>
      </c>
      <c r="F943" s="719"/>
      <c r="G943" s="719"/>
      <c r="H943" s="720"/>
      <c r="I943" s="101"/>
      <c r="J943" s="101"/>
      <c r="K943" s="101"/>
      <c r="L943" s="101"/>
      <c r="M943" s="727" t="str">
        <f>V943</f>
        <v>5 - 11 MAY 2025</v>
      </c>
      <c r="N943" s="719"/>
      <c r="O943" s="719"/>
      <c r="P943" s="720"/>
      <c r="Q943" s="101"/>
      <c r="R943" s="101"/>
      <c r="S943" s="101"/>
      <c r="T943" s="101"/>
      <c r="U943" s="101"/>
      <c r="V943" s="727" t="str">
        <f>V895</f>
        <v>5 - 11 MAY 2025</v>
      </c>
      <c r="W943" s="719"/>
      <c r="X943" s="719"/>
      <c r="Y943" s="720"/>
      <c r="Z943" s="101"/>
    </row>
    <row r="944" spans="2:26" ht="16" thickBot="1" x14ac:dyDescent="0.25"/>
    <row r="945" spans="2:26" ht="16" thickBot="1" x14ac:dyDescent="0.25">
      <c r="E945" s="718" t="s">
        <v>955</v>
      </c>
      <c r="F945" s="719"/>
      <c r="G945" s="719"/>
      <c r="H945" s="720"/>
      <c r="K945" s="106"/>
      <c r="L945" s="106"/>
      <c r="M945" s="721" t="str">
        <f>E945</f>
        <v>7 - 13 april 2025</v>
      </c>
      <c r="N945" s="722"/>
      <c r="O945" s="722"/>
      <c r="P945" s="723"/>
      <c r="Q945" s="106"/>
      <c r="R945" s="106"/>
      <c r="S945" s="106"/>
      <c r="T945" s="106"/>
      <c r="U945" s="106"/>
      <c r="V945" s="724" t="str">
        <f>M945</f>
        <v>7 - 13 april 2025</v>
      </c>
      <c r="W945" s="725"/>
      <c r="X945" s="725"/>
      <c r="Y945" s="726"/>
      <c r="Z945" s="106"/>
    </row>
    <row r="946" spans="2:26" ht="27" thickBot="1" x14ac:dyDescent="0.25">
      <c r="C946" s="126" t="s">
        <v>0</v>
      </c>
      <c r="D946" s="135" t="s">
        <v>1</v>
      </c>
      <c r="E946" s="258" t="s">
        <v>2</v>
      </c>
      <c r="F946" s="259" t="s">
        <v>3</v>
      </c>
      <c r="G946" s="260" t="s">
        <v>4</v>
      </c>
      <c r="H946" s="261" t="s">
        <v>5</v>
      </c>
      <c r="I946" s="262" t="s">
        <v>6</v>
      </c>
      <c r="J946" s="262" t="s">
        <v>7</v>
      </c>
      <c r="K946" s="262" t="s">
        <v>8</v>
      </c>
      <c r="L946" s="262" t="s">
        <v>9</v>
      </c>
      <c r="M946" s="262" t="s">
        <v>10</v>
      </c>
      <c r="N946" s="262" t="s">
        <v>11</v>
      </c>
      <c r="O946" s="262" t="s">
        <v>12</v>
      </c>
      <c r="P946" s="262" t="s">
        <v>13</v>
      </c>
      <c r="Q946" s="262" t="s">
        <v>14</v>
      </c>
      <c r="R946" s="262" t="s">
        <v>15</v>
      </c>
      <c r="S946" s="262" t="s">
        <v>311</v>
      </c>
      <c r="T946" s="262" t="s">
        <v>16</v>
      </c>
      <c r="U946" s="154" t="s">
        <v>403</v>
      </c>
      <c r="V946" s="263" t="s">
        <v>17</v>
      </c>
      <c r="W946" s="263" t="s">
        <v>18</v>
      </c>
      <c r="X946" s="264"/>
      <c r="Y946" s="265" t="s">
        <v>19</v>
      </c>
      <c r="Z946" s="266"/>
    </row>
    <row r="947" spans="2:26" ht="16" thickBot="1" x14ac:dyDescent="0.25">
      <c r="B947" s="196">
        <v>45754</v>
      </c>
      <c r="C947" s="136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40"/>
      <c r="U947" s="139"/>
      <c r="V947" s="139"/>
      <c r="W947" s="139"/>
      <c r="X947" s="141"/>
      <c r="Y947" s="239">
        <f>SUM(F947:X951)</f>
        <v>0</v>
      </c>
      <c r="Z947" s="269">
        <f>B947</f>
        <v>45754</v>
      </c>
    </row>
    <row r="948" spans="2:26" ht="16" thickBot="1" x14ac:dyDescent="0.25">
      <c r="B948" s="196" t="s">
        <v>20</v>
      </c>
      <c r="C948" s="203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204"/>
      <c r="U948" s="146"/>
      <c r="V948" s="146"/>
      <c r="W948" s="146"/>
      <c r="X948" s="182"/>
      <c r="Y948" s="191"/>
      <c r="Z948" s="196" t="s">
        <v>20</v>
      </c>
    </row>
    <row r="949" spans="2:26" ht="16" thickBot="1" x14ac:dyDescent="0.25">
      <c r="B949" s="196"/>
      <c r="C949" s="203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204"/>
      <c r="U949" s="146"/>
      <c r="V949" s="146"/>
      <c r="W949" s="146"/>
      <c r="X949" s="182"/>
      <c r="Y949" s="191"/>
      <c r="Z949" s="196"/>
    </row>
    <row r="950" spans="2:26" ht="16" thickBot="1" x14ac:dyDescent="0.25">
      <c r="B950" s="206"/>
      <c r="C950" s="632"/>
      <c r="D950" s="4"/>
      <c r="E950" s="4"/>
      <c r="F950" s="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633"/>
      <c r="U950" s="8"/>
      <c r="V950" s="8"/>
      <c r="W950" s="8"/>
      <c r="X950" s="634"/>
      <c r="Y950" s="635"/>
      <c r="Z950" s="196"/>
    </row>
    <row r="951" spans="2:26" ht="16" thickBot="1" x14ac:dyDescent="0.25">
      <c r="B951" s="197"/>
      <c r="C951" s="137"/>
      <c r="D951" s="171">
        <f>SUM(D947:D949)</f>
        <v>0</v>
      </c>
      <c r="E951" s="658">
        <f>SUM(E947:E949)</f>
        <v>0</v>
      </c>
      <c r="F951" s="659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5"/>
      <c r="Y951" s="138"/>
      <c r="Z951" s="198"/>
    </row>
    <row r="952" spans="2:26" ht="16" thickBot="1" x14ac:dyDescent="0.25">
      <c r="B952" s="196">
        <v>45755</v>
      </c>
      <c r="C952" s="6"/>
      <c r="D952" s="146"/>
      <c r="E952" s="146"/>
      <c r="F952" s="139"/>
      <c r="G952" s="139"/>
      <c r="H952" s="139"/>
      <c r="I952" s="139"/>
      <c r="J952" s="574"/>
      <c r="K952" s="139"/>
      <c r="L952" s="139"/>
      <c r="M952" s="139"/>
      <c r="N952" s="139"/>
      <c r="O952" s="139"/>
      <c r="P952" s="139"/>
      <c r="Q952" s="139"/>
      <c r="R952" s="139"/>
      <c r="S952" s="139"/>
      <c r="T952" s="140"/>
      <c r="U952" s="139"/>
      <c r="V952" s="139"/>
      <c r="W952" s="139"/>
      <c r="X952" s="575"/>
      <c r="Y952" s="238">
        <f>SUM(F952:W957)</f>
        <v>0</v>
      </c>
      <c r="Z952" s="196">
        <f>B952</f>
        <v>45755</v>
      </c>
    </row>
    <row r="953" spans="2:26" ht="16" thickBot="1" x14ac:dyDescent="0.25">
      <c r="B953" s="196" t="s">
        <v>21</v>
      </c>
      <c r="C953" s="6"/>
      <c r="D953" s="146"/>
      <c r="E953" s="146"/>
      <c r="F953" s="4"/>
      <c r="G953" s="4"/>
      <c r="H953" s="4"/>
      <c r="I953" s="4"/>
      <c r="J953" s="149"/>
      <c r="K953" s="4"/>
      <c r="L953" s="4"/>
      <c r="M953" s="4"/>
      <c r="N953" s="4"/>
      <c r="O953" s="4"/>
      <c r="P953" s="4"/>
      <c r="Q953" s="4"/>
      <c r="R953" s="4"/>
      <c r="S953" s="4"/>
      <c r="T953" s="148"/>
      <c r="U953" s="4"/>
      <c r="V953" s="4"/>
      <c r="W953" s="4"/>
      <c r="X953" s="142"/>
      <c r="Y953" s="191"/>
      <c r="Z953" s="196" t="s">
        <v>21</v>
      </c>
    </row>
    <row r="954" spans="2:26" ht="16" thickBot="1" x14ac:dyDescent="0.25">
      <c r="B954" s="196"/>
      <c r="C954" s="6"/>
      <c r="D954" s="4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78"/>
      <c r="U954" s="12"/>
      <c r="V954" s="12"/>
      <c r="W954" s="146"/>
      <c r="X954" s="147"/>
      <c r="Y954" s="191"/>
      <c r="Z954" s="196"/>
    </row>
    <row r="955" spans="2:26" ht="16" thickBot="1" x14ac:dyDescent="0.25">
      <c r="B955" s="662"/>
      <c r="C955" s="57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79"/>
      <c r="U955" s="4"/>
      <c r="V955" s="4"/>
      <c r="W955" s="4"/>
      <c r="X955" s="142"/>
      <c r="Y955" s="643"/>
      <c r="Z955" s="196"/>
    </row>
    <row r="956" spans="2:26" ht="16" thickBot="1" x14ac:dyDescent="0.25">
      <c r="B956" s="662"/>
      <c r="C956" s="57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79"/>
      <c r="U956" s="4"/>
      <c r="V956" s="4"/>
      <c r="W956" s="4"/>
      <c r="X956" s="142"/>
      <c r="Y956" s="643"/>
      <c r="Z956" s="196"/>
    </row>
    <row r="957" spans="2:26" ht="16" thickBot="1" x14ac:dyDescent="0.25">
      <c r="B957" s="476"/>
      <c r="C957" s="663"/>
      <c r="D957" s="664">
        <f>SUM(D952:D954)</f>
        <v>0</v>
      </c>
      <c r="E957" s="664">
        <f>SUM(E952:E954)</f>
        <v>0</v>
      </c>
      <c r="F957" s="66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642"/>
      <c r="U957" s="642"/>
      <c r="V957" s="642"/>
      <c r="W957" s="8"/>
      <c r="X957" s="666"/>
      <c r="Y957" s="571"/>
      <c r="Z957" s="198"/>
    </row>
    <row r="958" spans="2:26" ht="16" thickBot="1" x14ac:dyDescent="0.25">
      <c r="B958" s="570">
        <v>45756</v>
      </c>
      <c r="C958" s="573"/>
      <c r="D958" s="139"/>
      <c r="E958" s="139"/>
      <c r="F958" s="4"/>
      <c r="G958" s="4"/>
      <c r="H958" s="4"/>
      <c r="I958" s="68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48"/>
      <c r="U958" s="4"/>
      <c r="V958" s="4"/>
      <c r="W958" s="4"/>
      <c r="X958" s="689"/>
      <c r="Y958" s="576">
        <f>SUM(F958:X964)</f>
        <v>0</v>
      </c>
      <c r="Z958" s="464">
        <f>B958</f>
        <v>45756</v>
      </c>
    </row>
    <row r="959" spans="2:26" ht="16" thickBot="1" x14ac:dyDescent="0.25">
      <c r="B959" s="570" t="s">
        <v>22</v>
      </c>
      <c r="C959" s="572"/>
      <c r="D959" s="4"/>
      <c r="E959" s="4"/>
      <c r="F959" s="4"/>
      <c r="G959" s="4"/>
      <c r="H959" s="4"/>
      <c r="I959" s="4"/>
      <c r="J959" s="149"/>
      <c r="K959" s="4"/>
      <c r="L959" s="4"/>
      <c r="M959" s="4"/>
      <c r="N959" s="4"/>
      <c r="O959" s="4"/>
      <c r="P959" s="4"/>
      <c r="Q959" s="4"/>
      <c r="R959" s="4"/>
      <c r="S959" s="4"/>
      <c r="T959" s="148"/>
      <c r="U959" s="4"/>
      <c r="V959" s="4"/>
      <c r="W959" s="4"/>
      <c r="X959" s="142"/>
      <c r="Y959" s="638"/>
      <c r="Z959" s="464"/>
    </row>
    <row r="960" spans="2:26" ht="16" thickBot="1" x14ac:dyDescent="0.25">
      <c r="B960" s="570"/>
      <c r="C960" s="572"/>
      <c r="D960" s="4"/>
      <c r="E960" s="4"/>
      <c r="F960" s="4"/>
      <c r="G960" s="4"/>
      <c r="H960" s="4"/>
      <c r="I960" s="4"/>
      <c r="J960" s="149"/>
      <c r="K960" s="4"/>
      <c r="L960" s="4"/>
      <c r="M960" s="4"/>
      <c r="N960" s="4"/>
      <c r="O960" s="4"/>
      <c r="P960" s="4"/>
      <c r="Q960" s="4"/>
      <c r="R960" s="4"/>
      <c r="S960" s="4"/>
      <c r="T960" s="148"/>
      <c r="U960" s="4"/>
      <c r="V960" s="4"/>
      <c r="W960" s="4"/>
      <c r="X960" s="142"/>
      <c r="Y960" s="638"/>
      <c r="Z960" s="464"/>
    </row>
    <row r="961" spans="2:26" ht="16" thickBot="1" x14ac:dyDescent="0.25">
      <c r="B961" s="570"/>
      <c r="C961" s="572"/>
      <c r="D961" s="4"/>
      <c r="E961" s="4"/>
      <c r="F961" s="4"/>
      <c r="G961" s="4"/>
      <c r="H961" s="4"/>
      <c r="I961" s="4"/>
      <c r="J961" s="149"/>
      <c r="K961" s="4"/>
      <c r="L961" s="4"/>
      <c r="M961" s="4"/>
      <c r="N961" s="4"/>
      <c r="O961" s="4"/>
      <c r="P961" s="4"/>
      <c r="Q961" s="4"/>
      <c r="R961" s="4"/>
      <c r="S961" s="4"/>
      <c r="T961" s="148"/>
      <c r="U961" s="4"/>
      <c r="V961" s="4"/>
      <c r="W961" s="4"/>
      <c r="X961" s="142"/>
      <c r="Y961" s="638"/>
      <c r="Z961" s="464"/>
    </row>
    <row r="962" spans="2:26" ht="16" thickBot="1" x14ac:dyDescent="0.25">
      <c r="B962" s="570"/>
      <c r="C962" s="572"/>
      <c r="D962" s="4"/>
      <c r="E962" s="4"/>
      <c r="F962" s="4"/>
      <c r="G962" s="4"/>
      <c r="H962" s="4"/>
      <c r="I962" s="4"/>
      <c r="J962" s="149"/>
      <c r="K962" s="4"/>
      <c r="L962" s="4"/>
      <c r="M962" s="4"/>
      <c r="N962" s="4"/>
      <c r="O962" s="4"/>
      <c r="P962" s="4"/>
      <c r="Q962" s="4"/>
      <c r="R962" s="4"/>
      <c r="S962" s="4"/>
      <c r="T962" s="148"/>
      <c r="U962" s="4"/>
      <c r="V962" s="4"/>
      <c r="W962" s="4"/>
      <c r="X962" s="142"/>
      <c r="Y962" s="638"/>
      <c r="Z962" s="464"/>
    </row>
    <row r="963" spans="2:26" ht="16" thickBot="1" x14ac:dyDescent="0.25">
      <c r="B963" s="570"/>
      <c r="C963" s="572"/>
      <c r="D963" s="4"/>
      <c r="E963" s="4"/>
      <c r="F963" s="4"/>
      <c r="G963" s="4"/>
      <c r="H963" s="4"/>
      <c r="I963" s="4"/>
      <c r="J963" s="149"/>
      <c r="K963" s="4"/>
      <c r="L963" s="4"/>
      <c r="M963" s="4"/>
      <c r="N963" s="4"/>
      <c r="O963" s="4"/>
      <c r="P963" s="4"/>
      <c r="Q963" s="4"/>
      <c r="R963" s="4"/>
      <c r="S963" s="4"/>
      <c r="T963" s="148"/>
      <c r="U963" s="4"/>
      <c r="V963" s="4"/>
      <c r="W963" s="4"/>
      <c r="X963" s="142"/>
      <c r="Y963" s="638"/>
      <c r="Z963" s="464"/>
    </row>
    <row r="964" spans="2:26" ht="16" thickBot="1" x14ac:dyDescent="0.25">
      <c r="B964" s="197"/>
      <c r="C964" s="257"/>
      <c r="D964" s="171">
        <f>SUM(D958:D963)</f>
        <v>0</v>
      </c>
      <c r="E964" s="171">
        <f>SUM(E958:E963)</f>
        <v>0</v>
      </c>
      <c r="F964" s="245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72"/>
      <c r="Y964" s="241"/>
      <c r="Z964" s="465"/>
    </row>
    <row r="965" spans="2:26" ht="16" thickBot="1" x14ac:dyDescent="0.25">
      <c r="B965" s="196">
        <v>45757</v>
      </c>
      <c r="C965" s="207"/>
      <c r="D965" s="8"/>
      <c r="E965" s="146"/>
      <c r="F965" s="146"/>
      <c r="G965" s="146"/>
      <c r="H965" s="146"/>
      <c r="I965" s="246"/>
      <c r="J965" s="146"/>
      <c r="K965" s="146"/>
      <c r="L965" s="146"/>
      <c r="M965" s="146"/>
      <c r="N965" s="146"/>
      <c r="O965" s="146"/>
      <c r="P965" s="146"/>
      <c r="Q965" s="8"/>
      <c r="R965" s="8"/>
      <c r="S965" s="146"/>
      <c r="T965" s="204"/>
      <c r="U965" s="146"/>
      <c r="V965" s="146"/>
      <c r="W965" s="146"/>
      <c r="X965" s="247"/>
      <c r="Y965" s="171">
        <f>SUM(F965:W972)</f>
        <v>0</v>
      </c>
      <c r="Z965" s="196">
        <f>B965</f>
        <v>45757</v>
      </c>
    </row>
    <row r="966" spans="2:26" ht="16" thickBot="1" x14ac:dyDescent="0.25">
      <c r="B966" s="196" t="s">
        <v>23</v>
      </c>
      <c r="C966" s="7"/>
      <c r="D966" s="4"/>
      <c r="E966" s="146"/>
      <c r="F966" s="146"/>
      <c r="G966" s="146"/>
      <c r="H966" s="146"/>
      <c r="I966" s="463"/>
      <c r="J966" s="146"/>
      <c r="K966" s="146"/>
      <c r="L966" s="146"/>
      <c r="M966" s="146"/>
      <c r="N966" s="146"/>
      <c r="O966" s="146"/>
      <c r="P966" s="146"/>
      <c r="Q966" s="4"/>
      <c r="R966" s="4"/>
      <c r="S966" s="146"/>
      <c r="T966" s="204"/>
      <c r="U966" s="146"/>
      <c r="V966" s="146"/>
      <c r="W966" s="146"/>
      <c r="X966" s="247"/>
      <c r="Y966" s="240"/>
      <c r="Z966" s="196"/>
    </row>
    <row r="967" spans="2:26" ht="16" thickBot="1" x14ac:dyDescent="0.25">
      <c r="B967" s="196"/>
      <c r="C967" s="7"/>
      <c r="D967" s="4"/>
      <c r="E967" s="146"/>
      <c r="F967" s="146"/>
      <c r="G967" s="146"/>
      <c r="H967" s="146"/>
      <c r="I967" s="463"/>
      <c r="J967" s="146"/>
      <c r="K967" s="146"/>
      <c r="L967" s="146"/>
      <c r="M967" s="146"/>
      <c r="N967" s="146"/>
      <c r="O967" s="146"/>
      <c r="P967" s="146"/>
      <c r="Q967" s="4"/>
      <c r="R967" s="4"/>
      <c r="S967" s="146"/>
      <c r="T967" s="204"/>
      <c r="U967" s="146"/>
      <c r="V967" s="146"/>
      <c r="W967" s="146"/>
      <c r="X967" s="247"/>
      <c r="Y967" s="4"/>
      <c r="Z967" s="464"/>
    </row>
    <row r="968" spans="2:26" ht="16" thickBot="1" x14ac:dyDescent="0.25">
      <c r="B968" s="196"/>
      <c r="C968" s="7"/>
      <c r="D968" s="4"/>
      <c r="E968" s="146"/>
      <c r="F968" s="146"/>
      <c r="G968" s="146"/>
      <c r="H968" s="146"/>
      <c r="I968" s="463"/>
      <c r="J968" s="146"/>
      <c r="K968" s="146"/>
      <c r="L968" s="146"/>
      <c r="M968" s="146"/>
      <c r="N968" s="146"/>
      <c r="O968" s="146"/>
      <c r="P968" s="146"/>
      <c r="Q968" s="4"/>
      <c r="R968" s="4"/>
      <c r="S968" s="146"/>
      <c r="T968" s="204"/>
      <c r="U968" s="146"/>
      <c r="V968" s="146"/>
      <c r="W968" s="146"/>
      <c r="X968" s="247"/>
      <c r="Y968" s="4"/>
      <c r="Z968" s="464"/>
    </row>
    <row r="969" spans="2:26" ht="16" thickBot="1" x14ac:dyDescent="0.25">
      <c r="B969" s="198"/>
      <c r="C969" s="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150"/>
      <c r="Y969" s="4"/>
      <c r="Z969" s="465" t="s">
        <v>23</v>
      </c>
    </row>
    <row r="970" spans="2:26" ht="16" thickBot="1" x14ac:dyDescent="0.25">
      <c r="B970" s="476"/>
      <c r="C970" s="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150"/>
      <c r="Y970" s="10"/>
      <c r="Z970" s="465"/>
    </row>
    <row r="971" spans="2:26" ht="16" thickBot="1" x14ac:dyDescent="0.25">
      <c r="B971" s="476"/>
      <c r="C971" s="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150"/>
      <c r="Y971" s="10"/>
      <c r="Z971" s="465"/>
    </row>
    <row r="972" spans="2:26" ht="16" thickBot="1" x14ac:dyDescent="0.25">
      <c r="B972" s="197"/>
      <c r="C972" s="249"/>
      <c r="D972" s="171">
        <f>SUM(D965:D971)</f>
        <v>0</v>
      </c>
      <c r="E972" s="171">
        <f>SUM(E965:E971)</f>
        <v>0</v>
      </c>
      <c r="F972" s="252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250"/>
      <c r="Y972" s="251"/>
      <c r="Z972" s="198"/>
    </row>
    <row r="973" spans="2:26" ht="16" thickBot="1" x14ac:dyDescent="0.25">
      <c r="B973" s="556">
        <v>45758</v>
      </c>
      <c r="C973" s="557"/>
      <c r="D973" s="558"/>
      <c r="E973" s="558"/>
      <c r="F973" s="146"/>
      <c r="G973" s="146"/>
      <c r="H973" s="146"/>
      <c r="I973" s="246"/>
      <c r="J973" s="146"/>
      <c r="K973" s="146"/>
      <c r="L973" s="146"/>
      <c r="M973" s="146"/>
      <c r="N973" s="146"/>
      <c r="O973" s="146"/>
      <c r="P973" s="146"/>
      <c r="Q973" s="8"/>
      <c r="R973" s="8"/>
      <c r="S973" s="146"/>
      <c r="T973" s="204"/>
      <c r="U973" s="146"/>
      <c r="V973" s="146"/>
      <c r="W973" s="146"/>
      <c r="X973" s="247"/>
      <c r="Y973" s="559">
        <f>SUM(F973:W977)</f>
        <v>0</v>
      </c>
      <c r="Z973" s="560">
        <f>B973</f>
        <v>45758</v>
      </c>
    </row>
    <row r="974" spans="2:26" ht="16" thickBot="1" x14ac:dyDescent="0.25">
      <c r="B974" s="206" t="s">
        <v>24</v>
      </c>
      <c r="C974" s="6"/>
      <c r="D974" s="146"/>
      <c r="E974" s="146"/>
      <c r="F974" s="14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150"/>
      <c r="Y974" s="639"/>
      <c r="Z974" s="196"/>
    </row>
    <row r="975" spans="2:26" ht="16" thickBot="1" x14ac:dyDescent="0.25">
      <c r="B975" s="206"/>
      <c r="C975" s="6"/>
      <c r="D975" s="146"/>
      <c r="E975" s="146"/>
      <c r="F975" s="146"/>
      <c r="G975" s="146"/>
      <c r="H975" s="146"/>
      <c r="I975" s="639"/>
      <c r="J975" s="146"/>
      <c r="K975" s="146"/>
      <c r="L975" s="146"/>
      <c r="M975" s="146"/>
      <c r="N975" s="146"/>
      <c r="O975" s="146"/>
      <c r="P975" s="146"/>
      <c r="Q975" s="8"/>
      <c r="R975" s="8"/>
      <c r="S975" s="146"/>
      <c r="T975" s="146"/>
      <c r="U975" s="146"/>
      <c r="V975" s="146"/>
      <c r="W975" s="146"/>
      <c r="X975" s="709"/>
      <c r="Y975" s="639"/>
      <c r="Z975" s="196"/>
    </row>
    <row r="976" spans="2:26" ht="16" thickBot="1" x14ac:dyDescent="0.25">
      <c r="B976" s="206"/>
      <c r="C976" s="6"/>
      <c r="D976" s="146"/>
      <c r="E976" s="146"/>
      <c r="F976" s="146"/>
      <c r="G976" s="146"/>
      <c r="H976" s="146"/>
      <c r="I976" s="246"/>
      <c r="J976" s="146"/>
      <c r="K976" s="146"/>
      <c r="L976" s="146"/>
      <c r="M976" s="146"/>
      <c r="N976" s="146"/>
      <c r="O976" s="146"/>
      <c r="P976" s="146"/>
      <c r="Q976" s="8"/>
      <c r="R976" s="8"/>
      <c r="S976" s="146"/>
      <c r="T976" s="204"/>
      <c r="U976" s="146"/>
      <c r="V976" s="146"/>
      <c r="W976" s="146"/>
      <c r="X976" s="247"/>
      <c r="Y976" s="639"/>
      <c r="Z976" s="196"/>
    </row>
    <row r="977" spans="2:26" ht="16" thickBot="1" x14ac:dyDescent="0.25">
      <c r="B977" s="197"/>
      <c r="C977" s="137"/>
      <c r="D977" s="1">
        <f>SUM(D973:D976)</f>
        <v>0</v>
      </c>
      <c r="E977" s="1">
        <f>SUM(E973:E976)</f>
        <v>0</v>
      </c>
      <c r="F977" s="2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250"/>
      <c r="Y977" s="251"/>
      <c r="Z977" s="198"/>
    </row>
    <row r="978" spans="2:26" ht="16" thickBot="1" x14ac:dyDescent="0.25">
      <c r="B978" s="127">
        <v>45759</v>
      </c>
      <c r="C978" s="6"/>
      <c r="D978" s="146"/>
      <c r="E978" s="146"/>
      <c r="F978" s="146"/>
      <c r="G978" s="146"/>
      <c r="H978" s="146"/>
      <c r="I978" s="246"/>
      <c r="J978" s="146"/>
      <c r="K978" s="146"/>
      <c r="L978" s="146"/>
      <c r="M978" s="146"/>
      <c r="N978" s="146"/>
      <c r="O978" s="146"/>
      <c r="P978" s="146"/>
      <c r="Q978" s="8"/>
      <c r="R978" s="8"/>
      <c r="S978" s="146"/>
      <c r="T978" s="204"/>
      <c r="U978" s="146"/>
      <c r="V978" s="146"/>
      <c r="W978" s="146"/>
      <c r="X978" s="247"/>
      <c r="Y978" s="171">
        <f>SUM(F978:W984)</f>
        <v>0</v>
      </c>
      <c r="Z978" s="196">
        <f>B978</f>
        <v>45759</v>
      </c>
    </row>
    <row r="979" spans="2:26" ht="16" thickBot="1" x14ac:dyDescent="0.25">
      <c r="B979" s="548" t="s">
        <v>25</v>
      </c>
      <c r="C979" s="6"/>
      <c r="D979" s="4"/>
      <c r="E979" s="4"/>
      <c r="F979" s="14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150"/>
      <c r="Y979" s="639"/>
      <c r="Z979" s="196" t="s">
        <v>25</v>
      </c>
    </row>
    <row r="980" spans="2:26" ht="16" thickBot="1" x14ac:dyDescent="0.25">
      <c r="B980" s="208"/>
      <c r="C980" s="6"/>
      <c r="D980" s="4"/>
      <c r="E980" s="4"/>
      <c r="F980" s="14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150"/>
      <c r="Y980" s="639"/>
      <c r="Z980" s="196"/>
    </row>
    <row r="981" spans="2:26" ht="16" thickBot="1" x14ac:dyDescent="0.25">
      <c r="B981" s="208"/>
      <c r="C981" s="6"/>
      <c r="D981" s="4"/>
      <c r="E981" s="4"/>
      <c r="F981" s="14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150"/>
      <c r="Y981" s="639"/>
      <c r="Z981" s="196"/>
    </row>
    <row r="982" spans="2:26" ht="16" thickBot="1" x14ac:dyDescent="0.25">
      <c r="B982" s="208"/>
      <c r="C982" s="6"/>
      <c r="D982" s="4"/>
      <c r="E982" s="4"/>
      <c r="F982" s="14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150"/>
      <c r="Y982" s="639"/>
      <c r="Z982" s="196"/>
    </row>
    <row r="983" spans="2:26" ht="16" thickBot="1" x14ac:dyDescent="0.25">
      <c r="B983" s="199"/>
      <c r="C983" s="7"/>
      <c r="D983" s="143"/>
      <c r="E983" s="14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48"/>
      <c r="U983" s="4"/>
      <c r="V983" s="4"/>
      <c r="W983" s="4"/>
      <c r="X983" s="150"/>
      <c r="Y983" s="10"/>
      <c r="Z983" s="196"/>
    </row>
    <row r="984" spans="2:26" ht="16" thickBot="1" x14ac:dyDescent="0.25">
      <c r="B984" s="198"/>
      <c r="C984" s="137"/>
      <c r="D984" s="9">
        <f>SUM(D978:D983)</f>
        <v>0</v>
      </c>
      <c r="E984" s="9">
        <f>SUM(E978:E983)</f>
        <v>0</v>
      </c>
      <c r="F984" s="245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254"/>
      <c r="R984" s="144"/>
      <c r="S984" s="144"/>
      <c r="T984" s="144"/>
      <c r="U984" s="144"/>
      <c r="V984" s="144"/>
      <c r="W984" s="144"/>
      <c r="X984" s="172"/>
      <c r="Y984" s="11"/>
      <c r="Z984" s="198"/>
    </row>
    <row r="985" spans="2:26" ht="16" thickBot="1" x14ac:dyDescent="0.25">
      <c r="B985" s="196">
        <v>45760</v>
      </c>
      <c r="C985" s="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253"/>
      <c r="R985" s="253"/>
      <c r="S985" s="146"/>
      <c r="T985" s="204"/>
      <c r="U985" s="146"/>
      <c r="V985" s="146"/>
      <c r="W985" s="146"/>
      <c r="X985" s="182"/>
      <c r="Y985" s="1">
        <f>SUM(F985:W988)</f>
        <v>0</v>
      </c>
      <c r="Z985" s="196">
        <f>B985</f>
        <v>45760</v>
      </c>
    </row>
    <row r="986" spans="2:26" ht="16" thickBot="1" x14ac:dyDescent="0.25">
      <c r="B986" s="198" t="s">
        <v>26</v>
      </c>
      <c r="C986" s="5"/>
      <c r="D986" s="4"/>
      <c r="E986" s="4"/>
      <c r="F986" s="4"/>
      <c r="G986" s="15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150"/>
      <c r="Y986" s="12"/>
      <c r="Z986" s="198" t="s">
        <v>26</v>
      </c>
    </row>
    <row r="987" spans="2:26" ht="16" thickBot="1" x14ac:dyDescent="0.25">
      <c r="B987" s="268"/>
      <c r="C987" s="152"/>
      <c r="D987" s="143"/>
      <c r="E987" s="14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150"/>
      <c r="Y987" s="10"/>
      <c r="Z987" s="268"/>
    </row>
    <row r="988" spans="2:26" ht="16" thickBot="1" x14ac:dyDescent="0.25">
      <c r="B988" s="267"/>
      <c r="C988" s="255"/>
      <c r="D988" s="1">
        <f>SUM(D985:D987)</f>
        <v>0</v>
      </c>
      <c r="E988" s="1">
        <f>SUM(E985:E987)</f>
        <v>0</v>
      </c>
      <c r="F988" s="245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72"/>
      <c r="Y988" s="248"/>
      <c r="Z988" s="268"/>
    </row>
    <row r="989" spans="2:26" x14ac:dyDescent="0.2">
      <c r="B989" s="101"/>
      <c r="C989" s="243"/>
      <c r="D989" s="242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8"/>
      <c r="Z989" s="130"/>
    </row>
    <row r="990" spans="2:26" ht="16" thickBot="1" x14ac:dyDescent="0.25">
      <c r="B990" s="101"/>
      <c r="C990" s="243"/>
      <c r="D990" s="189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2"/>
      <c r="Z990" s="128"/>
    </row>
    <row r="991" spans="2:26" ht="16" thickBot="1" x14ac:dyDescent="0.25">
      <c r="B991" s="101"/>
      <c r="C991" s="101"/>
      <c r="D991" s="105">
        <f>SUM(D988,D984,D977,D972,D964,D957,D951)</f>
        <v>0</v>
      </c>
      <c r="E991" s="105">
        <f>SUM(E988,E984,E977,E972,E964,E957,E951)</f>
        <v>0</v>
      </c>
      <c r="F991" s="104">
        <f t="shared" ref="F991:S991" si="19">SUM(F947:F990)</f>
        <v>0</v>
      </c>
      <c r="G991" s="103">
        <f t="shared" si="19"/>
        <v>0</v>
      </c>
      <c r="H991" s="103">
        <f t="shared" si="19"/>
        <v>0</v>
      </c>
      <c r="I991" s="103">
        <f t="shared" si="19"/>
        <v>0</v>
      </c>
      <c r="J991" s="103">
        <f t="shared" si="19"/>
        <v>0</v>
      </c>
      <c r="K991" s="103">
        <f t="shared" si="19"/>
        <v>0</v>
      </c>
      <c r="L991" s="103">
        <f t="shared" si="19"/>
        <v>0</v>
      </c>
      <c r="M991" s="103">
        <f t="shared" si="19"/>
        <v>0</v>
      </c>
      <c r="N991" s="103">
        <f t="shared" si="19"/>
        <v>0</v>
      </c>
      <c r="O991" s="103">
        <f t="shared" si="19"/>
        <v>0</v>
      </c>
      <c r="P991" s="103">
        <f t="shared" si="19"/>
        <v>0</v>
      </c>
      <c r="Q991" s="103">
        <f t="shared" si="19"/>
        <v>0</v>
      </c>
      <c r="R991" s="103">
        <f t="shared" si="19"/>
        <v>0</v>
      </c>
      <c r="S991" s="103">
        <f t="shared" si="19"/>
        <v>0</v>
      </c>
      <c r="T991" s="103"/>
      <c r="U991" s="103">
        <f>SUM(U951:U990)</f>
        <v>0</v>
      </c>
      <c r="V991" s="103">
        <f>SUM(V947:V990)</f>
        <v>0</v>
      </c>
      <c r="W991" s="103">
        <f>SUM(W947:W990)</f>
        <v>0</v>
      </c>
      <c r="X991" s="153"/>
      <c r="Y991" s="155">
        <f>SUM(Y947:Y988)</f>
        <v>0</v>
      </c>
      <c r="Z991" s="129"/>
    </row>
    <row r="992" spans="2:26" ht="27" thickBot="1" x14ac:dyDescent="0.25">
      <c r="B992" s="101"/>
      <c r="C992" s="154" t="s">
        <v>0</v>
      </c>
      <c r="D992" s="154" t="s">
        <v>1</v>
      </c>
      <c r="E992" s="154" t="s">
        <v>2</v>
      </c>
      <c r="F992" s="154" t="s">
        <v>3</v>
      </c>
      <c r="G992" s="154" t="s">
        <v>4</v>
      </c>
      <c r="H992" s="154" t="s">
        <v>5</v>
      </c>
      <c r="I992" s="154" t="s">
        <v>6</v>
      </c>
      <c r="J992" s="154" t="s">
        <v>7</v>
      </c>
      <c r="K992" s="154" t="s">
        <v>8</v>
      </c>
      <c r="L992" s="154" t="s">
        <v>9</v>
      </c>
      <c r="M992" s="154" t="s">
        <v>309</v>
      </c>
      <c r="N992" s="154" t="s">
        <v>11</v>
      </c>
      <c r="O992" s="154" t="s">
        <v>12</v>
      </c>
      <c r="P992" s="154" t="s">
        <v>13</v>
      </c>
      <c r="Q992" s="154" t="s">
        <v>14</v>
      </c>
      <c r="R992" s="154" t="s">
        <v>15</v>
      </c>
      <c r="S992" s="154" t="s">
        <v>311</v>
      </c>
      <c r="T992" s="154" t="s">
        <v>16</v>
      </c>
      <c r="U992" s="154" t="s">
        <v>403</v>
      </c>
      <c r="V992" s="154" t="s">
        <v>17</v>
      </c>
      <c r="W992" s="154" t="s">
        <v>18</v>
      </c>
      <c r="X992" s="154"/>
      <c r="Y992" s="154" t="s">
        <v>19</v>
      </c>
      <c r="Z992" s="126"/>
    </row>
    <row r="993" spans="2:26" ht="16" thickBot="1" x14ac:dyDescent="0.25">
      <c r="B993" s="101"/>
      <c r="C993" s="101"/>
      <c r="D993" s="101"/>
      <c r="E993" s="727" t="str">
        <f>M993</f>
        <v>7 - 13 april 2025</v>
      </c>
      <c r="F993" s="719"/>
      <c r="G993" s="719"/>
      <c r="H993" s="720"/>
      <c r="I993" s="101"/>
      <c r="J993" s="101"/>
      <c r="K993" s="101"/>
      <c r="L993" s="101"/>
      <c r="M993" s="727" t="str">
        <f>V993</f>
        <v>7 - 13 april 2025</v>
      </c>
      <c r="N993" s="719"/>
      <c r="O993" s="719"/>
      <c r="P993" s="720"/>
      <c r="Q993" s="101"/>
      <c r="R993" s="101"/>
      <c r="S993" s="101"/>
      <c r="T993" s="101"/>
      <c r="U993" s="101"/>
      <c r="V993" s="727" t="str">
        <f>V945</f>
        <v>7 - 13 april 2025</v>
      </c>
      <c r="W993" s="719"/>
      <c r="X993" s="719"/>
      <c r="Y993" s="720"/>
      <c r="Z993" s="101"/>
    </row>
  </sheetData>
  <mergeCells count="120">
    <mergeCell ref="E593:H593"/>
    <mergeCell ref="M593:P593"/>
    <mergeCell ref="V593:Y593"/>
    <mergeCell ref="E595:H595"/>
    <mergeCell ref="M595:P595"/>
    <mergeCell ref="V595:Y595"/>
    <mergeCell ref="E643:H643"/>
    <mergeCell ref="M643:P643"/>
    <mergeCell ref="V643:Y643"/>
    <mergeCell ref="E493:H493"/>
    <mergeCell ref="M493:P493"/>
    <mergeCell ref="V493:Y493"/>
    <mergeCell ref="E541:H541"/>
    <mergeCell ref="M541:P541"/>
    <mergeCell ref="V541:Y541"/>
    <mergeCell ref="E543:H543"/>
    <mergeCell ref="M543:P543"/>
    <mergeCell ref="V543:Y543"/>
    <mergeCell ref="E49:H49"/>
    <mergeCell ref="M49:P49"/>
    <mergeCell ref="V49:Y49"/>
    <mergeCell ref="E2:H2"/>
    <mergeCell ref="M2:P2"/>
    <mergeCell ref="V2:Y2"/>
    <mergeCell ref="E51:H51"/>
    <mergeCell ref="M51:P51"/>
    <mergeCell ref="V51:Y51"/>
    <mergeCell ref="E198:H198"/>
    <mergeCell ref="M198:P198"/>
    <mergeCell ref="V198:Y198"/>
    <mergeCell ref="E245:H245"/>
    <mergeCell ref="M245:P245"/>
    <mergeCell ref="V245:Y245"/>
    <mergeCell ref="E98:H98"/>
    <mergeCell ref="M98:P98"/>
    <mergeCell ref="V98:Y98"/>
    <mergeCell ref="E100:H100"/>
    <mergeCell ref="M100:P100"/>
    <mergeCell ref="V100:Y100"/>
    <mergeCell ref="E147:H147"/>
    <mergeCell ref="M147:P147"/>
    <mergeCell ref="V147:Y147"/>
    <mergeCell ref="E149:H149"/>
    <mergeCell ref="M149:P149"/>
    <mergeCell ref="V149:Y149"/>
    <mergeCell ref="E196:H196"/>
    <mergeCell ref="M196:P196"/>
    <mergeCell ref="V196:Y196"/>
    <mergeCell ref="E296:H296"/>
    <mergeCell ref="M296:P296"/>
    <mergeCell ref="V296:Y296"/>
    <mergeCell ref="E343:H343"/>
    <mergeCell ref="M343:P343"/>
    <mergeCell ref="V343:Y343"/>
    <mergeCell ref="E247:H247"/>
    <mergeCell ref="M247:P247"/>
    <mergeCell ref="V247:Y247"/>
    <mergeCell ref="E294:H294"/>
    <mergeCell ref="M294:P294"/>
    <mergeCell ref="V294:Y294"/>
    <mergeCell ref="E443:H443"/>
    <mergeCell ref="M443:P443"/>
    <mergeCell ref="V443:Y443"/>
    <mergeCell ref="E491:H491"/>
    <mergeCell ref="M491:P491"/>
    <mergeCell ref="V491:Y491"/>
    <mergeCell ref="E345:H345"/>
    <mergeCell ref="M345:P345"/>
    <mergeCell ref="V345:Y345"/>
    <mergeCell ref="E392:H392"/>
    <mergeCell ref="M392:P392"/>
    <mergeCell ref="V392:Y392"/>
    <mergeCell ref="E394:H394"/>
    <mergeCell ref="M394:P394"/>
    <mergeCell ref="V394:Y394"/>
    <mergeCell ref="E441:H441"/>
    <mergeCell ref="M441:P441"/>
    <mergeCell ref="V441:Y441"/>
    <mergeCell ref="E743:H743"/>
    <mergeCell ref="M743:P743"/>
    <mergeCell ref="V743:Y743"/>
    <mergeCell ref="E745:H745"/>
    <mergeCell ref="M745:P745"/>
    <mergeCell ref="V745:Y745"/>
    <mergeCell ref="E793:H793"/>
    <mergeCell ref="M793:P793"/>
    <mergeCell ref="V793:Y793"/>
    <mergeCell ref="E645:H645"/>
    <mergeCell ref="M645:P645"/>
    <mergeCell ref="V645:Y645"/>
    <mergeCell ref="E693:H693"/>
    <mergeCell ref="M693:P693"/>
    <mergeCell ref="V693:Y693"/>
    <mergeCell ref="E695:H695"/>
    <mergeCell ref="M695:P695"/>
    <mergeCell ref="V695:Y695"/>
    <mergeCell ref="E845:H845"/>
    <mergeCell ref="M845:P845"/>
    <mergeCell ref="V845:Y845"/>
    <mergeCell ref="E893:H893"/>
    <mergeCell ref="M893:P893"/>
    <mergeCell ref="V893:Y893"/>
    <mergeCell ref="E795:H795"/>
    <mergeCell ref="M795:P795"/>
    <mergeCell ref="V795:Y795"/>
    <mergeCell ref="E843:H843"/>
    <mergeCell ref="M843:P843"/>
    <mergeCell ref="V843:Y843"/>
    <mergeCell ref="E945:H945"/>
    <mergeCell ref="M945:P945"/>
    <mergeCell ref="V945:Y945"/>
    <mergeCell ref="E993:H993"/>
    <mergeCell ref="M993:P993"/>
    <mergeCell ref="V993:Y993"/>
    <mergeCell ref="E895:H895"/>
    <mergeCell ref="M895:P895"/>
    <mergeCell ref="V895:Y895"/>
    <mergeCell ref="E943:H943"/>
    <mergeCell ref="M943:P943"/>
    <mergeCell ref="V943:Y9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topLeftCell="A4" workbookViewId="0">
      <selection activeCell="A28" sqref="A28:B28"/>
    </sheetView>
  </sheetViews>
  <sheetFormatPr baseColWidth="10" defaultColWidth="8.83203125" defaultRowHeight="15" x14ac:dyDescent="0.2"/>
  <cols>
    <col min="3" max="4" width="11.5" bestFit="1" customWidth="1"/>
    <col min="5" max="5" width="10.33203125" bestFit="1" customWidth="1"/>
    <col min="6" max="6" width="11.5" bestFit="1" customWidth="1"/>
    <col min="7" max="7" width="11.33203125" customWidth="1"/>
    <col min="8" max="8" width="10.33203125" bestFit="1" customWidth="1"/>
    <col min="9" max="9" width="11.5" bestFit="1" customWidth="1"/>
    <col min="10" max="10" width="12.5" bestFit="1" customWidth="1"/>
    <col min="11" max="14" width="11.5" bestFit="1" customWidth="1"/>
    <col min="15" max="17" width="12.5" bestFit="1" customWidth="1"/>
  </cols>
  <sheetData>
    <row r="1" spans="1:17" ht="16" thickBot="1" x14ac:dyDescent="0.25">
      <c r="B1" s="484"/>
      <c r="C1" s="728" t="s">
        <v>358</v>
      </c>
      <c r="D1" s="729"/>
      <c r="H1" s="538"/>
    </row>
    <row r="2" spans="1:17" ht="33" thickBot="1" x14ac:dyDescent="0.25">
      <c r="A2" s="728" t="s">
        <v>362</v>
      </c>
      <c r="B2" s="729"/>
      <c r="C2" s="504" t="s">
        <v>360</v>
      </c>
      <c r="D2" s="508" t="s">
        <v>361</v>
      </c>
      <c r="E2" s="514" t="s">
        <v>17</v>
      </c>
      <c r="F2" s="524" t="s">
        <v>6</v>
      </c>
      <c r="G2" s="522" t="s">
        <v>7</v>
      </c>
      <c r="H2" s="523" t="s">
        <v>346</v>
      </c>
      <c r="I2" s="522" t="s">
        <v>14</v>
      </c>
      <c r="J2" s="523" t="s">
        <v>9</v>
      </c>
      <c r="K2" s="514" t="s">
        <v>359</v>
      </c>
      <c r="L2" s="523" t="s">
        <v>11</v>
      </c>
      <c r="M2" s="522" t="s">
        <v>12</v>
      </c>
      <c r="N2" s="521" t="s">
        <v>61</v>
      </c>
      <c r="O2" s="730" t="s">
        <v>362</v>
      </c>
      <c r="P2" s="729"/>
      <c r="Q2" s="491" t="s">
        <v>19</v>
      </c>
    </row>
    <row r="3" spans="1:17" x14ac:dyDescent="0.2">
      <c r="A3" s="735" t="s">
        <v>533</v>
      </c>
      <c r="B3" s="736"/>
      <c r="C3" s="320">
        <f>'DAILY WEEKLY EXPENSES'!F47</f>
        <v>3000</v>
      </c>
      <c r="D3" s="233">
        <f>'DAILY WEEKLY EXPENSES'!G47</f>
        <v>5882.62</v>
      </c>
      <c r="E3" s="515">
        <f>'DAILY WEEKLY EXPENSES'!V47</f>
        <v>0</v>
      </c>
      <c r="F3" s="529">
        <f>'DAILY WEEKLY EXPENSES'!I47</f>
        <v>0</v>
      </c>
      <c r="G3" s="315">
        <f>'DAILY WEEKLY EXPENSES'!J47</f>
        <v>3176</v>
      </c>
      <c r="H3" s="233">
        <f>'DAILY WEEKLY EXPENSES'!K47</f>
        <v>0</v>
      </c>
      <c r="I3" s="315">
        <f>'DAILY WEEKLY EXPENSES'!Q47</f>
        <v>1406.6000000000001</v>
      </c>
      <c r="J3" s="233">
        <f>'DAILY WEEKLY EXPENSES'!L47</f>
        <v>24625.42</v>
      </c>
      <c r="K3" s="315">
        <f>'DAILY WEEKLY EXPENSES'!S47</f>
        <v>0</v>
      </c>
      <c r="L3" s="233">
        <f>'DAILY WEEKLY EXPENSES'!N47</f>
        <v>679.8</v>
      </c>
      <c r="M3" s="315">
        <f>'DAILY WEEKLY EXPENSES'!O47</f>
        <v>18010</v>
      </c>
      <c r="N3" s="525">
        <f>'DAILY WEEKLY EXPENSES'!W47</f>
        <v>16142.56</v>
      </c>
      <c r="O3" s="737" t="str">
        <f>A3</f>
        <v>30 DEC - 5 JAN 2025</v>
      </c>
      <c r="P3" s="738"/>
      <c r="Q3" s="493">
        <f>SUM(C3:N3)</f>
        <v>72923</v>
      </c>
    </row>
    <row r="4" spans="1:17" x14ac:dyDescent="0.2">
      <c r="A4" s="731" t="s">
        <v>534</v>
      </c>
      <c r="B4" s="732"/>
      <c r="C4" s="316">
        <f>'DAILY WEEKLY EXPENSES'!F96</f>
        <v>1500</v>
      </c>
      <c r="D4" s="234">
        <f>'DAILY WEEKLY EXPENSES'!G96</f>
        <v>6927.7800000000007</v>
      </c>
      <c r="E4" s="516">
        <f>'DAILY WEEKLY EXPENSES'!V96</f>
        <v>2472</v>
      </c>
      <c r="F4" s="234">
        <f>'DAILY WEEKLY EXPENSES'!I96</f>
        <v>28014</v>
      </c>
      <c r="G4" s="316">
        <f>'DAILY WEEKLY EXPENSES'!J96</f>
        <v>0</v>
      </c>
      <c r="H4" s="234">
        <f>'DAILY WEEKLY EXPENSES'!K96</f>
        <v>575</v>
      </c>
      <c r="I4" s="316">
        <f>'DAILY WEEKLY EXPENSES'!Q96</f>
        <v>1094.6299999999999</v>
      </c>
      <c r="J4" s="234">
        <f>'DAILY WEEKLY EXPENSES'!L96</f>
        <v>25266.15</v>
      </c>
      <c r="K4" s="316">
        <f>'DAILY WEEKLY EXPENSES'!S96</f>
        <v>0</v>
      </c>
      <c r="L4" s="234">
        <f>'DAILY WEEKLY EXPENSES'!N96</f>
        <v>1733.8</v>
      </c>
      <c r="M4" s="316">
        <f>'DAILY WEEKLY EXPENSES'!N96</f>
        <v>1733.8</v>
      </c>
      <c r="N4" s="526">
        <f>'DAILY WEEKLY EXPENSES'!W96</f>
        <v>22129.54</v>
      </c>
      <c r="O4" s="733" t="str">
        <f>A4</f>
        <v>6 - 12 JAN 2025</v>
      </c>
      <c r="P4" s="739"/>
      <c r="Q4" s="494">
        <f>SUM(C4:N4)</f>
        <v>91446.700000000012</v>
      </c>
    </row>
    <row r="5" spans="1:17" x14ac:dyDescent="0.2">
      <c r="A5" s="731" t="s">
        <v>535</v>
      </c>
      <c r="B5" s="732"/>
      <c r="C5" s="316">
        <f>'DAILY WEEKLY EXPENSES'!F145</f>
        <v>1500</v>
      </c>
      <c r="D5" s="234">
        <f>'DAILY WEEKLY EXPENSES'!G145</f>
        <v>3184.12</v>
      </c>
      <c r="E5" s="516">
        <f>'DAILY WEEKLY EXPENSES'!V145</f>
        <v>672</v>
      </c>
      <c r="F5" s="234">
        <f>'DAILY WEEKLY EXPENSES'!I145</f>
        <v>0</v>
      </c>
      <c r="G5" s="316">
        <f>'DAILY WEEKLY EXPENSES'!J145</f>
        <v>0</v>
      </c>
      <c r="H5" s="234">
        <f>'DAILY WEEKLY EXPENSES'!K145</f>
        <v>0</v>
      </c>
      <c r="I5" s="316">
        <f>'DAILY WEEKLY EXPENSES'!Q145</f>
        <v>1224.6500000000001</v>
      </c>
      <c r="J5" s="234">
        <f>'DAILY WEEKLY EXPENSES'!L145</f>
        <v>25815.230000000003</v>
      </c>
      <c r="K5" s="316">
        <f>'DAILY WEEKLY EXPENSES'!S145</f>
        <v>0</v>
      </c>
      <c r="L5" s="234">
        <f>'DAILY WEEKLY EXPENSES'!N145</f>
        <v>0</v>
      </c>
      <c r="M5" s="316">
        <f>'DAILY WEEKLY EXPENSES'!O145</f>
        <v>11325</v>
      </c>
      <c r="N5" s="526">
        <f>'DAILY WEEKLY EXPENSES'!W145</f>
        <v>12085.02</v>
      </c>
      <c r="O5" s="733" t="str">
        <f>A5</f>
        <v>13 - 19 JAN 2025</v>
      </c>
      <c r="P5" s="739"/>
      <c r="Q5" s="494">
        <f>SUM(C5:N5)</f>
        <v>55806.020000000004</v>
      </c>
    </row>
    <row r="6" spans="1:17" ht="16" thickBot="1" x14ac:dyDescent="0.25">
      <c r="A6" s="731" t="s">
        <v>638</v>
      </c>
      <c r="B6" s="732"/>
      <c r="C6" s="321">
        <f>'DAILY WEEKLY EXPENSES'!F194</f>
        <v>0</v>
      </c>
      <c r="D6" s="509">
        <f>'DAILY WEEKLY EXPENSES'!G194</f>
        <v>6266.54</v>
      </c>
      <c r="E6" s="517">
        <f>'DAILY WEEKLY EXPENSES'!V194</f>
        <v>0</v>
      </c>
      <c r="F6" s="509">
        <f>'DAILY WEEKLY EXPENSES'!I194</f>
        <v>24276.5</v>
      </c>
      <c r="G6" s="321">
        <f>'DAILY WEEKLY EXPENSES'!J194</f>
        <v>0</v>
      </c>
      <c r="H6" s="509">
        <f>'DAILY WEEKLY EXPENSES'!K194</f>
        <v>0</v>
      </c>
      <c r="I6" s="321">
        <f>'DAILY WEEKLY EXPENSES'!Q194</f>
        <v>489.86</v>
      </c>
      <c r="J6" s="509">
        <f>'DAILY WEEKLY EXPENSES'!L194</f>
        <v>21064.3</v>
      </c>
      <c r="K6" s="321">
        <f>'DAILY WEEKLY EXPENSES'!S194</f>
        <v>9739.66</v>
      </c>
      <c r="L6" s="509">
        <f>'DAILY WEEKLY EXPENSES'!N194</f>
        <v>1153.3</v>
      </c>
      <c r="M6" s="321">
        <f>'DAILY WEEKLY EXPENSES'!O194</f>
        <v>22760</v>
      </c>
      <c r="N6" s="527">
        <f>'DAILY WEEKLY EXPENSES'!W194</f>
        <v>4298.34</v>
      </c>
      <c r="O6" s="747" t="str">
        <f>A6</f>
        <v>20 - 26 JAN 2025</v>
      </c>
      <c r="P6" s="744"/>
      <c r="Q6" s="495">
        <f>SUM(C6:N6)</f>
        <v>90048.5</v>
      </c>
    </row>
    <row r="7" spans="1:17" ht="17" thickBot="1" x14ac:dyDescent="0.25">
      <c r="A7" s="728" t="s">
        <v>363</v>
      </c>
      <c r="B7" s="729"/>
      <c r="C7" s="505">
        <f>SUM(C3:C6)</f>
        <v>6000</v>
      </c>
      <c r="D7" s="510">
        <f t="shared" ref="D7:N7" si="0">SUM(D3:D6)</f>
        <v>22261.06</v>
      </c>
      <c r="E7" s="505">
        <f t="shared" si="0"/>
        <v>3144</v>
      </c>
      <c r="F7" s="510">
        <f t="shared" si="0"/>
        <v>52290.5</v>
      </c>
      <c r="G7" s="505">
        <f t="shared" si="0"/>
        <v>3176</v>
      </c>
      <c r="H7" s="510">
        <f t="shared" si="0"/>
        <v>575</v>
      </c>
      <c r="I7" s="505">
        <f t="shared" si="0"/>
        <v>4215.74</v>
      </c>
      <c r="J7" s="510">
        <f t="shared" si="0"/>
        <v>96771.1</v>
      </c>
      <c r="K7" s="505">
        <f t="shared" si="0"/>
        <v>9739.66</v>
      </c>
      <c r="L7" s="510">
        <f t="shared" si="0"/>
        <v>3566.8999999999996</v>
      </c>
      <c r="M7" s="505">
        <f t="shared" si="0"/>
        <v>53828.800000000003</v>
      </c>
      <c r="N7" s="528">
        <f t="shared" si="0"/>
        <v>54655.459999999992</v>
      </c>
      <c r="O7" s="519">
        <f>SUM(C7:N7)</f>
        <v>310224.21999999997</v>
      </c>
      <c r="P7" s="485" t="s">
        <v>347</v>
      </c>
      <c r="Q7" s="496">
        <f>SUM(Q3:Q6)</f>
        <v>310224.22000000003</v>
      </c>
    </row>
    <row r="8" spans="1:17" ht="33" thickBot="1" x14ac:dyDescent="0.25">
      <c r="A8" s="728" t="s">
        <v>362</v>
      </c>
      <c r="B8" s="729"/>
      <c r="C8" s="504" t="s">
        <v>360</v>
      </c>
      <c r="D8" s="508" t="s">
        <v>361</v>
      </c>
      <c r="E8" s="514" t="s">
        <v>17</v>
      </c>
      <c r="F8" s="523" t="s">
        <v>6</v>
      </c>
      <c r="G8" s="522" t="s">
        <v>7</v>
      </c>
      <c r="H8" s="523" t="s">
        <v>346</v>
      </c>
      <c r="I8" s="522" t="s">
        <v>14</v>
      </c>
      <c r="J8" s="523" t="s">
        <v>9</v>
      </c>
      <c r="K8" s="514" t="s">
        <v>359</v>
      </c>
      <c r="L8" s="523" t="s">
        <v>11</v>
      </c>
      <c r="M8" s="522" t="s">
        <v>12</v>
      </c>
      <c r="N8" s="521" t="s">
        <v>61</v>
      </c>
      <c r="O8" s="730" t="s">
        <v>362</v>
      </c>
      <c r="P8" s="729"/>
      <c r="Q8" s="491" t="s">
        <v>19</v>
      </c>
    </row>
    <row r="9" spans="1:17" x14ac:dyDescent="0.2">
      <c r="A9" s="731" t="s">
        <v>648</v>
      </c>
      <c r="B9" s="732"/>
      <c r="C9" s="320">
        <f>'DAILY WEEKLY EXPENSES'!F243</f>
        <v>3000</v>
      </c>
      <c r="D9" s="233">
        <f>'DAILY WEEKLY EXPENSES'!G243</f>
        <v>4947.1499999999996</v>
      </c>
      <c r="E9" s="320">
        <f>'DAILY WEEKLY EXPENSES'!V243</f>
        <v>0</v>
      </c>
      <c r="F9" s="233">
        <f>'DAILY WEEKLY EXPENSES'!I243</f>
        <v>12186.33</v>
      </c>
      <c r="G9" s="320">
        <f>'DAILY WEEKLY EXPENSES'!J243</f>
        <v>0</v>
      </c>
      <c r="H9" s="233">
        <f>'DAILY WEEKLY EXPENSES'!K243</f>
        <v>0</v>
      </c>
      <c r="I9" s="320">
        <f>'DAILY WEEKLY EXPENSES'!Q243</f>
        <v>489.86</v>
      </c>
      <c r="J9" s="233">
        <f>'DAILY WEEKLY EXPENSES'!L243</f>
        <v>24346.18</v>
      </c>
      <c r="K9" s="320">
        <f>'DAILY WEEKLY EXPENSES'!S243</f>
        <v>7157.54</v>
      </c>
      <c r="L9" s="233">
        <f>'DAILY WEEKLY EXPENSES'!N243</f>
        <v>0</v>
      </c>
      <c r="M9" s="320">
        <f>'DAILY WEEKLY EXPENSES'!O243</f>
        <v>6900</v>
      </c>
      <c r="N9" s="317">
        <f>'DAILY WEEKLY EXPENSES'!W243</f>
        <v>7855.33</v>
      </c>
      <c r="O9" s="733" t="str">
        <f>A9</f>
        <v>27 JAN - 2 FEB 2025</v>
      </c>
      <c r="P9" s="734"/>
      <c r="Q9" s="497">
        <f>SUM(C9:N9)</f>
        <v>66882.39</v>
      </c>
    </row>
    <row r="10" spans="1:17" x14ac:dyDescent="0.2">
      <c r="A10" s="731" t="s">
        <v>863</v>
      </c>
      <c r="B10" s="732"/>
      <c r="C10" s="320">
        <f>'DAILY WEEKLY EXPENSES'!F292</f>
        <v>1500</v>
      </c>
      <c r="D10" s="233">
        <f>'DAILY WEEKLY EXPENSES'!G292</f>
        <v>4158</v>
      </c>
      <c r="E10" s="320">
        <f>'DAILY WEEKLY EXPENSES'!V292</f>
        <v>1200</v>
      </c>
      <c r="F10" s="233">
        <f>'DAILY WEEKLY EXPENSES'!I292</f>
        <v>24863</v>
      </c>
      <c r="G10" s="320">
        <f>'DAILY WEEKLY EXPENSES'!J292</f>
        <v>0</v>
      </c>
      <c r="H10" s="233">
        <f>'DAILY WEEKLY EXPENSES'!I292</f>
        <v>24863</v>
      </c>
      <c r="I10" s="320">
        <f>'DAILY WEEKLY EXPENSES'!Q292</f>
        <v>944.73</v>
      </c>
      <c r="J10" s="233">
        <f>'DAILY WEEKLY EXPENSES'!L292</f>
        <v>27106.959999999999</v>
      </c>
      <c r="K10" s="320">
        <f>'DAILY WEEKLY EXPENSES'!S292</f>
        <v>7157.54</v>
      </c>
      <c r="L10" s="233">
        <f>'DAILY WEEKLY EXPENSES'!N292</f>
        <v>509.8</v>
      </c>
      <c r="M10" s="320">
        <f>'DAILY WEEKLY EXPENSES'!O292</f>
        <v>18755</v>
      </c>
      <c r="N10" s="317">
        <f>'DAILY WEEKLY EXPENSES'!W292</f>
        <v>10939.810000000001</v>
      </c>
      <c r="O10" s="733" t="str">
        <f>A10</f>
        <v>3 - 9 FEB 2025</v>
      </c>
      <c r="P10" s="739"/>
      <c r="Q10" s="497">
        <f>SUM(C10:N10)</f>
        <v>121997.84</v>
      </c>
    </row>
    <row r="11" spans="1:17" x14ac:dyDescent="0.2">
      <c r="A11" s="731" t="s">
        <v>864</v>
      </c>
      <c r="B11" s="732"/>
      <c r="C11" s="316">
        <f>'DAILY WEEKLY EXPENSES'!F341</f>
        <v>3902.44</v>
      </c>
      <c r="D11" s="234">
        <f>'DAILY WEEKLY EXPENSES'!G341</f>
        <v>7127.17</v>
      </c>
      <c r="E11" s="316">
        <f>'DAILY WEEKLY EXPENSES'!V341</f>
        <v>0</v>
      </c>
      <c r="F11" s="234">
        <f>'DAILY WEEKLY EXPENSES'!I341</f>
        <v>1840</v>
      </c>
      <c r="G11" s="316">
        <f>'DAILY WEEKLY EXPENSES'!J341</f>
        <v>0</v>
      </c>
      <c r="H11" s="234">
        <f>'DAILY WEEKLY EXPENSES'!K341</f>
        <v>575</v>
      </c>
      <c r="I11" s="316">
        <f>'DAILY WEEKLY EXPENSES'!Q341</f>
        <v>1745.9099999999999</v>
      </c>
      <c r="J11" s="234">
        <f>'DAILY WEEKLY EXPENSES'!L341</f>
        <v>30395.05</v>
      </c>
      <c r="K11" s="316">
        <f>'DAILY WEEKLY EXPENSES'!S341</f>
        <v>0</v>
      </c>
      <c r="L11" s="234">
        <f>'DAILY WEEKLY EXPENSES'!N341</f>
        <v>1228.8</v>
      </c>
      <c r="M11" s="316">
        <f>'DAILY WEEKLY EXPENSES'!O341</f>
        <v>0</v>
      </c>
      <c r="N11" s="318">
        <f>'DAILY WEEKLY EXPENSES'!W341</f>
        <v>13918.689999999999</v>
      </c>
      <c r="O11" s="733" t="str">
        <f>A11</f>
        <v>10 - 16 FEB 2025</v>
      </c>
      <c r="P11" s="734"/>
      <c r="Q11" s="497">
        <f>SUM(C11:N11)</f>
        <v>60733.06</v>
      </c>
    </row>
    <row r="12" spans="1:17" ht="16" thickBot="1" x14ac:dyDescent="0.25">
      <c r="A12" s="731" t="s">
        <v>865</v>
      </c>
      <c r="B12" s="732"/>
      <c r="C12" s="323">
        <f>'DAILY WEEKLY EXPENSES'!F390</f>
        <v>3000</v>
      </c>
      <c r="D12" s="324">
        <f>'DAILY WEEKLY EXPENSES'!G390</f>
        <v>5156.93</v>
      </c>
      <c r="E12" s="323">
        <f>'DAILY WEEKLY EXPENSES'!V390</f>
        <v>0</v>
      </c>
      <c r="F12" s="324">
        <f>'DAILY WEEKLY EXPENSES'!I390</f>
        <v>26460.13</v>
      </c>
      <c r="G12" s="323">
        <f>'DAILY WEEKLY EXPENSES'!J390</f>
        <v>0</v>
      </c>
      <c r="H12" s="324">
        <f>'DAILY WEEKLY EXPENSES'!K390</f>
        <v>0</v>
      </c>
      <c r="I12" s="323">
        <f>'DAILY WEEKLY EXPENSES'!Q390</f>
        <v>1230.8100000000002</v>
      </c>
      <c r="J12" s="324">
        <f>'DAILY WEEKLY EXPENSES'!L390</f>
        <v>22313.06</v>
      </c>
      <c r="K12" s="323">
        <f>'DAILY WEEKLY EXPENSES'!S390</f>
        <v>5731.95</v>
      </c>
      <c r="L12" s="324">
        <f>'DAILY WEEKLY EXPENSES'!N390</f>
        <v>0</v>
      </c>
      <c r="M12" s="323">
        <f>'DAILY WEEKLY EXPENSES'!O390</f>
        <v>6900</v>
      </c>
      <c r="N12" s="466">
        <f>'DAILY WEEKLY EXPENSES'!W390</f>
        <v>3194.54</v>
      </c>
      <c r="O12" s="733" t="str">
        <f>A12</f>
        <v>17 - 23 FEB 2025</v>
      </c>
      <c r="P12" s="734"/>
      <c r="Q12" s="498">
        <f>SUM(C12:N12)</f>
        <v>73987.419999999984</v>
      </c>
    </row>
    <row r="13" spans="1:17" ht="17" thickBot="1" x14ac:dyDescent="0.25">
      <c r="A13" s="728" t="s">
        <v>363</v>
      </c>
      <c r="B13" s="729"/>
      <c r="C13" s="506">
        <f t="shared" ref="C13:N13" si="1">SUM(C9:C12)</f>
        <v>11402.44</v>
      </c>
      <c r="D13" s="511">
        <f t="shared" si="1"/>
        <v>21389.25</v>
      </c>
      <c r="E13" s="506">
        <f t="shared" si="1"/>
        <v>1200</v>
      </c>
      <c r="F13" s="511">
        <f t="shared" si="1"/>
        <v>65349.460000000006</v>
      </c>
      <c r="G13" s="506">
        <f t="shared" si="1"/>
        <v>0</v>
      </c>
      <c r="H13" s="511">
        <f t="shared" si="1"/>
        <v>25438</v>
      </c>
      <c r="I13" s="506">
        <f t="shared" si="1"/>
        <v>4411.3100000000004</v>
      </c>
      <c r="J13" s="511">
        <f t="shared" si="1"/>
        <v>104161.25</v>
      </c>
      <c r="K13" s="506">
        <f t="shared" si="1"/>
        <v>20047.03</v>
      </c>
      <c r="L13" s="511">
        <f t="shared" si="1"/>
        <v>1738.6</v>
      </c>
      <c r="M13" s="506">
        <f t="shared" si="1"/>
        <v>32555</v>
      </c>
      <c r="N13" s="530">
        <f t="shared" si="1"/>
        <v>35908.369999999995</v>
      </c>
      <c r="O13" s="520">
        <f>SUM(C13:N13)</f>
        <v>323600.71000000002</v>
      </c>
      <c r="P13" s="486" t="s">
        <v>348</v>
      </c>
      <c r="Q13" s="496">
        <f>SUM(Q9:Q12)</f>
        <v>323600.70999999996</v>
      </c>
    </row>
    <row r="14" spans="1:17" ht="33" thickBot="1" x14ac:dyDescent="0.25">
      <c r="A14" s="728" t="s">
        <v>362</v>
      </c>
      <c r="B14" s="729"/>
      <c r="C14" s="504" t="s">
        <v>360</v>
      </c>
      <c r="D14" s="508" t="s">
        <v>361</v>
      </c>
      <c r="E14" s="514" t="s">
        <v>17</v>
      </c>
      <c r="F14" s="523" t="s">
        <v>6</v>
      </c>
      <c r="G14" s="522" t="s">
        <v>7</v>
      </c>
      <c r="H14" s="523" t="s">
        <v>346</v>
      </c>
      <c r="I14" s="522" t="s">
        <v>14</v>
      </c>
      <c r="J14" s="523" t="s">
        <v>9</v>
      </c>
      <c r="K14" s="514" t="s">
        <v>359</v>
      </c>
      <c r="L14" s="523" t="s">
        <v>11</v>
      </c>
      <c r="M14" s="522" t="s">
        <v>12</v>
      </c>
      <c r="N14" s="521" t="s">
        <v>61</v>
      </c>
      <c r="O14" s="730" t="s">
        <v>362</v>
      </c>
      <c r="P14" s="729"/>
      <c r="Q14" s="491" t="s">
        <v>19</v>
      </c>
    </row>
    <row r="15" spans="1:17" x14ac:dyDescent="0.2">
      <c r="A15" s="731" t="s">
        <v>866</v>
      </c>
      <c r="B15" s="732"/>
      <c r="C15" s="316">
        <f>'DAILY WEEKLY EXPENSES'!F439</f>
        <v>1500</v>
      </c>
      <c r="D15" s="234">
        <f>'DAILY WEEKLY EXPENSES'!G439</f>
        <v>4000.17</v>
      </c>
      <c r="E15" s="316">
        <f>'DAILY WEEKLY EXPENSES'!V439</f>
        <v>1200</v>
      </c>
      <c r="F15" s="234">
        <f>'DAILY WEEKLY EXPENSES'!I439</f>
        <v>10521.58</v>
      </c>
      <c r="G15" s="315">
        <f>'DAILY WEEKLY EXPENSES'!J439</f>
        <v>0</v>
      </c>
      <c r="H15" s="234">
        <f>'DAILY WEEKLY EXPENSES'!K439</f>
        <v>575</v>
      </c>
      <c r="I15" s="316">
        <f>'DAILY WEEKLY EXPENSES'!Q439</f>
        <v>1279.72</v>
      </c>
      <c r="J15" s="234">
        <f>'DAILY WEEKLY EXPENSES'!L439</f>
        <v>34524.15</v>
      </c>
      <c r="K15" s="316">
        <f>'DAILY WEEKLY EXPENSES'!S439</f>
        <v>7157.54</v>
      </c>
      <c r="L15" s="234">
        <f>'DAILY WEEKLY EXPENSES'!N439</f>
        <v>2588.9</v>
      </c>
      <c r="M15" s="316">
        <f>'DAILY WEEKLY EXPENSES'!O439</f>
        <v>14530</v>
      </c>
      <c r="N15" s="318">
        <f>'DAILY WEEKLY EXPENSES'!W439</f>
        <v>7074.16</v>
      </c>
      <c r="O15" s="733" t="str">
        <f>A15</f>
        <v>24 FEB - 2 MAR 2025</v>
      </c>
      <c r="P15" s="734"/>
      <c r="Q15" s="494">
        <f>SUM(C15:N15)</f>
        <v>84951.22</v>
      </c>
    </row>
    <row r="16" spans="1:17" x14ac:dyDescent="0.2">
      <c r="A16" s="731" t="s">
        <v>867</v>
      </c>
      <c r="B16" s="732"/>
      <c r="C16" s="316">
        <f>'DAILY WEEKLY EXPENSES'!F489</f>
        <v>0</v>
      </c>
      <c r="D16" s="234">
        <f>'DAILY WEEKLY EXPENSES'!G489</f>
        <v>5952.33</v>
      </c>
      <c r="E16" s="316">
        <f>'DAILY WEEKLY EXPENSES'!V489</f>
        <v>0</v>
      </c>
      <c r="F16" s="234">
        <f>'DAILY WEEKLY EXPENSES'!I489</f>
        <v>10039.5</v>
      </c>
      <c r="G16" s="316">
        <f>'DAILY WEEKLY EXPENSES'!J489</f>
        <v>0</v>
      </c>
      <c r="H16" s="234">
        <f>'DAILY WEEKLY EXPENSES'!K489</f>
        <v>0</v>
      </c>
      <c r="I16" s="316">
        <f>'DAILY WEEKLY EXPENSES'!Q489</f>
        <v>1123.72</v>
      </c>
      <c r="J16" s="234">
        <f>'DAILY WEEKLY EXPENSES'!L489</f>
        <v>33226.06</v>
      </c>
      <c r="K16" s="316">
        <f>'DAILY WEEKLY EXPENSES'!S489</f>
        <v>0</v>
      </c>
      <c r="L16" s="234">
        <f>'DAILY WEEKLY EXPENSES'!N489</f>
        <v>3258.8</v>
      </c>
      <c r="M16" s="316">
        <f>'DAILY WEEKLY EXPENSES'!O489</f>
        <v>18610</v>
      </c>
      <c r="N16" s="318">
        <f>'DAILY WEEKLY EXPENSES'!W489</f>
        <v>3822.8900000000003</v>
      </c>
      <c r="O16" s="733" t="str">
        <f>A16</f>
        <v>3 - 9 MAR 2025</v>
      </c>
      <c r="P16" s="734"/>
      <c r="Q16" s="494">
        <f>SUM(C16:N16)</f>
        <v>76033.3</v>
      </c>
    </row>
    <row r="17" spans="1:17" x14ac:dyDescent="0.2">
      <c r="A17" s="731" t="s">
        <v>868</v>
      </c>
      <c r="B17" s="732"/>
      <c r="C17" s="316">
        <f>'DAILY WEEKLY EXPENSES'!F539</f>
        <v>3000</v>
      </c>
      <c r="D17" s="234">
        <f>'DAILY WEEKLY EXPENSES'!G539</f>
        <v>3445.24</v>
      </c>
      <c r="E17" s="316">
        <f>'DAILY WEEKLY EXPENSES'!V539</f>
        <v>1200</v>
      </c>
      <c r="F17" s="234">
        <f>'DAILY WEEKLY EXPENSES'!I539</f>
        <v>19333.8</v>
      </c>
      <c r="G17" s="316">
        <f>'DAILY WEEKLY EXPENSES'!J539</f>
        <v>0</v>
      </c>
      <c r="H17" s="234">
        <f>'DAILY WEEKLY EXPENSES'!K539</f>
        <v>0</v>
      </c>
      <c r="I17" s="316">
        <f>'DAILY WEEKLY EXPENSES'!Q539</f>
        <v>1349.7</v>
      </c>
      <c r="J17" s="234">
        <f>'DAILY WEEKLY EXPENSES'!L539</f>
        <v>27534.52</v>
      </c>
      <c r="K17" s="316">
        <f>'DAILY WEEKLY EXPENSES'!S539</f>
        <v>4771.7</v>
      </c>
      <c r="L17" s="234">
        <f>'DAILY WEEKLY EXPENSES'!N539</f>
        <v>0</v>
      </c>
      <c r="M17" s="316">
        <f>'DAILY WEEKLY EXPENSES'!O539</f>
        <v>17855</v>
      </c>
      <c r="N17" s="318">
        <f>'DAILY WEEKLY EXPENSES'!W539</f>
        <v>1359.98</v>
      </c>
      <c r="O17" s="733" t="str">
        <f>A17</f>
        <v>10 - 16 MAR 2025</v>
      </c>
      <c r="P17" s="734"/>
      <c r="Q17" s="494">
        <f>SUM(C17:N17)</f>
        <v>79849.939999999988</v>
      </c>
    </row>
    <row r="18" spans="1:17" ht="16" thickBot="1" x14ac:dyDescent="0.25">
      <c r="A18" s="731" t="s">
        <v>1111</v>
      </c>
      <c r="B18" s="732"/>
      <c r="C18" s="323">
        <f>'DAILY WEEKLY EXPENSES'!F591</f>
        <v>0</v>
      </c>
      <c r="D18" s="324">
        <f>'DAILY WEEKLY EXPENSES'!G591</f>
        <v>5200.37</v>
      </c>
      <c r="E18" s="323">
        <f>'DAILY WEEKLY EXPENSES'!V591</f>
        <v>0</v>
      </c>
      <c r="F18" s="324">
        <f>'DAILY WEEKLY EXPENSES'!I591</f>
        <v>18571.13</v>
      </c>
      <c r="G18" s="323">
        <f>'DAILY WEEKLY EXPENSES'!J591</f>
        <v>0</v>
      </c>
      <c r="H18" s="324">
        <f>'DAILY WEEKLY EXPENSES'!K591</f>
        <v>4906.7299999999996</v>
      </c>
      <c r="I18" s="323">
        <f>'DAILY WEEKLY EXPENSES'!Q591</f>
        <v>1329.71</v>
      </c>
      <c r="J18" s="324">
        <f>'DAILY WEEKLY EXPENSES'!L591</f>
        <v>25320.339999999997</v>
      </c>
      <c r="K18" s="323">
        <f>'DAILY WEEKLY EXPENSES'!S591</f>
        <v>7157.54</v>
      </c>
      <c r="L18" s="324">
        <f>'DAILY WEEKLY EXPENSES'!N591</f>
        <v>778</v>
      </c>
      <c r="M18" s="323">
        <f>'DAILY WEEKLY EXPENSES'!O591</f>
        <v>0</v>
      </c>
      <c r="N18" s="466">
        <f>'DAILY WEEKLY EXPENSES'!W591</f>
        <v>5353.95</v>
      </c>
      <c r="O18" s="740" t="str">
        <f>A18</f>
        <v>17-23 MAR 2025</v>
      </c>
      <c r="P18" s="741"/>
      <c r="Q18" s="495">
        <f>SUM(C18:N18)</f>
        <v>68617.77</v>
      </c>
    </row>
    <row r="19" spans="1:17" ht="17" thickBot="1" x14ac:dyDescent="0.25">
      <c r="A19" s="728" t="s">
        <v>363</v>
      </c>
      <c r="B19" s="729"/>
      <c r="C19" s="506">
        <f t="shared" ref="C19:N19" si="2">SUM(C15:C18)</f>
        <v>4500</v>
      </c>
      <c r="D19" s="511">
        <f t="shared" si="2"/>
        <v>18598.11</v>
      </c>
      <c r="E19" s="506">
        <f t="shared" si="2"/>
        <v>2400</v>
      </c>
      <c r="F19" s="511">
        <f t="shared" si="2"/>
        <v>58466.010000000009</v>
      </c>
      <c r="G19" s="506">
        <f t="shared" si="2"/>
        <v>0</v>
      </c>
      <c r="H19" s="511">
        <f t="shared" si="2"/>
        <v>5481.73</v>
      </c>
      <c r="I19" s="506">
        <f t="shared" si="2"/>
        <v>5082.8500000000004</v>
      </c>
      <c r="J19" s="511">
        <f t="shared" si="2"/>
        <v>120605.06999999999</v>
      </c>
      <c r="K19" s="506">
        <f t="shared" si="2"/>
        <v>19086.78</v>
      </c>
      <c r="L19" s="511">
        <f t="shared" si="2"/>
        <v>6625.7000000000007</v>
      </c>
      <c r="M19" s="506">
        <f t="shared" si="2"/>
        <v>50995</v>
      </c>
      <c r="N19" s="530">
        <f t="shared" si="2"/>
        <v>17610.98</v>
      </c>
      <c r="O19" s="503">
        <f>SUM(C19:N19)</f>
        <v>309452.23</v>
      </c>
      <c r="P19" s="15" t="s">
        <v>349</v>
      </c>
      <c r="Q19" s="496">
        <f>SUM(Q15:Q18)</f>
        <v>309452.23000000004</v>
      </c>
    </row>
    <row r="20" spans="1:17" ht="33" thickBot="1" x14ac:dyDescent="0.25">
      <c r="A20" s="728" t="s">
        <v>362</v>
      </c>
      <c r="B20" s="729"/>
      <c r="C20" s="504" t="s">
        <v>360</v>
      </c>
      <c r="D20" s="508" t="s">
        <v>361</v>
      </c>
      <c r="E20" s="514" t="s">
        <v>17</v>
      </c>
      <c r="F20" s="523" t="s">
        <v>6</v>
      </c>
      <c r="G20" s="522" t="s">
        <v>7</v>
      </c>
      <c r="H20" s="523" t="s">
        <v>346</v>
      </c>
      <c r="I20" s="522" t="s">
        <v>14</v>
      </c>
      <c r="J20" s="523" t="s">
        <v>9</v>
      </c>
      <c r="K20" s="514" t="s">
        <v>359</v>
      </c>
      <c r="L20" s="523" t="s">
        <v>11</v>
      </c>
      <c r="M20" s="522" t="s">
        <v>12</v>
      </c>
      <c r="N20" s="521" t="s">
        <v>61</v>
      </c>
      <c r="O20" s="730" t="s">
        <v>362</v>
      </c>
      <c r="P20" s="729"/>
      <c r="Q20" s="491" t="s">
        <v>19</v>
      </c>
    </row>
    <row r="21" spans="1:17" x14ac:dyDescent="0.2">
      <c r="A21" s="731" t="s">
        <v>1112</v>
      </c>
      <c r="B21" s="732"/>
      <c r="C21" s="316">
        <f>'DAILY WEEKLY EXPENSES'!F641</f>
        <v>1500</v>
      </c>
      <c r="D21" s="234">
        <f>'DAILY WEEKLY EXPENSES'!G641</f>
        <v>4361.6099999999997</v>
      </c>
      <c r="E21" s="316">
        <f>'DAILY WEEKLY EXPENSES'!V641</f>
        <v>600</v>
      </c>
      <c r="F21" s="234">
        <f>'DAILY WEEKLY EXPENSES'!I641</f>
        <v>4358.5</v>
      </c>
      <c r="G21" s="316">
        <f>'DAILY WEEKLY EXPENSES'!J641</f>
        <v>0</v>
      </c>
      <c r="H21" s="234">
        <f>'DAILY WEEKLY EXPENSES'!K641</f>
        <v>575</v>
      </c>
      <c r="I21" s="316">
        <f>'DAILY WEEKLY EXPENSES'!Q641</f>
        <v>1664.63</v>
      </c>
      <c r="J21" s="234">
        <f>'DAILY WEEKLY EXPENSES'!L641</f>
        <v>34564.890000000007</v>
      </c>
      <c r="K21" s="316">
        <f>'DAILY WEEKLY EXPENSES'!S641</f>
        <v>7157.54</v>
      </c>
      <c r="L21" s="234">
        <f>'DAILY WEEKLY EXPENSES'!N641</f>
        <v>1327.8</v>
      </c>
      <c r="M21" s="316">
        <f>'DAILY WEEKLY EXPENSES'!O641</f>
        <v>16235</v>
      </c>
      <c r="N21" s="318">
        <f>'DAILY WEEKLY EXPENSES'!W641</f>
        <v>1431.12</v>
      </c>
      <c r="O21" s="733" t="str">
        <f>A21</f>
        <v>24 - 30 MAR 2025</v>
      </c>
      <c r="P21" s="734"/>
      <c r="Q21" s="497">
        <f>SUM(C21:N21)</f>
        <v>73776.09</v>
      </c>
    </row>
    <row r="22" spans="1:17" x14ac:dyDescent="0.2">
      <c r="A22" s="731" t="s">
        <v>920</v>
      </c>
      <c r="B22" s="732"/>
      <c r="C22" s="316">
        <f>'DAILY WEEKLY EXPENSES'!F691</f>
        <v>1600</v>
      </c>
      <c r="D22" s="234">
        <f>'DAILY WEEKLY EXPENSES'!G691</f>
        <v>5378.04</v>
      </c>
      <c r="E22" s="316">
        <f>'DAILY WEEKLY EXPENSES'!V691</f>
        <v>0</v>
      </c>
      <c r="F22" s="234">
        <f>'DAILY WEEKLY EXPENSES'!I691</f>
        <v>21959.25</v>
      </c>
      <c r="G22" s="316">
        <f>'DAILY WEEKLY EXPENSES'!J691</f>
        <v>0</v>
      </c>
      <c r="H22" s="234">
        <f>'DAILY WEEKLY EXPENSES'!K691</f>
        <v>0</v>
      </c>
      <c r="I22" s="316">
        <f>'DAILY WEEKLY EXPENSES'!Q691</f>
        <v>1599.66</v>
      </c>
      <c r="J22" s="234">
        <f>'DAILY WEEKLY EXPENSES'!L691</f>
        <v>20183.88</v>
      </c>
      <c r="K22" s="316">
        <f>'DAILY WEEKLY EXPENSES'!S691</f>
        <v>7157.54</v>
      </c>
      <c r="L22" s="234">
        <f>'DAILY WEEKLY EXPENSES'!N691</f>
        <v>0</v>
      </c>
      <c r="M22" s="316">
        <f>'DAILY WEEKLY EXPENSES'!O691</f>
        <v>18670</v>
      </c>
      <c r="N22" s="318">
        <f>'DAILY WEEKLY EXPENSES'!W691</f>
        <v>5485.78</v>
      </c>
      <c r="O22" s="733" t="str">
        <f>A22</f>
        <v>31 MAR - 6 APR 2025</v>
      </c>
      <c r="P22" s="734"/>
      <c r="Q22" s="497">
        <f>SUM(C22:N22)</f>
        <v>82034.149999999994</v>
      </c>
    </row>
    <row r="23" spans="1:17" x14ac:dyDescent="0.2">
      <c r="A23" s="731" t="s">
        <v>990</v>
      </c>
      <c r="B23" s="732"/>
      <c r="C23" s="316">
        <f>'DAILY WEEKLY EXPENSES'!F741</f>
        <v>1500</v>
      </c>
      <c r="D23" s="234">
        <f>'DAILY WEEKLY EXPENSES'!G741</f>
        <v>3857.89</v>
      </c>
      <c r="E23" s="316">
        <f>'DAILY WEEKLY EXPENSES'!V741</f>
        <v>0</v>
      </c>
      <c r="F23" s="234">
        <f>'DAILY WEEKLY EXPENSES'!I741</f>
        <v>19859.13</v>
      </c>
      <c r="G23" s="316">
        <f>'DAILY WEEKLY EXPENSES'!H741</f>
        <v>0</v>
      </c>
      <c r="H23" s="234">
        <f>'DAILY WEEKLY EXPENSES'!K741</f>
        <v>548.32000000000005</v>
      </c>
      <c r="I23" s="316">
        <f>'DAILY WEEKLY EXPENSES'!Q741</f>
        <v>799.84</v>
      </c>
      <c r="J23" s="234">
        <f>'DAILY WEEKLY EXPENSES'!L741</f>
        <v>28241.969999999998</v>
      </c>
      <c r="K23" s="316">
        <f>'DAILY WEEKLY EXPENSES'!S741</f>
        <v>7157.54</v>
      </c>
      <c r="L23" s="234">
        <f>'DAILY WEEKLY EXPENSES'!N741</f>
        <v>0</v>
      </c>
      <c r="M23" s="316">
        <f>'DAILY WEEKLY EXPENSES'!O741</f>
        <v>14820</v>
      </c>
      <c r="N23" s="318">
        <f>'DAILY WEEKLY EXPENSES'!W741</f>
        <v>2448.2399999999998</v>
      </c>
      <c r="O23" s="733" t="str">
        <f>A23</f>
        <v>7 - 13 APR 2025</v>
      </c>
      <c r="P23" s="734"/>
      <c r="Q23" s="497">
        <f>SUM(C23:N23)</f>
        <v>79232.930000000008</v>
      </c>
    </row>
    <row r="24" spans="1:17" ht="16" thickBot="1" x14ac:dyDescent="0.25">
      <c r="A24" s="731" t="s">
        <v>1026</v>
      </c>
      <c r="B24" s="732"/>
      <c r="C24" s="323">
        <f>'DAILY WEEKLY EXPENSES'!F791</f>
        <v>1500</v>
      </c>
      <c r="D24" s="324">
        <f>'DAILY WEEKLY EXPENSES'!G791</f>
        <v>6557.04</v>
      </c>
      <c r="E24" s="323">
        <f>'DAILY WEEKLY EXPENSES'!V791</f>
        <v>0</v>
      </c>
      <c r="F24" s="324">
        <f>'DAILY WEEKLY EXPENSES'!I791</f>
        <v>33752.5</v>
      </c>
      <c r="G24" s="323">
        <f>'DAILY WEEKLY EXPENSES'!J791</f>
        <v>0</v>
      </c>
      <c r="H24" s="324">
        <f>'DAILY WEEKLY EXPENSES'!K791</f>
        <v>548.32000000000005</v>
      </c>
      <c r="I24" s="323">
        <f>'DAILY WEEKLY EXPENSES'!Q791</f>
        <v>2401.4699999999998</v>
      </c>
      <c r="J24" s="324">
        <f>'DAILY WEEKLY EXPENSES'!L791</f>
        <v>45594.090000000004</v>
      </c>
      <c r="K24" s="323">
        <f>'DAILY WEEKLY EXPENSES'!S791</f>
        <v>7157.54</v>
      </c>
      <c r="L24" s="324">
        <f>'DAILY WEEKLY EXPENSES'!N791</f>
        <v>1005</v>
      </c>
      <c r="M24" s="323">
        <f>'DAILY WEEKLY EXPENSES'!O791</f>
        <v>0</v>
      </c>
      <c r="N24" s="466">
        <f>'DAILY WEEKLY EXPENSES'!W791</f>
        <v>4592.97</v>
      </c>
      <c r="O24" s="733" t="str">
        <f>A24</f>
        <v>14 - 20 APR 2025</v>
      </c>
      <c r="P24" s="734"/>
      <c r="Q24" s="498">
        <f>SUM(C24:N24)</f>
        <v>103108.93000000001</v>
      </c>
    </row>
    <row r="25" spans="1:17" ht="17" thickBot="1" x14ac:dyDescent="0.25">
      <c r="A25" s="728" t="s">
        <v>363</v>
      </c>
      <c r="B25" s="729"/>
      <c r="C25" s="506">
        <f t="shared" ref="C25:O25" si="3">SUM(C21:C24)</f>
        <v>6100</v>
      </c>
      <c r="D25" s="511">
        <f t="shared" si="3"/>
        <v>20154.579999999998</v>
      </c>
      <c r="E25" s="506">
        <f t="shared" si="3"/>
        <v>600</v>
      </c>
      <c r="F25" s="511">
        <f t="shared" si="3"/>
        <v>79929.38</v>
      </c>
      <c r="G25" s="506">
        <f t="shared" si="3"/>
        <v>0</v>
      </c>
      <c r="H25" s="511">
        <f t="shared" si="3"/>
        <v>1671.6400000000003</v>
      </c>
      <c r="I25" s="506">
        <f t="shared" si="3"/>
        <v>6465.6</v>
      </c>
      <c r="J25" s="511">
        <f t="shared" si="3"/>
        <v>128584.83000000002</v>
      </c>
      <c r="K25" s="506">
        <f t="shared" si="3"/>
        <v>28630.16</v>
      </c>
      <c r="L25" s="511">
        <f t="shared" si="3"/>
        <v>2332.8000000000002</v>
      </c>
      <c r="M25" s="506">
        <f t="shared" si="3"/>
        <v>49725</v>
      </c>
      <c r="N25" s="530">
        <f t="shared" si="3"/>
        <v>13958.11</v>
      </c>
      <c r="O25" s="503">
        <f t="shared" si="3"/>
        <v>0</v>
      </c>
      <c r="P25" s="487" t="s">
        <v>350</v>
      </c>
      <c r="Q25" s="496">
        <f>SUM(Q21:Q24)</f>
        <v>338152.1</v>
      </c>
    </row>
    <row r="26" spans="1:17" ht="33" thickBot="1" x14ac:dyDescent="0.25">
      <c r="A26" s="728" t="s">
        <v>362</v>
      </c>
      <c r="B26" s="729"/>
      <c r="C26" s="504" t="s">
        <v>360</v>
      </c>
      <c r="D26" s="508" t="s">
        <v>361</v>
      </c>
      <c r="E26" s="514" t="s">
        <v>17</v>
      </c>
      <c r="F26" s="523" t="s">
        <v>6</v>
      </c>
      <c r="G26" s="522" t="s">
        <v>7</v>
      </c>
      <c r="H26" s="521" t="s">
        <v>346</v>
      </c>
      <c r="I26" s="522" t="s">
        <v>14</v>
      </c>
      <c r="J26" s="523" t="s">
        <v>9</v>
      </c>
      <c r="K26" s="514" t="s">
        <v>359</v>
      </c>
      <c r="L26" s="523" t="s">
        <v>11</v>
      </c>
      <c r="M26" s="522" t="s">
        <v>12</v>
      </c>
      <c r="N26" s="521" t="s">
        <v>61</v>
      </c>
      <c r="O26" s="730" t="s">
        <v>362</v>
      </c>
      <c r="P26" s="729"/>
      <c r="Q26" s="491" t="s">
        <v>19</v>
      </c>
    </row>
    <row r="27" spans="1:17" x14ac:dyDescent="0.2">
      <c r="A27" s="731" t="s">
        <v>1058</v>
      </c>
      <c r="B27" s="732"/>
      <c r="C27" s="320">
        <f>'DAILY WEEKLY EXPENSES'!F841</f>
        <v>1500</v>
      </c>
      <c r="D27" s="233">
        <f>'DAILY WEEKLY EXPENSES'!G841</f>
        <v>5328.95</v>
      </c>
      <c r="E27" s="320">
        <f>'DAILY WEEKLY EXPENSES'!V841</f>
        <v>0</v>
      </c>
      <c r="F27" s="233">
        <f>'DAILY WEEKLY EXPENSES'!I841</f>
        <v>0</v>
      </c>
      <c r="G27" s="320">
        <f>'DAILY WEEKLY EXPENSES'!J841</f>
        <v>0</v>
      </c>
      <c r="H27" s="317">
        <f>'DAILY WEEKLY EXPENSES'!K841</f>
        <v>0</v>
      </c>
      <c r="I27" s="320">
        <f>'DAILY WEEKLY EXPENSES'!Q841</f>
        <v>1790.2</v>
      </c>
      <c r="J27" s="233">
        <f>'DAILY WEEKLY EXPENSES'!L841</f>
        <v>29274.160000000003</v>
      </c>
      <c r="K27" s="320">
        <f>'DAILY WEEKLY EXPENSES'!S841</f>
        <v>7157.54</v>
      </c>
      <c r="L27" s="233">
        <f>'DAILY WEEKLY EXPENSES'!N841</f>
        <v>5733.9</v>
      </c>
      <c r="M27" s="320">
        <f>'DAILY WEEKLY EXPENSES'!O841</f>
        <v>43235</v>
      </c>
      <c r="N27" s="317">
        <f>'DAILY WEEKLY EXPENSES'!W841</f>
        <v>807.99</v>
      </c>
      <c r="O27" s="733" t="str">
        <f>A27</f>
        <v>21 - 27 APR 2025</v>
      </c>
      <c r="P27" s="734"/>
      <c r="Q27" s="499">
        <f>SUM(C27:N27)</f>
        <v>94827.74</v>
      </c>
    </row>
    <row r="28" spans="1:17" x14ac:dyDescent="0.2">
      <c r="A28" s="731" t="s">
        <v>1092</v>
      </c>
      <c r="B28" s="732"/>
      <c r="C28" s="316">
        <f>'DAILY WEEKLY EXPENSES'!F891</f>
        <v>1500</v>
      </c>
      <c r="D28" s="234">
        <f>'DAILY WEEKLY EXPENSES'!G891</f>
        <v>5181.1499999999996</v>
      </c>
      <c r="E28" s="316">
        <f>'DAILY WEEKLY EXPENSES'!V891</f>
        <v>0</v>
      </c>
      <c r="F28" s="234">
        <f>'DAILY WEEKLY EXPENSES'!I891</f>
        <v>20531.88</v>
      </c>
      <c r="G28" s="316">
        <f>'DAILY WEEKLY EXPENSES'!J891</f>
        <v>0</v>
      </c>
      <c r="H28" s="318">
        <f>'DAILY WEEKLY EXPENSES'!K891</f>
        <v>0</v>
      </c>
      <c r="I28" s="316">
        <f>'DAILY WEEKLY EXPENSES'!Q891</f>
        <v>2302.39</v>
      </c>
      <c r="J28" s="234">
        <f>'DAILY WEEKLY EXPENSES'!L891</f>
        <v>38351.599999999999</v>
      </c>
      <c r="K28" s="316">
        <f>'DAILY WEEKLY EXPENSES'!S891</f>
        <v>7157.54</v>
      </c>
      <c r="L28" s="234">
        <f>'DAILY WEEKLY EXPENSES'!N891</f>
        <v>0</v>
      </c>
      <c r="M28" s="316">
        <f>'DAILY WEEKLY EXPENSES'!O891</f>
        <v>19450</v>
      </c>
      <c r="N28" s="318">
        <f>'DAILY WEEKLY EXPENSES'!W891</f>
        <v>1384.96</v>
      </c>
      <c r="O28" s="733" t="str">
        <f>A28</f>
        <v>28 APR - 4 MAY 2025</v>
      </c>
      <c r="P28" s="734"/>
      <c r="Q28" s="497">
        <f>SUM(C28:N28)</f>
        <v>95859.51999999999</v>
      </c>
    </row>
    <row r="29" spans="1:17" x14ac:dyDescent="0.2">
      <c r="A29" s="731"/>
      <c r="B29" s="732"/>
      <c r="C29" s="316"/>
      <c r="D29" s="234"/>
      <c r="E29" s="316"/>
      <c r="F29" s="234"/>
      <c r="G29" s="316"/>
      <c r="H29" s="318"/>
      <c r="I29" s="316"/>
      <c r="J29" s="234"/>
      <c r="K29" s="316"/>
      <c r="L29" s="234"/>
      <c r="M29" s="316"/>
      <c r="N29" s="318"/>
      <c r="O29" s="733">
        <f>A29</f>
        <v>0</v>
      </c>
      <c r="P29" s="734"/>
      <c r="Q29" s="497">
        <f>SUM(C29:N29)</f>
        <v>0</v>
      </c>
    </row>
    <row r="30" spans="1:17" ht="17" thickBot="1" x14ac:dyDescent="0.25">
      <c r="A30" s="731"/>
      <c r="B30" s="732"/>
      <c r="C30" s="488"/>
      <c r="D30" s="512"/>
      <c r="E30" s="488"/>
      <c r="F30" s="512"/>
      <c r="G30" s="533"/>
      <c r="H30" s="532"/>
      <c r="I30" s="488"/>
      <c r="J30" s="512"/>
      <c r="K30" s="488"/>
      <c r="L30" s="512"/>
      <c r="M30" s="488"/>
      <c r="N30" s="531"/>
      <c r="O30" s="733">
        <f>A30</f>
        <v>0</v>
      </c>
      <c r="P30" s="734"/>
      <c r="Q30" s="500">
        <f>SUM(C30:N30)</f>
        <v>0</v>
      </c>
    </row>
    <row r="31" spans="1:17" ht="17" thickBot="1" x14ac:dyDescent="0.25">
      <c r="A31" s="728" t="s">
        <v>363</v>
      </c>
      <c r="B31" s="729"/>
      <c r="C31" s="506">
        <f t="shared" ref="C31:O31" si="4">SUM(C27:C30)</f>
        <v>3000</v>
      </c>
      <c r="D31" s="511">
        <f t="shared" si="4"/>
        <v>10510.099999999999</v>
      </c>
      <c r="E31" s="506">
        <f t="shared" si="4"/>
        <v>0</v>
      </c>
      <c r="F31" s="511">
        <f t="shared" si="4"/>
        <v>20531.88</v>
      </c>
      <c r="G31" s="506">
        <f t="shared" si="4"/>
        <v>0</v>
      </c>
      <c r="H31" s="511">
        <f t="shared" si="4"/>
        <v>0</v>
      </c>
      <c r="I31" s="506">
        <f t="shared" si="4"/>
        <v>4092.59</v>
      </c>
      <c r="J31" s="511">
        <f t="shared" si="4"/>
        <v>67625.760000000009</v>
      </c>
      <c r="K31" s="506">
        <f t="shared" si="4"/>
        <v>14315.08</v>
      </c>
      <c r="L31" s="511">
        <f t="shared" si="4"/>
        <v>5733.9</v>
      </c>
      <c r="M31" s="506">
        <f t="shared" si="4"/>
        <v>62685</v>
      </c>
      <c r="N31" s="530">
        <f t="shared" si="4"/>
        <v>2192.9499999999998</v>
      </c>
      <c r="O31" s="503">
        <f t="shared" si="4"/>
        <v>0</v>
      </c>
      <c r="P31" s="487" t="s">
        <v>351</v>
      </c>
      <c r="Q31" s="496">
        <f>SUM(Q27:Q30)</f>
        <v>190687.26</v>
      </c>
    </row>
    <row r="32" spans="1:17" ht="33" thickBot="1" x14ac:dyDescent="0.25">
      <c r="A32" s="728" t="s">
        <v>362</v>
      </c>
      <c r="B32" s="729"/>
      <c r="C32" s="504" t="s">
        <v>360</v>
      </c>
      <c r="D32" s="508" t="s">
        <v>361</v>
      </c>
      <c r="E32" s="514" t="s">
        <v>17</v>
      </c>
      <c r="F32" s="523" t="s">
        <v>6</v>
      </c>
      <c r="G32" s="522" t="s">
        <v>7</v>
      </c>
      <c r="H32" s="523" t="s">
        <v>346</v>
      </c>
      <c r="I32" s="522" t="s">
        <v>14</v>
      </c>
      <c r="J32" s="523" t="s">
        <v>9</v>
      </c>
      <c r="K32" s="514" t="s">
        <v>359</v>
      </c>
      <c r="L32" s="523" t="s">
        <v>11</v>
      </c>
      <c r="M32" s="522" t="s">
        <v>12</v>
      </c>
      <c r="N32" s="521" t="s">
        <v>61</v>
      </c>
      <c r="O32" s="730" t="s">
        <v>362</v>
      </c>
      <c r="P32" s="729"/>
      <c r="Q32" s="491" t="s">
        <v>19</v>
      </c>
    </row>
    <row r="33" spans="1:17" x14ac:dyDescent="0.2">
      <c r="A33" s="731"/>
      <c r="B33" s="732"/>
      <c r="C33" s="320"/>
      <c r="D33" s="233"/>
      <c r="E33" s="320"/>
      <c r="F33" s="233"/>
      <c r="G33" s="320"/>
      <c r="H33" s="233"/>
      <c r="I33" s="320"/>
      <c r="J33" s="233"/>
      <c r="K33" s="534"/>
      <c r="L33" s="233"/>
      <c r="M33" s="320"/>
      <c r="N33" s="317"/>
      <c r="O33" s="733">
        <f>A33</f>
        <v>0</v>
      </c>
      <c r="P33" s="734"/>
      <c r="Q33" s="499">
        <f>SUM(C33:N33)</f>
        <v>0</v>
      </c>
    </row>
    <row r="34" spans="1:17" x14ac:dyDescent="0.2">
      <c r="A34" s="731"/>
      <c r="B34" s="732"/>
      <c r="C34" s="316"/>
      <c r="D34" s="234"/>
      <c r="E34" s="316"/>
      <c r="F34" s="234"/>
      <c r="G34" s="316"/>
      <c r="H34" s="234"/>
      <c r="I34" s="316"/>
      <c r="J34" s="234"/>
      <c r="K34" s="316"/>
      <c r="L34" s="234"/>
      <c r="M34" s="316"/>
      <c r="N34" s="318"/>
      <c r="O34" s="733">
        <f>A34</f>
        <v>0</v>
      </c>
      <c r="P34" s="734"/>
      <c r="Q34" s="497">
        <f>SUM(C34:N34)</f>
        <v>0</v>
      </c>
    </row>
    <row r="35" spans="1:17" x14ac:dyDescent="0.2">
      <c r="A35" s="731"/>
      <c r="B35" s="732"/>
      <c r="C35" s="316"/>
      <c r="D35" s="234"/>
      <c r="E35" s="316"/>
      <c r="F35" s="234"/>
      <c r="G35" s="316"/>
      <c r="H35" s="234"/>
      <c r="I35" s="316"/>
      <c r="J35" s="234"/>
      <c r="K35" s="535"/>
      <c r="L35" s="234"/>
      <c r="M35" s="316"/>
      <c r="N35" s="318"/>
      <c r="O35" s="733">
        <f>A35</f>
        <v>0</v>
      </c>
      <c r="P35" s="734"/>
      <c r="Q35" s="497">
        <f>SUM(C35:N35)</f>
        <v>0</v>
      </c>
    </row>
    <row r="36" spans="1:17" ht="16" thickBot="1" x14ac:dyDescent="0.25">
      <c r="A36" s="731"/>
      <c r="B36" s="732"/>
      <c r="C36" s="323"/>
      <c r="D36" s="324"/>
      <c r="E36" s="323"/>
      <c r="F36" s="324"/>
      <c r="G36" s="323"/>
      <c r="H36" s="324"/>
      <c r="I36" s="323"/>
      <c r="J36" s="324"/>
      <c r="K36" s="323"/>
      <c r="L36" s="324"/>
      <c r="M36" s="323"/>
      <c r="N36" s="466"/>
      <c r="O36" s="733">
        <f>A36</f>
        <v>0</v>
      </c>
      <c r="P36" s="734"/>
      <c r="Q36" s="498">
        <f>SUM(C36:N36)</f>
        <v>0</v>
      </c>
    </row>
    <row r="37" spans="1:17" ht="17" thickBot="1" x14ac:dyDescent="0.25">
      <c r="A37" s="728" t="s">
        <v>363</v>
      </c>
      <c r="B37" s="729"/>
      <c r="C37" s="506">
        <f t="shared" ref="C37:O37" si="5">SUM(C33:C36)</f>
        <v>0</v>
      </c>
      <c r="D37" s="511">
        <f t="shared" si="5"/>
        <v>0</v>
      </c>
      <c r="E37" s="506">
        <f t="shared" si="5"/>
        <v>0</v>
      </c>
      <c r="F37" s="511">
        <f t="shared" si="5"/>
        <v>0</v>
      </c>
      <c r="G37" s="506">
        <f t="shared" si="5"/>
        <v>0</v>
      </c>
      <c r="H37" s="511">
        <f t="shared" si="5"/>
        <v>0</v>
      </c>
      <c r="I37" s="506">
        <f t="shared" si="5"/>
        <v>0</v>
      </c>
      <c r="J37" s="511">
        <f t="shared" si="5"/>
        <v>0</v>
      </c>
      <c r="K37" s="506">
        <f t="shared" si="5"/>
        <v>0</v>
      </c>
      <c r="L37" s="511">
        <f t="shared" si="5"/>
        <v>0</v>
      </c>
      <c r="M37" s="506">
        <f t="shared" si="5"/>
        <v>0</v>
      </c>
      <c r="N37" s="530">
        <f t="shared" si="5"/>
        <v>0</v>
      </c>
      <c r="O37" s="503">
        <f t="shared" si="5"/>
        <v>0</v>
      </c>
      <c r="P37" s="487" t="s">
        <v>352</v>
      </c>
      <c r="Q37" s="496">
        <f>SUM(Q33:Q36)</f>
        <v>0</v>
      </c>
    </row>
    <row r="38" spans="1:17" ht="33" thickBot="1" x14ac:dyDescent="0.25">
      <c r="A38" s="728" t="s">
        <v>362</v>
      </c>
      <c r="B38" s="729"/>
      <c r="C38" s="504" t="s">
        <v>360</v>
      </c>
      <c r="D38" s="508" t="s">
        <v>361</v>
      </c>
      <c r="E38" s="514" t="s">
        <v>17</v>
      </c>
      <c r="F38" s="523" t="s">
        <v>6</v>
      </c>
      <c r="G38" s="522" t="s">
        <v>7</v>
      </c>
      <c r="H38" s="523" t="s">
        <v>346</v>
      </c>
      <c r="I38" s="522" t="s">
        <v>14</v>
      </c>
      <c r="J38" s="523" t="s">
        <v>9</v>
      </c>
      <c r="K38" s="514" t="s">
        <v>359</v>
      </c>
      <c r="L38" s="523" t="s">
        <v>11</v>
      </c>
      <c r="M38" s="522" t="s">
        <v>12</v>
      </c>
      <c r="N38" s="521" t="s">
        <v>61</v>
      </c>
      <c r="O38" s="730" t="s">
        <v>362</v>
      </c>
      <c r="P38" s="729"/>
      <c r="Q38" s="491" t="s">
        <v>19</v>
      </c>
    </row>
    <row r="39" spans="1:17" x14ac:dyDescent="0.2">
      <c r="A39" s="742"/>
      <c r="B39" s="739"/>
      <c r="C39" s="316"/>
      <c r="D39" s="234"/>
      <c r="E39" s="316"/>
      <c r="F39" s="234"/>
      <c r="G39" s="316"/>
      <c r="H39" s="234"/>
      <c r="I39" s="316"/>
      <c r="J39" s="234"/>
      <c r="K39" s="316"/>
      <c r="L39" s="234"/>
      <c r="M39" s="316"/>
      <c r="N39" s="318"/>
      <c r="O39" s="733">
        <f>A39</f>
        <v>0</v>
      </c>
      <c r="P39" s="734"/>
      <c r="Q39" s="497">
        <f>SUM(C39:N39)</f>
        <v>0</v>
      </c>
    </row>
    <row r="40" spans="1:17" x14ac:dyDescent="0.2">
      <c r="A40" s="742"/>
      <c r="B40" s="739"/>
      <c r="C40" s="316"/>
      <c r="D40" s="234"/>
      <c r="E40" s="316"/>
      <c r="F40" s="234"/>
      <c r="G40" s="316"/>
      <c r="H40" s="234"/>
      <c r="I40" s="316"/>
      <c r="J40" s="234"/>
      <c r="K40" s="316"/>
      <c r="L40" s="234"/>
      <c r="M40" s="316"/>
      <c r="N40" s="318"/>
      <c r="O40" s="733">
        <f>A40</f>
        <v>0</v>
      </c>
      <c r="P40" s="734"/>
      <c r="Q40" s="497">
        <f>SUM(C40:N40)</f>
        <v>0</v>
      </c>
    </row>
    <row r="41" spans="1:17" x14ac:dyDescent="0.2">
      <c r="A41" s="742"/>
      <c r="B41" s="739"/>
      <c r="C41" s="316"/>
      <c r="D41" s="234"/>
      <c r="E41" s="316"/>
      <c r="F41" s="234"/>
      <c r="G41" s="316"/>
      <c r="H41" s="234"/>
      <c r="I41" s="316"/>
      <c r="J41" s="234"/>
      <c r="K41" s="316"/>
      <c r="L41" s="234"/>
      <c r="M41" s="316"/>
      <c r="N41" s="318"/>
      <c r="O41" s="733">
        <f>A41</f>
        <v>0</v>
      </c>
      <c r="P41" s="734"/>
      <c r="Q41" s="497">
        <f>SUM(C41:N41)</f>
        <v>0</v>
      </c>
    </row>
    <row r="42" spans="1:17" ht="16" thickBot="1" x14ac:dyDescent="0.25">
      <c r="A42" s="742"/>
      <c r="B42" s="739"/>
      <c r="C42" s="323"/>
      <c r="D42" s="324"/>
      <c r="E42" s="323"/>
      <c r="F42" s="324"/>
      <c r="G42" s="323"/>
      <c r="H42" s="324"/>
      <c r="I42" s="323"/>
      <c r="J42" s="324"/>
      <c r="K42" s="323"/>
      <c r="L42" s="324"/>
      <c r="M42" s="323"/>
      <c r="N42" s="466"/>
      <c r="O42" s="733">
        <f>A42</f>
        <v>0</v>
      </c>
      <c r="P42" s="741"/>
      <c r="Q42" s="498">
        <f>SUM(C42:N42)</f>
        <v>0</v>
      </c>
    </row>
    <row r="43" spans="1:17" ht="17" thickBot="1" x14ac:dyDescent="0.25">
      <c r="A43" s="728" t="s">
        <v>363</v>
      </c>
      <c r="B43" s="729"/>
      <c r="C43" s="506">
        <f t="shared" ref="C43:O43" si="6">SUM(C39:C42)</f>
        <v>0</v>
      </c>
      <c r="D43" s="511">
        <f t="shared" si="6"/>
        <v>0</v>
      </c>
      <c r="E43" s="506">
        <f t="shared" si="6"/>
        <v>0</v>
      </c>
      <c r="F43" s="511">
        <f t="shared" si="6"/>
        <v>0</v>
      </c>
      <c r="G43" s="506">
        <f t="shared" si="6"/>
        <v>0</v>
      </c>
      <c r="H43" s="511">
        <f t="shared" si="6"/>
        <v>0</v>
      </c>
      <c r="I43" s="506">
        <f t="shared" si="6"/>
        <v>0</v>
      </c>
      <c r="J43" s="511">
        <f t="shared" si="6"/>
        <v>0</v>
      </c>
      <c r="K43" s="506">
        <f t="shared" si="6"/>
        <v>0</v>
      </c>
      <c r="L43" s="511">
        <f t="shared" si="6"/>
        <v>0</v>
      </c>
      <c r="M43" s="506">
        <f t="shared" si="6"/>
        <v>0</v>
      </c>
      <c r="N43" s="530">
        <f t="shared" si="6"/>
        <v>0</v>
      </c>
      <c r="O43" s="503">
        <f t="shared" si="6"/>
        <v>0</v>
      </c>
      <c r="P43" s="487" t="s">
        <v>353</v>
      </c>
      <c r="Q43" s="496">
        <f>SUM(Q39:Q42)</f>
        <v>0</v>
      </c>
    </row>
    <row r="44" spans="1:17" ht="33" thickBot="1" x14ac:dyDescent="0.25">
      <c r="A44" s="728" t="s">
        <v>362</v>
      </c>
      <c r="B44" s="729"/>
      <c r="C44" s="504" t="s">
        <v>360</v>
      </c>
      <c r="D44" s="508" t="s">
        <v>361</v>
      </c>
      <c r="E44" s="514" t="s">
        <v>17</v>
      </c>
      <c r="F44" s="523" t="s">
        <v>6</v>
      </c>
      <c r="G44" s="522" t="s">
        <v>7</v>
      </c>
      <c r="H44" s="523" t="s">
        <v>346</v>
      </c>
      <c r="I44" s="522" t="s">
        <v>14</v>
      </c>
      <c r="J44" s="523" t="s">
        <v>9</v>
      </c>
      <c r="K44" s="514" t="s">
        <v>359</v>
      </c>
      <c r="L44" s="523" t="s">
        <v>11</v>
      </c>
      <c r="M44" s="522" t="s">
        <v>12</v>
      </c>
      <c r="N44" s="521" t="s">
        <v>61</v>
      </c>
      <c r="O44" s="730" t="s">
        <v>362</v>
      </c>
      <c r="P44" s="729"/>
      <c r="Q44" s="491" t="s">
        <v>19</v>
      </c>
    </row>
    <row r="45" spans="1:17" x14ac:dyDescent="0.2">
      <c r="A45" s="742"/>
      <c r="B45" s="739"/>
      <c r="C45" s="316"/>
      <c r="D45" s="234"/>
      <c r="E45" s="316"/>
      <c r="F45" s="234"/>
      <c r="G45" s="316"/>
      <c r="H45" s="234"/>
      <c r="I45" s="316"/>
      <c r="J45" s="234"/>
      <c r="K45" s="316"/>
      <c r="L45" s="234"/>
      <c r="M45" s="316"/>
      <c r="N45" s="318"/>
      <c r="O45" s="733">
        <f>A45</f>
        <v>0</v>
      </c>
      <c r="P45" s="734"/>
      <c r="Q45" s="497">
        <f>SUM(C45:N45)</f>
        <v>0</v>
      </c>
    </row>
    <row r="46" spans="1:17" x14ac:dyDescent="0.2">
      <c r="A46" s="742"/>
      <c r="B46" s="739"/>
      <c r="C46" s="316"/>
      <c r="D46" s="234"/>
      <c r="E46" s="316"/>
      <c r="F46" s="234"/>
      <c r="G46" s="316"/>
      <c r="H46" s="234"/>
      <c r="I46" s="316"/>
      <c r="J46" s="234"/>
      <c r="K46" s="316"/>
      <c r="L46" s="234"/>
      <c r="M46" s="316"/>
      <c r="N46" s="318"/>
      <c r="O46" s="733">
        <f>A46</f>
        <v>0</v>
      </c>
      <c r="P46" s="739"/>
      <c r="Q46" s="497">
        <f>SUM(C46:N46)</f>
        <v>0</v>
      </c>
    </row>
    <row r="47" spans="1:17" x14ac:dyDescent="0.2">
      <c r="A47" s="742"/>
      <c r="B47" s="739"/>
      <c r="C47" s="316"/>
      <c r="D47" s="234"/>
      <c r="E47" s="316"/>
      <c r="F47" s="234"/>
      <c r="G47" s="316"/>
      <c r="H47" s="234"/>
      <c r="I47" s="316"/>
      <c r="J47" s="234"/>
      <c r="K47" s="316"/>
      <c r="L47" s="234"/>
      <c r="M47" s="316"/>
      <c r="N47" s="318"/>
      <c r="O47" s="733">
        <f>A47</f>
        <v>0</v>
      </c>
      <c r="P47" s="734"/>
      <c r="Q47" s="497">
        <f>SUM(C47:N47)</f>
        <v>0</v>
      </c>
    </row>
    <row r="48" spans="1:17" ht="16" thickBot="1" x14ac:dyDescent="0.25">
      <c r="A48" s="742"/>
      <c r="B48" s="739"/>
      <c r="C48" s="323"/>
      <c r="D48" s="324"/>
      <c r="E48" s="323"/>
      <c r="F48" s="324"/>
      <c r="G48" s="323"/>
      <c r="H48" s="324"/>
      <c r="I48" s="323"/>
      <c r="J48" s="324"/>
      <c r="K48" s="323"/>
      <c r="L48" s="324"/>
      <c r="M48" s="323"/>
      <c r="N48" s="466"/>
      <c r="O48" s="733">
        <f>A48</f>
        <v>0</v>
      </c>
      <c r="P48" s="734"/>
      <c r="Q48" s="498">
        <f>SUM(C48:N48)</f>
        <v>0</v>
      </c>
    </row>
    <row r="49" spans="1:17" ht="17" thickBot="1" x14ac:dyDescent="0.25">
      <c r="A49" s="728" t="s">
        <v>363</v>
      </c>
      <c r="B49" s="729"/>
      <c r="C49" s="506">
        <f t="shared" ref="C49:O49" si="7">SUM(C45:C48)</f>
        <v>0</v>
      </c>
      <c r="D49" s="511">
        <f t="shared" si="7"/>
        <v>0</v>
      </c>
      <c r="E49" s="506">
        <f t="shared" si="7"/>
        <v>0</v>
      </c>
      <c r="F49" s="511">
        <f t="shared" si="7"/>
        <v>0</v>
      </c>
      <c r="G49" s="506">
        <f t="shared" si="7"/>
        <v>0</v>
      </c>
      <c r="H49" s="511">
        <f t="shared" si="7"/>
        <v>0</v>
      </c>
      <c r="I49" s="506">
        <f t="shared" si="7"/>
        <v>0</v>
      </c>
      <c r="J49" s="511">
        <f t="shared" si="7"/>
        <v>0</v>
      </c>
      <c r="K49" s="506">
        <f t="shared" si="7"/>
        <v>0</v>
      </c>
      <c r="L49" s="511">
        <f t="shared" si="7"/>
        <v>0</v>
      </c>
      <c r="M49" s="506">
        <f t="shared" si="7"/>
        <v>0</v>
      </c>
      <c r="N49" s="530">
        <f t="shared" si="7"/>
        <v>0</v>
      </c>
      <c r="O49" s="503">
        <f t="shared" si="7"/>
        <v>0</v>
      </c>
      <c r="P49" s="331" t="s">
        <v>354</v>
      </c>
      <c r="Q49" s="501">
        <f>SUM(Q45:Q48)</f>
        <v>0</v>
      </c>
    </row>
    <row r="50" spans="1:17" ht="33" thickBot="1" x14ac:dyDescent="0.25">
      <c r="A50" s="728" t="s">
        <v>362</v>
      </c>
      <c r="B50" s="729"/>
      <c r="C50" s="504" t="s">
        <v>360</v>
      </c>
      <c r="D50" s="508" t="s">
        <v>361</v>
      </c>
      <c r="E50" s="514" t="s">
        <v>17</v>
      </c>
      <c r="F50" s="523" t="s">
        <v>6</v>
      </c>
      <c r="G50" s="522" t="s">
        <v>7</v>
      </c>
      <c r="H50" s="523" t="s">
        <v>346</v>
      </c>
      <c r="I50" s="522" t="s">
        <v>14</v>
      </c>
      <c r="J50" s="523" t="s">
        <v>9</v>
      </c>
      <c r="K50" s="514" t="s">
        <v>359</v>
      </c>
      <c r="L50" s="523" t="s">
        <v>11</v>
      </c>
      <c r="M50" s="522" t="s">
        <v>12</v>
      </c>
      <c r="N50" s="521" t="s">
        <v>61</v>
      </c>
      <c r="O50" s="730" t="s">
        <v>362</v>
      </c>
      <c r="P50" s="729"/>
      <c r="Q50" s="489" t="s">
        <v>19</v>
      </c>
    </row>
    <row r="51" spans="1:17" x14ac:dyDescent="0.2">
      <c r="A51" s="742"/>
      <c r="B51" s="739"/>
      <c r="C51" s="316"/>
      <c r="D51" s="234"/>
      <c r="E51" s="316"/>
      <c r="F51" s="234"/>
      <c r="G51" s="316"/>
      <c r="H51" s="234"/>
      <c r="I51" s="316"/>
      <c r="J51" s="234"/>
      <c r="K51" s="316"/>
      <c r="L51" s="234"/>
      <c r="M51" s="316"/>
      <c r="N51" s="318"/>
      <c r="O51" s="733">
        <f>A51</f>
        <v>0</v>
      </c>
      <c r="P51" s="733"/>
      <c r="Q51" s="498">
        <f>SUM(C51:N51)</f>
        <v>0</v>
      </c>
    </row>
    <row r="52" spans="1:17" x14ac:dyDescent="0.2">
      <c r="A52" s="742"/>
      <c r="B52" s="739"/>
      <c r="C52" s="316"/>
      <c r="D52" s="234"/>
      <c r="E52" s="316"/>
      <c r="F52" s="234"/>
      <c r="G52" s="316"/>
      <c r="H52" s="234"/>
      <c r="I52" s="316"/>
      <c r="J52" s="234"/>
      <c r="K52" s="316"/>
      <c r="L52" s="234"/>
      <c r="M52" s="316"/>
      <c r="N52" s="318"/>
      <c r="O52" s="733">
        <f>A52</f>
        <v>0</v>
      </c>
      <c r="P52" s="733"/>
      <c r="Q52" s="497">
        <f>SUM(C52:N52)</f>
        <v>0</v>
      </c>
    </row>
    <row r="53" spans="1:17" x14ac:dyDescent="0.2">
      <c r="A53" s="742"/>
      <c r="B53" s="739"/>
      <c r="C53" s="316"/>
      <c r="D53" s="234"/>
      <c r="E53" s="316"/>
      <c r="F53" s="234"/>
      <c r="G53" s="316"/>
      <c r="H53" s="234"/>
      <c r="I53" s="316"/>
      <c r="J53" s="234"/>
      <c r="K53" s="316"/>
      <c r="L53" s="234"/>
      <c r="M53" s="316"/>
      <c r="N53" s="318"/>
      <c r="O53" s="733">
        <f>A53</f>
        <v>0</v>
      </c>
      <c r="P53" s="733"/>
      <c r="Q53" s="497">
        <f>SUM(C53:N53)</f>
        <v>0</v>
      </c>
    </row>
    <row r="54" spans="1:17" ht="16" thickBot="1" x14ac:dyDescent="0.25">
      <c r="A54" s="742"/>
      <c r="B54" s="739"/>
      <c r="C54" s="323"/>
      <c r="D54" s="324"/>
      <c r="E54" s="323"/>
      <c r="F54" s="324"/>
      <c r="G54" s="323"/>
      <c r="H54" s="324"/>
      <c r="I54" s="323"/>
      <c r="J54" s="324"/>
      <c r="K54" s="323"/>
      <c r="L54" s="324"/>
      <c r="M54" s="323"/>
      <c r="N54" s="466"/>
      <c r="O54" s="733">
        <f>A54</f>
        <v>0</v>
      </c>
      <c r="P54" s="733"/>
      <c r="Q54" s="497">
        <f>SUM(C54:N54)</f>
        <v>0</v>
      </c>
    </row>
    <row r="55" spans="1:17" ht="17" thickBot="1" x14ac:dyDescent="0.25">
      <c r="A55" s="728" t="s">
        <v>363</v>
      </c>
      <c r="B55" s="729"/>
      <c r="C55" s="506">
        <f t="shared" ref="C55:O55" si="8">SUM(C51:C54)</f>
        <v>0</v>
      </c>
      <c r="D55" s="511">
        <f t="shared" si="8"/>
        <v>0</v>
      </c>
      <c r="E55" s="506">
        <f t="shared" si="8"/>
        <v>0</v>
      </c>
      <c r="F55" s="511">
        <f t="shared" si="8"/>
        <v>0</v>
      </c>
      <c r="G55" s="506">
        <f t="shared" si="8"/>
        <v>0</v>
      </c>
      <c r="H55" s="511">
        <f t="shared" si="8"/>
        <v>0</v>
      </c>
      <c r="I55" s="506">
        <f t="shared" si="8"/>
        <v>0</v>
      </c>
      <c r="J55" s="511">
        <f t="shared" si="8"/>
        <v>0</v>
      </c>
      <c r="K55" s="506">
        <f t="shared" si="8"/>
        <v>0</v>
      </c>
      <c r="L55" s="511">
        <f t="shared" si="8"/>
        <v>0</v>
      </c>
      <c r="M55" s="506">
        <f t="shared" si="8"/>
        <v>0</v>
      </c>
      <c r="N55" s="530">
        <f t="shared" si="8"/>
        <v>0</v>
      </c>
      <c r="O55" s="503">
        <f t="shared" si="8"/>
        <v>0</v>
      </c>
      <c r="P55" s="490" t="s">
        <v>355</v>
      </c>
      <c r="Q55" s="502">
        <f>SUM(Q51:Q54)</f>
        <v>0</v>
      </c>
    </row>
    <row r="56" spans="1:17" ht="33" thickBot="1" x14ac:dyDescent="0.25">
      <c r="A56" s="728" t="s">
        <v>362</v>
      </c>
      <c r="B56" s="729"/>
      <c r="C56" s="504" t="s">
        <v>360</v>
      </c>
      <c r="D56" s="508" t="s">
        <v>361</v>
      </c>
      <c r="E56" s="514" t="s">
        <v>17</v>
      </c>
      <c r="F56" s="523" t="s">
        <v>6</v>
      </c>
      <c r="G56" s="522" t="s">
        <v>7</v>
      </c>
      <c r="H56" s="523" t="s">
        <v>346</v>
      </c>
      <c r="I56" s="522" t="s">
        <v>14</v>
      </c>
      <c r="J56" s="523" t="s">
        <v>9</v>
      </c>
      <c r="K56" s="514" t="s">
        <v>359</v>
      </c>
      <c r="L56" s="523" t="s">
        <v>11</v>
      </c>
      <c r="M56" s="522" t="s">
        <v>12</v>
      </c>
      <c r="N56" s="521" t="s">
        <v>61</v>
      </c>
      <c r="O56" s="730" t="s">
        <v>362</v>
      </c>
      <c r="P56" s="729"/>
      <c r="Q56" s="491" t="s">
        <v>19</v>
      </c>
    </row>
    <row r="57" spans="1:17" x14ac:dyDescent="0.2">
      <c r="A57" s="742"/>
      <c r="B57" s="739"/>
      <c r="C57" s="316"/>
      <c r="D57" s="234"/>
      <c r="E57" s="320"/>
      <c r="F57" s="234"/>
      <c r="G57" s="316"/>
      <c r="H57" s="234"/>
      <c r="I57" s="316"/>
      <c r="J57" s="234"/>
      <c r="K57" s="316"/>
      <c r="L57" s="234"/>
      <c r="M57" s="316"/>
      <c r="N57" s="318"/>
      <c r="O57" s="748">
        <f>A57</f>
        <v>0</v>
      </c>
      <c r="P57" s="749"/>
      <c r="Q57" s="53">
        <f>SUM(C57:N57)</f>
        <v>0</v>
      </c>
    </row>
    <row r="58" spans="1:17" x14ac:dyDescent="0.2">
      <c r="A58" s="742"/>
      <c r="B58" s="739"/>
      <c r="C58" s="320"/>
      <c r="D58" s="233"/>
      <c r="E58" s="320"/>
      <c r="F58" s="233"/>
      <c r="G58" s="320"/>
      <c r="H58" s="233"/>
      <c r="I58" s="320"/>
      <c r="J58" s="233"/>
      <c r="K58" s="320"/>
      <c r="L58" s="233"/>
      <c r="M58" s="320"/>
      <c r="N58" s="317"/>
      <c r="O58" s="733">
        <f>A58</f>
        <v>0</v>
      </c>
      <c r="P58" s="739"/>
      <c r="Q58" s="499">
        <f>SUM(C58:N58)</f>
        <v>0</v>
      </c>
    </row>
    <row r="59" spans="1:17" x14ac:dyDescent="0.2">
      <c r="A59" s="742"/>
      <c r="B59" s="739"/>
      <c r="C59" s="316"/>
      <c r="D59" s="234"/>
      <c r="E59" s="316"/>
      <c r="F59" s="234"/>
      <c r="G59" s="316"/>
      <c r="H59" s="234"/>
      <c r="I59" s="316"/>
      <c r="J59" s="234"/>
      <c r="K59" s="316"/>
      <c r="L59" s="234"/>
      <c r="M59" s="316"/>
      <c r="N59" s="318"/>
      <c r="O59" s="733">
        <f>A59</f>
        <v>0</v>
      </c>
      <c r="P59" s="734"/>
      <c r="Q59" s="497">
        <f>SUM(C59:N59)</f>
        <v>0</v>
      </c>
    </row>
    <row r="60" spans="1:17" ht="16" thickBot="1" x14ac:dyDescent="0.25">
      <c r="A60" s="742"/>
      <c r="B60" s="739"/>
      <c r="C60" s="323"/>
      <c r="D60" s="324"/>
      <c r="E60" s="323"/>
      <c r="F60" s="324"/>
      <c r="G60" s="323"/>
      <c r="H60" s="324"/>
      <c r="I60" s="323"/>
      <c r="J60" s="324"/>
      <c r="K60" s="323"/>
      <c r="L60" s="324"/>
      <c r="M60" s="323"/>
      <c r="N60" s="466"/>
      <c r="O60" s="733">
        <f>A60</f>
        <v>0</v>
      </c>
      <c r="P60" s="734"/>
      <c r="Q60" s="498">
        <f>SUM(C60:N60)</f>
        <v>0</v>
      </c>
    </row>
    <row r="61" spans="1:17" ht="17" thickBot="1" x14ac:dyDescent="0.25">
      <c r="A61" s="728" t="s">
        <v>363</v>
      </c>
      <c r="B61" s="729"/>
      <c r="C61" s="506">
        <f t="shared" ref="C61:O61" si="9">SUM(C57:C60)</f>
        <v>0</v>
      </c>
      <c r="D61" s="511">
        <f t="shared" si="9"/>
        <v>0</v>
      </c>
      <c r="E61" s="506">
        <f t="shared" si="9"/>
        <v>0</v>
      </c>
      <c r="F61" s="511">
        <f t="shared" si="9"/>
        <v>0</v>
      </c>
      <c r="G61" s="506">
        <f t="shared" si="9"/>
        <v>0</v>
      </c>
      <c r="H61" s="511">
        <f t="shared" si="9"/>
        <v>0</v>
      </c>
      <c r="I61" s="506">
        <f t="shared" si="9"/>
        <v>0</v>
      </c>
      <c r="J61" s="511">
        <f t="shared" si="9"/>
        <v>0</v>
      </c>
      <c r="K61" s="506">
        <f t="shared" si="9"/>
        <v>0</v>
      </c>
      <c r="L61" s="511">
        <f t="shared" si="9"/>
        <v>0</v>
      </c>
      <c r="M61" s="506">
        <f t="shared" si="9"/>
        <v>0</v>
      </c>
      <c r="N61" s="530">
        <f t="shared" si="9"/>
        <v>0</v>
      </c>
      <c r="O61" s="503">
        <f t="shared" si="9"/>
        <v>0</v>
      </c>
      <c r="P61" s="15" t="s">
        <v>356</v>
      </c>
      <c r="Q61" s="496">
        <f>SUM(Q57:Q60)</f>
        <v>0</v>
      </c>
    </row>
    <row r="62" spans="1:17" ht="33" thickBot="1" x14ac:dyDescent="0.25">
      <c r="A62" s="728" t="s">
        <v>362</v>
      </c>
      <c r="B62" s="729"/>
      <c r="C62" s="504" t="s">
        <v>360</v>
      </c>
      <c r="D62" s="508" t="s">
        <v>361</v>
      </c>
      <c r="E62" s="514" t="s">
        <v>17</v>
      </c>
      <c r="F62" s="523" t="s">
        <v>6</v>
      </c>
      <c r="G62" s="522" t="s">
        <v>7</v>
      </c>
      <c r="H62" s="523" t="s">
        <v>346</v>
      </c>
      <c r="I62" s="522" t="s">
        <v>14</v>
      </c>
      <c r="J62" s="523" t="s">
        <v>9</v>
      </c>
      <c r="K62" s="514" t="s">
        <v>359</v>
      </c>
      <c r="L62" s="523" t="s">
        <v>11</v>
      </c>
      <c r="M62" s="522" t="s">
        <v>12</v>
      </c>
      <c r="N62" s="521" t="s">
        <v>61</v>
      </c>
      <c r="O62" s="730" t="s">
        <v>362</v>
      </c>
      <c r="P62" s="729"/>
      <c r="Q62" s="491" t="s">
        <v>19</v>
      </c>
    </row>
    <row r="63" spans="1:17" x14ac:dyDescent="0.2">
      <c r="A63" s="742"/>
      <c r="B63" s="739"/>
      <c r="C63" s="316"/>
      <c r="D63" s="234"/>
      <c r="E63" s="316"/>
      <c r="F63" s="234"/>
      <c r="G63" s="316"/>
      <c r="H63" s="234"/>
      <c r="I63" s="316"/>
      <c r="J63" s="234"/>
      <c r="K63" s="316"/>
      <c r="L63" s="234"/>
      <c r="M63" s="316"/>
      <c r="N63" s="318"/>
      <c r="O63" s="733">
        <f>A63</f>
        <v>0</v>
      </c>
      <c r="P63" s="734"/>
      <c r="Q63" s="497">
        <f>SUM(C63:N63)</f>
        <v>0</v>
      </c>
    </row>
    <row r="64" spans="1:17" x14ac:dyDescent="0.2">
      <c r="A64" s="742"/>
      <c r="B64" s="739"/>
      <c r="C64" s="316"/>
      <c r="D64" s="234"/>
      <c r="E64" s="316"/>
      <c r="F64" s="234"/>
      <c r="G64" s="316"/>
      <c r="H64" s="234"/>
      <c r="I64" s="316"/>
      <c r="J64" s="234"/>
      <c r="K64" s="316"/>
      <c r="L64" s="234"/>
      <c r="M64" s="316"/>
      <c r="N64" s="318"/>
      <c r="O64" s="733">
        <f>A64</f>
        <v>0</v>
      </c>
      <c r="P64" s="734"/>
      <c r="Q64" s="497">
        <f>SUM(C64:N64)</f>
        <v>0</v>
      </c>
    </row>
    <row r="65" spans="1:17" x14ac:dyDescent="0.2">
      <c r="A65" s="742"/>
      <c r="B65" s="739"/>
      <c r="C65" s="316"/>
      <c r="D65" s="234"/>
      <c r="E65" s="316"/>
      <c r="F65" s="234"/>
      <c r="G65" s="316"/>
      <c r="H65" s="234"/>
      <c r="I65" s="316"/>
      <c r="J65" s="234"/>
      <c r="K65" s="316"/>
      <c r="L65" s="234"/>
      <c r="M65" s="316"/>
      <c r="N65" s="318"/>
      <c r="O65" s="733">
        <f>A65</f>
        <v>0</v>
      </c>
      <c r="P65" s="734"/>
      <c r="Q65" s="498">
        <f>SUM(C65:N65)</f>
        <v>0</v>
      </c>
    </row>
    <row r="66" spans="1:17" ht="16" thickBot="1" x14ac:dyDescent="0.25">
      <c r="A66" s="743"/>
      <c r="B66" s="744"/>
      <c r="C66" s="321"/>
      <c r="D66" s="509"/>
      <c r="E66" s="321"/>
      <c r="F66" s="509"/>
      <c r="G66" s="321"/>
      <c r="H66" s="509"/>
      <c r="I66" s="321"/>
      <c r="J66" s="509"/>
      <c r="K66" s="321"/>
      <c r="L66" s="509"/>
      <c r="M66" s="321"/>
      <c r="N66" s="325"/>
      <c r="O66" s="745">
        <f>A66</f>
        <v>0</v>
      </c>
      <c r="P66" s="746"/>
      <c r="Q66" s="518">
        <f>SUM(C66:N66)</f>
        <v>0</v>
      </c>
    </row>
    <row r="67" spans="1:17" ht="17" thickBot="1" x14ac:dyDescent="0.25">
      <c r="A67" s="750" t="s">
        <v>363</v>
      </c>
      <c r="B67" s="751"/>
      <c r="C67" s="507">
        <f t="shared" ref="C67:O67" si="10">SUM(C63:C66)</f>
        <v>0</v>
      </c>
      <c r="D67" s="513">
        <f t="shared" si="10"/>
        <v>0</v>
      </c>
      <c r="E67" s="507">
        <f t="shared" si="10"/>
        <v>0</v>
      </c>
      <c r="F67" s="513">
        <f t="shared" si="10"/>
        <v>0</v>
      </c>
      <c r="G67" s="507">
        <f t="shared" si="10"/>
        <v>0</v>
      </c>
      <c r="H67" s="513">
        <f t="shared" si="10"/>
        <v>0</v>
      </c>
      <c r="I67" s="507">
        <f t="shared" si="10"/>
        <v>0</v>
      </c>
      <c r="J67" s="513">
        <f t="shared" si="10"/>
        <v>0</v>
      </c>
      <c r="K67" s="507">
        <f t="shared" si="10"/>
        <v>0</v>
      </c>
      <c r="L67" s="513">
        <f t="shared" si="10"/>
        <v>0</v>
      </c>
      <c r="M67" s="507">
        <f t="shared" si="10"/>
        <v>0</v>
      </c>
      <c r="N67" s="537">
        <f t="shared" si="10"/>
        <v>0</v>
      </c>
      <c r="O67" s="503">
        <f t="shared" si="10"/>
        <v>0</v>
      </c>
      <c r="P67" s="195" t="s">
        <v>357</v>
      </c>
      <c r="Q67" s="496">
        <f>SUM(Q63:Q66)</f>
        <v>0</v>
      </c>
    </row>
    <row r="68" spans="1:17" ht="33" thickBot="1" x14ac:dyDescent="0.25">
      <c r="A68" s="728" t="s">
        <v>362</v>
      </c>
      <c r="B68" s="729"/>
      <c r="C68" s="504" t="s">
        <v>360</v>
      </c>
      <c r="D68" s="508" t="s">
        <v>361</v>
      </c>
      <c r="E68" s="514" t="s">
        <v>17</v>
      </c>
      <c r="F68" s="523" t="s">
        <v>6</v>
      </c>
      <c r="G68" s="522" t="s">
        <v>7</v>
      </c>
      <c r="H68" s="523" t="s">
        <v>346</v>
      </c>
      <c r="I68" s="522" t="s">
        <v>14</v>
      </c>
      <c r="J68" s="523" t="s">
        <v>9</v>
      </c>
      <c r="K68" s="514" t="s">
        <v>359</v>
      </c>
      <c r="L68" s="523" t="s">
        <v>11</v>
      </c>
      <c r="M68" s="522" t="s">
        <v>12</v>
      </c>
      <c r="N68" s="521" t="s">
        <v>61</v>
      </c>
      <c r="O68" s="730" t="s">
        <v>362</v>
      </c>
      <c r="P68" s="729"/>
      <c r="Q68" s="491" t="s">
        <v>19</v>
      </c>
    </row>
    <row r="69" spans="1:17" x14ac:dyDescent="0.2">
      <c r="A69" s="742"/>
      <c r="B69" s="739"/>
      <c r="C69" s="320"/>
      <c r="D69" s="233"/>
      <c r="E69" s="320"/>
      <c r="F69" s="233"/>
      <c r="G69" s="320"/>
      <c r="H69" s="233"/>
      <c r="I69" s="320"/>
      <c r="J69" s="233"/>
      <c r="K69" s="320"/>
      <c r="L69" s="233"/>
      <c r="M69" s="320"/>
      <c r="N69" s="317"/>
      <c r="O69" s="733">
        <f>A69</f>
        <v>0</v>
      </c>
      <c r="P69" s="734"/>
      <c r="Q69" s="499">
        <f>SUM(C69:N69)</f>
        <v>0</v>
      </c>
    </row>
    <row r="70" spans="1:17" x14ac:dyDescent="0.2">
      <c r="A70" s="742"/>
      <c r="B70" s="739"/>
      <c r="C70" s="316"/>
      <c r="D70" s="234"/>
      <c r="E70" s="316"/>
      <c r="F70" s="234"/>
      <c r="G70" s="316"/>
      <c r="H70" s="234"/>
      <c r="I70" s="316"/>
      <c r="J70" s="234"/>
      <c r="K70" s="316"/>
      <c r="L70" s="234"/>
      <c r="M70" s="316"/>
      <c r="N70" s="318"/>
      <c r="O70" s="733">
        <f>A70</f>
        <v>0</v>
      </c>
      <c r="P70" s="734"/>
      <c r="Q70" s="497">
        <f>SUM(C70:N70)</f>
        <v>0</v>
      </c>
    </row>
    <row r="71" spans="1:17" x14ac:dyDescent="0.2">
      <c r="A71" s="742"/>
      <c r="B71" s="739"/>
      <c r="C71" s="316"/>
      <c r="D71" s="234"/>
      <c r="E71" s="316"/>
      <c r="F71" s="234"/>
      <c r="G71" s="316"/>
      <c r="H71" s="234"/>
      <c r="I71" s="316"/>
      <c r="J71" s="234"/>
      <c r="K71" s="316"/>
      <c r="L71" s="234"/>
      <c r="M71" s="316"/>
      <c r="N71" s="318"/>
      <c r="O71" s="733">
        <f>A71</f>
        <v>0</v>
      </c>
      <c r="P71" s="734"/>
      <c r="Q71" s="497">
        <f>SUM(C71:N71)</f>
        <v>0</v>
      </c>
    </row>
    <row r="72" spans="1:17" ht="16" thickBot="1" x14ac:dyDescent="0.25">
      <c r="A72" s="742"/>
      <c r="B72" s="739"/>
      <c r="C72" s="316"/>
      <c r="D72" s="234"/>
      <c r="E72" s="316"/>
      <c r="F72" s="234"/>
      <c r="G72" s="316"/>
      <c r="H72" s="234"/>
      <c r="I72" s="316"/>
      <c r="J72" s="234"/>
      <c r="K72" s="316"/>
      <c r="L72" s="234"/>
      <c r="M72" s="316"/>
      <c r="N72" s="318"/>
      <c r="O72" s="733">
        <f>A72</f>
        <v>0</v>
      </c>
      <c r="P72" s="734"/>
      <c r="Q72" s="497">
        <f>SUM(C72:N72)</f>
        <v>0</v>
      </c>
    </row>
    <row r="73" spans="1:17" ht="17" thickBot="1" x14ac:dyDescent="0.25">
      <c r="A73" s="728" t="s">
        <v>363</v>
      </c>
      <c r="B73" s="729"/>
      <c r="C73" s="506">
        <f t="shared" ref="C73:O73" si="11">SUM(C69:C72)</f>
        <v>0</v>
      </c>
      <c r="D73" s="511">
        <f t="shared" si="11"/>
        <v>0</v>
      </c>
      <c r="E73" s="506">
        <f t="shared" si="11"/>
        <v>0</v>
      </c>
      <c r="F73" s="536">
        <f t="shared" si="11"/>
        <v>0</v>
      </c>
      <c r="G73" s="506">
        <f t="shared" si="11"/>
        <v>0</v>
      </c>
      <c r="H73" s="511">
        <f t="shared" si="11"/>
        <v>0</v>
      </c>
      <c r="I73" s="506">
        <f t="shared" si="11"/>
        <v>0</v>
      </c>
      <c r="J73" s="511">
        <f t="shared" si="11"/>
        <v>0</v>
      </c>
      <c r="K73" s="506">
        <f t="shared" si="11"/>
        <v>0</v>
      </c>
      <c r="L73" s="511">
        <f t="shared" si="11"/>
        <v>0</v>
      </c>
      <c r="M73" s="506">
        <f t="shared" si="11"/>
        <v>0</v>
      </c>
      <c r="N73" s="530">
        <f t="shared" si="11"/>
        <v>0</v>
      </c>
      <c r="O73" s="503">
        <f t="shared" si="11"/>
        <v>0</v>
      </c>
      <c r="P73" s="492" t="s">
        <v>326</v>
      </c>
      <c r="Q73" s="496">
        <f>SUM(Q69:Q72)</f>
        <v>0</v>
      </c>
    </row>
  </sheetData>
  <mergeCells count="133">
    <mergeCell ref="C1:D1"/>
    <mergeCell ref="O68:P68"/>
    <mergeCell ref="A10:B10"/>
    <mergeCell ref="A58:B58"/>
    <mergeCell ref="O5:P5"/>
    <mergeCell ref="O6:P6"/>
    <mergeCell ref="O10:P10"/>
    <mergeCell ref="O16:P16"/>
    <mergeCell ref="O46:P46"/>
    <mergeCell ref="O57:P57"/>
    <mergeCell ref="O58:P58"/>
    <mergeCell ref="A67:B67"/>
    <mergeCell ref="O2:P2"/>
    <mergeCell ref="O26:P26"/>
    <mergeCell ref="O32:P32"/>
    <mergeCell ref="O50:P50"/>
    <mergeCell ref="O56:P56"/>
    <mergeCell ref="A46:B46"/>
    <mergeCell ref="A68:B68"/>
    <mergeCell ref="O62:P62"/>
    <mergeCell ref="O63:P63"/>
    <mergeCell ref="O54:P54"/>
    <mergeCell ref="O59:P59"/>
    <mergeCell ref="O51:P51"/>
    <mergeCell ref="A73:B73"/>
    <mergeCell ref="A13:B13"/>
    <mergeCell ref="A19:B19"/>
    <mergeCell ref="A25:B25"/>
    <mergeCell ref="A31:B31"/>
    <mergeCell ref="A37:B37"/>
    <mergeCell ref="A43:B43"/>
    <mergeCell ref="A49:B49"/>
    <mergeCell ref="A55:B55"/>
    <mergeCell ref="A72:B72"/>
    <mergeCell ref="A63:B63"/>
    <mergeCell ref="A61:B61"/>
    <mergeCell ref="A54:B54"/>
    <mergeCell ref="A57:B57"/>
    <mergeCell ref="A59:B59"/>
    <mergeCell ref="A51:B51"/>
    <mergeCell ref="A52:B52"/>
    <mergeCell ref="A41:B41"/>
    <mergeCell ref="A34:B34"/>
    <mergeCell ref="A24:B24"/>
    <mergeCell ref="A17:B17"/>
    <mergeCell ref="A16:B16"/>
    <mergeCell ref="O72:P72"/>
    <mergeCell ref="A7:B7"/>
    <mergeCell ref="A5:B5"/>
    <mergeCell ref="A6:B6"/>
    <mergeCell ref="A2:B2"/>
    <mergeCell ref="A26:B26"/>
    <mergeCell ref="A32:B32"/>
    <mergeCell ref="A50:B50"/>
    <mergeCell ref="A56:B56"/>
    <mergeCell ref="A69:B69"/>
    <mergeCell ref="O69:P69"/>
    <mergeCell ref="A70:B70"/>
    <mergeCell ref="O70:P70"/>
    <mergeCell ref="A71:B71"/>
    <mergeCell ref="O71:P71"/>
    <mergeCell ref="A64:B64"/>
    <mergeCell ref="O64:P64"/>
    <mergeCell ref="A65:B65"/>
    <mergeCell ref="O65:P65"/>
    <mergeCell ref="A66:B66"/>
    <mergeCell ref="O66:P66"/>
    <mergeCell ref="A60:B60"/>
    <mergeCell ref="O60:P60"/>
    <mergeCell ref="A62:B62"/>
    <mergeCell ref="O52:P52"/>
    <mergeCell ref="A53:B53"/>
    <mergeCell ref="O53:P53"/>
    <mergeCell ref="A45:B45"/>
    <mergeCell ref="O45:P45"/>
    <mergeCell ref="A47:B47"/>
    <mergeCell ref="O47:P47"/>
    <mergeCell ref="A48:B48"/>
    <mergeCell ref="O48:P48"/>
    <mergeCell ref="O41:P41"/>
    <mergeCell ref="A42:B42"/>
    <mergeCell ref="O42:P42"/>
    <mergeCell ref="A44:B44"/>
    <mergeCell ref="O44:P44"/>
    <mergeCell ref="A38:B38"/>
    <mergeCell ref="O38:P38"/>
    <mergeCell ref="A39:B39"/>
    <mergeCell ref="O39:P39"/>
    <mergeCell ref="A40:B40"/>
    <mergeCell ref="O40:P40"/>
    <mergeCell ref="O34:P34"/>
    <mergeCell ref="A35:B35"/>
    <mergeCell ref="O35:P35"/>
    <mergeCell ref="A36:B36"/>
    <mergeCell ref="O36:P36"/>
    <mergeCell ref="A29:B29"/>
    <mergeCell ref="O29:P29"/>
    <mergeCell ref="A30:B30"/>
    <mergeCell ref="O30:P30"/>
    <mergeCell ref="A33:B33"/>
    <mergeCell ref="O33:P33"/>
    <mergeCell ref="O24:P24"/>
    <mergeCell ref="A27:B27"/>
    <mergeCell ref="O27:P27"/>
    <mergeCell ref="A28:B28"/>
    <mergeCell ref="O28:P28"/>
    <mergeCell ref="A21:B21"/>
    <mergeCell ref="O21:P21"/>
    <mergeCell ref="A22:B22"/>
    <mergeCell ref="O22:P22"/>
    <mergeCell ref="A23:B23"/>
    <mergeCell ref="O23:P23"/>
    <mergeCell ref="O17:P17"/>
    <mergeCell ref="A18:B18"/>
    <mergeCell ref="O18:P18"/>
    <mergeCell ref="A20:B20"/>
    <mergeCell ref="O20:P20"/>
    <mergeCell ref="A12:B12"/>
    <mergeCell ref="O12:P12"/>
    <mergeCell ref="A14:B14"/>
    <mergeCell ref="O14:P14"/>
    <mergeCell ref="A15:B15"/>
    <mergeCell ref="O15:P15"/>
    <mergeCell ref="A8:B8"/>
    <mergeCell ref="O8:P8"/>
    <mergeCell ref="A9:B9"/>
    <mergeCell ref="O9:P9"/>
    <mergeCell ref="A11:B11"/>
    <mergeCell ref="O11:P11"/>
    <mergeCell ref="A3:B3"/>
    <mergeCell ref="O3:P3"/>
    <mergeCell ref="A4:B4"/>
    <mergeCell ref="O4:P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F1198"/>
  <sheetViews>
    <sheetView topLeftCell="A1093" zoomScale="145" zoomScaleNormal="145" workbookViewId="0">
      <selection activeCell="AV664" sqref="AV664"/>
    </sheetView>
  </sheetViews>
  <sheetFormatPr baseColWidth="10" defaultColWidth="8.83203125" defaultRowHeight="15" x14ac:dyDescent="0.2"/>
  <cols>
    <col min="2" max="2" width="12.6640625" customWidth="1"/>
    <col min="3" max="3" width="12.1640625" customWidth="1"/>
    <col min="4" max="4" width="10.5" customWidth="1"/>
    <col min="5" max="5" width="28.5" customWidth="1"/>
    <col min="6" max="6" width="23" bestFit="1" customWidth="1"/>
    <col min="7" max="7" width="3.83203125" customWidth="1"/>
    <col min="8" max="8" width="9.83203125" bestFit="1" customWidth="1"/>
    <col min="9" max="9" width="4.5" customWidth="1"/>
    <col min="11" max="11" width="5.33203125" customWidth="1"/>
    <col min="12" max="12" width="9.83203125" bestFit="1" customWidth="1"/>
    <col min="13" max="13" width="4.83203125" customWidth="1"/>
    <col min="14" max="14" width="9.83203125" customWidth="1"/>
    <col min="15" max="15" width="4.5" customWidth="1"/>
    <col min="17" max="17" width="3" customWidth="1"/>
    <col min="19" max="19" width="4" customWidth="1"/>
    <col min="21" max="21" width="3.33203125" customWidth="1"/>
    <col min="22" max="22" width="9.83203125" customWidth="1"/>
    <col min="23" max="23" width="3.1640625" customWidth="1"/>
    <col min="25" max="25" width="3.6640625" customWidth="1"/>
    <col min="27" max="27" width="3.5" customWidth="1"/>
    <col min="29" max="29" width="4.1640625" customWidth="1"/>
    <col min="31" max="31" width="4" bestFit="1" customWidth="1"/>
    <col min="33" max="33" width="4.5" customWidth="1"/>
    <col min="35" max="35" width="3" customWidth="1"/>
    <col min="37" max="37" width="3.1640625" customWidth="1"/>
    <col min="39" max="39" width="3.33203125" customWidth="1"/>
    <col min="41" max="41" width="3.33203125" customWidth="1"/>
    <col min="43" max="43" width="3.1640625" customWidth="1"/>
    <col min="44" max="44" width="9.83203125" bestFit="1" customWidth="1"/>
    <col min="45" max="45" width="3.83203125" customWidth="1"/>
    <col min="47" max="47" width="2.83203125" customWidth="1"/>
    <col min="49" max="49" width="3" customWidth="1"/>
    <col min="50" max="50" width="9.83203125" customWidth="1"/>
    <col min="51" max="51" width="3.33203125" customWidth="1"/>
    <col min="53" max="53" width="3.6640625" customWidth="1"/>
    <col min="55" max="55" width="3.1640625" customWidth="1"/>
    <col min="57" max="57" width="3.5" customWidth="1"/>
  </cols>
  <sheetData>
    <row r="1" spans="2:58" ht="16" thickBot="1" x14ac:dyDescent="0.25"/>
    <row r="2" spans="2:58" ht="16" thickBot="1" x14ac:dyDescent="0.25">
      <c r="B2" s="156" t="s">
        <v>27</v>
      </c>
      <c r="C2" s="753" t="s">
        <v>438</v>
      </c>
      <c r="D2" s="754"/>
      <c r="E2" s="754"/>
      <c r="F2" s="754"/>
      <c r="G2" s="763"/>
      <c r="H2" s="764"/>
      <c r="I2" s="163"/>
      <c r="J2" s="157"/>
      <c r="K2" s="157"/>
      <c r="L2" s="765" t="str">
        <f>C2</f>
        <v>30 DECEMBER - 5 JANUARY 2025</v>
      </c>
      <c r="M2" s="763"/>
      <c r="N2" s="763"/>
      <c r="O2" s="763"/>
      <c r="P2" s="763"/>
      <c r="Q2" s="763"/>
      <c r="R2" s="763"/>
      <c r="S2" s="763"/>
      <c r="T2" s="764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766"/>
      <c r="AH2" s="766"/>
      <c r="AI2" s="753" t="str">
        <f>L2</f>
        <v>30 DECEMBER - 5 JANUARY 2025</v>
      </c>
      <c r="AJ2" s="754"/>
      <c r="AK2" s="754"/>
      <c r="AL2" s="754"/>
      <c r="AM2" s="754"/>
      <c r="AN2" s="754"/>
      <c r="AO2" s="767"/>
      <c r="AP2" s="157"/>
      <c r="AQ2" s="157"/>
      <c r="AR2" s="157"/>
      <c r="AS2" s="157"/>
      <c r="AT2" s="157"/>
      <c r="AU2" s="157"/>
      <c r="AV2" s="157"/>
      <c r="AW2" s="765" t="str">
        <f>AI2</f>
        <v>30 DECEMBER - 5 JANUARY 2025</v>
      </c>
      <c r="AX2" s="763" t="s">
        <v>28</v>
      </c>
      <c r="AY2" s="763"/>
      <c r="AZ2" s="763"/>
      <c r="BA2" s="763"/>
      <c r="BB2" s="763"/>
      <c r="BC2" s="763"/>
      <c r="BD2" s="764"/>
      <c r="BE2" s="157"/>
      <c r="BF2" s="157"/>
    </row>
    <row r="3" spans="2:58" ht="16" thickBot="1" x14ac:dyDescent="0.25">
      <c r="B3" s="158"/>
      <c r="C3" s="161"/>
      <c r="D3" s="161"/>
      <c r="E3" s="157"/>
      <c r="F3" s="157"/>
      <c r="G3" s="752" t="s">
        <v>29</v>
      </c>
      <c r="H3" s="752"/>
      <c r="I3" s="752" t="s">
        <v>30</v>
      </c>
      <c r="J3" s="752"/>
      <c r="K3" s="752" t="s">
        <v>31</v>
      </c>
      <c r="L3" s="752"/>
      <c r="M3" s="752" t="s">
        <v>32</v>
      </c>
      <c r="N3" s="752"/>
      <c r="O3" s="752" t="s">
        <v>33</v>
      </c>
      <c r="P3" s="752"/>
      <c r="Q3" s="752" t="s">
        <v>247</v>
      </c>
      <c r="R3" s="752"/>
      <c r="S3" s="752" t="s">
        <v>34</v>
      </c>
      <c r="T3" s="752"/>
      <c r="U3" s="752" t="s">
        <v>35</v>
      </c>
      <c r="V3" s="752"/>
      <c r="W3" s="752" t="s">
        <v>36</v>
      </c>
      <c r="X3" s="752"/>
      <c r="Y3" s="752" t="s">
        <v>37</v>
      </c>
      <c r="Z3" s="752"/>
      <c r="AA3" s="752" t="s">
        <v>38</v>
      </c>
      <c r="AB3" s="752"/>
      <c r="AC3" s="752" t="s">
        <v>39</v>
      </c>
      <c r="AD3" s="752"/>
      <c r="AE3" s="752" t="s">
        <v>40</v>
      </c>
      <c r="AF3" s="752"/>
      <c r="AG3" s="752" t="s">
        <v>41</v>
      </c>
      <c r="AH3" s="752"/>
      <c r="AI3" s="752" t="s">
        <v>42</v>
      </c>
      <c r="AJ3" s="752"/>
      <c r="AK3" s="752" t="s">
        <v>43</v>
      </c>
      <c r="AL3" s="752"/>
      <c r="AM3" s="752" t="s">
        <v>157</v>
      </c>
      <c r="AN3" s="752"/>
      <c r="AO3" s="752" t="s">
        <v>248</v>
      </c>
      <c r="AP3" s="752"/>
      <c r="AQ3" s="752" t="s">
        <v>249</v>
      </c>
      <c r="AR3" s="752"/>
      <c r="AS3" s="752" t="s">
        <v>150</v>
      </c>
      <c r="AT3" s="752"/>
      <c r="AU3" s="752" t="s">
        <v>151</v>
      </c>
      <c r="AV3" s="752"/>
      <c r="AW3" s="752" t="s">
        <v>44</v>
      </c>
      <c r="AX3" s="752"/>
      <c r="AY3" s="752" t="s">
        <v>250</v>
      </c>
      <c r="AZ3" s="752"/>
      <c r="BA3" s="752" t="s">
        <v>45</v>
      </c>
      <c r="BB3" s="752"/>
      <c r="BC3" s="752" t="s">
        <v>46</v>
      </c>
      <c r="BD3" s="752"/>
      <c r="BE3" s="752" t="s">
        <v>92</v>
      </c>
      <c r="BF3" s="752"/>
    </row>
    <row r="4" spans="2:58" ht="16" thickBot="1" x14ac:dyDescent="0.25">
      <c r="B4" s="156" t="s">
        <v>47</v>
      </c>
      <c r="C4" s="156" t="s">
        <v>48</v>
      </c>
      <c r="D4" s="283"/>
      <c r="E4" s="271"/>
      <c r="F4" s="271" t="s">
        <v>49</v>
      </c>
      <c r="G4" s="752" t="s">
        <v>50</v>
      </c>
      <c r="H4" s="752"/>
      <c r="I4" s="752" t="s">
        <v>51</v>
      </c>
      <c r="J4" s="752"/>
      <c r="K4" s="752" t="s">
        <v>51</v>
      </c>
      <c r="L4" s="752"/>
      <c r="M4" s="752" t="s">
        <v>52</v>
      </c>
      <c r="N4" s="752"/>
      <c r="O4" s="752">
        <v>180</v>
      </c>
      <c r="P4" s="752"/>
      <c r="Q4" s="752" t="s">
        <v>53</v>
      </c>
      <c r="R4" s="752"/>
      <c r="S4" s="752" t="s">
        <v>54</v>
      </c>
      <c r="T4" s="752"/>
      <c r="U4" s="752" t="s">
        <v>54</v>
      </c>
      <c r="V4" s="752"/>
      <c r="W4" s="752" t="s">
        <v>55</v>
      </c>
      <c r="X4" s="752"/>
      <c r="Y4" s="752" t="s">
        <v>54</v>
      </c>
      <c r="Z4" s="752"/>
      <c r="AA4" s="752" t="s">
        <v>54</v>
      </c>
      <c r="AB4" s="752"/>
      <c r="AC4" s="752" t="s">
        <v>56</v>
      </c>
      <c r="AD4" s="752"/>
      <c r="AE4" s="752" t="s">
        <v>57</v>
      </c>
      <c r="AF4" s="752"/>
      <c r="AG4" s="752" t="s">
        <v>57</v>
      </c>
      <c r="AH4" s="752"/>
      <c r="AI4" s="752" t="s">
        <v>58</v>
      </c>
      <c r="AJ4" s="752"/>
      <c r="AK4" s="752" t="s">
        <v>300</v>
      </c>
      <c r="AL4" s="752"/>
      <c r="AM4" s="752" t="s">
        <v>301</v>
      </c>
      <c r="AN4" s="752"/>
      <c r="AO4" s="752">
        <v>20</v>
      </c>
      <c r="AP4" s="752"/>
      <c r="AQ4" s="752">
        <v>20</v>
      </c>
      <c r="AR4" s="752"/>
      <c r="AS4" s="752" t="s">
        <v>57</v>
      </c>
      <c r="AT4" s="752"/>
      <c r="AU4" s="752" t="s">
        <v>302</v>
      </c>
      <c r="AV4" s="752"/>
      <c r="AW4" s="752">
        <v>100</v>
      </c>
      <c r="AX4" s="752"/>
      <c r="AY4" s="752">
        <v>100</v>
      </c>
      <c r="AZ4" s="752"/>
      <c r="BA4" s="752" t="s">
        <v>59</v>
      </c>
      <c r="BB4" s="752"/>
      <c r="BC4" s="752" t="s">
        <v>51</v>
      </c>
      <c r="BD4" s="752"/>
      <c r="BE4" s="752" t="s">
        <v>53</v>
      </c>
      <c r="BF4" s="752"/>
    </row>
    <row r="5" spans="2:58" ht="16" thickBot="1" x14ac:dyDescent="0.25">
      <c r="B5" s="156"/>
      <c r="C5" s="156" t="s">
        <v>60</v>
      </c>
      <c r="D5" s="283"/>
      <c r="E5" s="271" t="s">
        <v>61</v>
      </c>
      <c r="F5" s="271" t="s">
        <v>62</v>
      </c>
      <c r="G5" s="752">
        <v>151</v>
      </c>
      <c r="H5" s="752"/>
      <c r="I5" s="752">
        <v>167.99</v>
      </c>
      <c r="J5" s="752"/>
      <c r="K5" s="752">
        <v>144.99</v>
      </c>
      <c r="L5" s="752"/>
      <c r="M5" s="760">
        <v>169.99</v>
      </c>
      <c r="N5" s="760"/>
      <c r="O5" s="760">
        <v>274.99</v>
      </c>
      <c r="P5" s="760"/>
      <c r="Q5" s="760">
        <v>135</v>
      </c>
      <c r="R5" s="760"/>
      <c r="S5" s="752">
        <v>910.5</v>
      </c>
      <c r="T5" s="752"/>
      <c r="U5" s="752">
        <v>460.75</v>
      </c>
      <c r="V5" s="752"/>
      <c r="W5" s="752">
        <v>1048.95</v>
      </c>
      <c r="X5" s="752"/>
      <c r="Y5" s="752">
        <v>772.8</v>
      </c>
      <c r="Z5" s="752"/>
      <c r="AA5" s="752">
        <v>3450</v>
      </c>
      <c r="AB5" s="752"/>
      <c r="AC5" s="760">
        <v>99.99</v>
      </c>
      <c r="AD5" s="760"/>
      <c r="AE5" s="752">
        <v>29.99</v>
      </c>
      <c r="AF5" s="752"/>
      <c r="AG5" s="752">
        <v>548</v>
      </c>
      <c r="AH5" s="752"/>
      <c r="AI5" s="752">
        <v>4.99</v>
      </c>
      <c r="AJ5" s="752"/>
      <c r="AK5" s="752">
        <v>132.25</v>
      </c>
      <c r="AL5" s="752"/>
      <c r="AM5" s="752">
        <v>47.99</v>
      </c>
      <c r="AN5" s="752"/>
      <c r="AO5" s="752">
        <v>560</v>
      </c>
      <c r="AP5" s="752"/>
      <c r="AQ5" s="752">
        <v>560</v>
      </c>
      <c r="AR5" s="752"/>
      <c r="AS5" s="752">
        <v>613.5</v>
      </c>
      <c r="AT5" s="752"/>
      <c r="AU5" s="752">
        <v>313.89999999999998</v>
      </c>
      <c r="AV5" s="752"/>
      <c r="AW5" s="752">
        <v>405.8</v>
      </c>
      <c r="AX5" s="752"/>
      <c r="AY5" s="752">
        <v>218.99</v>
      </c>
      <c r="AZ5" s="752"/>
      <c r="BA5" s="752">
        <v>24.99</v>
      </c>
      <c r="BB5" s="752"/>
      <c r="BC5" s="752">
        <v>1425</v>
      </c>
      <c r="BD5" s="752"/>
      <c r="BE5" s="752">
        <v>54.99</v>
      </c>
      <c r="BF5" s="752"/>
    </row>
    <row r="6" spans="2:58" ht="16" thickBot="1" x14ac:dyDescent="0.25">
      <c r="B6" s="272">
        <v>45656</v>
      </c>
      <c r="C6" s="274">
        <v>1125.31</v>
      </c>
      <c r="D6" s="276"/>
      <c r="E6" s="278" t="s">
        <v>186</v>
      </c>
      <c r="F6" s="278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1"/>
      <c r="BA6" s="271"/>
      <c r="BB6" s="271"/>
      <c r="BC6" s="271"/>
      <c r="BD6" s="271"/>
      <c r="BE6" s="271"/>
      <c r="BF6" s="271"/>
    </row>
    <row r="7" spans="2:58" ht="16" thickBot="1" x14ac:dyDescent="0.25">
      <c r="B7" s="660"/>
      <c r="C7" s="275">
        <v>194.96</v>
      </c>
      <c r="D7" s="661"/>
      <c r="E7" s="303" t="s">
        <v>426</v>
      </c>
      <c r="F7" s="303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1"/>
      <c r="BF7" s="271"/>
    </row>
    <row r="8" spans="2:58" ht="16" thickBot="1" x14ac:dyDescent="0.25">
      <c r="B8" s="660"/>
      <c r="C8" s="275">
        <v>1500</v>
      </c>
      <c r="D8" s="661"/>
      <c r="E8" s="303" t="s">
        <v>3</v>
      </c>
      <c r="F8" s="303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271"/>
    </row>
    <row r="9" spans="2:58" ht="16" thickBot="1" x14ac:dyDescent="0.25">
      <c r="B9" s="660"/>
      <c r="C9" s="275">
        <v>7.99</v>
      </c>
      <c r="D9" s="661"/>
      <c r="E9" s="303" t="s">
        <v>297</v>
      </c>
      <c r="F9" s="303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271"/>
    </row>
    <row r="10" spans="2:58" ht="16" thickBot="1" x14ac:dyDescent="0.25">
      <c r="B10" s="660"/>
      <c r="C10" s="275">
        <v>439.88</v>
      </c>
      <c r="D10" s="661"/>
      <c r="E10" s="303"/>
      <c r="F10" s="303" t="s">
        <v>14</v>
      </c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>
        <v>10</v>
      </c>
      <c r="AF10" s="271">
        <v>299.89999999999998</v>
      </c>
      <c r="AG10" s="271"/>
      <c r="AH10" s="271"/>
      <c r="AI10" s="271"/>
      <c r="AJ10" s="271"/>
      <c r="AK10" s="271">
        <v>2</v>
      </c>
      <c r="AL10" s="271">
        <v>139.97999999999999</v>
      </c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</row>
    <row r="11" spans="2:58" ht="16" thickBot="1" x14ac:dyDescent="0.25">
      <c r="B11" s="682"/>
      <c r="C11" s="275">
        <v>679.8</v>
      </c>
      <c r="D11" s="661"/>
      <c r="E11" s="303"/>
      <c r="F11" s="303" t="s">
        <v>11</v>
      </c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>
        <v>4</v>
      </c>
      <c r="AL11" s="271">
        <v>679.8</v>
      </c>
      <c r="AM11" s="271"/>
      <c r="AN11" s="271"/>
      <c r="AO11" s="271"/>
      <c r="AP11" s="271"/>
      <c r="AQ11" s="271"/>
      <c r="AR11" s="271"/>
      <c r="AS11" s="271"/>
      <c r="AT11" s="271"/>
      <c r="AU11" s="271"/>
      <c r="AV11" s="271"/>
      <c r="AW11" s="271"/>
      <c r="AX11" s="271"/>
      <c r="AY11" s="271"/>
      <c r="AZ11" s="271"/>
      <c r="BA11" s="271"/>
      <c r="BB11" s="271"/>
      <c r="BC11" s="271"/>
      <c r="BD11" s="271"/>
      <c r="BE11" s="271"/>
      <c r="BF11" s="271"/>
    </row>
    <row r="12" spans="2:58" ht="16" thickBot="1" x14ac:dyDescent="0.25">
      <c r="B12" s="682"/>
      <c r="C12" s="275">
        <v>6995.64</v>
      </c>
      <c r="D12" s="661"/>
      <c r="E12" s="303"/>
      <c r="F12" s="303" t="s">
        <v>9</v>
      </c>
      <c r="G12" s="271">
        <v>9</v>
      </c>
      <c r="H12" s="271">
        <v>1259.9100000000001</v>
      </c>
      <c r="I12" s="271">
        <v>2</v>
      </c>
      <c r="J12" s="271">
        <v>409.98</v>
      </c>
      <c r="K12" s="271">
        <v>4</v>
      </c>
      <c r="L12" s="271">
        <v>727.96</v>
      </c>
      <c r="M12" s="271">
        <v>12</v>
      </c>
      <c r="N12" s="271">
        <v>1739.88</v>
      </c>
      <c r="O12" s="271">
        <v>18</v>
      </c>
      <c r="P12" s="271">
        <f>1820+520</f>
        <v>2340</v>
      </c>
      <c r="Q12" s="271"/>
      <c r="R12" s="271"/>
      <c r="S12" s="271"/>
      <c r="T12" s="271"/>
      <c r="U12" s="271"/>
      <c r="V12" s="271"/>
      <c r="W12" s="271">
        <v>6</v>
      </c>
      <c r="X12" s="271">
        <v>329.94</v>
      </c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>
        <v>1</v>
      </c>
      <c r="AN12" s="271">
        <v>49.99</v>
      </c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>
        <v>1</v>
      </c>
      <c r="BB12" s="271">
        <v>27.99</v>
      </c>
      <c r="BC12" s="271"/>
      <c r="BD12" s="271"/>
      <c r="BE12" s="271">
        <v>1</v>
      </c>
      <c r="BF12" s="271">
        <v>59.99</v>
      </c>
    </row>
    <row r="13" spans="2:58" ht="16" thickBot="1" x14ac:dyDescent="0.25">
      <c r="B13" s="682"/>
      <c r="C13" s="275">
        <f>32+146</f>
        <v>178</v>
      </c>
      <c r="D13" s="661"/>
      <c r="E13" s="303" t="s">
        <v>334</v>
      </c>
      <c r="F13" s="303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</row>
    <row r="14" spans="2:58" ht="16" thickBot="1" x14ac:dyDescent="0.25">
      <c r="B14" s="682"/>
      <c r="C14" s="275"/>
      <c r="D14" s="661"/>
      <c r="E14" s="303"/>
      <c r="F14" s="303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1"/>
      <c r="BD14" s="271"/>
      <c r="BE14" s="271"/>
      <c r="BF14" s="271"/>
    </row>
    <row r="15" spans="2:58" ht="16" thickBot="1" x14ac:dyDescent="0.25">
      <c r="B15" s="682"/>
      <c r="C15" s="275"/>
      <c r="D15" s="661"/>
      <c r="E15" s="303"/>
      <c r="F15" s="303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</row>
    <row r="16" spans="2:58" ht="16" thickBot="1" x14ac:dyDescent="0.25">
      <c r="B16" s="681" t="s">
        <v>20</v>
      </c>
      <c r="C16" s="275"/>
      <c r="D16" s="277"/>
      <c r="E16" s="279"/>
      <c r="F16" s="279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1"/>
      <c r="BC16" s="271"/>
      <c r="BD16" s="271"/>
      <c r="BE16" s="271"/>
      <c r="BF16" s="271"/>
    </row>
    <row r="17" spans="2:58" ht="16" thickBot="1" x14ac:dyDescent="0.25">
      <c r="B17" s="479"/>
      <c r="C17" s="680">
        <f>SUM(C6:C16)</f>
        <v>11121.58</v>
      </c>
      <c r="D17" s="159"/>
      <c r="E17" s="270"/>
      <c r="F17" s="281"/>
      <c r="G17" s="309"/>
      <c r="H17" s="310"/>
      <c r="I17" s="309"/>
      <c r="J17" s="310"/>
      <c r="K17" s="309"/>
      <c r="L17" s="310"/>
      <c r="M17" s="309"/>
      <c r="N17" s="310"/>
      <c r="O17" s="271"/>
      <c r="P17" s="271"/>
      <c r="Q17" s="310"/>
      <c r="R17" s="310"/>
      <c r="S17" s="309"/>
      <c r="T17" s="310"/>
      <c r="U17" s="309"/>
      <c r="V17" s="310"/>
      <c r="W17" s="309"/>
      <c r="X17" s="310"/>
      <c r="Y17" s="309"/>
      <c r="Z17" s="310"/>
      <c r="AA17" s="309"/>
      <c r="AB17" s="310"/>
      <c r="AC17" s="271"/>
      <c r="AD17" s="271"/>
      <c r="AE17" s="309"/>
      <c r="AF17" s="310"/>
      <c r="AG17" s="309"/>
      <c r="AH17" s="310"/>
      <c r="AI17" s="309"/>
      <c r="AJ17" s="310"/>
      <c r="AK17" s="309"/>
      <c r="AL17" s="310"/>
      <c r="AM17" s="309"/>
      <c r="AN17" s="310"/>
      <c r="AO17" s="309"/>
      <c r="AP17" s="310"/>
      <c r="AQ17" s="309"/>
      <c r="AR17" s="310"/>
      <c r="AS17" s="309"/>
      <c r="AT17" s="310"/>
      <c r="AU17" s="309"/>
      <c r="AV17" s="310"/>
      <c r="AW17" s="309"/>
      <c r="AX17" s="310"/>
      <c r="AY17" s="309"/>
      <c r="AZ17" s="310"/>
      <c r="BA17" s="271"/>
      <c r="BB17" s="271"/>
      <c r="BC17" s="271"/>
      <c r="BD17" s="271"/>
      <c r="BE17" s="271"/>
      <c r="BF17" s="271"/>
    </row>
    <row r="18" spans="2:58" ht="16" thickBot="1" x14ac:dyDescent="0.25">
      <c r="B18" s="289">
        <v>45657</v>
      </c>
      <c r="C18" s="275">
        <f>79+79+744.67+1000</f>
        <v>1902.67</v>
      </c>
      <c r="D18" s="277"/>
      <c r="E18" s="279" t="s">
        <v>296</v>
      </c>
      <c r="F18" s="279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</row>
    <row r="19" spans="2:58" ht="16" thickBot="1" x14ac:dyDescent="0.25">
      <c r="B19" s="289"/>
      <c r="C19" s="275">
        <v>3176</v>
      </c>
      <c r="D19" s="277"/>
      <c r="E19" s="279"/>
      <c r="F19" s="279" t="s">
        <v>7</v>
      </c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1">
        <v>2</v>
      </c>
      <c r="AX19" s="271">
        <v>1969</v>
      </c>
      <c r="AY19" s="271">
        <v>2</v>
      </c>
      <c r="AZ19" s="271">
        <v>1207</v>
      </c>
      <c r="BA19" s="271"/>
      <c r="BB19" s="271"/>
      <c r="BC19" s="271"/>
      <c r="BD19" s="271"/>
      <c r="BE19" s="271"/>
      <c r="BF19" s="271"/>
    </row>
    <row r="20" spans="2:58" ht="16" thickBot="1" x14ac:dyDescent="0.25">
      <c r="B20" s="289"/>
      <c r="C20" s="275">
        <v>252</v>
      </c>
      <c r="D20" s="277"/>
      <c r="E20" s="279" t="s">
        <v>377</v>
      </c>
      <c r="F20" s="279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</row>
    <row r="21" spans="2:58" ht="16" thickBot="1" x14ac:dyDescent="0.25">
      <c r="B21" s="289"/>
      <c r="C21" s="275">
        <v>5765.73</v>
      </c>
      <c r="D21" s="277"/>
      <c r="E21" s="279"/>
      <c r="F21" s="279" t="s">
        <v>9</v>
      </c>
      <c r="G21" s="271">
        <v>4</v>
      </c>
      <c r="H21" s="271">
        <v>559.96</v>
      </c>
      <c r="I21" s="271">
        <v>2</v>
      </c>
      <c r="J21" s="271">
        <v>409.98</v>
      </c>
      <c r="K21" s="271">
        <v>8</v>
      </c>
      <c r="L21" s="271">
        <v>1455.92</v>
      </c>
      <c r="M21" s="271">
        <v>8</v>
      </c>
      <c r="N21" s="271">
        <v>1159.92</v>
      </c>
      <c r="O21" s="271">
        <v>5</v>
      </c>
      <c r="P21" s="271">
        <v>1850</v>
      </c>
      <c r="Q21" s="271"/>
      <c r="R21" s="271"/>
      <c r="S21" s="271"/>
      <c r="T21" s="271"/>
      <c r="U21" s="271"/>
      <c r="V21" s="271"/>
      <c r="W21" s="271">
        <v>4</v>
      </c>
      <c r="X21" s="271">
        <v>219.96</v>
      </c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>
        <v>1</v>
      </c>
      <c r="BF21" s="271">
        <v>59.99</v>
      </c>
    </row>
    <row r="22" spans="2:58" ht="16" thickBot="1" x14ac:dyDescent="0.25">
      <c r="B22" s="289"/>
      <c r="C22" s="275">
        <v>286.89999999999998</v>
      </c>
      <c r="D22" s="277"/>
      <c r="E22" s="279"/>
      <c r="F22" s="279" t="s">
        <v>14</v>
      </c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>
        <v>9</v>
      </c>
      <c r="AF22" s="271">
        <v>269.91000000000003</v>
      </c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</row>
    <row r="23" spans="2:58" ht="16" thickBot="1" x14ac:dyDescent="0.25">
      <c r="B23" s="289"/>
      <c r="C23" s="275">
        <v>990.23</v>
      </c>
      <c r="D23" s="277"/>
      <c r="E23" s="279" t="s">
        <v>279</v>
      </c>
      <c r="F23" s="279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</row>
    <row r="24" spans="2:58" ht="16" thickBot="1" x14ac:dyDescent="0.25">
      <c r="B24" s="289"/>
      <c r="C24" s="275">
        <v>570</v>
      </c>
      <c r="D24" s="277"/>
      <c r="E24" s="279" t="s">
        <v>396</v>
      </c>
      <c r="F24" s="279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</row>
    <row r="25" spans="2:58" ht="16" thickBot="1" x14ac:dyDescent="0.25">
      <c r="B25" s="289"/>
      <c r="C25" s="275">
        <v>90</v>
      </c>
      <c r="D25" s="277"/>
      <c r="E25" s="279" t="s">
        <v>334</v>
      </c>
      <c r="F25" s="279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</row>
    <row r="26" spans="2:58" ht="16" thickBot="1" x14ac:dyDescent="0.25">
      <c r="B26" s="289" t="s">
        <v>90</v>
      </c>
      <c r="C26" s="275">
        <v>6000</v>
      </c>
      <c r="D26" s="277"/>
      <c r="E26" s="279"/>
      <c r="F26" s="279" t="s">
        <v>409</v>
      </c>
      <c r="G26" s="271"/>
      <c r="H26" s="271"/>
      <c r="I26" s="271"/>
      <c r="J26" s="271"/>
      <c r="K26" s="271"/>
      <c r="L26" s="271"/>
      <c r="M26" s="271"/>
      <c r="N26" s="271"/>
      <c r="O26" s="271">
        <v>10</v>
      </c>
      <c r="P26" s="271">
        <v>6000</v>
      </c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</row>
    <row r="27" spans="2:58" ht="16" thickBot="1" x14ac:dyDescent="0.25">
      <c r="B27" s="292"/>
      <c r="C27" s="159">
        <f>SUM(C18:C26)</f>
        <v>19033.53</v>
      </c>
      <c r="D27" s="159"/>
      <c r="E27" s="270"/>
      <c r="F27" s="281"/>
      <c r="G27" s="309"/>
      <c r="H27" s="310"/>
      <c r="I27" s="309"/>
      <c r="J27" s="310"/>
      <c r="K27" s="309"/>
      <c r="L27" s="310"/>
      <c r="M27" s="309"/>
      <c r="N27" s="310"/>
      <c r="O27" s="271"/>
      <c r="P27" s="271"/>
      <c r="Q27" s="310"/>
      <c r="R27" s="310"/>
      <c r="S27" s="309"/>
      <c r="T27" s="310"/>
      <c r="U27" s="309"/>
      <c r="V27" s="310"/>
      <c r="W27" s="309"/>
      <c r="X27" s="310"/>
      <c r="Y27" s="309"/>
      <c r="Z27" s="310"/>
      <c r="AA27" s="309"/>
      <c r="AB27" s="310"/>
      <c r="AC27" s="271"/>
      <c r="AD27" s="271"/>
      <c r="AE27" s="309"/>
      <c r="AF27" s="310"/>
      <c r="AG27" s="309"/>
      <c r="AH27" s="310"/>
      <c r="AI27" s="309"/>
      <c r="AJ27" s="310"/>
      <c r="AK27" s="309"/>
      <c r="AL27" s="310"/>
      <c r="AM27" s="309"/>
      <c r="AN27" s="310"/>
      <c r="AO27" s="309"/>
      <c r="AP27" s="310"/>
      <c r="AQ27" s="309"/>
      <c r="AR27" s="310"/>
      <c r="AS27" s="309"/>
      <c r="AT27" s="310"/>
      <c r="AU27" s="309"/>
      <c r="AV27" s="310"/>
      <c r="AW27" s="309"/>
      <c r="AX27" s="310"/>
      <c r="AY27" s="309"/>
      <c r="AZ27" s="310"/>
      <c r="BA27" s="271"/>
      <c r="BB27" s="271"/>
      <c r="BC27" s="271"/>
      <c r="BD27" s="271"/>
      <c r="BE27" s="271"/>
      <c r="BF27" s="271"/>
    </row>
    <row r="28" spans="2:58" ht="16" thickBot="1" x14ac:dyDescent="0.25">
      <c r="B28" s="289">
        <v>45658</v>
      </c>
      <c r="C28" s="275">
        <v>1100</v>
      </c>
      <c r="D28" s="277"/>
      <c r="E28" s="279" t="s">
        <v>186</v>
      </c>
      <c r="F28" s="279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</row>
    <row r="29" spans="2:58" ht="16" thickBot="1" x14ac:dyDescent="0.25">
      <c r="B29" s="288" t="s">
        <v>22</v>
      </c>
      <c r="C29" s="287"/>
      <c r="D29" s="290"/>
      <c r="E29" s="290"/>
      <c r="F29" s="296"/>
      <c r="G29" s="309"/>
      <c r="H29" s="310"/>
      <c r="I29" s="309"/>
      <c r="J29" s="310"/>
      <c r="K29" s="309"/>
      <c r="L29" s="310"/>
      <c r="M29" s="309"/>
      <c r="N29" s="310"/>
      <c r="O29" s="271"/>
      <c r="P29" s="271"/>
      <c r="Q29" s="309"/>
      <c r="R29" s="310"/>
      <c r="S29" s="309"/>
      <c r="T29" s="310"/>
      <c r="U29" s="309"/>
      <c r="V29" s="310"/>
      <c r="W29" s="309"/>
      <c r="X29" s="310"/>
      <c r="Y29" s="309"/>
      <c r="Z29" s="310"/>
      <c r="AA29" s="309"/>
      <c r="AB29" s="310"/>
      <c r="AC29" s="271"/>
      <c r="AD29" s="271"/>
      <c r="AE29" s="309"/>
      <c r="AF29" s="310"/>
      <c r="AG29" s="309"/>
      <c r="AH29" s="310"/>
      <c r="AI29" s="309"/>
      <c r="AJ29" s="310"/>
      <c r="AK29" s="309"/>
      <c r="AL29" s="310"/>
      <c r="AM29" s="309"/>
      <c r="AN29" s="310"/>
      <c r="AO29" s="309"/>
      <c r="AP29" s="310"/>
      <c r="AQ29" s="309"/>
      <c r="AR29" s="310"/>
      <c r="AS29" s="309"/>
      <c r="AT29" s="310"/>
      <c r="AU29" s="309"/>
      <c r="AV29" s="310"/>
      <c r="AW29" s="309"/>
      <c r="AX29" s="310"/>
      <c r="AY29" s="309"/>
      <c r="AZ29" s="310"/>
      <c r="BA29" s="271"/>
      <c r="BB29" s="271"/>
      <c r="BC29" s="271"/>
      <c r="BD29" s="271"/>
      <c r="BE29" s="271"/>
      <c r="BF29" s="271"/>
    </row>
    <row r="30" spans="2:58" ht="16" thickBot="1" x14ac:dyDescent="0.25">
      <c r="B30" s="292"/>
      <c r="C30" s="159">
        <f>SUM(C28:C29)</f>
        <v>1100</v>
      </c>
      <c r="D30" s="159"/>
      <c r="E30" s="270"/>
      <c r="F30" s="297"/>
      <c r="G30" s="309"/>
      <c r="H30" s="310"/>
      <c r="I30" s="309"/>
      <c r="J30" s="310"/>
      <c r="K30" s="309"/>
      <c r="L30" s="310"/>
      <c r="M30" s="309"/>
      <c r="N30" s="310"/>
      <c r="O30" s="271"/>
      <c r="P30" s="271"/>
      <c r="Q30" s="310"/>
      <c r="R30" s="310"/>
      <c r="S30" s="309"/>
      <c r="T30" s="310"/>
      <c r="U30" s="309"/>
      <c r="V30" s="310"/>
      <c r="W30" s="309"/>
      <c r="X30" s="310"/>
      <c r="Y30" s="309"/>
      <c r="Z30" s="310"/>
      <c r="AA30" s="309"/>
      <c r="AB30" s="310"/>
      <c r="AC30" s="271"/>
      <c r="AD30" s="271"/>
      <c r="AE30" s="309"/>
      <c r="AF30" s="310"/>
      <c r="AG30" s="309"/>
      <c r="AH30" s="310"/>
      <c r="AI30" s="309"/>
      <c r="AJ30" s="310"/>
      <c r="AK30" s="309"/>
      <c r="AL30" s="310"/>
      <c r="AM30" s="309"/>
      <c r="AN30" s="310"/>
      <c r="AO30" s="309"/>
      <c r="AP30" s="310"/>
      <c r="AQ30" s="309"/>
      <c r="AR30" s="310"/>
      <c r="AS30" s="309"/>
      <c r="AT30" s="310"/>
      <c r="AU30" s="309"/>
      <c r="AV30" s="310"/>
      <c r="AW30" s="309"/>
      <c r="AX30" s="310"/>
      <c r="AY30" s="309"/>
      <c r="AZ30" s="310"/>
      <c r="BA30" s="271"/>
      <c r="BB30" s="271"/>
      <c r="BC30" s="271"/>
      <c r="BD30" s="271"/>
      <c r="BE30" s="271"/>
      <c r="BF30" s="271"/>
    </row>
    <row r="31" spans="2:58" ht="16" thickBot="1" x14ac:dyDescent="0.25">
      <c r="B31" s="289">
        <v>45659</v>
      </c>
      <c r="C31" s="295">
        <v>300</v>
      </c>
      <c r="D31" s="275"/>
      <c r="E31" s="274" t="s">
        <v>186</v>
      </c>
      <c r="F31" s="301"/>
      <c r="G31" s="309"/>
      <c r="H31" s="310"/>
      <c r="I31" s="309"/>
      <c r="J31" s="310"/>
      <c r="K31" s="309"/>
      <c r="L31" s="310"/>
      <c r="M31" s="309"/>
      <c r="N31" s="310"/>
      <c r="O31" s="271"/>
      <c r="P31" s="271"/>
      <c r="Q31" s="309"/>
      <c r="R31" s="310"/>
      <c r="S31" s="309"/>
      <c r="T31" s="310"/>
      <c r="U31" s="309"/>
      <c r="V31" s="310"/>
      <c r="W31" s="309"/>
      <c r="X31" s="310"/>
      <c r="Y31" s="309"/>
      <c r="Z31" s="310"/>
      <c r="AA31" s="309"/>
      <c r="AB31" s="310"/>
      <c r="AC31" s="271"/>
      <c r="AD31" s="271"/>
      <c r="AE31" s="309"/>
      <c r="AF31" s="310"/>
      <c r="AG31" s="309"/>
      <c r="AH31" s="310"/>
      <c r="AI31" s="309"/>
      <c r="AJ31" s="310"/>
      <c r="AK31" s="309"/>
      <c r="AL31" s="310"/>
      <c r="AM31" s="309"/>
      <c r="AN31" s="310"/>
      <c r="AO31" s="309"/>
      <c r="AP31" s="310"/>
      <c r="AQ31" s="309"/>
      <c r="AR31" s="310"/>
      <c r="AS31" s="309"/>
      <c r="AT31" s="310"/>
      <c r="AU31" s="309"/>
      <c r="AV31" s="310"/>
      <c r="AW31" s="309"/>
      <c r="AX31" s="310"/>
      <c r="AY31" s="309"/>
      <c r="AZ31" s="310"/>
      <c r="BA31" s="271"/>
      <c r="BB31" s="271"/>
      <c r="BC31" s="271"/>
      <c r="BD31" s="271"/>
      <c r="BE31" s="271"/>
      <c r="BF31" s="271"/>
    </row>
    <row r="32" spans="2:58" ht="16" thickBot="1" x14ac:dyDescent="0.25">
      <c r="B32" s="289"/>
      <c r="C32" s="295">
        <v>131.97999999999999</v>
      </c>
      <c r="D32" s="275"/>
      <c r="E32" s="275"/>
      <c r="F32" s="302" t="s">
        <v>279</v>
      </c>
      <c r="G32" s="309"/>
      <c r="H32" s="310"/>
      <c r="I32" s="309"/>
      <c r="J32" s="310"/>
      <c r="K32" s="309"/>
      <c r="L32" s="310"/>
      <c r="M32" s="309"/>
      <c r="N32" s="310"/>
      <c r="O32" s="271"/>
      <c r="P32" s="271"/>
      <c r="Q32" s="309"/>
      <c r="R32" s="310"/>
      <c r="S32" s="309"/>
      <c r="T32" s="310"/>
      <c r="U32" s="309"/>
      <c r="V32" s="310"/>
      <c r="W32" s="309">
        <v>2</v>
      </c>
      <c r="X32" s="310">
        <v>131.97999999999999</v>
      </c>
      <c r="Y32" s="309"/>
      <c r="Z32" s="310"/>
      <c r="AA32" s="309"/>
      <c r="AB32" s="310"/>
      <c r="AC32" s="271"/>
      <c r="AD32" s="271"/>
      <c r="AE32" s="309"/>
      <c r="AF32" s="310"/>
      <c r="AG32" s="309"/>
      <c r="AH32" s="310"/>
      <c r="AI32" s="309"/>
      <c r="AJ32" s="310"/>
      <c r="AK32" s="309"/>
      <c r="AL32" s="310"/>
      <c r="AM32" s="309"/>
      <c r="AN32" s="310"/>
      <c r="AO32" s="309"/>
      <c r="AP32" s="310"/>
      <c r="AQ32" s="309"/>
      <c r="AR32" s="310"/>
      <c r="AS32" s="309"/>
      <c r="AT32" s="310"/>
      <c r="AU32" s="309"/>
      <c r="AV32" s="310"/>
      <c r="AW32" s="309"/>
      <c r="AX32" s="310"/>
      <c r="AY32" s="309"/>
      <c r="AZ32" s="310"/>
      <c r="BA32" s="271"/>
      <c r="BB32" s="271"/>
      <c r="BC32" s="271"/>
      <c r="BD32" s="271"/>
      <c r="BE32" s="271"/>
      <c r="BF32" s="271"/>
    </row>
    <row r="33" spans="2:58" ht="16" thickBot="1" x14ac:dyDescent="0.25">
      <c r="B33" s="289"/>
      <c r="C33" s="295">
        <v>6147.5</v>
      </c>
      <c r="D33" s="275"/>
      <c r="E33" s="275"/>
      <c r="F33" s="302" t="s">
        <v>9</v>
      </c>
      <c r="G33" s="309">
        <v>12</v>
      </c>
      <c r="H33" s="310">
        <v>1643.88</v>
      </c>
      <c r="I33" s="309">
        <v>6</v>
      </c>
      <c r="J33" s="310">
        <v>617.94000000000005</v>
      </c>
      <c r="K33" s="309">
        <v>6</v>
      </c>
      <c r="L33" s="310">
        <v>1091.94</v>
      </c>
      <c r="M33" s="309">
        <v>12</v>
      </c>
      <c r="N33" s="310">
        <v>1739.88</v>
      </c>
      <c r="O33" s="271"/>
      <c r="P33" s="271"/>
      <c r="Q33" s="309"/>
      <c r="R33" s="310"/>
      <c r="S33" s="309"/>
      <c r="T33" s="310"/>
      <c r="U33" s="309"/>
      <c r="V33" s="310"/>
      <c r="W33" s="309">
        <v>6</v>
      </c>
      <c r="X33" s="310">
        <v>539.94000000000005</v>
      </c>
      <c r="Y33" s="309"/>
      <c r="Z33" s="310"/>
      <c r="AA33" s="309"/>
      <c r="AB33" s="310"/>
      <c r="AC33" s="271">
        <v>4</v>
      </c>
      <c r="AD33" s="271">
        <v>395.96</v>
      </c>
      <c r="AE33" s="309"/>
      <c r="AF33" s="310"/>
      <c r="AG33" s="309"/>
      <c r="AH33" s="310"/>
      <c r="AI33" s="309">
        <v>2</v>
      </c>
      <c r="AJ33" s="310">
        <v>11.98</v>
      </c>
      <c r="AK33" s="309"/>
      <c r="AL33" s="310"/>
      <c r="AM33" s="309"/>
      <c r="AN33" s="310"/>
      <c r="AO33" s="309"/>
      <c r="AP33" s="310"/>
      <c r="AQ33" s="309"/>
      <c r="AR33" s="310"/>
      <c r="AS33" s="309"/>
      <c r="AT33" s="310"/>
      <c r="AU33" s="309"/>
      <c r="AV33" s="310"/>
      <c r="AW33" s="309"/>
      <c r="AX33" s="310"/>
      <c r="AY33" s="309"/>
      <c r="AZ33" s="310"/>
      <c r="BA33" s="271">
        <v>1</v>
      </c>
      <c r="BB33" s="271">
        <v>55.98</v>
      </c>
      <c r="BC33" s="271"/>
      <c r="BD33" s="271"/>
      <c r="BE33" s="271"/>
      <c r="BF33" s="271"/>
    </row>
    <row r="34" spans="2:58" ht="16" thickBot="1" x14ac:dyDescent="0.25">
      <c r="B34" s="289" t="s">
        <v>23</v>
      </c>
      <c r="C34" s="295">
        <v>7587.25</v>
      </c>
      <c r="D34" s="275"/>
      <c r="E34" s="275"/>
      <c r="F34" s="302" t="s">
        <v>343</v>
      </c>
      <c r="G34" s="309"/>
      <c r="H34" s="310"/>
      <c r="I34" s="309"/>
      <c r="J34" s="310"/>
      <c r="K34" s="309"/>
      <c r="L34" s="310"/>
      <c r="M34" s="309"/>
      <c r="N34" s="310"/>
      <c r="O34" s="271"/>
      <c r="P34" s="271"/>
      <c r="Q34" s="309"/>
      <c r="R34" s="310"/>
      <c r="S34" s="309"/>
      <c r="T34" s="310"/>
      <c r="U34" s="309"/>
      <c r="V34" s="310"/>
      <c r="W34" s="309"/>
      <c r="X34" s="310"/>
      <c r="Y34" s="309"/>
      <c r="Z34" s="310"/>
      <c r="AA34" s="309"/>
      <c r="AB34" s="310"/>
      <c r="AC34" s="271"/>
      <c r="AD34" s="271"/>
      <c r="AE34" s="309"/>
      <c r="AF34" s="310"/>
      <c r="AG34" s="309"/>
      <c r="AH34" s="310"/>
      <c r="AI34" s="309"/>
      <c r="AJ34" s="310"/>
      <c r="AK34" s="309"/>
      <c r="AL34" s="310"/>
      <c r="AM34" s="309"/>
      <c r="AN34" s="310"/>
      <c r="AO34" s="309"/>
      <c r="AP34" s="310"/>
      <c r="AQ34" s="309"/>
      <c r="AR34" s="310"/>
      <c r="AS34" s="309"/>
      <c r="AT34" s="310"/>
      <c r="AU34" s="309"/>
      <c r="AV34" s="310"/>
      <c r="AW34" s="309">
        <v>15</v>
      </c>
      <c r="AX34" s="310">
        <v>4578.83</v>
      </c>
      <c r="AY34" s="309">
        <v>15</v>
      </c>
      <c r="AZ34" s="310">
        <v>3008.42</v>
      </c>
      <c r="BA34" s="271"/>
      <c r="BB34" s="271"/>
      <c r="BC34" s="271"/>
      <c r="BD34" s="271"/>
      <c r="BE34" s="271"/>
      <c r="BF34" s="271"/>
    </row>
    <row r="35" spans="2:58" ht="16" thickBot="1" x14ac:dyDescent="0.25">
      <c r="B35" s="298"/>
      <c r="C35" s="656">
        <f>SUM(C31:C34)</f>
        <v>14166.73</v>
      </c>
      <c r="D35" s="656"/>
      <c r="E35" s="578"/>
      <c r="F35" s="553"/>
      <c r="G35" s="309"/>
      <c r="H35" s="310"/>
      <c r="I35" s="309"/>
      <c r="J35" s="310"/>
      <c r="K35" s="309"/>
      <c r="L35" s="310"/>
      <c r="M35" s="309"/>
      <c r="N35" s="310"/>
      <c r="O35" s="271"/>
      <c r="P35" s="271"/>
      <c r="Q35" s="309"/>
      <c r="R35" s="310"/>
      <c r="S35" s="309"/>
      <c r="T35" s="310"/>
      <c r="U35" s="309"/>
      <c r="V35" s="310"/>
      <c r="W35" s="309"/>
      <c r="X35" s="310"/>
      <c r="Y35" s="309"/>
      <c r="Z35" s="310"/>
      <c r="AA35" s="309"/>
      <c r="AB35" s="310"/>
      <c r="AC35" s="271"/>
      <c r="AD35" s="271"/>
      <c r="AE35" s="309"/>
      <c r="AF35" s="310"/>
      <c r="AG35" s="309"/>
      <c r="AH35" s="310"/>
      <c r="AI35" s="309"/>
      <c r="AJ35" s="310"/>
      <c r="AK35" s="309"/>
      <c r="AL35" s="310"/>
      <c r="AM35" s="309"/>
      <c r="AN35" s="310"/>
      <c r="AO35" s="309"/>
      <c r="AP35" s="310"/>
      <c r="AQ35" s="309"/>
      <c r="AR35" s="310"/>
      <c r="AS35" s="309"/>
      <c r="AT35" s="310"/>
      <c r="AU35" s="309"/>
      <c r="AV35" s="310"/>
      <c r="AW35" s="309"/>
      <c r="AX35" s="310"/>
      <c r="AY35" s="309"/>
      <c r="AZ35" s="310"/>
      <c r="BA35" s="271"/>
      <c r="BB35" s="271"/>
      <c r="BC35" s="271"/>
      <c r="BD35" s="271"/>
      <c r="BE35" s="271"/>
      <c r="BF35" s="271"/>
    </row>
    <row r="36" spans="2:58" ht="16" thickBot="1" x14ac:dyDescent="0.25">
      <c r="B36" s="479">
        <v>45660</v>
      </c>
      <c r="C36" s="299">
        <v>704.64</v>
      </c>
      <c r="D36" s="300"/>
      <c r="E36" s="274" t="s">
        <v>186</v>
      </c>
      <c r="F36" s="301"/>
      <c r="G36" s="309"/>
      <c r="H36" s="310"/>
      <c r="I36" s="309"/>
      <c r="J36" s="310"/>
      <c r="K36" s="309"/>
      <c r="L36" s="310"/>
      <c r="M36" s="309"/>
      <c r="N36" s="310"/>
      <c r="O36" s="271"/>
      <c r="P36" s="271"/>
      <c r="Q36" s="309"/>
      <c r="R36" s="310"/>
      <c r="S36" s="309"/>
      <c r="T36" s="310"/>
      <c r="U36" s="309"/>
      <c r="V36" s="310"/>
      <c r="W36" s="309"/>
      <c r="X36" s="310"/>
      <c r="Y36" s="309"/>
      <c r="Z36" s="310"/>
      <c r="AA36" s="309"/>
      <c r="AB36" s="310"/>
      <c r="AC36" s="271"/>
      <c r="AD36" s="271"/>
      <c r="AE36" s="309"/>
      <c r="AF36" s="310"/>
      <c r="AG36" s="309"/>
      <c r="AH36" s="310"/>
      <c r="AI36" s="309"/>
      <c r="AJ36" s="310"/>
      <c r="AK36" s="309"/>
      <c r="AL36" s="310"/>
      <c r="AM36" s="309"/>
      <c r="AN36" s="310"/>
      <c r="AO36" s="309"/>
      <c r="AP36" s="310"/>
      <c r="AQ36" s="309"/>
      <c r="AR36" s="310"/>
      <c r="AS36" s="309"/>
      <c r="AT36" s="310"/>
      <c r="AU36" s="309"/>
      <c r="AV36" s="310"/>
      <c r="AW36" s="309"/>
      <c r="AX36" s="310"/>
      <c r="AY36" s="309"/>
      <c r="AZ36" s="310"/>
      <c r="BA36" s="271"/>
      <c r="BB36" s="271"/>
      <c r="BC36" s="271"/>
      <c r="BD36" s="271"/>
      <c r="BE36" s="271"/>
      <c r="BF36" s="271"/>
    </row>
    <row r="37" spans="2:58" ht="16" thickBot="1" x14ac:dyDescent="0.25">
      <c r="B37" s="479"/>
      <c r="C37" s="299">
        <v>469.89</v>
      </c>
      <c r="D37" s="300"/>
      <c r="E37" s="275"/>
      <c r="F37" s="302" t="s">
        <v>14</v>
      </c>
      <c r="G37" s="309"/>
      <c r="H37" s="310"/>
      <c r="I37" s="309"/>
      <c r="J37" s="310"/>
      <c r="K37" s="309"/>
      <c r="L37" s="310"/>
      <c r="M37" s="309"/>
      <c r="N37" s="310"/>
      <c r="O37" s="271"/>
      <c r="P37" s="271"/>
      <c r="Q37" s="309"/>
      <c r="R37" s="310"/>
      <c r="S37" s="309"/>
      <c r="T37" s="310"/>
      <c r="U37" s="309"/>
      <c r="V37" s="310"/>
      <c r="W37" s="309"/>
      <c r="X37" s="310"/>
      <c r="Y37" s="309"/>
      <c r="Z37" s="310"/>
      <c r="AA37" s="309"/>
      <c r="AB37" s="310"/>
      <c r="AC37" s="271">
        <v>2</v>
      </c>
      <c r="AD37" s="271">
        <v>199.98</v>
      </c>
      <c r="AE37" s="309">
        <v>6</v>
      </c>
      <c r="AF37" s="310">
        <f>AE37*29.99</f>
        <v>179.94</v>
      </c>
      <c r="AG37" s="309"/>
      <c r="AH37" s="310"/>
      <c r="AI37" s="309"/>
      <c r="AJ37" s="310"/>
      <c r="AK37" s="309"/>
      <c r="AL37" s="310"/>
      <c r="AM37" s="309"/>
      <c r="AN37" s="310"/>
      <c r="AO37" s="309"/>
      <c r="AP37" s="310"/>
      <c r="AQ37" s="309"/>
      <c r="AR37" s="310"/>
      <c r="AS37" s="309"/>
      <c r="AT37" s="310"/>
      <c r="AU37" s="309"/>
      <c r="AV37" s="310"/>
      <c r="AW37" s="309"/>
      <c r="AX37" s="310"/>
      <c r="AY37" s="309"/>
      <c r="AZ37" s="310"/>
      <c r="BA37" s="271">
        <v>3</v>
      </c>
      <c r="BB37" s="271">
        <v>89.97</v>
      </c>
      <c r="BC37" s="271"/>
      <c r="BD37" s="271"/>
      <c r="BE37" s="271"/>
      <c r="BF37" s="271"/>
    </row>
    <row r="38" spans="2:58" ht="16" thickBot="1" x14ac:dyDescent="0.25">
      <c r="B38" s="479"/>
      <c r="C38" s="299"/>
      <c r="D38" s="300"/>
      <c r="E38" s="275"/>
      <c r="F38" s="302"/>
      <c r="G38" s="309"/>
      <c r="H38" s="310"/>
      <c r="I38" s="309"/>
      <c r="J38" s="310"/>
      <c r="K38" s="309"/>
      <c r="L38" s="310"/>
      <c r="M38" s="309"/>
      <c r="N38" s="310"/>
      <c r="O38" s="271"/>
      <c r="P38" s="271"/>
      <c r="Q38" s="309"/>
      <c r="R38" s="310"/>
      <c r="S38" s="309"/>
      <c r="T38" s="310"/>
      <c r="U38" s="309"/>
      <c r="V38" s="310"/>
      <c r="W38" s="309"/>
      <c r="X38" s="310"/>
      <c r="Y38" s="309"/>
      <c r="Z38" s="310"/>
      <c r="AA38" s="309"/>
      <c r="AB38" s="310"/>
      <c r="AC38" s="271"/>
      <c r="AD38" s="271"/>
      <c r="AE38" s="309"/>
      <c r="AF38" s="310"/>
      <c r="AG38" s="309"/>
      <c r="AH38" s="310"/>
      <c r="AI38" s="309"/>
      <c r="AJ38" s="310"/>
      <c r="AK38" s="309"/>
      <c r="AL38" s="310"/>
      <c r="AM38" s="309"/>
      <c r="AN38" s="310"/>
      <c r="AO38" s="309"/>
      <c r="AP38" s="310"/>
      <c r="AQ38" s="309"/>
      <c r="AR38" s="310"/>
      <c r="AS38" s="309"/>
      <c r="AT38" s="310"/>
      <c r="AU38" s="309"/>
      <c r="AV38" s="310"/>
      <c r="AW38" s="309"/>
      <c r="AX38" s="310"/>
      <c r="AY38" s="309"/>
      <c r="AZ38" s="310"/>
      <c r="BA38" s="271"/>
      <c r="BB38" s="271"/>
      <c r="BC38" s="271"/>
      <c r="BD38" s="271"/>
      <c r="BE38" s="271"/>
      <c r="BF38" s="271"/>
    </row>
    <row r="39" spans="2:58" ht="16" thickBot="1" x14ac:dyDescent="0.25">
      <c r="B39" s="479"/>
      <c r="C39" s="299"/>
      <c r="D39" s="300"/>
      <c r="E39" s="275"/>
      <c r="F39" s="302"/>
      <c r="G39" s="309"/>
      <c r="H39" s="310"/>
      <c r="I39" s="309"/>
      <c r="J39" s="310"/>
      <c r="K39" s="309"/>
      <c r="L39" s="310"/>
      <c r="M39" s="309"/>
      <c r="N39" s="310"/>
      <c r="O39" s="271"/>
      <c r="P39" s="271"/>
      <c r="Q39" s="309"/>
      <c r="R39" s="310"/>
      <c r="S39" s="309"/>
      <c r="T39" s="310"/>
      <c r="U39" s="309"/>
      <c r="V39" s="310"/>
      <c r="W39" s="309"/>
      <c r="X39" s="310"/>
      <c r="Y39" s="309"/>
      <c r="Z39" s="310"/>
      <c r="AA39" s="309"/>
      <c r="AB39" s="310"/>
      <c r="AC39" s="271"/>
      <c r="AD39" s="271"/>
      <c r="AE39" s="309"/>
      <c r="AF39" s="310"/>
      <c r="AG39" s="309"/>
      <c r="AH39" s="310"/>
      <c r="AI39" s="309"/>
      <c r="AJ39" s="310"/>
      <c r="AK39" s="309"/>
      <c r="AL39" s="310"/>
      <c r="AM39" s="309"/>
      <c r="AN39" s="310"/>
      <c r="AO39" s="309"/>
      <c r="AP39" s="310"/>
      <c r="AQ39" s="309"/>
      <c r="AR39" s="310"/>
      <c r="AS39" s="309"/>
      <c r="AT39" s="310"/>
      <c r="AU39" s="309"/>
      <c r="AV39" s="310"/>
      <c r="AW39" s="309"/>
      <c r="AX39" s="310"/>
      <c r="AY39" s="309"/>
      <c r="AZ39" s="310"/>
      <c r="BA39" s="271"/>
      <c r="BB39" s="271"/>
      <c r="BC39" s="271"/>
      <c r="BD39" s="271"/>
      <c r="BE39" s="271"/>
      <c r="BF39" s="271"/>
    </row>
    <row r="40" spans="2:58" ht="16" thickBot="1" x14ac:dyDescent="0.25">
      <c r="B40" s="479"/>
      <c r="C40" s="657"/>
      <c r="D40" s="657"/>
      <c r="E40" s="285"/>
      <c r="F40" s="302"/>
      <c r="G40" s="309"/>
      <c r="H40" s="310"/>
      <c r="I40" s="309"/>
      <c r="J40" s="310"/>
      <c r="K40" s="309"/>
      <c r="L40" s="310"/>
      <c r="M40" s="309"/>
      <c r="N40" s="310"/>
      <c r="O40" s="271"/>
      <c r="P40" s="271"/>
      <c r="Q40" s="309"/>
      <c r="R40" s="310"/>
      <c r="S40" s="309"/>
      <c r="T40" s="310"/>
      <c r="U40" s="309"/>
      <c r="V40" s="310"/>
      <c r="W40" s="309"/>
      <c r="X40" s="310"/>
      <c r="Y40" s="309"/>
      <c r="Z40" s="310"/>
      <c r="AA40" s="309"/>
      <c r="AB40" s="310"/>
      <c r="AC40" s="271"/>
      <c r="AD40" s="271"/>
      <c r="AE40" s="309"/>
      <c r="AF40" s="310"/>
      <c r="AG40" s="309"/>
      <c r="AH40" s="310"/>
      <c r="AI40" s="309"/>
      <c r="AJ40" s="310"/>
      <c r="AK40" s="309"/>
      <c r="AL40" s="310"/>
      <c r="AM40" s="309"/>
      <c r="AN40" s="310"/>
      <c r="AO40" s="309"/>
      <c r="AP40" s="310"/>
      <c r="AQ40" s="309"/>
      <c r="AR40" s="310"/>
      <c r="AS40" s="309"/>
      <c r="AT40" s="310"/>
      <c r="AU40" s="309"/>
      <c r="AV40" s="310"/>
      <c r="AW40" s="309"/>
      <c r="AX40" s="310"/>
      <c r="AY40" s="309"/>
      <c r="AZ40" s="310"/>
      <c r="BA40" s="271"/>
      <c r="BB40" s="271"/>
      <c r="BC40" s="271"/>
      <c r="BD40" s="271"/>
      <c r="BE40" s="271"/>
      <c r="BF40" s="271"/>
    </row>
    <row r="41" spans="2:58" ht="16" thickBot="1" x14ac:dyDescent="0.25">
      <c r="B41" s="479" t="s">
        <v>24</v>
      </c>
      <c r="C41" s="299"/>
      <c r="D41" s="300"/>
      <c r="E41" s="275"/>
      <c r="F41" s="302"/>
      <c r="G41" s="309"/>
      <c r="H41" s="310"/>
      <c r="I41" s="309"/>
      <c r="J41" s="310"/>
      <c r="K41" s="309"/>
      <c r="L41" s="310"/>
      <c r="M41" s="309"/>
      <c r="N41" s="310"/>
      <c r="O41" s="271"/>
      <c r="P41" s="271"/>
      <c r="Q41" s="309"/>
      <c r="R41" s="310"/>
      <c r="S41" s="309"/>
      <c r="T41" s="310"/>
      <c r="U41" s="309"/>
      <c r="V41" s="310"/>
      <c r="W41" s="309"/>
      <c r="X41" s="310"/>
      <c r="Y41" s="309"/>
      <c r="Z41" s="310"/>
      <c r="AA41" s="309"/>
      <c r="AB41" s="310"/>
      <c r="AC41" s="271"/>
      <c r="AD41" s="271"/>
      <c r="AE41" s="309"/>
      <c r="AF41" s="310"/>
      <c r="AG41" s="309"/>
      <c r="AH41" s="310"/>
      <c r="AI41" s="309"/>
      <c r="AJ41" s="310"/>
      <c r="AK41" s="309"/>
      <c r="AL41" s="310"/>
      <c r="AM41" s="309"/>
      <c r="AN41" s="310"/>
      <c r="AO41" s="309"/>
      <c r="AP41" s="310"/>
      <c r="AQ41" s="309"/>
      <c r="AR41" s="310"/>
      <c r="AS41" s="309"/>
      <c r="AT41" s="310"/>
      <c r="AU41" s="309"/>
      <c r="AV41" s="310"/>
      <c r="AW41" s="309"/>
      <c r="AX41" s="310"/>
      <c r="AY41" s="309"/>
      <c r="AZ41" s="310"/>
      <c r="BA41" s="271"/>
      <c r="BB41" s="271"/>
      <c r="BC41" s="271"/>
      <c r="BD41" s="271"/>
      <c r="BE41" s="271"/>
      <c r="BF41" s="271"/>
    </row>
    <row r="42" spans="2:58" ht="16" thickBot="1" x14ac:dyDescent="0.25">
      <c r="B42" s="577"/>
      <c r="C42" s="159">
        <f>SUM(C36:C41)</f>
        <v>1174.53</v>
      </c>
      <c r="D42" s="159"/>
      <c r="E42" s="270"/>
      <c r="F42" s="271"/>
      <c r="G42" s="309"/>
      <c r="H42" s="310"/>
      <c r="I42" s="309"/>
      <c r="J42" s="310"/>
      <c r="K42" s="309"/>
      <c r="L42" s="310"/>
      <c r="M42" s="309"/>
      <c r="N42" s="310"/>
      <c r="O42" s="271"/>
      <c r="P42" s="271"/>
      <c r="Q42" s="309"/>
      <c r="R42" s="310"/>
      <c r="S42" s="309"/>
      <c r="T42" s="310"/>
      <c r="U42" s="309"/>
      <c r="V42" s="310"/>
      <c r="W42" s="309"/>
      <c r="X42" s="310"/>
      <c r="Y42" s="309"/>
      <c r="Z42" s="310"/>
      <c r="AA42" s="309"/>
      <c r="AB42" s="310"/>
      <c r="AC42" s="271"/>
      <c r="AD42" s="271"/>
      <c r="AE42" s="309"/>
      <c r="AF42" s="310"/>
      <c r="AG42" s="309"/>
      <c r="AH42" s="310"/>
      <c r="AI42" s="309"/>
      <c r="AJ42" s="310"/>
      <c r="AK42" s="309"/>
      <c r="AL42" s="310"/>
      <c r="AM42" s="309"/>
      <c r="AN42" s="310"/>
      <c r="AO42" s="309"/>
      <c r="AP42" s="310"/>
      <c r="AQ42" s="309"/>
      <c r="AR42" s="310"/>
      <c r="AS42" s="309"/>
      <c r="AT42" s="310"/>
      <c r="AU42" s="309"/>
      <c r="AV42" s="310"/>
      <c r="AW42" s="309"/>
      <c r="AX42" s="310"/>
      <c r="AY42" s="309"/>
      <c r="AZ42" s="310"/>
      <c r="BA42" s="271"/>
      <c r="BB42" s="271"/>
      <c r="BC42" s="271"/>
      <c r="BD42" s="271"/>
      <c r="BE42" s="271"/>
      <c r="BF42" s="271"/>
    </row>
    <row r="43" spans="2:58" ht="16" thickBot="1" x14ac:dyDescent="0.25">
      <c r="B43" s="289">
        <v>45661</v>
      </c>
      <c r="C43" s="299">
        <v>18010</v>
      </c>
      <c r="D43" s="300"/>
      <c r="E43" s="274" t="s">
        <v>12</v>
      </c>
      <c r="F43" s="302"/>
      <c r="G43" s="309"/>
      <c r="H43" s="310"/>
      <c r="I43" s="309"/>
      <c r="J43" s="310"/>
      <c r="K43" s="309"/>
      <c r="L43" s="310"/>
      <c r="M43" s="309"/>
      <c r="N43" s="310"/>
      <c r="O43" s="271"/>
      <c r="P43" s="271"/>
      <c r="Q43" s="309"/>
      <c r="R43" s="310"/>
      <c r="S43" s="309"/>
      <c r="T43" s="310"/>
      <c r="U43" s="309"/>
      <c r="V43" s="310"/>
      <c r="W43" s="309"/>
      <c r="X43" s="310"/>
      <c r="Y43" s="309"/>
      <c r="Z43" s="310"/>
      <c r="AA43" s="309"/>
      <c r="AB43" s="310"/>
      <c r="AC43" s="271"/>
      <c r="AD43" s="271"/>
      <c r="AE43" s="309"/>
      <c r="AF43" s="310"/>
      <c r="AG43" s="309"/>
      <c r="AH43" s="310"/>
      <c r="AI43" s="309"/>
      <c r="AJ43" s="310"/>
      <c r="AK43" s="309"/>
      <c r="AL43" s="310"/>
      <c r="AM43" s="309"/>
      <c r="AN43" s="310"/>
      <c r="AO43" s="309"/>
      <c r="AP43" s="310"/>
      <c r="AQ43" s="309"/>
      <c r="AR43" s="310"/>
      <c r="AS43" s="309"/>
      <c r="AT43" s="310"/>
      <c r="AU43" s="309"/>
      <c r="AV43" s="310"/>
      <c r="AW43" s="309"/>
      <c r="AX43" s="310"/>
      <c r="AY43" s="309"/>
      <c r="AZ43" s="310"/>
      <c r="BA43" s="271"/>
      <c r="BB43" s="271"/>
      <c r="BC43" s="271"/>
      <c r="BD43" s="271"/>
      <c r="BE43" s="271"/>
      <c r="BF43" s="271"/>
    </row>
    <row r="44" spans="2:58" ht="16" thickBot="1" x14ac:dyDescent="0.25">
      <c r="B44" s="289"/>
      <c r="C44" s="299">
        <v>750</v>
      </c>
      <c r="D44" s="300"/>
      <c r="E44" s="275" t="s">
        <v>186</v>
      </c>
      <c r="F44" s="302"/>
      <c r="G44" s="309"/>
      <c r="H44" s="310"/>
      <c r="I44" s="309"/>
      <c r="J44" s="310"/>
      <c r="K44" s="309"/>
      <c r="L44" s="310"/>
      <c r="M44" s="309"/>
      <c r="N44" s="310"/>
      <c r="O44" s="271"/>
      <c r="P44" s="271"/>
      <c r="Q44" s="309"/>
      <c r="R44" s="310"/>
      <c r="S44" s="309"/>
      <c r="T44" s="310"/>
      <c r="U44" s="309"/>
      <c r="V44" s="310"/>
      <c r="W44" s="309"/>
      <c r="X44" s="310"/>
      <c r="Y44" s="309"/>
      <c r="Z44" s="310"/>
      <c r="AA44" s="309"/>
      <c r="AB44" s="310"/>
      <c r="AC44" s="271"/>
      <c r="AD44" s="271"/>
      <c r="AE44" s="309"/>
      <c r="AF44" s="310"/>
      <c r="AG44" s="309"/>
      <c r="AH44" s="310"/>
      <c r="AI44" s="309"/>
      <c r="AJ44" s="310"/>
      <c r="AK44" s="309"/>
      <c r="AL44" s="310"/>
      <c r="AM44" s="309"/>
      <c r="AN44" s="310"/>
      <c r="AO44" s="309"/>
      <c r="AP44" s="310"/>
      <c r="AQ44" s="309"/>
      <c r="AR44" s="310"/>
      <c r="AS44" s="309"/>
      <c r="AT44" s="310"/>
      <c r="AU44" s="309"/>
      <c r="AV44" s="310"/>
      <c r="AW44" s="309"/>
      <c r="AX44" s="310"/>
      <c r="AY44" s="309"/>
      <c r="AZ44" s="310"/>
      <c r="BA44" s="271"/>
      <c r="BB44" s="271"/>
      <c r="BC44" s="271"/>
      <c r="BD44" s="271"/>
      <c r="BE44" s="271"/>
      <c r="BF44" s="271"/>
    </row>
    <row r="45" spans="2:58" ht="16" thickBot="1" x14ac:dyDescent="0.25">
      <c r="B45" s="289"/>
      <c r="C45" s="299">
        <v>1500</v>
      </c>
      <c r="D45" s="300"/>
      <c r="E45" s="275" t="s">
        <v>3</v>
      </c>
      <c r="F45" s="302"/>
      <c r="G45" s="309"/>
      <c r="H45" s="310"/>
      <c r="I45" s="309"/>
      <c r="J45" s="310"/>
      <c r="K45" s="309"/>
      <c r="L45" s="310"/>
      <c r="M45" s="309"/>
      <c r="N45" s="310"/>
      <c r="O45" s="271"/>
      <c r="P45" s="271"/>
      <c r="Q45" s="309"/>
      <c r="R45" s="310"/>
      <c r="S45" s="309"/>
      <c r="T45" s="310"/>
      <c r="U45" s="309"/>
      <c r="V45" s="310"/>
      <c r="W45" s="309"/>
      <c r="X45" s="310"/>
      <c r="Y45" s="309"/>
      <c r="Z45" s="310"/>
      <c r="AA45" s="309"/>
      <c r="AB45" s="310"/>
      <c r="AC45" s="271"/>
      <c r="AD45" s="271"/>
      <c r="AE45" s="309"/>
      <c r="AF45" s="310"/>
      <c r="AG45" s="309"/>
      <c r="AH45" s="310"/>
      <c r="AI45" s="309"/>
      <c r="AJ45" s="310"/>
      <c r="AK45" s="309"/>
      <c r="AL45" s="310"/>
      <c r="AM45" s="309"/>
      <c r="AN45" s="310"/>
      <c r="AO45" s="309"/>
      <c r="AP45" s="310"/>
      <c r="AQ45" s="309"/>
      <c r="AR45" s="310"/>
      <c r="AS45" s="309"/>
      <c r="AT45" s="310"/>
      <c r="AU45" s="309"/>
      <c r="AV45" s="310"/>
      <c r="AW45" s="309"/>
      <c r="AX45" s="310"/>
      <c r="AY45" s="309"/>
      <c r="AZ45" s="310"/>
      <c r="BA45" s="271"/>
      <c r="BB45" s="271"/>
      <c r="BC45" s="271"/>
      <c r="BD45" s="271"/>
      <c r="BE45" s="271"/>
      <c r="BF45" s="271"/>
    </row>
    <row r="46" spans="2:58" ht="16" thickBot="1" x14ac:dyDescent="0.25">
      <c r="B46" s="289"/>
      <c r="C46" s="299">
        <v>209.93</v>
      </c>
      <c r="D46" s="300"/>
      <c r="E46" s="275"/>
      <c r="F46" s="302" t="s">
        <v>14</v>
      </c>
      <c r="G46" s="309"/>
      <c r="H46" s="310"/>
      <c r="I46" s="309"/>
      <c r="J46" s="310"/>
      <c r="K46" s="309"/>
      <c r="L46" s="310"/>
      <c r="M46" s="309"/>
      <c r="N46" s="310"/>
      <c r="O46" s="271"/>
      <c r="P46" s="271"/>
      <c r="Q46" s="309"/>
      <c r="R46" s="310"/>
      <c r="S46" s="309"/>
      <c r="T46" s="310"/>
      <c r="U46" s="309"/>
      <c r="V46" s="310"/>
      <c r="W46" s="309"/>
      <c r="X46" s="310"/>
      <c r="Y46" s="309"/>
      <c r="Z46" s="310"/>
      <c r="AA46" s="309"/>
      <c r="AB46" s="310"/>
      <c r="AC46" s="271"/>
      <c r="AD46" s="271"/>
      <c r="AE46" s="309">
        <v>5</v>
      </c>
      <c r="AF46" s="310">
        <v>149.94999999999999</v>
      </c>
      <c r="AG46" s="309"/>
      <c r="AH46" s="310"/>
      <c r="AI46" s="309"/>
      <c r="AJ46" s="310"/>
      <c r="AK46" s="309"/>
      <c r="AL46" s="310"/>
      <c r="AM46" s="309"/>
      <c r="AN46" s="310"/>
      <c r="AO46" s="309"/>
      <c r="AP46" s="310"/>
      <c r="AQ46" s="309"/>
      <c r="AR46" s="310"/>
      <c r="AS46" s="309"/>
      <c r="AT46" s="310"/>
      <c r="AU46" s="309"/>
      <c r="AV46" s="310"/>
      <c r="AW46" s="309"/>
      <c r="AX46" s="310"/>
      <c r="AY46" s="309"/>
      <c r="AZ46" s="310"/>
      <c r="BA46" s="271"/>
      <c r="BB46" s="271"/>
      <c r="BC46" s="271"/>
      <c r="BD46" s="271"/>
      <c r="BE46" s="271"/>
      <c r="BF46" s="271"/>
    </row>
    <row r="47" spans="2:58" ht="16" thickBot="1" x14ac:dyDescent="0.25">
      <c r="B47" s="289"/>
      <c r="C47" s="299">
        <v>5716.55</v>
      </c>
      <c r="D47" s="300"/>
      <c r="E47" s="275"/>
      <c r="F47" s="302" t="s">
        <v>9</v>
      </c>
      <c r="G47" s="309">
        <v>8</v>
      </c>
      <c r="H47" s="310">
        <v>1095.92</v>
      </c>
      <c r="I47" s="309">
        <v>4</v>
      </c>
      <c r="J47" s="310">
        <v>411.96</v>
      </c>
      <c r="K47" s="309">
        <v>6</v>
      </c>
      <c r="L47" s="310">
        <v>1091.94</v>
      </c>
      <c r="M47" s="309">
        <v>12</v>
      </c>
      <c r="N47" s="310">
        <v>1739.88</v>
      </c>
      <c r="O47" s="271"/>
      <c r="P47" s="271"/>
      <c r="Q47" s="309">
        <v>1</v>
      </c>
      <c r="R47" s="310">
        <v>134.99</v>
      </c>
      <c r="S47" s="309"/>
      <c r="T47" s="310"/>
      <c r="U47" s="309"/>
      <c r="V47" s="310"/>
      <c r="W47" s="309">
        <v>6</v>
      </c>
      <c r="X47" s="310">
        <v>539.94000000000005</v>
      </c>
      <c r="Y47" s="309"/>
      <c r="Z47" s="310"/>
      <c r="AA47" s="309"/>
      <c r="AB47" s="310"/>
      <c r="AC47" s="271">
        <v>6</v>
      </c>
      <c r="AD47" s="271">
        <v>593.94000000000005</v>
      </c>
      <c r="AE47" s="309"/>
      <c r="AF47" s="310"/>
      <c r="AG47" s="309"/>
      <c r="AH47" s="310"/>
      <c r="AI47" s="309"/>
      <c r="AJ47" s="310"/>
      <c r="AK47" s="309"/>
      <c r="AL47" s="310"/>
      <c r="AM47" s="309">
        <v>1</v>
      </c>
      <c r="AN47" s="310">
        <v>49.99</v>
      </c>
      <c r="AO47" s="309"/>
      <c r="AP47" s="310"/>
      <c r="AQ47" s="309"/>
      <c r="AR47" s="310"/>
      <c r="AS47" s="309"/>
      <c r="AT47" s="310"/>
      <c r="AU47" s="309"/>
      <c r="AV47" s="310"/>
      <c r="AW47" s="309"/>
      <c r="AX47" s="310"/>
      <c r="AY47" s="309"/>
      <c r="AZ47" s="310"/>
      <c r="BA47" s="271"/>
      <c r="BB47" s="271"/>
      <c r="BC47" s="271"/>
      <c r="BD47" s="271"/>
      <c r="BE47" s="271">
        <v>1</v>
      </c>
      <c r="BF47" s="271">
        <v>57.99</v>
      </c>
    </row>
    <row r="48" spans="2:58" ht="16" thickBot="1" x14ac:dyDescent="0.25">
      <c r="B48" s="289"/>
      <c r="C48" s="299"/>
      <c r="D48" s="300"/>
      <c r="E48" s="275"/>
      <c r="F48" s="302"/>
      <c r="G48" s="309"/>
      <c r="H48" s="310"/>
      <c r="I48" s="309"/>
      <c r="J48" s="310"/>
      <c r="K48" s="309"/>
      <c r="L48" s="310"/>
      <c r="M48" s="309"/>
      <c r="N48" s="310"/>
      <c r="O48" s="271"/>
      <c r="P48" s="271"/>
      <c r="Q48" s="309"/>
      <c r="R48" s="310"/>
      <c r="S48" s="309"/>
      <c r="T48" s="310"/>
      <c r="U48" s="309"/>
      <c r="V48" s="310"/>
      <c r="W48" s="309"/>
      <c r="X48" s="310"/>
      <c r="Y48" s="309"/>
      <c r="Z48" s="310"/>
      <c r="AA48" s="309"/>
      <c r="AB48" s="310"/>
      <c r="AC48" s="271"/>
      <c r="AD48" s="271"/>
      <c r="AE48" s="309"/>
      <c r="AF48" s="310"/>
      <c r="AG48" s="309"/>
      <c r="AH48" s="310"/>
      <c r="AI48" s="309"/>
      <c r="AJ48" s="310"/>
      <c r="AK48" s="309"/>
      <c r="AL48" s="310"/>
      <c r="AM48" s="309"/>
      <c r="AN48" s="310"/>
      <c r="AO48" s="309"/>
      <c r="AP48" s="310"/>
      <c r="AQ48" s="309"/>
      <c r="AR48" s="310"/>
      <c r="AS48" s="309"/>
      <c r="AT48" s="310"/>
      <c r="AU48" s="309"/>
      <c r="AV48" s="310"/>
      <c r="AW48" s="309"/>
      <c r="AX48" s="310"/>
      <c r="AY48" s="309"/>
      <c r="AZ48" s="310"/>
      <c r="BA48" s="271"/>
      <c r="BB48" s="271"/>
      <c r="BC48" s="271"/>
      <c r="BD48" s="271"/>
      <c r="BE48" s="271"/>
      <c r="BF48" s="271"/>
    </row>
    <row r="49" spans="2:58" ht="16" thickBot="1" x14ac:dyDescent="0.25">
      <c r="B49" s="289"/>
      <c r="C49" s="299"/>
      <c r="D49" s="300"/>
      <c r="E49" s="275"/>
      <c r="F49" s="302"/>
      <c r="G49" s="309"/>
      <c r="H49" s="310"/>
      <c r="I49" s="309"/>
      <c r="J49" s="310"/>
      <c r="K49" s="309"/>
      <c r="L49" s="310"/>
      <c r="M49" s="309"/>
      <c r="N49" s="310"/>
      <c r="O49" s="271"/>
      <c r="P49" s="271"/>
      <c r="Q49" s="309"/>
      <c r="R49" s="310"/>
      <c r="S49" s="309"/>
      <c r="T49" s="310"/>
      <c r="U49" s="309"/>
      <c r="V49" s="310"/>
      <c r="W49" s="309"/>
      <c r="X49" s="310"/>
      <c r="Y49" s="309"/>
      <c r="Z49" s="310"/>
      <c r="AA49" s="309"/>
      <c r="AB49" s="310"/>
      <c r="AC49" s="271"/>
      <c r="AD49" s="271"/>
      <c r="AE49" s="309"/>
      <c r="AF49" s="310"/>
      <c r="AG49" s="309"/>
      <c r="AH49" s="310"/>
      <c r="AI49" s="309"/>
      <c r="AJ49" s="310"/>
      <c r="AK49" s="309"/>
      <c r="AL49" s="310"/>
      <c r="AM49" s="309"/>
      <c r="AN49" s="310"/>
      <c r="AO49" s="309"/>
      <c r="AP49" s="310"/>
      <c r="AQ49" s="309"/>
      <c r="AR49" s="310"/>
      <c r="AS49" s="309"/>
      <c r="AT49" s="310"/>
      <c r="AU49" s="309"/>
      <c r="AV49" s="310"/>
      <c r="AW49" s="309"/>
      <c r="AX49" s="310"/>
      <c r="AY49" s="309"/>
      <c r="AZ49" s="310"/>
      <c r="BA49" s="271"/>
      <c r="BB49" s="271"/>
      <c r="BC49" s="271"/>
      <c r="BD49" s="271"/>
      <c r="BE49" s="271"/>
      <c r="BF49" s="271"/>
    </row>
    <row r="50" spans="2:58" ht="16" thickBot="1" x14ac:dyDescent="0.25">
      <c r="B50" s="288" t="s">
        <v>25</v>
      </c>
      <c r="C50" s="284"/>
      <c r="D50" s="291"/>
      <c r="E50" s="290"/>
      <c r="F50" s="293"/>
      <c r="G50" s="309"/>
      <c r="H50" s="310"/>
      <c r="I50" s="309"/>
      <c r="J50" s="310"/>
      <c r="K50" s="309"/>
      <c r="L50" s="310"/>
      <c r="M50" s="309"/>
      <c r="N50" s="310"/>
      <c r="O50" s="271"/>
      <c r="P50" s="271"/>
      <c r="Q50" s="309"/>
      <c r="R50" s="310"/>
      <c r="S50" s="309"/>
      <c r="T50" s="310"/>
      <c r="U50" s="309"/>
      <c r="V50" s="310"/>
      <c r="W50" s="309"/>
      <c r="X50" s="310"/>
      <c r="Y50" s="309"/>
      <c r="Z50" s="310"/>
      <c r="AA50" s="309"/>
      <c r="AB50" s="310"/>
      <c r="AC50" s="271"/>
      <c r="AD50" s="271"/>
      <c r="AE50" s="309"/>
      <c r="AF50" s="310"/>
      <c r="AG50" s="309"/>
      <c r="AH50" s="310"/>
      <c r="AI50" s="309"/>
      <c r="AJ50" s="310"/>
      <c r="AK50" s="309"/>
      <c r="AL50" s="310"/>
      <c r="AM50" s="309"/>
      <c r="AN50" s="310"/>
      <c r="AO50" s="309"/>
      <c r="AP50" s="310"/>
      <c r="AQ50" s="309"/>
      <c r="AR50" s="310"/>
      <c r="AS50" s="309"/>
      <c r="AT50" s="310"/>
      <c r="AU50" s="309"/>
      <c r="AV50" s="310"/>
      <c r="AW50" s="309"/>
      <c r="AX50" s="310"/>
      <c r="AY50" s="309"/>
      <c r="AZ50" s="310"/>
      <c r="BA50" s="271"/>
      <c r="BB50" s="271"/>
      <c r="BC50" s="271"/>
      <c r="BD50" s="271"/>
      <c r="BE50" s="271"/>
      <c r="BF50" s="271"/>
    </row>
    <row r="51" spans="2:58" ht="16" thickBot="1" x14ac:dyDescent="0.25">
      <c r="B51" s="668"/>
      <c r="C51" s="640">
        <f>SUM(C43:C50)</f>
        <v>26186.48</v>
      </c>
      <c r="D51" s="159"/>
      <c r="E51" s="270"/>
      <c r="F51" s="271"/>
      <c r="G51" s="309"/>
      <c r="H51" s="310"/>
      <c r="I51" s="309"/>
      <c r="J51" s="310"/>
      <c r="K51" s="309"/>
      <c r="L51" s="310"/>
      <c r="M51" s="309"/>
      <c r="N51" s="310"/>
      <c r="O51" s="271"/>
      <c r="P51" s="271"/>
      <c r="Q51" s="309"/>
      <c r="R51" s="310"/>
      <c r="S51" s="309"/>
      <c r="T51" s="310"/>
      <c r="U51" s="309"/>
      <c r="V51" s="310"/>
      <c r="W51" s="309"/>
      <c r="X51" s="310"/>
      <c r="Y51" s="309"/>
      <c r="Z51" s="310"/>
      <c r="AA51" s="309"/>
      <c r="AB51" s="310"/>
      <c r="AC51" s="271"/>
      <c r="AD51" s="271"/>
      <c r="AE51" s="309"/>
      <c r="AF51" s="310"/>
      <c r="AG51" s="309"/>
      <c r="AH51" s="310"/>
      <c r="AI51" s="309"/>
      <c r="AJ51" s="310"/>
      <c r="AK51" s="309"/>
      <c r="AL51" s="310"/>
      <c r="AM51" s="309"/>
      <c r="AN51" s="310"/>
      <c r="AO51" s="309"/>
      <c r="AP51" s="310"/>
      <c r="AQ51" s="309"/>
      <c r="AR51" s="310"/>
      <c r="AS51" s="309"/>
      <c r="AT51" s="310"/>
      <c r="AU51" s="309"/>
      <c r="AV51" s="310"/>
      <c r="AW51" s="309"/>
      <c r="AX51" s="310"/>
      <c r="AY51" s="309"/>
      <c r="AZ51" s="310"/>
      <c r="BA51" s="271"/>
      <c r="BB51" s="271"/>
      <c r="BC51" s="271"/>
      <c r="BD51" s="271"/>
      <c r="BE51" s="271"/>
      <c r="BF51" s="271"/>
    </row>
    <row r="52" spans="2:58" ht="16" thickBot="1" x14ac:dyDescent="0.25">
      <c r="B52" s="479">
        <v>45662</v>
      </c>
      <c r="C52" s="657">
        <v>189.17</v>
      </c>
      <c r="D52" s="641"/>
      <c r="E52" s="274" t="s">
        <v>411</v>
      </c>
      <c r="F52" s="301"/>
      <c r="G52" s="550"/>
      <c r="H52" s="310"/>
      <c r="I52" s="309"/>
      <c r="J52" s="310"/>
      <c r="K52" s="309"/>
      <c r="L52" s="310"/>
      <c r="M52" s="309"/>
      <c r="N52" s="310"/>
      <c r="O52" s="271"/>
      <c r="P52" s="271"/>
      <c r="Q52" s="309"/>
      <c r="R52" s="310"/>
      <c r="S52" s="309"/>
      <c r="T52" s="310"/>
      <c r="U52" s="309"/>
      <c r="V52" s="310"/>
      <c r="W52" s="309"/>
      <c r="X52" s="310"/>
      <c r="Y52" s="309"/>
      <c r="Z52" s="310"/>
      <c r="AA52" s="309"/>
      <c r="AB52" s="310"/>
      <c r="AC52" s="271"/>
      <c r="AD52" s="271"/>
      <c r="AE52" s="309"/>
      <c r="AF52" s="310"/>
      <c r="AG52" s="309"/>
      <c r="AH52" s="310"/>
      <c r="AI52" s="309"/>
      <c r="AJ52" s="310"/>
      <c r="AK52" s="309"/>
      <c r="AL52" s="310"/>
      <c r="AM52" s="309"/>
      <c r="AN52" s="310"/>
      <c r="AO52" s="309"/>
      <c r="AP52" s="310"/>
      <c r="AQ52" s="309"/>
      <c r="AR52" s="310"/>
      <c r="AS52" s="309"/>
      <c r="AT52" s="310"/>
      <c r="AU52" s="309"/>
      <c r="AV52" s="310"/>
      <c r="AW52" s="309"/>
      <c r="AX52" s="310"/>
      <c r="AY52" s="309"/>
      <c r="AZ52" s="310"/>
      <c r="BA52" s="271"/>
      <c r="BB52" s="271"/>
      <c r="BC52" s="271"/>
      <c r="BD52" s="271"/>
      <c r="BE52" s="271"/>
      <c r="BF52" s="271"/>
    </row>
    <row r="53" spans="2:58" ht="16" thickBot="1" x14ac:dyDescent="0.25">
      <c r="B53" s="479"/>
      <c r="C53" s="657">
        <v>178.98</v>
      </c>
      <c r="D53" s="657"/>
      <c r="E53" s="285" t="s">
        <v>279</v>
      </c>
      <c r="F53" s="302"/>
      <c r="G53" s="550"/>
      <c r="H53" s="310"/>
      <c r="I53" s="309"/>
      <c r="J53" s="310"/>
      <c r="K53" s="309"/>
      <c r="L53" s="310"/>
      <c r="M53" s="309"/>
      <c r="N53" s="310"/>
      <c r="O53" s="271"/>
      <c r="P53" s="271"/>
      <c r="Q53" s="309"/>
      <c r="R53" s="310"/>
      <c r="S53" s="309"/>
      <c r="T53" s="310"/>
      <c r="U53" s="309"/>
      <c r="V53" s="310"/>
      <c r="W53" s="309"/>
      <c r="X53" s="310"/>
      <c r="Y53" s="309"/>
      <c r="Z53" s="310"/>
      <c r="AA53" s="309"/>
      <c r="AB53" s="310"/>
      <c r="AC53" s="271"/>
      <c r="AD53" s="271"/>
      <c r="AE53" s="309"/>
      <c r="AF53" s="310"/>
      <c r="AG53" s="309"/>
      <c r="AH53" s="310"/>
      <c r="AI53" s="309"/>
      <c r="AJ53" s="310"/>
      <c r="AK53" s="309"/>
      <c r="AL53" s="310"/>
      <c r="AM53" s="309"/>
      <c r="AN53" s="310"/>
      <c r="AO53" s="309"/>
      <c r="AP53" s="310"/>
      <c r="AQ53" s="309"/>
      <c r="AR53" s="310"/>
      <c r="AS53" s="309"/>
      <c r="AT53" s="310"/>
      <c r="AU53" s="309"/>
      <c r="AV53" s="310"/>
      <c r="AW53" s="309"/>
      <c r="AX53" s="310"/>
      <c r="AY53" s="309"/>
      <c r="AZ53" s="310"/>
      <c r="BA53" s="271"/>
      <c r="BB53" s="271"/>
      <c r="BC53" s="271"/>
      <c r="BD53" s="271"/>
      <c r="BE53" s="271"/>
      <c r="BF53" s="271"/>
    </row>
    <row r="54" spans="2:58" ht="16" thickBot="1" x14ac:dyDescent="0.25">
      <c r="B54" s="479"/>
      <c r="C54" s="657">
        <v>40</v>
      </c>
      <c r="D54" s="657"/>
      <c r="E54" s="285" t="s">
        <v>458</v>
      </c>
      <c r="F54" s="302"/>
      <c r="G54" s="550"/>
      <c r="H54" s="310"/>
      <c r="I54" s="309"/>
      <c r="J54" s="310"/>
      <c r="K54" s="309"/>
      <c r="L54" s="310"/>
      <c r="M54" s="309"/>
      <c r="N54" s="310"/>
      <c r="O54" s="271"/>
      <c r="P54" s="271"/>
      <c r="Q54" s="309"/>
      <c r="R54" s="310"/>
      <c r="S54" s="309"/>
      <c r="T54" s="310"/>
      <c r="U54" s="309"/>
      <c r="V54" s="310"/>
      <c r="W54" s="309"/>
      <c r="X54" s="310"/>
      <c r="Y54" s="309"/>
      <c r="Z54" s="310"/>
      <c r="AA54" s="309"/>
      <c r="AB54" s="310"/>
      <c r="AC54" s="271"/>
      <c r="AD54" s="271"/>
      <c r="AE54" s="309"/>
      <c r="AF54" s="310"/>
      <c r="AG54" s="309"/>
      <c r="AH54" s="310"/>
      <c r="AI54" s="309"/>
      <c r="AJ54" s="310"/>
      <c r="AK54" s="309"/>
      <c r="AL54" s="310"/>
      <c r="AM54" s="309"/>
      <c r="AN54" s="310"/>
      <c r="AO54" s="309"/>
      <c r="AP54" s="310"/>
      <c r="AQ54" s="309"/>
      <c r="AR54" s="310"/>
      <c r="AS54" s="309"/>
      <c r="AT54" s="310"/>
      <c r="AU54" s="309"/>
      <c r="AV54" s="310"/>
      <c r="AW54" s="309"/>
      <c r="AX54" s="310"/>
      <c r="AY54" s="309"/>
      <c r="AZ54" s="310"/>
      <c r="BA54" s="271"/>
      <c r="BB54" s="271"/>
      <c r="BC54" s="271"/>
      <c r="BD54" s="271"/>
      <c r="BE54" s="271"/>
      <c r="BF54" s="271"/>
    </row>
    <row r="55" spans="2:58" ht="16" thickBot="1" x14ac:dyDescent="0.25">
      <c r="B55" s="479"/>
      <c r="C55" s="657"/>
      <c r="D55" s="657"/>
      <c r="E55" s="285"/>
      <c r="F55" s="302"/>
      <c r="G55" s="550"/>
      <c r="H55" s="310"/>
      <c r="I55" s="309"/>
      <c r="J55" s="310"/>
      <c r="K55" s="309"/>
      <c r="L55" s="310"/>
      <c r="M55" s="309"/>
      <c r="N55" s="310"/>
      <c r="O55" s="271"/>
      <c r="P55" s="271"/>
      <c r="Q55" s="309"/>
      <c r="R55" s="310"/>
      <c r="S55" s="309"/>
      <c r="T55" s="310"/>
      <c r="U55" s="309"/>
      <c r="V55" s="310"/>
      <c r="W55" s="309"/>
      <c r="X55" s="310"/>
      <c r="Y55" s="309"/>
      <c r="Z55" s="310"/>
      <c r="AA55" s="309"/>
      <c r="AB55" s="310"/>
      <c r="AC55" s="271"/>
      <c r="AD55" s="271"/>
      <c r="AE55" s="309"/>
      <c r="AF55" s="310"/>
      <c r="AG55" s="309"/>
      <c r="AH55" s="310"/>
      <c r="AI55" s="309"/>
      <c r="AJ55" s="310"/>
      <c r="AK55" s="309"/>
      <c r="AL55" s="310"/>
      <c r="AM55" s="309"/>
      <c r="AN55" s="310"/>
      <c r="AO55" s="309"/>
      <c r="AP55" s="310"/>
      <c r="AQ55" s="309"/>
      <c r="AR55" s="310"/>
      <c r="AS55" s="309"/>
      <c r="AT55" s="310"/>
      <c r="AU55" s="309"/>
      <c r="AV55" s="310"/>
      <c r="AW55" s="309"/>
      <c r="AX55" s="310"/>
      <c r="AY55" s="309"/>
      <c r="AZ55" s="310"/>
      <c r="BA55" s="271"/>
      <c r="BB55" s="271"/>
      <c r="BC55" s="271"/>
      <c r="BD55" s="271"/>
      <c r="BE55" s="271"/>
      <c r="BF55" s="271"/>
    </row>
    <row r="56" spans="2:58" ht="16" thickBot="1" x14ac:dyDescent="0.25">
      <c r="B56" s="479"/>
      <c r="C56" s="657"/>
      <c r="D56" s="657"/>
      <c r="E56" s="285"/>
      <c r="F56" s="302"/>
      <c r="G56" s="550"/>
      <c r="H56" s="310"/>
      <c r="I56" s="309"/>
      <c r="J56" s="310"/>
      <c r="K56" s="309"/>
      <c r="L56" s="310"/>
      <c r="M56" s="309"/>
      <c r="N56" s="310"/>
      <c r="O56" s="271"/>
      <c r="P56" s="271"/>
      <c r="Q56" s="309"/>
      <c r="R56" s="310"/>
      <c r="S56" s="309"/>
      <c r="T56" s="310"/>
      <c r="U56" s="309"/>
      <c r="V56" s="310"/>
      <c r="W56" s="309"/>
      <c r="X56" s="310"/>
      <c r="Y56" s="309"/>
      <c r="Z56" s="310"/>
      <c r="AA56" s="309"/>
      <c r="AB56" s="310"/>
      <c r="AC56" s="271"/>
      <c r="AD56" s="271"/>
      <c r="AE56" s="309"/>
      <c r="AF56" s="310"/>
      <c r="AG56" s="309"/>
      <c r="AH56" s="310"/>
      <c r="AI56" s="309"/>
      <c r="AJ56" s="310"/>
      <c r="AK56" s="309"/>
      <c r="AL56" s="310"/>
      <c r="AM56" s="309"/>
      <c r="AN56" s="310"/>
      <c r="AO56" s="309"/>
      <c r="AP56" s="310"/>
      <c r="AQ56" s="309"/>
      <c r="AR56" s="310"/>
      <c r="AS56" s="309"/>
      <c r="AT56" s="310"/>
      <c r="AU56" s="309"/>
      <c r="AV56" s="310"/>
      <c r="AW56" s="309"/>
      <c r="AX56" s="310"/>
      <c r="AY56" s="309"/>
      <c r="AZ56" s="310"/>
      <c r="BA56" s="271"/>
      <c r="BB56" s="271"/>
      <c r="BC56" s="271"/>
      <c r="BD56" s="271"/>
      <c r="BE56" s="271"/>
      <c r="BF56" s="271"/>
    </row>
    <row r="57" spans="2:58" ht="16" thickBot="1" x14ac:dyDescent="0.25">
      <c r="B57" s="479"/>
      <c r="C57" s="657"/>
      <c r="D57" s="657"/>
      <c r="E57" s="285"/>
      <c r="F57" s="302"/>
      <c r="G57" s="550"/>
      <c r="H57" s="310"/>
      <c r="I57" s="309"/>
      <c r="J57" s="310"/>
      <c r="K57" s="309"/>
      <c r="L57" s="310"/>
      <c r="M57" s="309"/>
      <c r="N57" s="310"/>
      <c r="O57" s="271"/>
      <c r="P57" s="271"/>
      <c r="Q57" s="309"/>
      <c r="R57" s="310"/>
      <c r="S57" s="309"/>
      <c r="T57" s="310"/>
      <c r="U57" s="309"/>
      <c r="V57" s="310"/>
      <c r="W57" s="309"/>
      <c r="X57" s="310"/>
      <c r="Y57" s="309"/>
      <c r="Z57" s="310"/>
      <c r="AA57" s="309"/>
      <c r="AB57" s="310"/>
      <c r="AC57" s="271"/>
      <c r="AD57" s="271"/>
      <c r="AE57" s="309"/>
      <c r="AF57" s="310"/>
      <c r="AG57" s="309"/>
      <c r="AH57" s="310"/>
      <c r="AI57" s="309"/>
      <c r="AJ57" s="310"/>
      <c r="AK57" s="309"/>
      <c r="AL57" s="310"/>
      <c r="AM57" s="309"/>
      <c r="AN57" s="310"/>
      <c r="AO57" s="309"/>
      <c r="AP57" s="310"/>
      <c r="AQ57" s="309"/>
      <c r="AR57" s="310"/>
      <c r="AS57" s="309"/>
      <c r="AT57" s="310"/>
      <c r="AU57" s="309"/>
      <c r="AV57" s="310"/>
      <c r="AW57" s="309"/>
      <c r="AX57" s="310"/>
      <c r="AY57" s="309"/>
      <c r="AZ57" s="310"/>
      <c r="BA57" s="271"/>
      <c r="BB57" s="271"/>
      <c r="BC57" s="271"/>
      <c r="BD57" s="271"/>
      <c r="BE57" s="271"/>
      <c r="BF57" s="271"/>
    </row>
    <row r="58" spans="2:58" ht="16" thickBot="1" x14ac:dyDescent="0.25">
      <c r="B58" s="549" t="s">
        <v>26</v>
      </c>
      <c r="C58" s="554"/>
      <c r="D58" s="291"/>
      <c r="E58" s="290"/>
      <c r="F58" s="293"/>
      <c r="G58" s="550"/>
      <c r="H58" s="310"/>
      <c r="I58" s="309"/>
      <c r="J58" s="310"/>
      <c r="K58" s="309"/>
      <c r="L58" s="310"/>
      <c r="M58" s="309"/>
      <c r="N58" s="310"/>
      <c r="O58" s="271"/>
      <c r="P58" s="271"/>
      <c r="Q58" s="309"/>
      <c r="R58" s="310"/>
      <c r="S58" s="309"/>
      <c r="T58" s="310"/>
      <c r="U58" s="309"/>
      <c r="V58" s="310"/>
      <c r="W58" s="309"/>
      <c r="X58" s="310"/>
      <c r="Y58" s="309"/>
      <c r="Z58" s="310"/>
      <c r="AA58" s="309"/>
      <c r="AB58" s="310"/>
      <c r="AC58" s="271"/>
      <c r="AD58" s="271"/>
      <c r="AE58" s="309"/>
      <c r="AF58" s="310"/>
      <c r="AG58" s="309"/>
      <c r="AH58" s="310"/>
      <c r="AI58" s="309"/>
      <c r="AJ58" s="310"/>
      <c r="AK58" s="309"/>
      <c r="AL58" s="310"/>
      <c r="AM58" s="309"/>
      <c r="AN58" s="310"/>
      <c r="AO58" s="309"/>
      <c r="AP58" s="310"/>
      <c r="AQ58" s="309"/>
      <c r="AR58" s="310"/>
      <c r="AS58" s="309"/>
      <c r="AT58" s="310"/>
      <c r="AU58" s="309"/>
      <c r="AV58" s="310"/>
      <c r="AW58" s="309"/>
      <c r="AX58" s="310"/>
      <c r="AY58" s="309"/>
      <c r="AZ58" s="310"/>
      <c r="BA58" s="271"/>
      <c r="BB58" s="271"/>
      <c r="BC58" s="271"/>
      <c r="BD58" s="271"/>
      <c r="BE58" s="271"/>
      <c r="BF58" s="271"/>
    </row>
    <row r="59" spans="2:58" ht="16" thickBot="1" x14ac:dyDescent="0.25">
      <c r="B59" s="292"/>
      <c r="C59" s="551">
        <f>SUM(C52:C58)</f>
        <v>408.15</v>
      </c>
      <c r="D59" s="551"/>
      <c r="E59" s="552"/>
      <c r="F59" s="553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309"/>
      <c r="AF59" s="310"/>
      <c r="AG59" s="309"/>
      <c r="AH59" s="310"/>
      <c r="AI59" s="309"/>
      <c r="AJ59" s="310"/>
      <c r="AK59" s="309"/>
      <c r="AL59" s="310"/>
      <c r="AM59" s="309"/>
      <c r="AN59" s="310"/>
      <c r="AO59" s="309"/>
      <c r="AP59" s="310"/>
      <c r="AQ59" s="309"/>
      <c r="AR59" s="310"/>
      <c r="AS59" s="309"/>
      <c r="AT59" s="310"/>
      <c r="AU59" s="309"/>
      <c r="AV59" s="310"/>
      <c r="AW59" s="309"/>
      <c r="AX59" s="310"/>
      <c r="AY59" s="309"/>
      <c r="AZ59" s="310"/>
      <c r="BA59" s="271"/>
      <c r="BB59" s="271"/>
      <c r="BC59" s="271"/>
      <c r="BD59" s="271"/>
      <c r="BE59" s="271"/>
      <c r="BF59" s="271"/>
    </row>
    <row r="60" spans="2:58" ht="16" thickBot="1" x14ac:dyDescent="0.25">
      <c r="B60" s="761" t="s">
        <v>329</v>
      </c>
      <c r="C60" s="311"/>
      <c r="D60" s="312"/>
      <c r="E60" s="285"/>
      <c r="F60" s="302"/>
      <c r="G60" s="306">
        <f t="shared" ref="G60:AD60" si="0">SUM(G17:G58)</f>
        <v>24</v>
      </c>
      <c r="H60" s="307">
        <f t="shared" si="0"/>
        <v>3299.76</v>
      </c>
      <c r="I60" s="306">
        <f t="shared" si="0"/>
        <v>12</v>
      </c>
      <c r="J60" s="307">
        <f t="shared" si="0"/>
        <v>1439.88</v>
      </c>
      <c r="K60" s="306">
        <f t="shared" si="0"/>
        <v>20</v>
      </c>
      <c r="L60" s="307">
        <f t="shared" si="0"/>
        <v>3639.8</v>
      </c>
      <c r="M60" s="306">
        <f t="shared" si="0"/>
        <v>32</v>
      </c>
      <c r="N60" s="307">
        <f t="shared" si="0"/>
        <v>4639.68</v>
      </c>
      <c r="O60" s="308">
        <f t="shared" si="0"/>
        <v>15</v>
      </c>
      <c r="P60" s="308">
        <f t="shared" si="0"/>
        <v>7850</v>
      </c>
      <c r="Q60" s="306">
        <f t="shared" si="0"/>
        <v>1</v>
      </c>
      <c r="R60" s="307">
        <f t="shared" si="0"/>
        <v>134.99</v>
      </c>
      <c r="S60" s="306">
        <f t="shared" si="0"/>
        <v>0</v>
      </c>
      <c r="T60" s="307">
        <f t="shared" si="0"/>
        <v>0</v>
      </c>
      <c r="U60" s="306">
        <f t="shared" si="0"/>
        <v>0</v>
      </c>
      <c r="V60" s="307">
        <f t="shared" si="0"/>
        <v>0</v>
      </c>
      <c r="W60" s="306">
        <f t="shared" si="0"/>
        <v>18</v>
      </c>
      <c r="X60" s="307">
        <f t="shared" si="0"/>
        <v>1431.8200000000002</v>
      </c>
      <c r="Y60" s="306">
        <f t="shared" si="0"/>
        <v>0</v>
      </c>
      <c r="Z60" s="307">
        <f t="shared" si="0"/>
        <v>0</v>
      </c>
      <c r="AA60" s="306">
        <f t="shared" si="0"/>
        <v>0</v>
      </c>
      <c r="AB60" s="307">
        <f t="shared" si="0"/>
        <v>0</v>
      </c>
      <c r="AC60" s="308">
        <f t="shared" si="0"/>
        <v>12</v>
      </c>
      <c r="AD60" s="308">
        <f t="shared" si="0"/>
        <v>1189.8800000000001</v>
      </c>
      <c r="AE60" s="306">
        <f t="shared" ref="AE60:BF60" si="1">SUM(AE17:AE59)</f>
        <v>20</v>
      </c>
      <c r="AF60" s="307">
        <f t="shared" si="1"/>
        <v>599.79999999999995</v>
      </c>
      <c r="AG60" s="306">
        <f t="shared" si="1"/>
        <v>0</v>
      </c>
      <c r="AH60" s="307">
        <f t="shared" si="1"/>
        <v>0</v>
      </c>
      <c r="AI60" s="306">
        <f t="shared" si="1"/>
        <v>2</v>
      </c>
      <c r="AJ60" s="307">
        <f t="shared" si="1"/>
        <v>11.98</v>
      </c>
      <c r="AK60" s="306">
        <f t="shared" si="1"/>
        <v>0</v>
      </c>
      <c r="AL60" s="307">
        <f t="shared" si="1"/>
        <v>0</v>
      </c>
      <c r="AM60" s="306">
        <f t="shared" si="1"/>
        <v>1</v>
      </c>
      <c r="AN60" s="307">
        <f t="shared" si="1"/>
        <v>49.99</v>
      </c>
      <c r="AO60" s="306">
        <f t="shared" si="1"/>
        <v>0</v>
      </c>
      <c r="AP60" s="307">
        <f t="shared" si="1"/>
        <v>0</v>
      </c>
      <c r="AQ60" s="306">
        <f t="shared" si="1"/>
        <v>0</v>
      </c>
      <c r="AR60" s="307">
        <f t="shared" si="1"/>
        <v>0</v>
      </c>
      <c r="AS60" s="306">
        <f t="shared" si="1"/>
        <v>0</v>
      </c>
      <c r="AT60" s="307">
        <f t="shared" si="1"/>
        <v>0</v>
      </c>
      <c r="AU60" s="306">
        <f t="shared" si="1"/>
        <v>0</v>
      </c>
      <c r="AV60" s="307">
        <f t="shared" si="1"/>
        <v>0</v>
      </c>
      <c r="AW60" s="306">
        <f t="shared" si="1"/>
        <v>17</v>
      </c>
      <c r="AX60" s="307">
        <f t="shared" si="1"/>
        <v>6547.83</v>
      </c>
      <c r="AY60" s="306">
        <f t="shared" si="1"/>
        <v>17</v>
      </c>
      <c r="AZ60" s="307">
        <f t="shared" si="1"/>
        <v>4215.42</v>
      </c>
      <c r="BA60" s="306">
        <f t="shared" si="1"/>
        <v>4</v>
      </c>
      <c r="BB60" s="307">
        <f t="shared" si="1"/>
        <v>145.94999999999999</v>
      </c>
      <c r="BC60" s="306">
        <f t="shared" si="1"/>
        <v>0</v>
      </c>
      <c r="BD60" s="307">
        <f t="shared" si="1"/>
        <v>0</v>
      </c>
      <c r="BE60" s="306">
        <f t="shared" si="1"/>
        <v>2</v>
      </c>
      <c r="BF60" s="307">
        <f t="shared" si="1"/>
        <v>117.98</v>
      </c>
    </row>
    <row r="61" spans="2:58" ht="16" thickBot="1" x14ac:dyDescent="0.25">
      <c r="B61" s="762"/>
      <c r="C61" s="160">
        <f>SUM(C59,C51,C42,C35,C30,C27,C17)</f>
        <v>73191</v>
      </c>
      <c r="D61" s="160"/>
      <c r="E61" s="304"/>
      <c r="F61" s="294"/>
      <c r="G61" s="752" t="s">
        <v>29</v>
      </c>
      <c r="H61" s="752"/>
      <c r="I61" s="752" t="s">
        <v>30</v>
      </c>
      <c r="J61" s="752"/>
      <c r="K61" s="752" t="s">
        <v>31</v>
      </c>
      <c r="L61" s="752"/>
      <c r="M61" s="752" t="s">
        <v>32</v>
      </c>
      <c r="N61" s="752"/>
      <c r="O61" s="752" t="s">
        <v>33</v>
      </c>
      <c r="P61" s="752"/>
      <c r="Q61" s="752" t="s">
        <v>247</v>
      </c>
      <c r="R61" s="752"/>
      <c r="S61" s="752" t="s">
        <v>34</v>
      </c>
      <c r="T61" s="752"/>
      <c r="U61" s="752" t="s">
        <v>35</v>
      </c>
      <c r="V61" s="752"/>
      <c r="W61" s="752" t="s">
        <v>36</v>
      </c>
      <c r="X61" s="752"/>
      <c r="Y61" s="752" t="s">
        <v>37</v>
      </c>
      <c r="Z61" s="752"/>
      <c r="AA61" s="752" t="s">
        <v>38</v>
      </c>
      <c r="AB61" s="752"/>
      <c r="AC61" s="752" t="s">
        <v>39</v>
      </c>
      <c r="AD61" s="752"/>
      <c r="AE61" s="752" t="s">
        <v>40</v>
      </c>
      <c r="AF61" s="752"/>
      <c r="AG61" s="752" t="s">
        <v>41</v>
      </c>
      <c r="AH61" s="752"/>
      <c r="AI61" s="752" t="s">
        <v>42</v>
      </c>
      <c r="AJ61" s="752"/>
      <c r="AK61" s="752" t="s">
        <v>43</v>
      </c>
      <c r="AL61" s="752"/>
      <c r="AM61" s="752" t="s">
        <v>157</v>
      </c>
      <c r="AN61" s="752"/>
      <c r="AO61" s="752" t="s">
        <v>248</v>
      </c>
      <c r="AP61" s="752"/>
      <c r="AQ61" s="752" t="s">
        <v>249</v>
      </c>
      <c r="AR61" s="752"/>
      <c r="AS61" s="752" t="s">
        <v>150</v>
      </c>
      <c r="AT61" s="752"/>
      <c r="AU61" s="752" t="s">
        <v>151</v>
      </c>
      <c r="AV61" s="752"/>
      <c r="AW61" s="752" t="s">
        <v>44</v>
      </c>
      <c r="AX61" s="752"/>
      <c r="AY61" s="752" t="s">
        <v>250</v>
      </c>
      <c r="AZ61" s="752"/>
      <c r="BA61" s="752" t="s">
        <v>45</v>
      </c>
      <c r="BB61" s="752"/>
      <c r="BC61" s="752" t="s">
        <v>46</v>
      </c>
      <c r="BD61" s="752"/>
      <c r="BE61" s="752" t="s">
        <v>92</v>
      </c>
      <c r="BF61" s="752"/>
    </row>
    <row r="62" spans="2:58" ht="16" thickBot="1" x14ac:dyDescent="0.25">
      <c r="B62" s="282"/>
      <c r="C62" s="285"/>
      <c r="D62" s="275"/>
      <c r="E62" s="284"/>
      <c r="F62" s="293"/>
      <c r="G62" s="752" t="s">
        <v>50</v>
      </c>
      <c r="H62" s="752"/>
      <c r="I62" s="752" t="s">
        <v>51</v>
      </c>
      <c r="J62" s="752"/>
      <c r="K62" s="752" t="s">
        <v>51</v>
      </c>
      <c r="L62" s="752"/>
      <c r="M62" s="752" t="s">
        <v>52</v>
      </c>
      <c r="N62" s="752"/>
      <c r="O62" s="752">
        <v>180</v>
      </c>
      <c r="P62" s="752"/>
      <c r="Q62" s="752" t="s">
        <v>53</v>
      </c>
      <c r="R62" s="752"/>
      <c r="S62" s="752" t="s">
        <v>54</v>
      </c>
      <c r="T62" s="752"/>
      <c r="U62" s="752" t="s">
        <v>54</v>
      </c>
      <c r="V62" s="752"/>
      <c r="W62" s="752" t="s">
        <v>55</v>
      </c>
      <c r="X62" s="752"/>
      <c r="Y62" s="752" t="s">
        <v>54</v>
      </c>
      <c r="Z62" s="752"/>
      <c r="AA62" s="752" t="s">
        <v>54</v>
      </c>
      <c r="AB62" s="752"/>
      <c r="AC62" s="752" t="s">
        <v>56</v>
      </c>
      <c r="AD62" s="752"/>
      <c r="AE62" s="752" t="s">
        <v>57</v>
      </c>
      <c r="AF62" s="752"/>
      <c r="AG62" s="752" t="s">
        <v>57</v>
      </c>
      <c r="AH62" s="752"/>
      <c r="AI62" s="752" t="s">
        <v>58</v>
      </c>
      <c r="AJ62" s="752"/>
      <c r="AK62" s="752" t="s">
        <v>300</v>
      </c>
      <c r="AL62" s="752"/>
      <c r="AM62" s="752" t="s">
        <v>301</v>
      </c>
      <c r="AN62" s="752"/>
      <c r="AO62" s="752">
        <v>20</v>
      </c>
      <c r="AP62" s="752"/>
      <c r="AQ62" s="752">
        <v>20</v>
      </c>
      <c r="AR62" s="752"/>
      <c r="AS62" s="752" t="s">
        <v>57</v>
      </c>
      <c r="AT62" s="752"/>
      <c r="AU62" s="752" t="s">
        <v>302</v>
      </c>
      <c r="AV62" s="752"/>
      <c r="AW62" s="752">
        <v>100</v>
      </c>
      <c r="AX62" s="752"/>
      <c r="AY62" s="752">
        <v>100</v>
      </c>
      <c r="AZ62" s="752"/>
      <c r="BA62" s="752" t="s">
        <v>59</v>
      </c>
      <c r="BB62" s="752"/>
      <c r="BC62" s="752" t="s">
        <v>51</v>
      </c>
      <c r="BD62" s="752"/>
      <c r="BE62" s="752" t="s">
        <v>53</v>
      </c>
      <c r="BF62" s="752"/>
    </row>
    <row r="63" spans="2:58" ht="16" thickBot="1" x14ac:dyDescent="0.25">
      <c r="B63" s="162"/>
      <c r="C63" s="286"/>
      <c r="D63" s="273"/>
      <c r="E63" s="280"/>
      <c r="F63" s="305"/>
      <c r="G63" s="752">
        <v>151</v>
      </c>
      <c r="H63" s="752"/>
      <c r="I63" s="752">
        <v>167.99</v>
      </c>
      <c r="J63" s="752"/>
      <c r="K63" s="752">
        <v>144.99</v>
      </c>
      <c r="L63" s="752"/>
      <c r="M63" s="760">
        <v>169.99</v>
      </c>
      <c r="N63" s="760"/>
      <c r="O63" s="760">
        <v>274.99</v>
      </c>
      <c r="P63" s="760"/>
      <c r="Q63" s="760">
        <v>102.99</v>
      </c>
      <c r="R63" s="760"/>
      <c r="S63" s="752">
        <v>910.5</v>
      </c>
      <c r="T63" s="752"/>
      <c r="U63" s="752">
        <v>460.75</v>
      </c>
      <c r="V63" s="752"/>
      <c r="W63" s="752">
        <v>1048.95</v>
      </c>
      <c r="X63" s="752"/>
      <c r="Y63" s="752">
        <v>772.8</v>
      </c>
      <c r="Z63" s="752"/>
      <c r="AA63" s="752">
        <v>3450</v>
      </c>
      <c r="AB63" s="752"/>
      <c r="AC63" s="760">
        <v>89.99</v>
      </c>
      <c r="AD63" s="760"/>
      <c r="AE63" s="752">
        <v>39.99</v>
      </c>
      <c r="AF63" s="752"/>
      <c r="AG63" s="752">
        <v>498</v>
      </c>
      <c r="AH63" s="752"/>
      <c r="AI63" s="752">
        <v>4.99</v>
      </c>
      <c r="AJ63" s="752"/>
      <c r="AK63" s="752">
        <v>132.25</v>
      </c>
      <c r="AL63" s="752"/>
      <c r="AM63" s="752">
        <v>47.99</v>
      </c>
      <c r="AN63" s="752"/>
      <c r="AO63" s="752">
        <v>560</v>
      </c>
      <c r="AP63" s="752"/>
      <c r="AQ63" s="752">
        <v>560</v>
      </c>
      <c r="AR63" s="752"/>
      <c r="AS63" s="752">
        <v>613.5</v>
      </c>
      <c r="AT63" s="752"/>
      <c r="AU63" s="752">
        <v>313.89999999999998</v>
      </c>
      <c r="AV63" s="752"/>
      <c r="AW63" s="752">
        <v>405.8</v>
      </c>
      <c r="AX63" s="752"/>
      <c r="AY63" s="752">
        <v>218.99</v>
      </c>
      <c r="AZ63" s="752"/>
      <c r="BA63" s="752">
        <v>24.99</v>
      </c>
      <c r="BB63" s="752"/>
      <c r="BC63" s="752">
        <v>1425</v>
      </c>
      <c r="BD63" s="752"/>
      <c r="BE63" s="752">
        <v>54.99</v>
      </c>
      <c r="BF63" s="752"/>
    </row>
    <row r="64" spans="2:58" ht="16" thickBot="1" x14ac:dyDescent="0.25">
      <c r="B64" s="162"/>
      <c r="C64" s="753" t="str">
        <f>L64</f>
        <v>30 DECEMBER - 5 JANUARY 2025</v>
      </c>
      <c r="D64" s="754"/>
      <c r="E64" s="754"/>
      <c r="F64" s="754"/>
      <c r="G64" s="755"/>
      <c r="H64" s="756"/>
      <c r="I64" s="163"/>
      <c r="J64" s="157"/>
      <c r="K64" s="157"/>
      <c r="L64" s="757" t="str">
        <f>AL64</f>
        <v>30 DECEMBER - 5 JANUARY 2025</v>
      </c>
      <c r="M64" s="755"/>
      <c r="N64" s="755"/>
      <c r="O64" s="755"/>
      <c r="P64" s="755"/>
      <c r="Q64" s="755"/>
      <c r="R64" s="755"/>
      <c r="S64" s="755"/>
      <c r="T64" s="756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758"/>
      <c r="AH64" s="758"/>
      <c r="AI64" s="164"/>
      <c r="AJ64" s="157"/>
      <c r="AK64" s="157"/>
      <c r="AL64" s="759" t="str">
        <f>AW64</f>
        <v>30 DECEMBER - 5 JANUARY 2025</v>
      </c>
      <c r="AM64" s="759"/>
      <c r="AN64" s="759"/>
      <c r="AO64" s="759"/>
      <c r="AP64" s="157"/>
      <c r="AQ64" s="157"/>
      <c r="AR64" s="157"/>
      <c r="AS64" s="157"/>
      <c r="AT64" s="157"/>
      <c r="AU64" s="157"/>
      <c r="AV64" s="157"/>
      <c r="AW64" s="757" t="str">
        <f>AW2</f>
        <v>30 DECEMBER - 5 JANUARY 2025</v>
      </c>
      <c r="AX64" s="755" t="s">
        <v>28</v>
      </c>
      <c r="AY64" s="755"/>
      <c r="AZ64" s="755"/>
      <c r="BA64" s="755"/>
      <c r="BB64" s="755"/>
      <c r="BC64" s="755"/>
      <c r="BD64" s="756"/>
      <c r="BE64" s="157"/>
      <c r="BF64" s="157"/>
    </row>
    <row r="65" spans="2:58" ht="16" thickBot="1" x14ac:dyDescent="0.25"/>
    <row r="66" spans="2:58" ht="16" thickBot="1" x14ac:dyDescent="0.25">
      <c r="B66" s="156" t="s">
        <v>27</v>
      </c>
      <c r="C66" s="753" t="s">
        <v>466</v>
      </c>
      <c r="D66" s="754"/>
      <c r="E66" s="754"/>
      <c r="F66" s="754"/>
      <c r="G66" s="763"/>
      <c r="H66" s="764"/>
      <c r="I66" s="163"/>
      <c r="J66" s="157"/>
      <c r="K66" s="157"/>
      <c r="L66" s="765" t="str">
        <f>C66</f>
        <v>6 - 12 JANUARY 2025</v>
      </c>
      <c r="M66" s="763"/>
      <c r="N66" s="763"/>
      <c r="O66" s="763"/>
      <c r="P66" s="763"/>
      <c r="Q66" s="763"/>
      <c r="R66" s="763"/>
      <c r="S66" s="763"/>
      <c r="T66" s="764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766"/>
      <c r="AH66" s="766"/>
      <c r="AI66" s="753" t="str">
        <f>L66</f>
        <v>6 - 12 JANUARY 2025</v>
      </c>
      <c r="AJ66" s="754"/>
      <c r="AK66" s="754"/>
      <c r="AL66" s="754"/>
      <c r="AM66" s="754"/>
      <c r="AN66" s="754"/>
      <c r="AO66" s="767"/>
      <c r="AP66" s="157"/>
      <c r="AQ66" s="157"/>
      <c r="AR66" s="157"/>
      <c r="AS66" s="157"/>
      <c r="AT66" s="157"/>
      <c r="AU66" s="157"/>
      <c r="AV66" s="157"/>
      <c r="AW66" s="765" t="str">
        <f>AI66</f>
        <v>6 - 12 JANUARY 2025</v>
      </c>
      <c r="AX66" s="763" t="s">
        <v>28</v>
      </c>
      <c r="AY66" s="763"/>
      <c r="AZ66" s="763"/>
      <c r="BA66" s="763"/>
      <c r="BB66" s="763"/>
      <c r="BC66" s="763"/>
      <c r="BD66" s="764"/>
      <c r="BE66" s="157"/>
      <c r="BF66" s="157"/>
    </row>
    <row r="67" spans="2:58" ht="16" thickBot="1" x14ac:dyDescent="0.25">
      <c r="B67" s="158"/>
      <c r="C67" s="161"/>
      <c r="D67" s="161"/>
      <c r="E67" s="157"/>
      <c r="F67" s="157"/>
      <c r="G67" s="752" t="s">
        <v>29</v>
      </c>
      <c r="H67" s="752"/>
      <c r="I67" s="752" t="s">
        <v>30</v>
      </c>
      <c r="J67" s="752"/>
      <c r="K67" s="752" t="s">
        <v>31</v>
      </c>
      <c r="L67" s="752"/>
      <c r="M67" s="752" t="s">
        <v>32</v>
      </c>
      <c r="N67" s="752"/>
      <c r="O67" s="752" t="s">
        <v>33</v>
      </c>
      <c r="P67" s="752"/>
      <c r="Q67" s="752" t="s">
        <v>247</v>
      </c>
      <c r="R67" s="752"/>
      <c r="S67" s="752" t="s">
        <v>34</v>
      </c>
      <c r="T67" s="752"/>
      <c r="U67" s="752" t="s">
        <v>35</v>
      </c>
      <c r="V67" s="752"/>
      <c r="W67" s="752" t="s">
        <v>36</v>
      </c>
      <c r="X67" s="752"/>
      <c r="Y67" s="752" t="s">
        <v>37</v>
      </c>
      <c r="Z67" s="752"/>
      <c r="AA67" s="752" t="s">
        <v>38</v>
      </c>
      <c r="AB67" s="752"/>
      <c r="AC67" s="752" t="s">
        <v>39</v>
      </c>
      <c r="AD67" s="752"/>
      <c r="AE67" s="752" t="s">
        <v>40</v>
      </c>
      <c r="AF67" s="752"/>
      <c r="AG67" s="752" t="s">
        <v>41</v>
      </c>
      <c r="AH67" s="752"/>
      <c r="AI67" s="752" t="s">
        <v>42</v>
      </c>
      <c r="AJ67" s="752"/>
      <c r="AK67" s="752" t="s">
        <v>43</v>
      </c>
      <c r="AL67" s="752"/>
      <c r="AM67" s="752" t="s">
        <v>157</v>
      </c>
      <c r="AN67" s="752"/>
      <c r="AO67" s="752" t="s">
        <v>248</v>
      </c>
      <c r="AP67" s="752"/>
      <c r="AQ67" s="752" t="s">
        <v>249</v>
      </c>
      <c r="AR67" s="752"/>
      <c r="AS67" s="752" t="s">
        <v>150</v>
      </c>
      <c r="AT67" s="752"/>
      <c r="AU67" s="752" t="s">
        <v>151</v>
      </c>
      <c r="AV67" s="752"/>
      <c r="AW67" s="752" t="s">
        <v>44</v>
      </c>
      <c r="AX67" s="752"/>
      <c r="AY67" s="752" t="s">
        <v>250</v>
      </c>
      <c r="AZ67" s="752"/>
      <c r="BA67" s="752" t="s">
        <v>45</v>
      </c>
      <c r="BB67" s="752"/>
      <c r="BC67" s="752" t="s">
        <v>46</v>
      </c>
      <c r="BD67" s="752"/>
      <c r="BE67" s="752" t="s">
        <v>92</v>
      </c>
      <c r="BF67" s="752"/>
    </row>
    <row r="68" spans="2:58" ht="16" thickBot="1" x14ac:dyDescent="0.25">
      <c r="B68" s="156" t="s">
        <v>47</v>
      </c>
      <c r="C68" s="156" t="s">
        <v>48</v>
      </c>
      <c r="D68" s="283"/>
      <c r="E68" s="271"/>
      <c r="F68" s="271" t="s">
        <v>49</v>
      </c>
      <c r="G68" s="752" t="s">
        <v>50</v>
      </c>
      <c r="H68" s="752"/>
      <c r="I68" s="752" t="s">
        <v>51</v>
      </c>
      <c r="J68" s="752"/>
      <c r="K68" s="752" t="s">
        <v>51</v>
      </c>
      <c r="L68" s="752"/>
      <c r="M68" s="752" t="s">
        <v>52</v>
      </c>
      <c r="N68" s="752"/>
      <c r="O68" s="752">
        <v>180</v>
      </c>
      <c r="P68" s="752"/>
      <c r="Q68" s="752" t="s">
        <v>53</v>
      </c>
      <c r="R68" s="752"/>
      <c r="S68" s="752" t="s">
        <v>54</v>
      </c>
      <c r="T68" s="752"/>
      <c r="U68" s="752" t="s">
        <v>54</v>
      </c>
      <c r="V68" s="752"/>
      <c r="W68" s="752" t="s">
        <v>55</v>
      </c>
      <c r="X68" s="752"/>
      <c r="Y68" s="752" t="s">
        <v>54</v>
      </c>
      <c r="Z68" s="752"/>
      <c r="AA68" s="752" t="s">
        <v>54</v>
      </c>
      <c r="AB68" s="752"/>
      <c r="AC68" s="752" t="s">
        <v>56</v>
      </c>
      <c r="AD68" s="752"/>
      <c r="AE68" s="752" t="s">
        <v>57</v>
      </c>
      <c r="AF68" s="752"/>
      <c r="AG68" s="752" t="s">
        <v>57</v>
      </c>
      <c r="AH68" s="752"/>
      <c r="AI68" s="752" t="s">
        <v>58</v>
      </c>
      <c r="AJ68" s="752"/>
      <c r="AK68" s="752" t="s">
        <v>300</v>
      </c>
      <c r="AL68" s="752"/>
      <c r="AM68" s="752" t="s">
        <v>301</v>
      </c>
      <c r="AN68" s="752"/>
      <c r="AO68" s="752">
        <v>20</v>
      </c>
      <c r="AP68" s="752"/>
      <c r="AQ68" s="752">
        <v>20</v>
      </c>
      <c r="AR68" s="752"/>
      <c r="AS68" s="752" t="s">
        <v>57</v>
      </c>
      <c r="AT68" s="752"/>
      <c r="AU68" s="752" t="s">
        <v>302</v>
      </c>
      <c r="AV68" s="752"/>
      <c r="AW68" s="752">
        <v>100</v>
      </c>
      <c r="AX68" s="752"/>
      <c r="AY68" s="752">
        <v>100</v>
      </c>
      <c r="AZ68" s="752"/>
      <c r="BA68" s="752" t="s">
        <v>59</v>
      </c>
      <c r="BB68" s="752"/>
      <c r="BC68" s="752" t="s">
        <v>51</v>
      </c>
      <c r="BD68" s="752"/>
      <c r="BE68" s="752" t="s">
        <v>53</v>
      </c>
      <c r="BF68" s="752"/>
    </row>
    <row r="69" spans="2:58" ht="16" thickBot="1" x14ac:dyDescent="0.25">
      <c r="B69" s="156"/>
      <c r="C69" s="156" t="s">
        <v>60</v>
      </c>
      <c r="D69" s="283"/>
      <c r="E69" s="271" t="s">
        <v>61</v>
      </c>
      <c r="F69" s="271" t="s">
        <v>62</v>
      </c>
      <c r="G69" s="752">
        <v>151</v>
      </c>
      <c r="H69" s="752"/>
      <c r="I69" s="752">
        <v>167.99</v>
      </c>
      <c r="J69" s="752"/>
      <c r="K69" s="752">
        <v>144.99</v>
      </c>
      <c r="L69" s="752"/>
      <c r="M69" s="760">
        <v>169.99</v>
      </c>
      <c r="N69" s="760"/>
      <c r="O69" s="760">
        <v>274.99</v>
      </c>
      <c r="P69" s="760"/>
      <c r="Q69" s="760">
        <v>135</v>
      </c>
      <c r="R69" s="760"/>
      <c r="S69" s="752">
        <v>910.5</v>
      </c>
      <c r="T69" s="752"/>
      <c r="U69" s="752">
        <v>460.75</v>
      </c>
      <c r="V69" s="752"/>
      <c r="W69" s="752">
        <v>1048.95</v>
      </c>
      <c r="X69" s="752"/>
      <c r="Y69" s="752">
        <v>772.8</v>
      </c>
      <c r="Z69" s="752"/>
      <c r="AA69" s="752">
        <v>3450</v>
      </c>
      <c r="AB69" s="752"/>
      <c r="AC69" s="760">
        <v>99.99</v>
      </c>
      <c r="AD69" s="760"/>
      <c r="AE69" s="752">
        <v>29.99</v>
      </c>
      <c r="AF69" s="752"/>
      <c r="AG69" s="752">
        <v>548</v>
      </c>
      <c r="AH69" s="752"/>
      <c r="AI69" s="752">
        <v>4.99</v>
      </c>
      <c r="AJ69" s="752"/>
      <c r="AK69" s="752">
        <v>132.25</v>
      </c>
      <c r="AL69" s="752"/>
      <c r="AM69" s="752">
        <v>47.99</v>
      </c>
      <c r="AN69" s="752"/>
      <c r="AO69" s="752">
        <v>560</v>
      </c>
      <c r="AP69" s="752"/>
      <c r="AQ69" s="752">
        <v>560</v>
      </c>
      <c r="AR69" s="752"/>
      <c r="AS69" s="752">
        <v>613.5</v>
      </c>
      <c r="AT69" s="752"/>
      <c r="AU69" s="752">
        <v>313.89999999999998</v>
      </c>
      <c r="AV69" s="752"/>
      <c r="AW69" s="752">
        <v>405.8</v>
      </c>
      <c r="AX69" s="752"/>
      <c r="AY69" s="752">
        <v>218.99</v>
      </c>
      <c r="AZ69" s="752"/>
      <c r="BA69" s="752">
        <v>24.99</v>
      </c>
      <c r="BB69" s="752"/>
      <c r="BC69" s="752">
        <v>1425</v>
      </c>
      <c r="BD69" s="752"/>
      <c r="BE69" s="752">
        <v>54.99</v>
      </c>
      <c r="BF69" s="752"/>
    </row>
    <row r="70" spans="2:58" ht="16" thickBot="1" x14ac:dyDescent="0.25">
      <c r="B70" s="272">
        <v>45663</v>
      </c>
      <c r="C70" s="274">
        <v>575.17999999999995</v>
      </c>
      <c r="D70" s="276"/>
      <c r="E70" s="278" t="s">
        <v>186</v>
      </c>
      <c r="F70" s="278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  <c r="BC70" s="271"/>
      <c r="BD70" s="271"/>
      <c r="BE70" s="271"/>
      <c r="BF70" s="271"/>
    </row>
    <row r="71" spans="2:58" ht="16" thickBot="1" x14ac:dyDescent="0.25">
      <c r="B71" s="660"/>
      <c r="C71" s="275">
        <v>289</v>
      </c>
      <c r="D71" s="661"/>
      <c r="E71" s="303" t="s">
        <v>297</v>
      </c>
      <c r="F71" s="303"/>
      <c r="G71" s="271"/>
      <c r="H71" s="271"/>
      <c r="I71" s="271"/>
      <c r="J71" s="271"/>
      <c r="K71" s="271"/>
      <c r="L71" s="271"/>
      <c r="M71" s="271"/>
      <c r="N71" s="271"/>
      <c r="O71" s="271">
        <v>3</v>
      </c>
      <c r="P71" s="271">
        <v>289</v>
      </c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271"/>
    </row>
    <row r="72" spans="2:58" ht="16" thickBot="1" x14ac:dyDescent="0.25">
      <c r="B72" s="660"/>
      <c r="C72" s="275">
        <v>575</v>
      </c>
      <c r="D72" s="661"/>
      <c r="E72" s="303"/>
      <c r="F72" s="303" t="s">
        <v>8</v>
      </c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>
        <v>1</v>
      </c>
      <c r="AH72" s="271">
        <v>575</v>
      </c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271"/>
      <c r="BD72" s="271"/>
      <c r="BE72" s="271"/>
      <c r="BF72" s="271"/>
    </row>
    <row r="73" spans="2:58" ht="16" thickBot="1" x14ac:dyDescent="0.25">
      <c r="B73" s="660"/>
      <c r="C73" s="275">
        <v>299.89999999999998</v>
      </c>
      <c r="D73" s="661"/>
      <c r="E73" s="303"/>
      <c r="F73" s="303" t="s">
        <v>14</v>
      </c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>
        <v>10</v>
      </c>
      <c r="AF73" s="271">
        <v>299.89999999999998</v>
      </c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1"/>
      <c r="AR73" s="271"/>
      <c r="AS73" s="271"/>
      <c r="AT73" s="271"/>
      <c r="AU73" s="271"/>
      <c r="AV73" s="271"/>
      <c r="AW73" s="271"/>
      <c r="AX73" s="271"/>
      <c r="AY73" s="271"/>
      <c r="AZ73" s="271"/>
      <c r="BA73" s="271"/>
      <c r="BB73" s="271"/>
      <c r="BC73" s="271"/>
      <c r="BD73" s="271"/>
      <c r="BE73" s="271"/>
      <c r="BF73" s="271"/>
    </row>
    <row r="74" spans="2:58" ht="16" thickBot="1" x14ac:dyDescent="0.25">
      <c r="B74" s="660"/>
      <c r="C74" s="275">
        <v>2472</v>
      </c>
      <c r="D74" s="661"/>
      <c r="E74" s="303"/>
      <c r="F74" s="303" t="s">
        <v>17</v>
      </c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>
        <v>40</v>
      </c>
      <c r="AP74" s="271">
        <v>1200</v>
      </c>
      <c r="AQ74" s="271">
        <v>40</v>
      </c>
      <c r="AR74" s="271">
        <v>1200</v>
      </c>
      <c r="AS74" s="271"/>
      <c r="AT74" s="271"/>
      <c r="AU74" s="271"/>
      <c r="AV74" s="271"/>
      <c r="AW74" s="271"/>
      <c r="AX74" s="271"/>
      <c r="AY74" s="271"/>
      <c r="AZ74" s="271"/>
      <c r="BA74" s="271"/>
      <c r="BB74" s="271"/>
      <c r="BC74" s="271"/>
      <c r="BD74" s="271"/>
      <c r="BE74" s="271"/>
      <c r="BF74" s="271"/>
    </row>
    <row r="75" spans="2:58" ht="16" thickBot="1" x14ac:dyDescent="0.25">
      <c r="B75" s="682"/>
      <c r="C75" s="275">
        <v>570</v>
      </c>
      <c r="D75" s="661"/>
      <c r="E75" s="303" t="s">
        <v>396</v>
      </c>
      <c r="F75" s="303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  <c r="BA75" s="271"/>
      <c r="BB75" s="271"/>
      <c r="BC75" s="271"/>
      <c r="BD75" s="271"/>
      <c r="BE75" s="271"/>
      <c r="BF75" s="271"/>
    </row>
    <row r="76" spans="2:58" ht="16" thickBot="1" x14ac:dyDescent="0.25">
      <c r="B76" s="682"/>
      <c r="C76" s="275">
        <v>6021.55</v>
      </c>
      <c r="D76" s="661"/>
      <c r="E76" s="303"/>
      <c r="F76" s="303" t="s">
        <v>9</v>
      </c>
      <c r="G76" s="271">
        <v>10</v>
      </c>
      <c r="H76" s="271">
        <v>1369.9</v>
      </c>
      <c r="I76" s="271">
        <v>4</v>
      </c>
      <c r="J76" s="271">
        <v>411.96</v>
      </c>
      <c r="K76" s="271">
        <v>8</v>
      </c>
      <c r="L76" s="271">
        <v>1455.92</v>
      </c>
      <c r="M76" s="271">
        <v>12</v>
      </c>
      <c r="N76" s="271">
        <v>1739.88</v>
      </c>
      <c r="O76" s="271"/>
      <c r="P76" s="271"/>
      <c r="Q76" s="271"/>
      <c r="R76" s="271"/>
      <c r="S76" s="271"/>
      <c r="T76" s="271"/>
      <c r="U76" s="271"/>
      <c r="V76" s="271"/>
      <c r="W76" s="271">
        <v>6</v>
      </c>
      <c r="X76" s="271">
        <v>539.94000000000005</v>
      </c>
      <c r="Y76" s="271"/>
      <c r="Z76" s="271"/>
      <c r="AA76" s="271"/>
      <c r="AB76" s="271"/>
      <c r="AC76" s="271">
        <v>4</v>
      </c>
      <c r="AD76" s="271">
        <v>395.96</v>
      </c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1"/>
      <c r="BC76" s="271"/>
      <c r="BD76" s="271"/>
      <c r="BE76" s="271">
        <v>1</v>
      </c>
      <c r="BF76" s="271">
        <v>57.99</v>
      </c>
    </row>
    <row r="77" spans="2:58" ht="16" thickBot="1" x14ac:dyDescent="0.25">
      <c r="B77" s="682"/>
      <c r="C77" s="275">
        <v>1733.8</v>
      </c>
      <c r="D77" s="661"/>
      <c r="E77" s="303"/>
      <c r="F77" s="303" t="s">
        <v>11</v>
      </c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>
        <v>5</v>
      </c>
      <c r="AL77" s="271">
        <v>849.75</v>
      </c>
      <c r="AM77" s="271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1"/>
      <c r="BC77" s="271"/>
      <c r="BD77" s="271"/>
      <c r="BE77" s="271"/>
      <c r="BF77" s="271"/>
    </row>
    <row r="78" spans="2:58" ht="16" thickBot="1" x14ac:dyDescent="0.25">
      <c r="B78" s="682"/>
      <c r="C78" s="275">
        <v>12725</v>
      </c>
      <c r="D78" s="661"/>
      <c r="E78" s="303" t="s">
        <v>12</v>
      </c>
      <c r="F78" s="303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1"/>
      <c r="AX78" s="271"/>
      <c r="AY78" s="271"/>
      <c r="AZ78" s="271"/>
      <c r="BA78" s="271"/>
      <c r="BB78" s="271"/>
      <c r="BC78" s="271"/>
      <c r="BD78" s="271"/>
      <c r="BE78" s="271"/>
      <c r="BF78" s="271"/>
    </row>
    <row r="79" spans="2:58" ht="16" thickBot="1" x14ac:dyDescent="0.25">
      <c r="B79" s="682"/>
      <c r="C79" s="275"/>
      <c r="D79" s="661"/>
      <c r="E79" s="303"/>
      <c r="F79" s="303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1"/>
      <c r="AR79" s="271"/>
      <c r="AS79" s="271"/>
      <c r="AT79" s="271"/>
      <c r="AU79" s="271"/>
      <c r="AV79" s="271"/>
      <c r="AW79" s="271"/>
      <c r="AX79" s="271"/>
      <c r="AY79" s="271"/>
      <c r="AZ79" s="271"/>
      <c r="BA79" s="271"/>
      <c r="BB79" s="271"/>
      <c r="BC79" s="271"/>
      <c r="BD79" s="271"/>
      <c r="BE79" s="271"/>
      <c r="BF79" s="271"/>
    </row>
    <row r="80" spans="2:58" ht="16" thickBot="1" x14ac:dyDescent="0.25">
      <c r="B80" s="681" t="s">
        <v>20</v>
      </c>
      <c r="C80" s="275"/>
      <c r="D80" s="277"/>
      <c r="E80" s="279"/>
      <c r="F80" s="279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1"/>
      <c r="AU80" s="271"/>
      <c r="AV80" s="271"/>
      <c r="AW80" s="271"/>
      <c r="AX80" s="271"/>
      <c r="AY80" s="271"/>
      <c r="AZ80" s="271"/>
      <c r="BA80" s="271"/>
      <c r="BB80" s="271"/>
      <c r="BC80" s="271"/>
      <c r="BD80" s="271"/>
      <c r="BE80" s="271"/>
      <c r="BF80" s="271"/>
    </row>
    <row r="81" spans="2:58" ht="16" thickBot="1" x14ac:dyDescent="0.25">
      <c r="B81" s="479"/>
      <c r="C81" s="680">
        <f>SUM(C70:C80)</f>
        <v>25261.43</v>
      </c>
      <c r="D81" s="159"/>
      <c r="E81" s="270"/>
      <c r="F81" s="281"/>
      <c r="G81" s="309"/>
      <c r="H81" s="310"/>
      <c r="I81" s="309"/>
      <c r="J81" s="310"/>
      <c r="K81" s="309"/>
      <c r="L81" s="310"/>
      <c r="M81" s="309"/>
      <c r="N81" s="310"/>
      <c r="O81" s="271"/>
      <c r="P81" s="271"/>
      <c r="Q81" s="310"/>
      <c r="R81" s="310"/>
      <c r="S81" s="309"/>
      <c r="T81" s="310"/>
      <c r="U81" s="309"/>
      <c r="V81" s="310"/>
      <c r="W81" s="309"/>
      <c r="X81" s="310"/>
      <c r="Y81" s="309"/>
      <c r="Z81" s="310"/>
      <c r="AA81" s="309"/>
      <c r="AB81" s="310"/>
      <c r="AC81" s="271"/>
      <c r="AD81" s="271"/>
      <c r="AE81" s="309"/>
      <c r="AF81" s="310"/>
      <c r="AG81" s="309"/>
      <c r="AH81" s="310"/>
      <c r="AI81" s="309"/>
      <c r="AJ81" s="310"/>
      <c r="AK81" s="309"/>
      <c r="AL81" s="310"/>
      <c r="AM81" s="309"/>
      <c r="AN81" s="310"/>
      <c r="AO81" s="309"/>
      <c r="AP81" s="310"/>
      <c r="AQ81" s="309"/>
      <c r="AR81" s="310"/>
      <c r="AS81" s="309"/>
      <c r="AT81" s="310"/>
      <c r="AU81" s="309"/>
      <c r="AV81" s="310"/>
      <c r="AW81" s="309"/>
      <c r="AX81" s="310"/>
      <c r="AY81" s="309"/>
      <c r="AZ81" s="310"/>
      <c r="BA81" s="271"/>
      <c r="BB81" s="271"/>
      <c r="BC81" s="271"/>
      <c r="BD81" s="271"/>
      <c r="BE81" s="271"/>
      <c r="BF81" s="271"/>
    </row>
    <row r="82" spans="2:58" ht="16" thickBot="1" x14ac:dyDescent="0.25">
      <c r="B82" s="289">
        <v>45664</v>
      </c>
      <c r="C82" s="275">
        <v>2862.52</v>
      </c>
      <c r="D82" s="277"/>
      <c r="E82" s="279" t="s">
        <v>475</v>
      </c>
      <c r="F82" s="279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  <c r="AO82" s="271"/>
      <c r="AP82" s="271"/>
      <c r="AQ82" s="271"/>
      <c r="AR82" s="271"/>
      <c r="AS82" s="271"/>
      <c r="AT82" s="271"/>
      <c r="AU82" s="271"/>
      <c r="AV82" s="271"/>
      <c r="AW82" s="271"/>
      <c r="AX82" s="271"/>
      <c r="AY82" s="271"/>
      <c r="AZ82" s="271"/>
      <c r="BA82" s="271"/>
      <c r="BB82" s="271"/>
      <c r="BC82" s="271"/>
      <c r="BD82" s="271"/>
      <c r="BE82" s="271"/>
      <c r="BF82" s="271"/>
    </row>
    <row r="83" spans="2:58" ht="16" thickBot="1" x14ac:dyDescent="0.25">
      <c r="B83" s="289"/>
      <c r="C83" s="139">
        <f>258.35</f>
        <v>258.35000000000002</v>
      </c>
      <c r="E83" s="575" t="s">
        <v>472</v>
      </c>
      <c r="F83" s="279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1"/>
      <c r="AU83" s="271"/>
      <c r="AV83" s="271"/>
      <c r="AW83" s="271"/>
      <c r="AX83" s="271"/>
      <c r="AY83" s="271"/>
      <c r="AZ83" s="271"/>
      <c r="BA83" s="271"/>
      <c r="BB83" s="271"/>
      <c r="BC83" s="271"/>
      <c r="BD83" s="271"/>
      <c r="BE83" s="271"/>
      <c r="BF83" s="271"/>
    </row>
    <row r="84" spans="2:58" ht="16" thickBot="1" x14ac:dyDescent="0.25">
      <c r="B84" s="289"/>
      <c r="C84" s="4">
        <v>51</v>
      </c>
      <c r="E84" s="142" t="s">
        <v>473</v>
      </c>
      <c r="F84" s="279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1"/>
      <c r="AW84" s="271"/>
      <c r="AX84" s="271"/>
      <c r="AY84" s="271"/>
      <c r="AZ84" s="271"/>
      <c r="BA84" s="271"/>
      <c r="BB84" s="271"/>
      <c r="BC84" s="271"/>
      <c r="BD84" s="271"/>
      <c r="BE84" s="271"/>
      <c r="BF84" s="271"/>
    </row>
    <row r="85" spans="2:58" ht="16" thickBot="1" x14ac:dyDescent="0.25">
      <c r="B85" s="289"/>
      <c r="C85" s="146">
        <v>115</v>
      </c>
      <c r="E85" s="147" t="s">
        <v>473</v>
      </c>
      <c r="F85" s="279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1"/>
      <c r="AQ85" s="271"/>
      <c r="AR85" s="271"/>
      <c r="AS85" s="271"/>
      <c r="AT85" s="271"/>
      <c r="AU85" s="271"/>
      <c r="AV85" s="271"/>
      <c r="AW85" s="271"/>
      <c r="AX85" s="271"/>
      <c r="AY85" s="271"/>
      <c r="AZ85" s="271"/>
      <c r="BA85" s="271"/>
      <c r="BB85" s="271"/>
      <c r="BC85" s="271"/>
      <c r="BD85" s="271"/>
      <c r="BE85" s="271"/>
      <c r="BF85" s="271"/>
    </row>
    <row r="86" spans="2:58" ht="16" thickBot="1" x14ac:dyDescent="0.25">
      <c r="B86" s="289"/>
      <c r="C86" s="4">
        <v>86.96</v>
      </c>
      <c r="E86" s="142" t="s">
        <v>474</v>
      </c>
      <c r="F86" s="279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1"/>
      <c r="AZ86" s="271"/>
      <c r="BA86" s="271"/>
      <c r="BB86" s="271"/>
      <c r="BC86" s="271"/>
      <c r="BD86" s="271"/>
      <c r="BE86" s="271"/>
      <c r="BF86" s="271"/>
    </row>
    <row r="87" spans="2:58" ht="16" thickBot="1" x14ac:dyDescent="0.25">
      <c r="B87" s="289"/>
      <c r="C87" s="4">
        <v>6000</v>
      </c>
      <c r="E87" s="142"/>
      <c r="F87" s="279" t="s">
        <v>435</v>
      </c>
      <c r="G87" s="271"/>
      <c r="H87" s="271"/>
      <c r="I87" s="271"/>
      <c r="J87" s="271"/>
      <c r="K87" s="271"/>
      <c r="L87" s="271"/>
      <c r="M87" s="271"/>
      <c r="N87" s="271"/>
      <c r="O87" s="271">
        <v>10</v>
      </c>
      <c r="P87" s="271">
        <v>6000</v>
      </c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  <c r="AO87" s="271"/>
      <c r="AP87" s="271"/>
      <c r="AQ87" s="271"/>
      <c r="AR87" s="271"/>
      <c r="AS87" s="271"/>
      <c r="AT87" s="271"/>
      <c r="AU87" s="271"/>
      <c r="AV87" s="271"/>
      <c r="AW87" s="271"/>
      <c r="AX87" s="271"/>
      <c r="AY87" s="271"/>
      <c r="AZ87" s="271"/>
      <c r="BA87" s="271"/>
      <c r="BB87" s="271"/>
      <c r="BC87" s="271"/>
      <c r="BD87" s="271"/>
      <c r="BE87" s="271"/>
      <c r="BF87" s="271"/>
    </row>
    <row r="88" spans="2:58" ht="16" thickBot="1" x14ac:dyDescent="0.25">
      <c r="B88" s="289"/>
      <c r="C88" s="275">
        <v>7522.57</v>
      </c>
      <c r="D88" s="277"/>
      <c r="E88" s="279"/>
      <c r="F88" s="279" t="s">
        <v>9</v>
      </c>
      <c r="G88" s="271">
        <v>8</v>
      </c>
      <c r="H88" s="271">
        <v>1095.92</v>
      </c>
      <c r="I88" s="271">
        <v>6</v>
      </c>
      <c r="J88" s="271">
        <v>617.94000000000005</v>
      </c>
      <c r="K88" s="271">
        <v>8</v>
      </c>
      <c r="L88" s="271">
        <v>1455.92</v>
      </c>
      <c r="M88" s="271">
        <v>10</v>
      </c>
      <c r="N88" s="271">
        <v>1449.9</v>
      </c>
      <c r="O88" s="271"/>
      <c r="P88" s="271"/>
      <c r="Q88" s="271"/>
      <c r="R88" s="271"/>
      <c r="S88" s="271"/>
      <c r="T88" s="271"/>
      <c r="U88" s="271"/>
      <c r="V88" s="271"/>
      <c r="W88" s="271">
        <v>5</v>
      </c>
      <c r="X88" s="271">
        <v>449.95</v>
      </c>
      <c r="Y88" s="271"/>
      <c r="Z88" s="271"/>
      <c r="AA88" s="271"/>
      <c r="AB88" s="271"/>
      <c r="AC88" s="271">
        <v>5</v>
      </c>
      <c r="AD88" s="271">
        <v>494.95</v>
      </c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  <c r="AO88" s="271"/>
      <c r="AP88" s="271"/>
      <c r="AQ88" s="271"/>
      <c r="AR88" s="271"/>
      <c r="AS88" s="271"/>
      <c r="AT88" s="271"/>
      <c r="AU88" s="271"/>
      <c r="AV88" s="271"/>
      <c r="AW88" s="271"/>
      <c r="AX88" s="271"/>
      <c r="AY88" s="271"/>
      <c r="AZ88" s="271"/>
      <c r="BA88" s="271"/>
      <c r="BB88" s="271"/>
      <c r="BC88" s="271"/>
      <c r="BD88" s="271"/>
      <c r="BE88" s="271">
        <v>1</v>
      </c>
      <c r="BF88" s="271">
        <v>57.99</v>
      </c>
    </row>
    <row r="89" spans="2:58" ht="16" thickBot="1" x14ac:dyDescent="0.25">
      <c r="B89" s="289"/>
      <c r="C89" s="275">
        <v>28014</v>
      </c>
      <c r="D89" s="277"/>
      <c r="E89" s="279"/>
      <c r="F89" s="279" t="s">
        <v>6</v>
      </c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>
        <v>6</v>
      </c>
      <c r="T89" s="271">
        <f>3312+1587</f>
        <v>4899</v>
      </c>
      <c r="U89" s="271">
        <v>25</v>
      </c>
      <c r="V89" s="271">
        <v>13225</v>
      </c>
      <c r="W89" s="271"/>
      <c r="X89" s="271"/>
      <c r="Y89" s="271"/>
      <c r="Z89" s="271"/>
      <c r="AA89" s="271">
        <v>2</v>
      </c>
      <c r="AB89" s="271">
        <v>8050</v>
      </c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1"/>
      <c r="AU89" s="271"/>
      <c r="AV89" s="271"/>
      <c r="AW89" s="271"/>
      <c r="AX89" s="271"/>
      <c r="AY89" s="271"/>
      <c r="AZ89" s="271"/>
      <c r="BA89" s="271"/>
      <c r="BB89" s="271"/>
      <c r="BC89" s="271"/>
      <c r="BD89" s="271"/>
      <c r="BE89" s="271"/>
      <c r="BF89" s="271"/>
    </row>
    <row r="90" spans="2:58" ht="16" thickBot="1" x14ac:dyDescent="0.25">
      <c r="B90" s="289" t="s">
        <v>90</v>
      </c>
      <c r="C90" s="275"/>
      <c r="D90" s="277"/>
      <c r="E90" s="279"/>
      <c r="F90" s="279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1"/>
      <c r="AR90" s="271"/>
      <c r="AS90" s="271"/>
      <c r="AT90" s="271"/>
      <c r="AU90" s="271"/>
      <c r="AV90" s="271"/>
      <c r="AW90" s="271"/>
      <c r="AX90" s="271"/>
      <c r="AY90" s="271"/>
      <c r="AZ90" s="271"/>
      <c r="BA90" s="271"/>
      <c r="BB90" s="271"/>
      <c r="BC90" s="271"/>
      <c r="BD90" s="271"/>
      <c r="BE90" s="271"/>
      <c r="BF90" s="271"/>
    </row>
    <row r="91" spans="2:58" ht="16" thickBot="1" x14ac:dyDescent="0.25">
      <c r="B91" s="292"/>
      <c r="C91" s="159">
        <f>SUM(C82:C90)</f>
        <v>44910.400000000001</v>
      </c>
      <c r="D91" s="159"/>
      <c r="E91" s="270"/>
      <c r="F91" s="281"/>
      <c r="G91" s="309"/>
      <c r="H91" s="310"/>
      <c r="I91" s="309"/>
      <c r="J91" s="310"/>
      <c r="K91" s="309"/>
      <c r="L91" s="310"/>
      <c r="M91" s="309"/>
      <c r="N91" s="310"/>
      <c r="O91" s="271"/>
      <c r="P91" s="271"/>
      <c r="Q91" s="310"/>
      <c r="R91" s="310"/>
      <c r="S91" s="309"/>
      <c r="T91" s="310"/>
      <c r="U91" s="309"/>
      <c r="V91" s="310"/>
      <c r="W91" s="309"/>
      <c r="X91" s="310"/>
      <c r="Y91" s="309"/>
      <c r="Z91" s="310"/>
      <c r="AA91" s="309"/>
      <c r="AB91" s="310"/>
      <c r="AC91" s="271"/>
      <c r="AD91" s="271"/>
      <c r="AE91" s="309"/>
      <c r="AF91" s="310"/>
      <c r="AG91" s="309"/>
      <c r="AH91" s="310"/>
      <c r="AI91" s="309"/>
      <c r="AJ91" s="310"/>
      <c r="AK91" s="309"/>
      <c r="AL91" s="310"/>
      <c r="AM91" s="309"/>
      <c r="AN91" s="310"/>
      <c r="AO91" s="309"/>
      <c r="AP91" s="310"/>
      <c r="AQ91" s="309"/>
      <c r="AR91" s="310"/>
      <c r="AS91" s="309"/>
      <c r="AT91" s="310"/>
      <c r="AU91" s="309"/>
      <c r="AV91" s="310"/>
      <c r="AW91" s="309"/>
      <c r="AX91" s="310"/>
      <c r="AY91" s="309"/>
      <c r="AZ91" s="310"/>
      <c r="BA91" s="271"/>
      <c r="BB91" s="271"/>
      <c r="BC91" s="271"/>
      <c r="BD91" s="271"/>
      <c r="BE91" s="271"/>
      <c r="BF91" s="271"/>
    </row>
    <row r="92" spans="2:58" ht="16" thickBot="1" x14ac:dyDescent="0.25">
      <c r="B92" s="289">
        <v>45665</v>
      </c>
      <c r="C92" s="275">
        <v>800</v>
      </c>
      <c r="D92" s="277"/>
      <c r="E92" s="279" t="s">
        <v>424</v>
      </c>
      <c r="F92" s="279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271"/>
      <c r="AY92" s="271"/>
      <c r="AZ92" s="271"/>
      <c r="BA92" s="271"/>
      <c r="BB92" s="271"/>
      <c r="BC92" s="271"/>
      <c r="BD92" s="271"/>
      <c r="BE92" s="271"/>
      <c r="BF92" s="271"/>
    </row>
    <row r="93" spans="2:58" ht="16" thickBot="1" x14ac:dyDescent="0.25">
      <c r="B93" s="288" t="s">
        <v>22</v>
      </c>
      <c r="C93" s="287"/>
      <c r="D93" s="290"/>
      <c r="E93" s="290"/>
      <c r="F93" s="296"/>
      <c r="G93" s="309"/>
      <c r="H93" s="310"/>
      <c r="I93" s="309"/>
      <c r="J93" s="310"/>
      <c r="K93" s="309"/>
      <c r="L93" s="310"/>
      <c r="M93" s="309"/>
      <c r="N93" s="310"/>
      <c r="O93" s="271"/>
      <c r="P93" s="271"/>
      <c r="Q93" s="309"/>
      <c r="R93" s="310"/>
      <c r="S93" s="309"/>
      <c r="T93" s="310"/>
      <c r="U93" s="309"/>
      <c r="V93" s="310"/>
      <c r="W93" s="309"/>
      <c r="X93" s="310"/>
      <c r="Y93" s="309"/>
      <c r="Z93" s="310"/>
      <c r="AA93" s="309"/>
      <c r="AB93" s="310"/>
      <c r="AC93" s="271"/>
      <c r="AD93" s="271"/>
      <c r="AE93" s="309"/>
      <c r="AF93" s="310"/>
      <c r="AG93" s="309"/>
      <c r="AH93" s="310"/>
      <c r="AI93" s="309"/>
      <c r="AJ93" s="310"/>
      <c r="AK93" s="309"/>
      <c r="AL93" s="310"/>
      <c r="AM93" s="309"/>
      <c r="AN93" s="310"/>
      <c r="AO93" s="309"/>
      <c r="AP93" s="310"/>
      <c r="AQ93" s="309"/>
      <c r="AR93" s="310"/>
      <c r="AS93" s="309"/>
      <c r="AT93" s="310"/>
      <c r="AU93" s="309"/>
      <c r="AV93" s="310"/>
      <c r="AW93" s="309"/>
      <c r="AX93" s="310"/>
      <c r="AY93" s="309"/>
      <c r="AZ93" s="310"/>
      <c r="BA93" s="271"/>
      <c r="BB93" s="271"/>
      <c r="BC93" s="271"/>
      <c r="BD93" s="271"/>
      <c r="BE93" s="271"/>
      <c r="BF93" s="271"/>
    </row>
    <row r="94" spans="2:58" ht="16" thickBot="1" x14ac:dyDescent="0.25">
      <c r="B94" s="292"/>
      <c r="C94" s="159">
        <f>SUM(C92:C93)</f>
        <v>800</v>
      </c>
      <c r="D94" s="159"/>
      <c r="E94" s="270"/>
      <c r="F94" s="297"/>
      <c r="G94" s="309"/>
      <c r="H94" s="310"/>
      <c r="I94" s="309"/>
      <c r="J94" s="310"/>
      <c r="K94" s="309"/>
      <c r="L94" s="310"/>
      <c r="M94" s="309"/>
      <c r="N94" s="310"/>
      <c r="O94" s="271"/>
      <c r="P94" s="271"/>
      <c r="Q94" s="310"/>
      <c r="R94" s="310"/>
      <c r="S94" s="309"/>
      <c r="T94" s="310"/>
      <c r="U94" s="309"/>
      <c r="V94" s="310"/>
      <c r="W94" s="309"/>
      <c r="X94" s="310"/>
      <c r="Y94" s="309"/>
      <c r="Z94" s="310"/>
      <c r="AA94" s="309"/>
      <c r="AB94" s="310"/>
      <c r="AC94" s="271"/>
      <c r="AD94" s="271"/>
      <c r="AE94" s="309"/>
      <c r="AF94" s="310"/>
      <c r="AG94" s="309"/>
      <c r="AH94" s="310"/>
      <c r="AI94" s="309"/>
      <c r="AJ94" s="310"/>
      <c r="AK94" s="309"/>
      <c r="AL94" s="310"/>
      <c r="AM94" s="309"/>
      <c r="AN94" s="310"/>
      <c r="AO94" s="309"/>
      <c r="AP94" s="310"/>
      <c r="AQ94" s="309"/>
      <c r="AR94" s="310"/>
      <c r="AS94" s="309"/>
      <c r="AT94" s="310"/>
      <c r="AU94" s="309"/>
      <c r="AV94" s="310"/>
      <c r="AW94" s="309"/>
      <c r="AX94" s="310"/>
      <c r="AY94" s="309"/>
      <c r="AZ94" s="310"/>
      <c r="BA94" s="271"/>
      <c r="BB94" s="271"/>
      <c r="BC94" s="271"/>
      <c r="BD94" s="271"/>
      <c r="BE94" s="271"/>
      <c r="BF94" s="271"/>
    </row>
    <row r="95" spans="2:58" ht="16" thickBot="1" x14ac:dyDescent="0.25">
      <c r="B95" s="289">
        <v>45666</v>
      </c>
      <c r="C95" s="295">
        <v>1157.22</v>
      </c>
      <c r="D95" s="275"/>
      <c r="E95" s="274" t="s">
        <v>498</v>
      </c>
      <c r="F95" s="301"/>
      <c r="G95" s="309"/>
      <c r="H95" s="310"/>
      <c r="I95" s="309"/>
      <c r="J95" s="310"/>
      <c r="K95" s="309"/>
      <c r="L95" s="310"/>
      <c r="M95" s="309"/>
      <c r="N95" s="310"/>
      <c r="O95" s="271"/>
      <c r="P95" s="271"/>
      <c r="Q95" s="309"/>
      <c r="R95" s="310"/>
      <c r="S95" s="309"/>
      <c r="T95" s="310"/>
      <c r="U95" s="309"/>
      <c r="V95" s="310"/>
      <c r="W95" s="309"/>
      <c r="X95" s="310"/>
      <c r="Y95" s="309"/>
      <c r="Z95" s="310"/>
      <c r="AA95" s="309"/>
      <c r="AB95" s="310"/>
      <c r="AC95" s="271"/>
      <c r="AD95" s="271"/>
      <c r="AE95" s="309"/>
      <c r="AF95" s="310"/>
      <c r="AG95" s="309"/>
      <c r="AH95" s="310"/>
      <c r="AI95" s="309"/>
      <c r="AJ95" s="310"/>
      <c r="AK95" s="309"/>
      <c r="AL95" s="310"/>
      <c r="AM95" s="309"/>
      <c r="AN95" s="310"/>
      <c r="AO95" s="309"/>
      <c r="AP95" s="310"/>
      <c r="AQ95" s="309"/>
      <c r="AR95" s="310"/>
      <c r="AS95" s="309"/>
      <c r="AT95" s="310"/>
      <c r="AU95" s="309"/>
      <c r="AV95" s="310"/>
      <c r="AW95" s="309"/>
      <c r="AX95" s="310"/>
      <c r="AY95" s="309"/>
      <c r="AZ95" s="310"/>
      <c r="BA95" s="271"/>
      <c r="BB95" s="271"/>
      <c r="BC95" s="271"/>
      <c r="BD95" s="271"/>
      <c r="BE95" s="271"/>
      <c r="BF95" s="271"/>
    </row>
    <row r="96" spans="2:58" ht="16" thickBot="1" x14ac:dyDescent="0.25">
      <c r="B96" s="289"/>
      <c r="C96" s="295">
        <v>25</v>
      </c>
      <c r="D96" s="275"/>
      <c r="E96" s="275" t="s">
        <v>499</v>
      </c>
      <c r="F96" s="302"/>
      <c r="G96" s="309"/>
      <c r="H96" s="310"/>
      <c r="I96" s="309"/>
      <c r="J96" s="310"/>
      <c r="K96" s="309"/>
      <c r="L96" s="310"/>
      <c r="M96" s="309"/>
      <c r="N96" s="310"/>
      <c r="O96" s="271"/>
      <c r="P96" s="271"/>
      <c r="Q96" s="309"/>
      <c r="R96" s="310"/>
      <c r="S96" s="309"/>
      <c r="T96" s="310"/>
      <c r="U96" s="309"/>
      <c r="V96" s="310"/>
      <c r="W96" s="309"/>
      <c r="X96" s="310"/>
      <c r="Y96" s="309"/>
      <c r="Z96" s="310"/>
      <c r="AA96" s="309"/>
      <c r="AB96" s="310"/>
      <c r="AC96" s="271"/>
      <c r="AD96" s="271"/>
      <c r="AE96" s="309"/>
      <c r="AF96" s="310"/>
      <c r="AG96" s="309"/>
      <c r="AH96" s="310"/>
      <c r="AI96" s="309"/>
      <c r="AJ96" s="310"/>
      <c r="AK96" s="309"/>
      <c r="AL96" s="310"/>
      <c r="AM96" s="309"/>
      <c r="AN96" s="310"/>
      <c r="AO96" s="309"/>
      <c r="AP96" s="310"/>
      <c r="AQ96" s="309"/>
      <c r="AR96" s="310"/>
      <c r="AS96" s="309"/>
      <c r="AT96" s="310"/>
      <c r="AU96" s="309"/>
      <c r="AV96" s="310"/>
      <c r="AW96" s="309"/>
      <c r="AX96" s="310"/>
      <c r="AY96" s="309"/>
      <c r="AZ96" s="310"/>
      <c r="BA96" s="271"/>
      <c r="BB96" s="271"/>
      <c r="BC96" s="271"/>
      <c r="BD96" s="271"/>
      <c r="BE96" s="271"/>
      <c r="BF96" s="271"/>
    </row>
    <row r="97" spans="2:58" ht="16" thickBot="1" x14ac:dyDescent="0.25">
      <c r="B97" s="289"/>
      <c r="C97" s="295">
        <v>122.98</v>
      </c>
      <c r="D97" s="275"/>
      <c r="E97" s="275"/>
      <c r="F97" s="302" t="s">
        <v>279</v>
      </c>
      <c r="G97" s="309"/>
      <c r="H97" s="310"/>
      <c r="I97" s="309"/>
      <c r="J97" s="310"/>
      <c r="K97" s="309"/>
      <c r="L97" s="310"/>
      <c r="M97" s="309"/>
      <c r="N97" s="310"/>
      <c r="O97" s="271"/>
      <c r="P97" s="271"/>
      <c r="Q97" s="309"/>
      <c r="R97" s="310"/>
      <c r="S97" s="309"/>
      <c r="T97" s="310"/>
      <c r="U97" s="309"/>
      <c r="V97" s="310"/>
      <c r="W97" s="309"/>
      <c r="X97" s="310"/>
      <c r="Y97" s="309"/>
      <c r="Z97" s="310"/>
      <c r="AA97" s="309"/>
      <c r="AB97" s="310"/>
      <c r="AC97" s="271">
        <v>1</v>
      </c>
      <c r="AD97" s="271">
        <v>94.99</v>
      </c>
      <c r="AE97" s="309"/>
      <c r="AF97" s="310"/>
      <c r="AG97" s="309"/>
      <c r="AH97" s="310"/>
      <c r="AI97" s="309"/>
      <c r="AJ97" s="310"/>
      <c r="AK97" s="309"/>
      <c r="AL97" s="310"/>
      <c r="AM97" s="309"/>
      <c r="AN97" s="310"/>
      <c r="AO97" s="309"/>
      <c r="AP97" s="310"/>
      <c r="AQ97" s="309"/>
      <c r="AR97" s="310"/>
      <c r="AS97" s="309"/>
      <c r="AT97" s="310"/>
      <c r="AU97" s="309"/>
      <c r="AV97" s="310"/>
      <c r="AW97" s="309"/>
      <c r="AX97" s="310"/>
      <c r="AY97" s="309"/>
      <c r="AZ97" s="310"/>
      <c r="BA97" s="271"/>
      <c r="BB97" s="271"/>
      <c r="BC97" s="271"/>
      <c r="BD97" s="271"/>
      <c r="BE97" s="271"/>
      <c r="BF97" s="271"/>
    </row>
    <row r="98" spans="2:58" ht="16" thickBot="1" x14ac:dyDescent="0.25">
      <c r="B98" s="289"/>
      <c r="C98" s="295">
        <v>299.89999999999998</v>
      </c>
      <c r="D98" s="275"/>
      <c r="E98" s="275"/>
      <c r="F98" s="302" t="s">
        <v>14</v>
      </c>
      <c r="G98" s="309"/>
      <c r="H98" s="310"/>
      <c r="I98" s="309"/>
      <c r="J98" s="310"/>
      <c r="K98" s="309"/>
      <c r="L98" s="310"/>
      <c r="M98" s="309"/>
      <c r="N98" s="310"/>
      <c r="O98" s="271"/>
      <c r="P98" s="271"/>
      <c r="Q98" s="309"/>
      <c r="R98" s="310"/>
      <c r="S98" s="309"/>
      <c r="T98" s="310"/>
      <c r="U98" s="309"/>
      <c r="V98" s="310"/>
      <c r="W98" s="309"/>
      <c r="X98" s="310"/>
      <c r="Y98" s="309"/>
      <c r="Z98" s="310"/>
      <c r="AA98" s="309"/>
      <c r="AB98" s="310"/>
      <c r="AC98" s="271"/>
      <c r="AD98" s="271"/>
      <c r="AE98" s="309">
        <v>10</v>
      </c>
      <c r="AF98" s="310">
        <v>299.89999999999998</v>
      </c>
      <c r="AG98" s="309"/>
      <c r="AH98" s="310"/>
      <c r="AI98" s="309"/>
      <c r="AJ98" s="310"/>
      <c r="AK98" s="309"/>
      <c r="AL98" s="310"/>
      <c r="AM98" s="309"/>
      <c r="AN98" s="310"/>
      <c r="AO98" s="309"/>
      <c r="AP98" s="310"/>
      <c r="AQ98" s="309"/>
      <c r="AR98" s="310"/>
      <c r="AS98" s="309"/>
      <c r="AT98" s="310"/>
      <c r="AU98" s="309"/>
      <c r="AV98" s="310"/>
      <c r="AW98" s="309"/>
      <c r="AX98" s="310"/>
      <c r="AY98" s="309"/>
      <c r="AZ98" s="310"/>
      <c r="BA98" s="271"/>
      <c r="BB98" s="271"/>
      <c r="BC98" s="271"/>
      <c r="BD98" s="271"/>
      <c r="BE98" s="271"/>
      <c r="BF98" s="271"/>
    </row>
    <row r="99" spans="2:58" ht="16" thickBot="1" x14ac:dyDescent="0.25">
      <c r="B99" s="289"/>
      <c r="C99" s="295">
        <v>6691.45</v>
      </c>
      <c r="D99" s="275"/>
      <c r="E99" s="275"/>
      <c r="F99" s="302" t="s">
        <v>9</v>
      </c>
      <c r="G99" s="309">
        <v>10</v>
      </c>
      <c r="H99" s="310">
        <v>1369.9</v>
      </c>
      <c r="I99" s="309">
        <v>6</v>
      </c>
      <c r="J99" s="310">
        <v>617.94000000000005</v>
      </c>
      <c r="K99" s="309">
        <v>8</v>
      </c>
      <c r="L99" s="310">
        <v>1455.92</v>
      </c>
      <c r="M99" s="309">
        <v>12</v>
      </c>
      <c r="N99" s="310">
        <v>1739.88</v>
      </c>
      <c r="O99" s="271"/>
      <c r="P99" s="271"/>
      <c r="Q99" s="309">
        <v>2</v>
      </c>
      <c r="R99" s="310">
        <v>269.98</v>
      </c>
      <c r="S99" s="309"/>
      <c r="T99" s="310"/>
      <c r="U99" s="309"/>
      <c r="V99" s="310"/>
      <c r="W99" s="309">
        <v>6</v>
      </c>
      <c r="X99" s="310">
        <v>281.94</v>
      </c>
      <c r="Y99" s="309"/>
      <c r="Z99" s="310"/>
      <c r="AA99" s="309"/>
      <c r="AB99" s="310"/>
      <c r="AC99" s="271"/>
      <c r="AD99" s="271"/>
      <c r="AE99" s="309"/>
      <c r="AF99" s="310"/>
      <c r="AG99" s="309"/>
      <c r="AH99" s="310"/>
      <c r="AI99" s="309"/>
      <c r="AJ99" s="310"/>
      <c r="AK99" s="309"/>
      <c r="AL99" s="310"/>
      <c r="AM99" s="309"/>
      <c r="AN99" s="310"/>
      <c r="AO99" s="309"/>
      <c r="AP99" s="310"/>
      <c r="AQ99" s="309"/>
      <c r="AR99" s="310"/>
      <c r="AS99" s="309"/>
      <c r="AT99" s="310"/>
      <c r="AU99" s="309"/>
      <c r="AV99" s="310"/>
      <c r="AW99" s="309"/>
      <c r="AX99" s="310"/>
      <c r="AY99" s="309"/>
      <c r="AZ99" s="310"/>
      <c r="BA99" s="271">
        <v>2</v>
      </c>
      <c r="BB99" s="271">
        <v>55.98</v>
      </c>
      <c r="BC99" s="271"/>
      <c r="BD99" s="271"/>
      <c r="BE99" s="271">
        <v>1</v>
      </c>
      <c r="BF99" s="271">
        <v>57.99</v>
      </c>
    </row>
    <row r="100" spans="2:58" ht="16" thickBot="1" x14ac:dyDescent="0.25">
      <c r="B100" s="289"/>
      <c r="C100" s="295">
        <v>7587.25</v>
      </c>
      <c r="D100" s="275"/>
      <c r="E100" s="275"/>
      <c r="F100" s="302" t="s">
        <v>343</v>
      </c>
      <c r="G100" s="309"/>
      <c r="H100" s="310"/>
      <c r="I100" s="309"/>
      <c r="J100" s="310"/>
      <c r="K100" s="309"/>
      <c r="L100" s="310"/>
      <c r="M100" s="309"/>
      <c r="N100" s="310"/>
      <c r="O100" s="271"/>
      <c r="P100" s="271"/>
      <c r="Q100" s="309"/>
      <c r="R100" s="310"/>
      <c r="S100" s="309"/>
      <c r="T100" s="310"/>
      <c r="U100" s="309"/>
      <c r="V100" s="310"/>
      <c r="W100" s="309"/>
      <c r="X100" s="310"/>
      <c r="Y100" s="309"/>
      <c r="Z100" s="310"/>
      <c r="AA100" s="309"/>
      <c r="AB100" s="310"/>
      <c r="AC100" s="271"/>
      <c r="AD100" s="271"/>
      <c r="AE100" s="309"/>
      <c r="AF100" s="310"/>
      <c r="AG100" s="309"/>
      <c r="AH100" s="310"/>
      <c r="AI100" s="309"/>
      <c r="AJ100" s="310"/>
      <c r="AK100" s="309"/>
      <c r="AL100" s="310"/>
      <c r="AM100" s="309"/>
      <c r="AN100" s="310"/>
      <c r="AO100" s="309"/>
      <c r="AP100" s="310"/>
      <c r="AQ100" s="309"/>
      <c r="AR100" s="310"/>
      <c r="AS100" s="309"/>
      <c r="AT100" s="310"/>
      <c r="AU100" s="309"/>
      <c r="AV100" s="310"/>
      <c r="AW100" s="309">
        <v>15</v>
      </c>
      <c r="AX100" s="310">
        <v>4578.83</v>
      </c>
      <c r="AY100" s="309">
        <v>15</v>
      </c>
      <c r="AZ100" s="310">
        <v>3008.42</v>
      </c>
      <c r="BA100" s="271"/>
      <c r="BB100" s="271"/>
      <c r="BC100" s="271"/>
      <c r="BD100" s="271"/>
      <c r="BE100" s="271"/>
      <c r="BF100" s="271"/>
    </row>
    <row r="101" spans="2:58" ht="16" thickBot="1" x14ac:dyDescent="0.25">
      <c r="B101" s="289"/>
      <c r="C101" s="295">
        <v>4241</v>
      </c>
      <c r="D101" s="275"/>
      <c r="E101" s="275" t="s">
        <v>500</v>
      </c>
      <c r="F101" s="302"/>
      <c r="G101" s="309"/>
      <c r="H101" s="310"/>
      <c r="I101" s="309"/>
      <c r="J101" s="310"/>
      <c r="K101" s="309"/>
      <c r="L101" s="310"/>
      <c r="M101" s="309"/>
      <c r="N101" s="310"/>
      <c r="O101" s="271"/>
      <c r="P101" s="271"/>
      <c r="Q101" s="309"/>
      <c r="R101" s="310"/>
      <c r="S101" s="309"/>
      <c r="T101" s="310"/>
      <c r="U101" s="309"/>
      <c r="V101" s="310"/>
      <c r="W101" s="309"/>
      <c r="X101" s="310"/>
      <c r="Y101" s="309"/>
      <c r="Z101" s="310"/>
      <c r="AA101" s="309"/>
      <c r="AB101" s="310"/>
      <c r="AC101" s="271"/>
      <c r="AD101" s="271"/>
      <c r="AE101" s="309"/>
      <c r="AF101" s="310"/>
      <c r="AG101" s="309"/>
      <c r="AH101" s="310"/>
      <c r="AI101" s="309"/>
      <c r="AJ101" s="310"/>
      <c r="AK101" s="309"/>
      <c r="AL101" s="310"/>
      <c r="AM101" s="309"/>
      <c r="AN101" s="310"/>
      <c r="AO101" s="309"/>
      <c r="AP101" s="310"/>
      <c r="AQ101" s="309"/>
      <c r="AR101" s="310"/>
      <c r="AS101" s="309"/>
      <c r="AT101" s="310"/>
      <c r="AU101" s="309"/>
      <c r="AV101" s="310"/>
      <c r="AW101" s="309"/>
      <c r="AX101" s="310"/>
      <c r="AY101" s="309"/>
      <c r="AZ101" s="310"/>
      <c r="BA101" s="271"/>
      <c r="BB101" s="271"/>
      <c r="BC101" s="271"/>
      <c r="BD101" s="271"/>
      <c r="BE101" s="271"/>
      <c r="BF101" s="271"/>
    </row>
    <row r="102" spans="2:58" ht="16" thickBot="1" x14ac:dyDescent="0.25">
      <c r="B102" s="289"/>
      <c r="C102" s="295"/>
      <c r="D102" s="275"/>
      <c r="E102" s="275"/>
      <c r="F102" s="302"/>
      <c r="G102" s="309"/>
      <c r="H102" s="310"/>
      <c r="I102" s="309"/>
      <c r="J102" s="310"/>
      <c r="K102" s="309"/>
      <c r="L102" s="310"/>
      <c r="M102" s="309"/>
      <c r="N102" s="310"/>
      <c r="O102" s="271"/>
      <c r="P102" s="271"/>
      <c r="Q102" s="309"/>
      <c r="R102" s="310"/>
      <c r="S102" s="309"/>
      <c r="T102" s="310"/>
      <c r="U102" s="309"/>
      <c r="V102" s="310"/>
      <c r="W102" s="309"/>
      <c r="X102" s="310"/>
      <c r="Y102" s="309"/>
      <c r="Z102" s="310"/>
      <c r="AA102" s="309"/>
      <c r="AB102" s="310"/>
      <c r="AC102" s="271"/>
      <c r="AD102" s="271"/>
      <c r="AE102" s="309"/>
      <c r="AF102" s="310"/>
      <c r="AG102" s="309"/>
      <c r="AH102" s="310"/>
      <c r="AI102" s="309"/>
      <c r="AJ102" s="310"/>
      <c r="AK102" s="309"/>
      <c r="AL102" s="310"/>
      <c r="AM102" s="309"/>
      <c r="AN102" s="310"/>
      <c r="AO102" s="309"/>
      <c r="AP102" s="310"/>
      <c r="AQ102" s="309"/>
      <c r="AR102" s="310"/>
      <c r="AS102" s="309"/>
      <c r="AT102" s="310"/>
      <c r="AU102" s="309"/>
      <c r="AV102" s="310"/>
      <c r="AW102" s="309"/>
      <c r="AX102" s="310"/>
      <c r="AY102" s="309"/>
      <c r="AZ102" s="310"/>
      <c r="BA102" s="271"/>
      <c r="BB102" s="271"/>
      <c r="BC102" s="271"/>
      <c r="BD102" s="271"/>
      <c r="BE102" s="271"/>
      <c r="BF102" s="271"/>
    </row>
    <row r="103" spans="2:58" ht="16" thickBot="1" x14ac:dyDescent="0.25">
      <c r="B103" s="289"/>
      <c r="C103" s="295"/>
      <c r="D103" s="275"/>
      <c r="E103" s="275"/>
      <c r="F103" s="302"/>
      <c r="G103" s="309"/>
      <c r="H103" s="310"/>
      <c r="I103" s="309"/>
      <c r="J103" s="310"/>
      <c r="K103" s="309"/>
      <c r="L103" s="310"/>
      <c r="M103" s="309"/>
      <c r="N103" s="310"/>
      <c r="O103" s="271"/>
      <c r="P103" s="271"/>
      <c r="Q103" s="309"/>
      <c r="R103" s="310"/>
      <c r="S103" s="309"/>
      <c r="T103" s="310"/>
      <c r="U103" s="309"/>
      <c r="V103" s="310"/>
      <c r="W103" s="309"/>
      <c r="X103" s="310"/>
      <c r="Y103" s="309"/>
      <c r="Z103" s="310"/>
      <c r="AA103" s="309"/>
      <c r="AB103" s="310"/>
      <c r="AC103" s="271"/>
      <c r="AD103" s="271"/>
      <c r="AE103" s="309"/>
      <c r="AF103" s="310"/>
      <c r="AG103" s="309"/>
      <c r="AH103" s="310"/>
      <c r="AI103" s="309"/>
      <c r="AJ103" s="310"/>
      <c r="AK103" s="309"/>
      <c r="AL103" s="310"/>
      <c r="AM103" s="309"/>
      <c r="AN103" s="310"/>
      <c r="AO103" s="309"/>
      <c r="AP103" s="310"/>
      <c r="AQ103" s="309"/>
      <c r="AR103" s="310"/>
      <c r="AS103" s="309"/>
      <c r="AT103" s="310"/>
      <c r="AU103" s="309"/>
      <c r="AV103" s="310"/>
      <c r="AW103" s="309"/>
      <c r="AX103" s="310"/>
      <c r="AY103" s="309"/>
      <c r="AZ103" s="310"/>
      <c r="BA103" s="271"/>
      <c r="BB103" s="271"/>
      <c r="BC103" s="271"/>
      <c r="BD103" s="271"/>
      <c r="BE103" s="271"/>
      <c r="BF103" s="271"/>
    </row>
    <row r="104" spans="2:58" ht="16" thickBot="1" x14ac:dyDescent="0.25">
      <c r="B104" s="289" t="s">
        <v>23</v>
      </c>
      <c r="C104" s="295"/>
      <c r="D104" s="275"/>
      <c r="E104" s="275"/>
      <c r="F104" s="302"/>
      <c r="G104" s="309"/>
      <c r="H104" s="310"/>
      <c r="I104" s="309"/>
      <c r="J104" s="310"/>
      <c r="K104" s="309"/>
      <c r="L104" s="310"/>
      <c r="M104" s="309"/>
      <c r="N104" s="310"/>
      <c r="O104" s="271"/>
      <c r="P104" s="271"/>
      <c r="Q104" s="309"/>
      <c r="R104" s="310"/>
      <c r="S104" s="309"/>
      <c r="T104" s="310"/>
      <c r="U104" s="309"/>
      <c r="V104" s="310"/>
      <c r="W104" s="309"/>
      <c r="X104" s="310"/>
      <c r="Y104" s="309"/>
      <c r="Z104" s="310"/>
      <c r="AA104" s="309"/>
      <c r="AB104" s="310"/>
      <c r="AC104" s="271"/>
      <c r="AD104" s="271"/>
      <c r="AE104" s="309"/>
      <c r="AF104" s="310"/>
      <c r="AG104" s="309"/>
      <c r="AH104" s="310"/>
      <c r="AI104" s="309"/>
      <c r="AJ104" s="310"/>
      <c r="AK104" s="309"/>
      <c r="AL104" s="310"/>
      <c r="AM104" s="309"/>
      <c r="AN104" s="310"/>
      <c r="AO104" s="309"/>
      <c r="AP104" s="310"/>
      <c r="AQ104" s="309"/>
      <c r="AR104" s="310"/>
      <c r="AS104" s="309"/>
      <c r="AT104" s="310"/>
      <c r="AU104" s="309"/>
      <c r="AV104" s="310"/>
      <c r="AW104" s="309"/>
      <c r="AX104" s="310"/>
      <c r="AY104" s="309"/>
      <c r="AZ104" s="310"/>
      <c r="BA104" s="271"/>
      <c r="BB104" s="271"/>
      <c r="BC104" s="271"/>
      <c r="BD104" s="271"/>
      <c r="BE104" s="271"/>
      <c r="BF104" s="271"/>
    </row>
    <row r="105" spans="2:58" ht="16" thickBot="1" x14ac:dyDescent="0.25">
      <c r="B105" s="298"/>
      <c r="C105" s="656">
        <f>SUM(C95:C104)</f>
        <v>20124.8</v>
      </c>
      <c r="D105" s="656"/>
      <c r="E105" s="578"/>
      <c r="F105" s="553"/>
      <c r="G105" s="309"/>
      <c r="H105" s="310"/>
      <c r="I105" s="309"/>
      <c r="J105" s="310"/>
      <c r="K105" s="309"/>
      <c r="L105" s="310"/>
      <c r="M105" s="309"/>
      <c r="N105" s="310"/>
      <c r="O105" s="271"/>
      <c r="P105" s="271"/>
      <c r="Q105" s="309"/>
      <c r="R105" s="310"/>
      <c r="S105" s="309"/>
      <c r="T105" s="310"/>
      <c r="U105" s="309"/>
      <c r="V105" s="310"/>
      <c r="W105" s="309"/>
      <c r="X105" s="310"/>
      <c r="Y105" s="309"/>
      <c r="Z105" s="310"/>
      <c r="AA105" s="309"/>
      <c r="AB105" s="310"/>
      <c r="AC105" s="271"/>
      <c r="AD105" s="271"/>
      <c r="AE105" s="309"/>
      <c r="AF105" s="310"/>
      <c r="AG105" s="309"/>
      <c r="AH105" s="310"/>
      <c r="AI105" s="309"/>
      <c r="AJ105" s="310"/>
      <c r="AK105" s="309"/>
      <c r="AL105" s="310"/>
      <c r="AM105" s="309"/>
      <c r="AN105" s="310"/>
      <c r="AO105" s="309"/>
      <c r="AP105" s="310"/>
      <c r="AQ105" s="309"/>
      <c r="AR105" s="310"/>
      <c r="AS105" s="309"/>
      <c r="AT105" s="310"/>
      <c r="AU105" s="309"/>
      <c r="AV105" s="310"/>
      <c r="AW105" s="309"/>
      <c r="AX105" s="310"/>
      <c r="AY105" s="309"/>
      <c r="AZ105" s="310"/>
      <c r="BA105" s="271"/>
      <c r="BB105" s="271"/>
      <c r="BC105" s="271"/>
      <c r="BD105" s="271"/>
      <c r="BE105" s="271"/>
      <c r="BF105" s="271"/>
    </row>
    <row r="106" spans="2:58" ht="16" thickBot="1" x14ac:dyDescent="0.25">
      <c r="B106" s="479">
        <v>45667</v>
      </c>
      <c r="C106" s="299">
        <v>804.72</v>
      </c>
      <c r="D106" s="300"/>
      <c r="E106" s="274" t="s">
        <v>186</v>
      </c>
      <c r="F106" s="301"/>
      <c r="G106" s="309"/>
      <c r="H106" s="310"/>
      <c r="I106" s="309"/>
      <c r="J106" s="310"/>
      <c r="K106" s="309"/>
      <c r="L106" s="310"/>
      <c r="M106" s="309"/>
      <c r="N106" s="310"/>
      <c r="O106" s="271"/>
      <c r="P106" s="271"/>
      <c r="Q106" s="309"/>
      <c r="R106" s="310"/>
      <c r="S106" s="309"/>
      <c r="T106" s="310"/>
      <c r="U106" s="309"/>
      <c r="V106" s="310"/>
      <c r="W106" s="309"/>
      <c r="X106" s="310"/>
      <c r="Y106" s="309"/>
      <c r="Z106" s="310"/>
      <c r="AA106" s="309"/>
      <c r="AB106" s="310"/>
      <c r="AC106" s="271"/>
      <c r="AD106" s="271"/>
      <c r="AE106" s="309"/>
      <c r="AF106" s="310"/>
      <c r="AG106" s="309"/>
      <c r="AH106" s="310"/>
      <c r="AI106" s="309"/>
      <c r="AJ106" s="310"/>
      <c r="AK106" s="309"/>
      <c r="AL106" s="310"/>
      <c r="AM106" s="309"/>
      <c r="AN106" s="310"/>
      <c r="AO106" s="309"/>
      <c r="AP106" s="310"/>
      <c r="AQ106" s="309"/>
      <c r="AR106" s="310"/>
      <c r="AS106" s="309"/>
      <c r="AT106" s="310"/>
      <c r="AU106" s="309"/>
      <c r="AV106" s="310"/>
      <c r="AW106" s="309"/>
      <c r="AX106" s="310"/>
      <c r="AY106" s="309"/>
      <c r="AZ106" s="310"/>
      <c r="BA106" s="271"/>
      <c r="BB106" s="271"/>
      <c r="BC106" s="271"/>
      <c r="BD106" s="271"/>
      <c r="BE106" s="271"/>
      <c r="BF106" s="271"/>
    </row>
    <row r="107" spans="2:58" ht="16" thickBot="1" x14ac:dyDescent="0.25">
      <c r="B107" s="479"/>
      <c r="C107" s="299"/>
      <c r="D107" s="300"/>
      <c r="E107" s="275"/>
      <c r="F107" s="302"/>
      <c r="G107" s="309"/>
      <c r="H107" s="310"/>
      <c r="I107" s="309"/>
      <c r="J107" s="310"/>
      <c r="K107" s="309"/>
      <c r="L107" s="310"/>
      <c r="M107" s="309"/>
      <c r="N107" s="310"/>
      <c r="O107" s="271"/>
      <c r="P107" s="271"/>
      <c r="Q107" s="309"/>
      <c r="R107" s="310"/>
      <c r="S107" s="309"/>
      <c r="T107" s="310"/>
      <c r="U107" s="309"/>
      <c r="V107" s="310"/>
      <c r="W107" s="309"/>
      <c r="X107" s="310"/>
      <c r="Y107" s="309"/>
      <c r="Z107" s="310"/>
      <c r="AA107" s="309"/>
      <c r="AB107" s="310"/>
      <c r="AC107" s="271"/>
      <c r="AD107" s="271"/>
      <c r="AE107" s="309"/>
      <c r="AF107" s="310"/>
      <c r="AG107" s="309"/>
      <c r="AH107" s="310"/>
      <c r="AI107" s="309"/>
      <c r="AJ107" s="310"/>
      <c r="AK107" s="309"/>
      <c r="AL107" s="310"/>
      <c r="AM107" s="309"/>
      <c r="AN107" s="310"/>
      <c r="AO107" s="309"/>
      <c r="AP107" s="310"/>
      <c r="AQ107" s="309"/>
      <c r="AR107" s="310"/>
      <c r="AS107" s="309"/>
      <c r="AT107" s="310"/>
      <c r="AU107" s="309"/>
      <c r="AV107" s="310"/>
      <c r="AW107" s="309"/>
      <c r="AX107" s="310"/>
      <c r="AY107" s="309"/>
      <c r="AZ107" s="310"/>
      <c r="BA107" s="271"/>
      <c r="BB107" s="271"/>
      <c r="BC107" s="271"/>
      <c r="BD107" s="271"/>
      <c r="BE107" s="271"/>
      <c r="BF107" s="271"/>
    </row>
    <row r="108" spans="2:58" ht="16" thickBot="1" x14ac:dyDescent="0.25">
      <c r="B108" s="479"/>
      <c r="C108" s="299"/>
      <c r="D108" s="300"/>
      <c r="E108" s="275"/>
      <c r="F108" s="302"/>
      <c r="G108" s="309"/>
      <c r="H108" s="310"/>
      <c r="I108" s="309"/>
      <c r="J108" s="310"/>
      <c r="K108" s="309"/>
      <c r="L108" s="310"/>
      <c r="M108" s="309"/>
      <c r="N108" s="310"/>
      <c r="O108" s="271"/>
      <c r="P108" s="271"/>
      <c r="Q108" s="309"/>
      <c r="R108" s="310"/>
      <c r="S108" s="309"/>
      <c r="T108" s="310"/>
      <c r="U108" s="309"/>
      <c r="V108" s="310"/>
      <c r="W108" s="309"/>
      <c r="X108" s="310"/>
      <c r="Y108" s="309"/>
      <c r="Z108" s="310"/>
      <c r="AA108" s="309"/>
      <c r="AB108" s="310"/>
      <c r="AC108" s="271"/>
      <c r="AD108" s="271"/>
      <c r="AE108" s="309"/>
      <c r="AF108" s="310"/>
      <c r="AG108" s="309"/>
      <c r="AH108" s="310"/>
      <c r="AI108" s="309"/>
      <c r="AJ108" s="310"/>
      <c r="AK108" s="309"/>
      <c r="AL108" s="310"/>
      <c r="AM108" s="309"/>
      <c r="AN108" s="310"/>
      <c r="AO108" s="309"/>
      <c r="AP108" s="310"/>
      <c r="AQ108" s="309"/>
      <c r="AR108" s="310"/>
      <c r="AS108" s="309"/>
      <c r="AT108" s="310"/>
      <c r="AU108" s="309"/>
      <c r="AV108" s="310"/>
      <c r="AW108" s="309"/>
      <c r="AX108" s="310"/>
      <c r="AY108" s="309"/>
      <c r="AZ108" s="310"/>
      <c r="BA108" s="271"/>
      <c r="BB108" s="271"/>
      <c r="BC108" s="271"/>
      <c r="BD108" s="271"/>
      <c r="BE108" s="271"/>
      <c r="BF108" s="271"/>
    </row>
    <row r="109" spans="2:58" ht="16" thickBot="1" x14ac:dyDescent="0.25">
      <c r="B109" s="479"/>
      <c r="C109" s="299"/>
      <c r="D109" s="300"/>
      <c r="E109" s="275"/>
      <c r="F109" s="302"/>
      <c r="G109" s="309"/>
      <c r="H109" s="310"/>
      <c r="I109" s="309"/>
      <c r="J109" s="310"/>
      <c r="K109" s="309"/>
      <c r="L109" s="310"/>
      <c r="M109" s="309"/>
      <c r="N109" s="310"/>
      <c r="O109" s="271"/>
      <c r="P109" s="271"/>
      <c r="Q109" s="309"/>
      <c r="R109" s="310"/>
      <c r="S109" s="309"/>
      <c r="T109" s="310"/>
      <c r="U109" s="309"/>
      <c r="V109" s="310"/>
      <c r="W109" s="309"/>
      <c r="X109" s="310"/>
      <c r="Y109" s="309"/>
      <c r="Z109" s="310"/>
      <c r="AA109" s="309"/>
      <c r="AB109" s="310"/>
      <c r="AC109" s="271"/>
      <c r="AD109" s="271"/>
      <c r="AE109" s="309"/>
      <c r="AF109" s="310"/>
      <c r="AG109" s="309"/>
      <c r="AH109" s="310"/>
      <c r="AI109" s="309"/>
      <c r="AJ109" s="310"/>
      <c r="AK109" s="309"/>
      <c r="AL109" s="310"/>
      <c r="AM109" s="309"/>
      <c r="AN109" s="310"/>
      <c r="AO109" s="309"/>
      <c r="AP109" s="310"/>
      <c r="AQ109" s="309"/>
      <c r="AR109" s="310"/>
      <c r="AS109" s="309"/>
      <c r="AT109" s="310"/>
      <c r="AU109" s="309"/>
      <c r="AV109" s="310"/>
      <c r="AW109" s="309"/>
      <c r="AX109" s="310"/>
      <c r="AY109" s="309"/>
      <c r="AZ109" s="310"/>
      <c r="BA109" s="271"/>
      <c r="BB109" s="271"/>
      <c r="BC109" s="271"/>
      <c r="BD109" s="271"/>
      <c r="BE109" s="271"/>
      <c r="BF109" s="271"/>
    </row>
    <row r="110" spans="2:58" ht="16" thickBot="1" x14ac:dyDescent="0.25">
      <c r="B110" s="479"/>
      <c r="C110" s="657"/>
      <c r="D110" s="657"/>
      <c r="E110" s="285"/>
      <c r="F110" s="302"/>
      <c r="G110" s="309"/>
      <c r="H110" s="310"/>
      <c r="I110" s="309"/>
      <c r="J110" s="310"/>
      <c r="K110" s="309"/>
      <c r="L110" s="310"/>
      <c r="M110" s="309"/>
      <c r="N110" s="310"/>
      <c r="O110" s="271"/>
      <c r="P110" s="271"/>
      <c r="Q110" s="309"/>
      <c r="R110" s="310"/>
      <c r="S110" s="309"/>
      <c r="T110" s="310"/>
      <c r="U110" s="309"/>
      <c r="V110" s="310"/>
      <c r="W110" s="309"/>
      <c r="X110" s="310"/>
      <c r="Y110" s="309"/>
      <c r="Z110" s="310"/>
      <c r="AA110" s="309"/>
      <c r="AB110" s="310"/>
      <c r="AC110" s="271"/>
      <c r="AD110" s="271"/>
      <c r="AE110" s="309"/>
      <c r="AF110" s="310"/>
      <c r="AG110" s="309"/>
      <c r="AH110" s="310"/>
      <c r="AI110" s="309"/>
      <c r="AJ110" s="310"/>
      <c r="AK110" s="309"/>
      <c r="AL110" s="310"/>
      <c r="AM110" s="309"/>
      <c r="AN110" s="310"/>
      <c r="AO110" s="309"/>
      <c r="AP110" s="310"/>
      <c r="AQ110" s="309"/>
      <c r="AR110" s="310"/>
      <c r="AS110" s="309"/>
      <c r="AT110" s="310"/>
      <c r="AU110" s="309"/>
      <c r="AV110" s="310"/>
      <c r="AW110" s="309"/>
      <c r="AX110" s="310"/>
      <c r="AY110" s="309"/>
      <c r="AZ110" s="310"/>
      <c r="BA110" s="271"/>
      <c r="BB110" s="271"/>
      <c r="BC110" s="271"/>
      <c r="BD110" s="271"/>
      <c r="BE110" s="271"/>
      <c r="BF110" s="271"/>
    </row>
    <row r="111" spans="2:58" ht="16" thickBot="1" x14ac:dyDescent="0.25">
      <c r="B111" s="479" t="s">
        <v>24</v>
      </c>
      <c r="C111" s="299"/>
      <c r="D111" s="300"/>
      <c r="E111" s="275"/>
      <c r="F111" s="302"/>
      <c r="G111" s="309"/>
      <c r="H111" s="310"/>
      <c r="I111" s="309"/>
      <c r="J111" s="310"/>
      <c r="K111" s="309"/>
      <c r="L111" s="310"/>
      <c r="M111" s="309"/>
      <c r="N111" s="310"/>
      <c r="O111" s="271"/>
      <c r="P111" s="271"/>
      <c r="Q111" s="309"/>
      <c r="R111" s="310"/>
      <c r="S111" s="309"/>
      <c r="T111" s="310"/>
      <c r="U111" s="309"/>
      <c r="V111" s="310"/>
      <c r="W111" s="309"/>
      <c r="X111" s="310"/>
      <c r="Y111" s="309"/>
      <c r="Z111" s="310"/>
      <c r="AA111" s="309"/>
      <c r="AB111" s="310"/>
      <c r="AC111" s="271"/>
      <c r="AD111" s="271"/>
      <c r="AE111" s="309"/>
      <c r="AF111" s="310"/>
      <c r="AG111" s="309"/>
      <c r="AH111" s="310"/>
      <c r="AI111" s="309"/>
      <c r="AJ111" s="310"/>
      <c r="AK111" s="309"/>
      <c r="AL111" s="310"/>
      <c r="AM111" s="309"/>
      <c r="AN111" s="310"/>
      <c r="AO111" s="309"/>
      <c r="AP111" s="310"/>
      <c r="AQ111" s="309"/>
      <c r="AR111" s="310"/>
      <c r="AS111" s="309"/>
      <c r="AT111" s="310"/>
      <c r="AU111" s="309"/>
      <c r="AV111" s="310"/>
      <c r="AW111" s="309"/>
      <c r="AX111" s="310"/>
      <c r="AY111" s="309"/>
      <c r="AZ111" s="310"/>
      <c r="BA111" s="271"/>
      <c r="BB111" s="271"/>
      <c r="BC111" s="271"/>
      <c r="BD111" s="271"/>
      <c r="BE111" s="271"/>
      <c r="BF111" s="271"/>
    </row>
    <row r="112" spans="2:58" ht="16" thickBot="1" x14ac:dyDescent="0.25">
      <c r="B112" s="577"/>
      <c r="C112" s="159">
        <f>SUM(C106:C111)</f>
        <v>804.72</v>
      </c>
      <c r="D112" s="159"/>
      <c r="E112" s="270"/>
      <c r="F112" s="271"/>
      <c r="G112" s="309"/>
      <c r="H112" s="310"/>
      <c r="I112" s="309"/>
      <c r="J112" s="310"/>
      <c r="K112" s="309"/>
      <c r="L112" s="310"/>
      <c r="M112" s="309"/>
      <c r="N112" s="310"/>
      <c r="O112" s="271"/>
      <c r="P112" s="271"/>
      <c r="Q112" s="309"/>
      <c r="R112" s="310"/>
      <c r="S112" s="309"/>
      <c r="T112" s="310"/>
      <c r="U112" s="309"/>
      <c r="V112" s="310"/>
      <c r="W112" s="309"/>
      <c r="X112" s="310"/>
      <c r="Y112" s="309"/>
      <c r="Z112" s="310"/>
      <c r="AA112" s="309"/>
      <c r="AB112" s="310"/>
      <c r="AC112" s="271"/>
      <c r="AD112" s="271"/>
      <c r="AE112" s="309"/>
      <c r="AF112" s="310"/>
      <c r="AG112" s="309"/>
      <c r="AH112" s="310"/>
      <c r="AI112" s="309"/>
      <c r="AJ112" s="310"/>
      <c r="AK112" s="309"/>
      <c r="AL112" s="310"/>
      <c r="AM112" s="309"/>
      <c r="AN112" s="310"/>
      <c r="AO112" s="309"/>
      <c r="AP112" s="310"/>
      <c r="AQ112" s="309"/>
      <c r="AR112" s="310"/>
      <c r="AS112" s="309"/>
      <c r="AT112" s="310"/>
      <c r="AU112" s="309"/>
      <c r="AV112" s="310"/>
      <c r="AW112" s="309"/>
      <c r="AX112" s="310"/>
      <c r="AY112" s="309"/>
      <c r="AZ112" s="310"/>
      <c r="BA112" s="271"/>
      <c r="BB112" s="271"/>
      <c r="BC112" s="271"/>
      <c r="BD112" s="271"/>
      <c r="BE112" s="271"/>
      <c r="BF112" s="271"/>
    </row>
    <row r="113" spans="2:58" ht="16" thickBot="1" x14ac:dyDescent="0.25">
      <c r="B113" s="289">
        <v>45668</v>
      </c>
      <c r="C113" s="299">
        <v>728.14</v>
      </c>
      <c r="D113" s="300"/>
      <c r="E113" s="274" t="s">
        <v>186</v>
      </c>
      <c r="F113" s="302"/>
      <c r="G113" s="309"/>
      <c r="H113" s="310"/>
      <c r="I113" s="309"/>
      <c r="J113" s="310"/>
      <c r="K113" s="309"/>
      <c r="L113" s="310"/>
      <c r="M113" s="309"/>
      <c r="N113" s="310"/>
      <c r="O113" s="271"/>
      <c r="P113" s="271"/>
      <c r="Q113" s="309"/>
      <c r="R113" s="310"/>
      <c r="S113" s="309"/>
      <c r="T113" s="310"/>
      <c r="U113" s="309"/>
      <c r="V113" s="310"/>
      <c r="W113" s="309"/>
      <c r="X113" s="310"/>
      <c r="Y113" s="309"/>
      <c r="Z113" s="310"/>
      <c r="AA113" s="309"/>
      <c r="AB113" s="310"/>
      <c r="AC113" s="271"/>
      <c r="AD113" s="271"/>
      <c r="AE113" s="309"/>
      <c r="AF113" s="310"/>
      <c r="AG113" s="309"/>
      <c r="AH113" s="310"/>
      <c r="AI113" s="309"/>
      <c r="AJ113" s="310"/>
      <c r="AK113" s="309"/>
      <c r="AL113" s="310"/>
      <c r="AM113" s="309"/>
      <c r="AN113" s="310"/>
      <c r="AO113" s="309"/>
      <c r="AP113" s="310"/>
      <c r="AQ113" s="309"/>
      <c r="AR113" s="310"/>
      <c r="AS113" s="309"/>
      <c r="AT113" s="310"/>
      <c r="AU113" s="309"/>
      <c r="AV113" s="310"/>
      <c r="AW113" s="309"/>
      <c r="AX113" s="310"/>
      <c r="AY113" s="309"/>
      <c r="AZ113" s="310"/>
      <c r="BA113" s="271"/>
      <c r="BB113" s="271"/>
      <c r="BC113" s="271"/>
      <c r="BD113" s="271"/>
      <c r="BE113" s="271"/>
      <c r="BF113" s="271"/>
    </row>
    <row r="114" spans="2:58" ht="16" thickBot="1" x14ac:dyDescent="0.25">
      <c r="B114" s="289"/>
      <c r="C114" s="299">
        <v>2650</v>
      </c>
      <c r="D114" s="300"/>
      <c r="E114" s="275" t="s">
        <v>521</v>
      </c>
      <c r="F114" s="302"/>
      <c r="G114" s="309"/>
      <c r="H114" s="310"/>
      <c r="I114" s="309"/>
      <c r="J114" s="310"/>
      <c r="K114" s="309"/>
      <c r="L114" s="310"/>
      <c r="M114" s="309"/>
      <c r="N114" s="310"/>
      <c r="O114" s="271"/>
      <c r="P114" s="271"/>
      <c r="Q114" s="309"/>
      <c r="R114" s="310"/>
      <c r="S114" s="309"/>
      <c r="T114" s="310"/>
      <c r="U114" s="309"/>
      <c r="V114" s="310"/>
      <c r="W114" s="309"/>
      <c r="X114" s="310"/>
      <c r="Y114" s="309"/>
      <c r="Z114" s="310"/>
      <c r="AA114" s="309"/>
      <c r="AB114" s="310"/>
      <c r="AC114" s="271"/>
      <c r="AD114" s="271"/>
      <c r="AE114" s="309"/>
      <c r="AF114" s="310"/>
      <c r="AG114" s="309"/>
      <c r="AH114" s="310"/>
      <c r="AI114" s="309"/>
      <c r="AJ114" s="310"/>
      <c r="AK114" s="309"/>
      <c r="AL114" s="310"/>
      <c r="AM114" s="309"/>
      <c r="AN114" s="310"/>
      <c r="AO114" s="309"/>
      <c r="AP114" s="310"/>
      <c r="AQ114" s="309"/>
      <c r="AR114" s="310"/>
      <c r="AS114" s="309"/>
      <c r="AT114" s="310"/>
      <c r="AU114" s="309"/>
      <c r="AV114" s="310"/>
      <c r="AW114" s="309"/>
      <c r="AX114" s="310"/>
      <c r="AY114" s="309"/>
      <c r="AZ114" s="310"/>
      <c r="BA114" s="271"/>
      <c r="BB114" s="271"/>
      <c r="BC114" s="271"/>
      <c r="BD114" s="271"/>
      <c r="BE114" s="271"/>
      <c r="BF114" s="271"/>
    </row>
    <row r="115" spans="2:58" ht="16" thickBot="1" x14ac:dyDescent="0.25">
      <c r="B115" s="289"/>
      <c r="C115" s="299">
        <v>6700</v>
      </c>
      <c r="D115" s="300"/>
      <c r="E115" s="275" t="s">
        <v>12</v>
      </c>
      <c r="F115" s="302"/>
      <c r="G115" s="309"/>
      <c r="H115" s="310"/>
      <c r="I115" s="309"/>
      <c r="J115" s="310"/>
      <c r="K115" s="309"/>
      <c r="L115" s="310"/>
      <c r="M115" s="309"/>
      <c r="N115" s="310"/>
      <c r="O115" s="271"/>
      <c r="P115" s="271"/>
      <c r="Q115" s="309"/>
      <c r="R115" s="310"/>
      <c r="S115" s="309"/>
      <c r="T115" s="310"/>
      <c r="U115" s="309"/>
      <c r="V115" s="310"/>
      <c r="W115" s="309"/>
      <c r="X115" s="310"/>
      <c r="Y115" s="309"/>
      <c r="Z115" s="310"/>
      <c r="AA115" s="309"/>
      <c r="AB115" s="310"/>
      <c r="AC115" s="271"/>
      <c r="AD115" s="271"/>
      <c r="AE115" s="309"/>
      <c r="AF115" s="310"/>
      <c r="AG115" s="309"/>
      <c r="AH115" s="310"/>
      <c r="AI115" s="309"/>
      <c r="AJ115" s="310"/>
      <c r="AK115" s="309"/>
      <c r="AL115" s="310"/>
      <c r="AM115" s="309"/>
      <c r="AN115" s="310"/>
      <c r="AO115" s="309"/>
      <c r="AP115" s="310"/>
      <c r="AQ115" s="309"/>
      <c r="AR115" s="310"/>
      <c r="AS115" s="309"/>
      <c r="AT115" s="310"/>
      <c r="AU115" s="309"/>
      <c r="AV115" s="310"/>
      <c r="AW115" s="309"/>
      <c r="AX115" s="310"/>
      <c r="AY115" s="309"/>
      <c r="AZ115" s="310"/>
      <c r="BA115" s="271"/>
      <c r="BB115" s="271"/>
      <c r="BC115" s="271"/>
      <c r="BD115" s="271"/>
      <c r="BE115" s="271"/>
      <c r="BF115" s="271"/>
    </row>
    <row r="116" spans="2:58" ht="16" thickBot="1" x14ac:dyDescent="0.25">
      <c r="B116" s="289"/>
      <c r="C116" s="299"/>
      <c r="D116" s="300"/>
      <c r="E116" s="275"/>
      <c r="F116" s="302"/>
      <c r="G116" s="309"/>
      <c r="H116" s="310"/>
      <c r="I116" s="309"/>
      <c r="J116" s="310"/>
      <c r="K116" s="309"/>
      <c r="L116" s="310"/>
      <c r="M116" s="309"/>
      <c r="N116" s="310"/>
      <c r="O116" s="271"/>
      <c r="P116" s="271"/>
      <c r="Q116" s="309"/>
      <c r="R116" s="310"/>
      <c r="S116" s="309"/>
      <c r="T116" s="310"/>
      <c r="U116" s="309"/>
      <c r="V116" s="310"/>
      <c r="W116" s="309"/>
      <c r="X116" s="310"/>
      <c r="Y116" s="309"/>
      <c r="Z116" s="310"/>
      <c r="AA116" s="309"/>
      <c r="AB116" s="310"/>
      <c r="AC116" s="271"/>
      <c r="AD116" s="271"/>
      <c r="AE116" s="309"/>
      <c r="AF116" s="310"/>
      <c r="AG116" s="309"/>
      <c r="AH116" s="310"/>
      <c r="AI116" s="309"/>
      <c r="AJ116" s="310"/>
      <c r="AK116" s="309"/>
      <c r="AL116" s="310"/>
      <c r="AM116" s="309"/>
      <c r="AN116" s="310"/>
      <c r="AO116" s="309"/>
      <c r="AP116" s="310"/>
      <c r="AQ116" s="309"/>
      <c r="AR116" s="310"/>
      <c r="AS116" s="309"/>
      <c r="AT116" s="310"/>
      <c r="AU116" s="309"/>
      <c r="AV116" s="310"/>
      <c r="AW116" s="309"/>
      <c r="AX116" s="310"/>
      <c r="AY116" s="309"/>
      <c r="AZ116" s="310"/>
      <c r="BA116" s="271"/>
      <c r="BB116" s="271"/>
      <c r="BC116" s="271"/>
      <c r="BD116" s="271"/>
      <c r="BE116" s="271"/>
      <c r="BF116" s="271"/>
    </row>
    <row r="117" spans="2:58" ht="16" thickBot="1" x14ac:dyDescent="0.25">
      <c r="B117" s="289"/>
      <c r="C117" s="299"/>
      <c r="D117" s="300"/>
      <c r="E117" s="275"/>
      <c r="F117" s="302"/>
      <c r="G117" s="309"/>
      <c r="H117" s="310"/>
      <c r="I117" s="309"/>
      <c r="J117" s="310"/>
      <c r="K117" s="309"/>
      <c r="L117" s="310"/>
      <c r="M117" s="309"/>
      <c r="N117" s="310"/>
      <c r="O117" s="271"/>
      <c r="P117" s="271"/>
      <c r="Q117" s="309"/>
      <c r="R117" s="310"/>
      <c r="S117" s="309"/>
      <c r="T117" s="310"/>
      <c r="U117" s="309"/>
      <c r="V117" s="310"/>
      <c r="W117" s="309"/>
      <c r="X117" s="310"/>
      <c r="Y117" s="309"/>
      <c r="Z117" s="310"/>
      <c r="AA117" s="309"/>
      <c r="AB117" s="310"/>
      <c r="AC117" s="271"/>
      <c r="AD117" s="271"/>
      <c r="AE117" s="309"/>
      <c r="AF117" s="310"/>
      <c r="AG117" s="309"/>
      <c r="AH117" s="310"/>
      <c r="AI117" s="309"/>
      <c r="AJ117" s="310"/>
      <c r="AK117" s="309"/>
      <c r="AL117" s="310"/>
      <c r="AM117" s="309"/>
      <c r="AN117" s="310"/>
      <c r="AO117" s="309"/>
      <c r="AP117" s="310"/>
      <c r="AQ117" s="309"/>
      <c r="AR117" s="310"/>
      <c r="AS117" s="309"/>
      <c r="AT117" s="310"/>
      <c r="AU117" s="309"/>
      <c r="AV117" s="310"/>
      <c r="AW117" s="309"/>
      <c r="AX117" s="310"/>
      <c r="AY117" s="309"/>
      <c r="AZ117" s="310"/>
      <c r="BA117" s="271"/>
      <c r="BB117" s="271"/>
      <c r="BC117" s="271"/>
      <c r="BD117" s="271"/>
      <c r="BE117" s="271"/>
      <c r="BF117" s="271"/>
    </row>
    <row r="118" spans="2:58" ht="16" thickBot="1" x14ac:dyDescent="0.25">
      <c r="B118" s="289"/>
      <c r="C118" s="299"/>
      <c r="D118" s="300"/>
      <c r="E118" s="275"/>
      <c r="F118" s="302"/>
      <c r="G118" s="309"/>
      <c r="H118" s="310"/>
      <c r="I118" s="309"/>
      <c r="J118" s="310"/>
      <c r="K118" s="309"/>
      <c r="L118" s="310"/>
      <c r="M118" s="309"/>
      <c r="N118" s="310"/>
      <c r="O118" s="271"/>
      <c r="P118" s="271"/>
      <c r="Q118" s="309"/>
      <c r="R118" s="310"/>
      <c r="S118" s="309"/>
      <c r="T118" s="310"/>
      <c r="U118" s="309"/>
      <c r="V118" s="310"/>
      <c r="W118" s="309"/>
      <c r="X118" s="310"/>
      <c r="Y118" s="309"/>
      <c r="Z118" s="310"/>
      <c r="AA118" s="309"/>
      <c r="AB118" s="310"/>
      <c r="AC118" s="271"/>
      <c r="AD118" s="271"/>
      <c r="AE118" s="309"/>
      <c r="AF118" s="310"/>
      <c r="AG118" s="309"/>
      <c r="AH118" s="310"/>
      <c r="AI118" s="309"/>
      <c r="AJ118" s="310"/>
      <c r="AK118" s="309"/>
      <c r="AL118" s="310"/>
      <c r="AM118" s="309"/>
      <c r="AN118" s="310"/>
      <c r="AO118" s="309"/>
      <c r="AP118" s="310"/>
      <c r="AQ118" s="309"/>
      <c r="AR118" s="310"/>
      <c r="AS118" s="309"/>
      <c r="AT118" s="310"/>
      <c r="AU118" s="309"/>
      <c r="AV118" s="310"/>
      <c r="AW118" s="309"/>
      <c r="AX118" s="310"/>
      <c r="AY118" s="309"/>
      <c r="AZ118" s="310"/>
      <c r="BA118" s="271"/>
      <c r="BB118" s="271"/>
      <c r="BC118" s="271"/>
      <c r="BD118" s="271"/>
      <c r="BE118" s="271"/>
      <c r="BF118" s="271"/>
    </row>
    <row r="119" spans="2:58" ht="16" thickBot="1" x14ac:dyDescent="0.25">
      <c r="B119" s="289"/>
      <c r="C119" s="299"/>
      <c r="D119" s="300"/>
      <c r="E119" s="275"/>
      <c r="F119" s="302"/>
      <c r="G119" s="309"/>
      <c r="H119" s="310"/>
      <c r="I119" s="309"/>
      <c r="J119" s="310"/>
      <c r="K119" s="309"/>
      <c r="L119" s="310"/>
      <c r="M119" s="309"/>
      <c r="N119" s="310"/>
      <c r="O119" s="271"/>
      <c r="P119" s="271"/>
      <c r="Q119" s="309"/>
      <c r="R119" s="310"/>
      <c r="S119" s="309"/>
      <c r="T119" s="310"/>
      <c r="U119" s="309"/>
      <c r="V119" s="310"/>
      <c r="W119" s="309"/>
      <c r="X119" s="310"/>
      <c r="Y119" s="309"/>
      <c r="Z119" s="310"/>
      <c r="AA119" s="309"/>
      <c r="AB119" s="310"/>
      <c r="AC119" s="271"/>
      <c r="AD119" s="271"/>
      <c r="AE119" s="309"/>
      <c r="AF119" s="310"/>
      <c r="AG119" s="309"/>
      <c r="AH119" s="310"/>
      <c r="AI119" s="309"/>
      <c r="AJ119" s="310"/>
      <c r="AK119" s="309"/>
      <c r="AL119" s="310"/>
      <c r="AM119" s="309"/>
      <c r="AN119" s="310"/>
      <c r="AO119" s="309"/>
      <c r="AP119" s="310"/>
      <c r="AQ119" s="309"/>
      <c r="AR119" s="310"/>
      <c r="AS119" s="309"/>
      <c r="AT119" s="310"/>
      <c r="AU119" s="309"/>
      <c r="AV119" s="310"/>
      <c r="AW119" s="309"/>
      <c r="AX119" s="310"/>
      <c r="AY119" s="309"/>
      <c r="AZ119" s="310"/>
      <c r="BA119" s="271"/>
      <c r="BB119" s="271"/>
      <c r="BC119" s="271"/>
      <c r="BD119" s="271"/>
      <c r="BE119" s="271"/>
      <c r="BF119" s="271"/>
    </row>
    <row r="120" spans="2:58" ht="16" thickBot="1" x14ac:dyDescent="0.25">
      <c r="B120" s="288" t="s">
        <v>25</v>
      </c>
      <c r="C120" s="284"/>
      <c r="D120" s="291"/>
      <c r="E120" s="290"/>
      <c r="F120" s="293"/>
      <c r="G120" s="309"/>
      <c r="H120" s="310"/>
      <c r="I120" s="309"/>
      <c r="J120" s="310"/>
      <c r="K120" s="309"/>
      <c r="L120" s="310"/>
      <c r="M120" s="309"/>
      <c r="N120" s="310"/>
      <c r="O120" s="271"/>
      <c r="P120" s="271"/>
      <c r="Q120" s="309"/>
      <c r="R120" s="310"/>
      <c r="S120" s="309"/>
      <c r="T120" s="310"/>
      <c r="U120" s="309"/>
      <c r="V120" s="310"/>
      <c r="W120" s="309"/>
      <c r="X120" s="310"/>
      <c r="Y120" s="309"/>
      <c r="Z120" s="310"/>
      <c r="AA120" s="309"/>
      <c r="AB120" s="310"/>
      <c r="AC120" s="271"/>
      <c r="AD120" s="271"/>
      <c r="AE120" s="309"/>
      <c r="AF120" s="310"/>
      <c r="AG120" s="309"/>
      <c r="AH120" s="310"/>
      <c r="AI120" s="309"/>
      <c r="AJ120" s="310"/>
      <c r="AK120" s="309"/>
      <c r="AL120" s="310"/>
      <c r="AM120" s="309"/>
      <c r="AN120" s="310"/>
      <c r="AO120" s="309"/>
      <c r="AP120" s="310"/>
      <c r="AQ120" s="309"/>
      <c r="AR120" s="310"/>
      <c r="AS120" s="309"/>
      <c r="AT120" s="310"/>
      <c r="AU120" s="309"/>
      <c r="AV120" s="310"/>
      <c r="AW120" s="309"/>
      <c r="AX120" s="310"/>
      <c r="AY120" s="309"/>
      <c r="AZ120" s="310"/>
      <c r="BA120" s="271"/>
      <c r="BB120" s="271"/>
      <c r="BC120" s="271"/>
      <c r="BD120" s="271"/>
      <c r="BE120" s="271"/>
      <c r="BF120" s="271"/>
    </row>
    <row r="121" spans="2:58" ht="16" thickBot="1" x14ac:dyDescent="0.25">
      <c r="B121" s="668"/>
      <c r="C121" s="640">
        <f>SUM(C113:C120)</f>
        <v>10078.14</v>
      </c>
      <c r="D121" s="159"/>
      <c r="E121" s="270"/>
      <c r="F121" s="271"/>
      <c r="G121" s="309"/>
      <c r="H121" s="310"/>
      <c r="I121" s="309"/>
      <c r="J121" s="310"/>
      <c r="K121" s="309"/>
      <c r="L121" s="310"/>
      <c r="M121" s="309"/>
      <c r="N121" s="310"/>
      <c r="O121" s="271"/>
      <c r="P121" s="271"/>
      <c r="Q121" s="309"/>
      <c r="R121" s="310"/>
      <c r="S121" s="309"/>
      <c r="T121" s="310"/>
      <c r="U121" s="309"/>
      <c r="V121" s="310"/>
      <c r="W121" s="309"/>
      <c r="X121" s="310"/>
      <c r="Y121" s="309"/>
      <c r="Z121" s="310"/>
      <c r="AA121" s="309"/>
      <c r="AB121" s="310"/>
      <c r="AC121" s="271"/>
      <c r="AD121" s="271"/>
      <c r="AE121" s="309"/>
      <c r="AF121" s="310"/>
      <c r="AG121" s="309"/>
      <c r="AH121" s="310"/>
      <c r="AI121" s="309"/>
      <c r="AJ121" s="310"/>
      <c r="AK121" s="309"/>
      <c r="AL121" s="310"/>
      <c r="AM121" s="309"/>
      <c r="AN121" s="310"/>
      <c r="AO121" s="309"/>
      <c r="AP121" s="310"/>
      <c r="AQ121" s="309"/>
      <c r="AR121" s="310"/>
      <c r="AS121" s="309"/>
      <c r="AT121" s="310"/>
      <c r="AU121" s="309"/>
      <c r="AV121" s="310"/>
      <c r="AW121" s="309"/>
      <c r="AX121" s="310"/>
      <c r="AY121" s="309"/>
      <c r="AZ121" s="310"/>
      <c r="BA121" s="271"/>
      <c r="BB121" s="271"/>
      <c r="BC121" s="271"/>
      <c r="BD121" s="271"/>
      <c r="BE121" s="271"/>
      <c r="BF121" s="271"/>
    </row>
    <row r="122" spans="2:58" ht="16" thickBot="1" x14ac:dyDescent="0.25">
      <c r="B122" s="479">
        <v>45669</v>
      </c>
      <c r="C122" s="657">
        <v>1633</v>
      </c>
      <c r="D122" s="641"/>
      <c r="E122" s="274" t="s">
        <v>522</v>
      </c>
      <c r="F122" s="301"/>
      <c r="G122" s="550"/>
      <c r="H122" s="310"/>
      <c r="I122" s="309"/>
      <c r="J122" s="310"/>
      <c r="K122" s="309"/>
      <c r="L122" s="310"/>
      <c r="M122" s="309"/>
      <c r="N122" s="310"/>
      <c r="O122" s="271"/>
      <c r="P122" s="271"/>
      <c r="Q122" s="309"/>
      <c r="R122" s="310"/>
      <c r="S122" s="309"/>
      <c r="T122" s="310"/>
      <c r="U122" s="309"/>
      <c r="V122" s="310"/>
      <c r="W122" s="309"/>
      <c r="X122" s="310"/>
      <c r="Y122" s="309"/>
      <c r="Z122" s="310"/>
      <c r="AA122" s="309"/>
      <c r="AB122" s="310"/>
      <c r="AC122" s="271"/>
      <c r="AD122" s="271"/>
      <c r="AE122" s="309"/>
      <c r="AF122" s="310"/>
      <c r="AG122" s="309"/>
      <c r="AH122" s="310"/>
      <c r="AI122" s="309"/>
      <c r="AJ122" s="310"/>
      <c r="AK122" s="309"/>
      <c r="AL122" s="310"/>
      <c r="AM122" s="309"/>
      <c r="AN122" s="310"/>
      <c r="AO122" s="309"/>
      <c r="AP122" s="310"/>
      <c r="AQ122" s="309"/>
      <c r="AR122" s="310"/>
      <c r="AS122" s="309"/>
      <c r="AT122" s="310"/>
      <c r="AU122" s="309"/>
      <c r="AV122" s="310"/>
      <c r="AW122" s="309"/>
      <c r="AX122" s="310"/>
      <c r="AY122" s="309"/>
      <c r="AZ122" s="310"/>
      <c r="BA122" s="271"/>
      <c r="BB122" s="271"/>
      <c r="BC122" s="271"/>
      <c r="BD122" s="271"/>
      <c r="BE122" s="271"/>
      <c r="BF122" s="271"/>
    </row>
    <row r="123" spans="2:58" ht="16" thickBot="1" x14ac:dyDescent="0.25">
      <c r="B123" s="479"/>
      <c r="C123" s="657">
        <f>19.99+5010.59</f>
        <v>5030.58</v>
      </c>
      <c r="D123" s="657"/>
      <c r="E123" s="285"/>
      <c r="F123" s="302" t="s">
        <v>9</v>
      </c>
      <c r="G123" s="550">
        <v>10</v>
      </c>
      <c r="H123" s="310">
        <v>1399.9</v>
      </c>
      <c r="I123" s="309">
        <v>4</v>
      </c>
      <c r="J123" s="310">
        <v>411.96</v>
      </c>
      <c r="K123" s="309">
        <v>6</v>
      </c>
      <c r="L123" s="310">
        <v>1091.94</v>
      </c>
      <c r="M123" s="309">
        <v>8</v>
      </c>
      <c r="N123" s="310">
        <v>1199.92</v>
      </c>
      <c r="O123" s="271"/>
      <c r="P123" s="271"/>
      <c r="Q123" s="309"/>
      <c r="R123" s="310"/>
      <c r="S123" s="309"/>
      <c r="T123" s="310"/>
      <c r="U123" s="309"/>
      <c r="V123" s="310"/>
      <c r="W123" s="309">
        <v>6</v>
      </c>
      <c r="X123" s="310">
        <v>257.94</v>
      </c>
      <c r="Y123" s="309"/>
      <c r="Z123" s="310"/>
      <c r="AA123" s="309"/>
      <c r="AB123" s="310"/>
      <c r="AC123" s="271">
        <v>5</v>
      </c>
      <c r="AD123" s="271">
        <v>494.95</v>
      </c>
      <c r="AE123" s="309"/>
      <c r="AF123" s="310"/>
      <c r="AG123" s="309"/>
      <c r="AH123" s="310"/>
      <c r="AI123" s="309"/>
      <c r="AJ123" s="310"/>
      <c r="AK123" s="309"/>
      <c r="AL123" s="310"/>
      <c r="AM123" s="309"/>
      <c r="AN123" s="310"/>
      <c r="AO123" s="309"/>
      <c r="AP123" s="310"/>
      <c r="AQ123" s="309"/>
      <c r="AR123" s="310"/>
      <c r="AS123" s="309"/>
      <c r="AT123" s="310"/>
      <c r="AU123" s="309"/>
      <c r="AV123" s="310"/>
      <c r="AW123" s="309"/>
      <c r="AX123" s="310"/>
      <c r="AY123" s="309"/>
      <c r="AZ123" s="310"/>
      <c r="BA123" s="271">
        <v>1</v>
      </c>
      <c r="BB123" s="271">
        <v>27.99</v>
      </c>
      <c r="BC123" s="271"/>
      <c r="BD123" s="271"/>
      <c r="BE123" s="271">
        <v>1</v>
      </c>
      <c r="BF123" s="271">
        <v>75.989999999999995</v>
      </c>
    </row>
    <row r="124" spans="2:58" ht="16" thickBot="1" x14ac:dyDescent="0.25">
      <c r="B124" s="479"/>
      <c r="C124" s="657">
        <v>494.83</v>
      </c>
      <c r="D124" s="657"/>
      <c r="E124" s="285"/>
      <c r="F124" s="302" t="s">
        <v>14</v>
      </c>
      <c r="G124" s="550"/>
      <c r="H124" s="310"/>
      <c r="I124" s="309"/>
      <c r="J124" s="310"/>
      <c r="K124" s="309"/>
      <c r="L124" s="310"/>
      <c r="M124" s="309"/>
      <c r="N124" s="310"/>
      <c r="O124" s="271"/>
      <c r="P124" s="271"/>
      <c r="Q124" s="309"/>
      <c r="R124" s="310"/>
      <c r="S124" s="309"/>
      <c r="T124" s="310"/>
      <c r="U124" s="309"/>
      <c r="V124" s="310"/>
      <c r="W124" s="309"/>
      <c r="X124" s="310"/>
      <c r="Y124" s="309"/>
      <c r="Z124" s="310"/>
      <c r="AA124" s="309"/>
      <c r="AB124" s="310"/>
      <c r="AC124" s="271"/>
      <c r="AD124" s="271"/>
      <c r="AE124" s="309">
        <v>16</v>
      </c>
      <c r="AF124" s="310">
        <v>479.84</v>
      </c>
      <c r="AG124" s="309"/>
      <c r="AH124" s="310"/>
      <c r="AI124" s="309"/>
      <c r="AJ124" s="310"/>
      <c r="AK124" s="309"/>
      <c r="AL124" s="310"/>
      <c r="AM124" s="309"/>
      <c r="AN124" s="310"/>
      <c r="AO124" s="309"/>
      <c r="AP124" s="310"/>
      <c r="AQ124" s="309"/>
      <c r="AR124" s="310"/>
      <c r="AS124" s="309"/>
      <c r="AT124" s="310"/>
      <c r="AU124" s="309"/>
      <c r="AV124" s="310"/>
      <c r="AW124" s="309"/>
      <c r="AX124" s="310"/>
      <c r="AY124" s="309"/>
      <c r="AZ124" s="310"/>
      <c r="BA124" s="271"/>
      <c r="BB124" s="271"/>
      <c r="BC124" s="271"/>
      <c r="BD124" s="271"/>
      <c r="BE124" s="271"/>
      <c r="BF124" s="271"/>
    </row>
    <row r="125" spans="2:58" ht="16" thickBot="1" x14ac:dyDescent="0.25">
      <c r="B125" s="479"/>
      <c r="C125" s="657"/>
      <c r="D125" s="657"/>
      <c r="E125" s="285"/>
      <c r="F125" s="302"/>
      <c r="G125" s="550"/>
      <c r="H125" s="310"/>
      <c r="I125" s="309"/>
      <c r="J125" s="310"/>
      <c r="K125" s="309"/>
      <c r="L125" s="310"/>
      <c r="M125" s="309"/>
      <c r="N125" s="310"/>
      <c r="O125" s="271"/>
      <c r="P125" s="271"/>
      <c r="Q125" s="309"/>
      <c r="R125" s="310"/>
      <c r="S125" s="309"/>
      <c r="T125" s="310"/>
      <c r="U125" s="309"/>
      <c r="V125" s="310"/>
      <c r="W125" s="309"/>
      <c r="X125" s="310"/>
      <c r="Y125" s="309"/>
      <c r="Z125" s="310"/>
      <c r="AA125" s="309"/>
      <c r="AB125" s="310"/>
      <c r="AC125" s="271"/>
      <c r="AD125" s="271"/>
      <c r="AE125" s="309"/>
      <c r="AF125" s="310"/>
      <c r="AG125" s="309"/>
      <c r="AH125" s="310"/>
      <c r="AI125" s="309"/>
      <c r="AJ125" s="310"/>
      <c r="AK125" s="309"/>
      <c r="AL125" s="310"/>
      <c r="AM125" s="309"/>
      <c r="AN125" s="310"/>
      <c r="AO125" s="309"/>
      <c r="AP125" s="310"/>
      <c r="AQ125" s="309"/>
      <c r="AR125" s="310"/>
      <c r="AS125" s="309"/>
      <c r="AT125" s="310"/>
      <c r="AU125" s="309"/>
      <c r="AV125" s="310"/>
      <c r="AW125" s="309"/>
      <c r="AX125" s="310"/>
      <c r="AY125" s="309"/>
      <c r="AZ125" s="310"/>
      <c r="BA125" s="271"/>
      <c r="BB125" s="271"/>
      <c r="BC125" s="271"/>
      <c r="BD125" s="271"/>
      <c r="BE125" s="271"/>
      <c r="BF125" s="271"/>
    </row>
    <row r="126" spans="2:58" ht="16" thickBot="1" x14ac:dyDescent="0.25">
      <c r="B126" s="479"/>
      <c r="C126" s="657"/>
      <c r="D126" s="657"/>
      <c r="E126" s="285"/>
      <c r="F126" s="302"/>
      <c r="G126" s="550"/>
      <c r="H126" s="310"/>
      <c r="I126" s="309"/>
      <c r="J126" s="310"/>
      <c r="K126" s="309"/>
      <c r="L126" s="310"/>
      <c r="M126" s="309"/>
      <c r="N126" s="310"/>
      <c r="O126" s="271"/>
      <c r="P126" s="271"/>
      <c r="Q126" s="309"/>
      <c r="R126" s="310"/>
      <c r="S126" s="309"/>
      <c r="T126" s="310"/>
      <c r="U126" s="309"/>
      <c r="V126" s="310"/>
      <c r="W126" s="309"/>
      <c r="X126" s="310"/>
      <c r="Y126" s="309"/>
      <c r="Z126" s="310"/>
      <c r="AA126" s="309"/>
      <c r="AB126" s="310"/>
      <c r="AC126" s="271"/>
      <c r="AD126" s="271"/>
      <c r="AE126" s="309"/>
      <c r="AF126" s="310"/>
      <c r="AG126" s="309"/>
      <c r="AH126" s="310"/>
      <c r="AI126" s="309"/>
      <c r="AJ126" s="310"/>
      <c r="AK126" s="309"/>
      <c r="AL126" s="310"/>
      <c r="AM126" s="309"/>
      <c r="AN126" s="310"/>
      <c r="AO126" s="309"/>
      <c r="AP126" s="310"/>
      <c r="AQ126" s="309"/>
      <c r="AR126" s="310"/>
      <c r="AS126" s="309"/>
      <c r="AT126" s="310"/>
      <c r="AU126" s="309"/>
      <c r="AV126" s="310"/>
      <c r="AW126" s="309"/>
      <c r="AX126" s="310"/>
      <c r="AY126" s="309"/>
      <c r="AZ126" s="310"/>
      <c r="BA126" s="271"/>
      <c r="BB126" s="271"/>
      <c r="BC126" s="271"/>
      <c r="BD126" s="271"/>
      <c r="BE126" s="271"/>
      <c r="BF126" s="271"/>
    </row>
    <row r="127" spans="2:58" ht="16" thickBot="1" x14ac:dyDescent="0.25">
      <c r="B127" s="479"/>
      <c r="C127" s="657"/>
      <c r="D127" s="657"/>
      <c r="E127" s="285"/>
      <c r="F127" s="302"/>
      <c r="G127" s="550"/>
      <c r="H127" s="310"/>
      <c r="I127" s="309"/>
      <c r="J127" s="310"/>
      <c r="K127" s="309"/>
      <c r="L127" s="310"/>
      <c r="M127" s="309"/>
      <c r="N127" s="310"/>
      <c r="O127" s="271"/>
      <c r="P127" s="271"/>
      <c r="Q127" s="309"/>
      <c r="R127" s="310"/>
      <c r="S127" s="309"/>
      <c r="T127" s="310"/>
      <c r="U127" s="309"/>
      <c r="V127" s="310"/>
      <c r="W127" s="309"/>
      <c r="X127" s="310"/>
      <c r="Y127" s="309"/>
      <c r="Z127" s="310"/>
      <c r="AA127" s="309"/>
      <c r="AB127" s="310"/>
      <c r="AC127" s="271"/>
      <c r="AD127" s="271"/>
      <c r="AE127" s="309"/>
      <c r="AF127" s="310"/>
      <c r="AG127" s="309"/>
      <c r="AH127" s="310"/>
      <c r="AI127" s="309"/>
      <c r="AJ127" s="310"/>
      <c r="AK127" s="309"/>
      <c r="AL127" s="310"/>
      <c r="AM127" s="309"/>
      <c r="AN127" s="310"/>
      <c r="AO127" s="309"/>
      <c r="AP127" s="310"/>
      <c r="AQ127" s="309"/>
      <c r="AR127" s="310"/>
      <c r="AS127" s="309"/>
      <c r="AT127" s="310"/>
      <c r="AU127" s="309"/>
      <c r="AV127" s="310"/>
      <c r="AW127" s="309"/>
      <c r="AX127" s="310"/>
      <c r="AY127" s="309"/>
      <c r="AZ127" s="310"/>
      <c r="BA127" s="271"/>
      <c r="BB127" s="271"/>
      <c r="BC127" s="271"/>
      <c r="BD127" s="271"/>
      <c r="BE127" s="271"/>
      <c r="BF127" s="271"/>
    </row>
    <row r="128" spans="2:58" ht="16" thickBot="1" x14ac:dyDescent="0.25">
      <c r="B128" s="549" t="s">
        <v>26</v>
      </c>
      <c r="C128" s="554"/>
      <c r="D128" s="291"/>
      <c r="E128" s="290"/>
      <c r="F128" s="293"/>
      <c r="G128" s="550"/>
      <c r="H128" s="310"/>
      <c r="I128" s="309"/>
      <c r="J128" s="310"/>
      <c r="K128" s="309"/>
      <c r="L128" s="310"/>
      <c r="M128" s="309"/>
      <c r="N128" s="310"/>
      <c r="O128" s="271"/>
      <c r="P128" s="271"/>
      <c r="Q128" s="309"/>
      <c r="R128" s="310"/>
      <c r="S128" s="309"/>
      <c r="T128" s="310"/>
      <c r="U128" s="309"/>
      <c r="V128" s="310"/>
      <c r="W128" s="309"/>
      <c r="X128" s="310"/>
      <c r="Y128" s="309"/>
      <c r="Z128" s="310"/>
      <c r="AA128" s="309"/>
      <c r="AB128" s="310"/>
      <c r="AC128" s="271"/>
      <c r="AD128" s="271"/>
      <c r="AE128" s="309"/>
      <c r="AF128" s="310"/>
      <c r="AG128" s="309"/>
      <c r="AH128" s="310"/>
      <c r="AI128" s="309"/>
      <c r="AJ128" s="310"/>
      <c r="AK128" s="309"/>
      <c r="AL128" s="310"/>
      <c r="AM128" s="309"/>
      <c r="AN128" s="310"/>
      <c r="AO128" s="309"/>
      <c r="AP128" s="310"/>
      <c r="AQ128" s="309"/>
      <c r="AR128" s="310"/>
      <c r="AS128" s="309"/>
      <c r="AT128" s="310"/>
      <c r="AU128" s="309"/>
      <c r="AV128" s="310"/>
      <c r="AW128" s="309"/>
      <c r="AX128" s="310"/>
      <c r="AY128" s="309"/>
      <c r="AZ128" s="310"/>
      <c r="BA128" s="271"/>
      <c r="BB128" s="271"/>
      <c r="BC128" s="271"/>
      <c r="BD128" s="271"/>
      <c r="BE128" s="271"/>
      <c r="BF128" s="271"/>
    </row>
    <row r="129" spans="2:58" ht="16" thickBot="1" x14ac:dyDescent="0.25">
      <c r="B129" s="292"/>
      <c r="C129" s="551">
        <f>SUM(C122:C128)</f>
        <v>7158.41</v>
      </c>
      <c r="D129" s="551"/>
      <c r="E129" s="552"/>
      <c r="F129" s="553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309"/>
      <c r="AF129" s="310"/>
      <c r="AG129" s="309"/>
      <c r="AH129" s="310"/>
      <c r="AI129" s="309"/>
      <c r="AJ129" s="310"/>
      <c r="AK129" s="309"/>
      <c r="AL129" s="310"/>
      <c r="AM129" s="309"/>
      <c r="AN129" s="310"/>
      <c r="AO129" s="309"/>
      <c r="AP129" s="310"/>
      <c r="AQ129" s="309"/>
      <c r="AR129" s="310"/>
      <c r="AS129" s="309"/>
      <c r="AT129" s="310"/>
      <c r="AU129" s="309"/>
      <c r="AV129" s="310"/>
      <c r="AW129" s="309"/>
      <c r="AX129" s="310"/>
      <c r="AY129" s="309"/>
      <c r="AZ129" s="310"/>
      <c r="BA129" s="271"/>
      <c r="BB129" s="271"/>
      <c r="BC129" s="271"/>
      <c r="BD129" s="271"/>
      <c r="BE129" s="271"/>
      <c r="BF129" s="271"/>
    </row>
    <row r="130" spans="2:58" ht="16" thickBot="1" x14ac:dyDescent="0.25">
      <c r="B130" s="761" t="s">
        <v>329</v>
      </c>
      <c r="C130" s="311"/>
      <c r="D130" s="312"/>
      <c r="E130" s="285"/>
      <c r="F130" s="302"/>
      <c r="G130" s="306">
        <f t="shared" ref="G130:AD130" si="2">SUM(G81:G128)</f>
        <v>28</v>
      </c>
      <c r="H130" s="307">
        <f t="shared" si="2"/>
        <v>3865.7200000000003</v>
      </c>
      <c r="I130" s="306">
        <f t="shared" si="2"/>
        <v>16</v>
      </c>
      <c r="J130" s="307">
        <f t="shared" si="2"/>
        <v>1647.8400000000001</v>
      </c>
      <c r="K130" s="306">
        <f t="shared" si="2"/>
        <v>22</v>
      </c>
      <c r="L130" s="307">
        <f t="shared" si="2"/>
        <v>4003.78</v>
      </c>
      <c r="M130" s="306">
        <f t="shared" si="2"/>
        <v>30</v>
      </c>
      <c r="N130" s="307">
        <f t="shared" si="2"/>
        <v>4389.7000000000007</v>
      </c>
      <c r="O130" s="308">
        <f t="shared" si="2"/>
        <v>10</v>
      </c>
      <c r="P130" s="308">
        <f t="shared" si="2"/>
        <v>6000</v>
      </c>
      <c r="Q130" s="306">
        <f t="shared" si="2"/>
        <v>2</v>
      </c>
      <c r="R130" s="307">
        <f t="shared" si="2"/>
        <v>269.98</v>
      </c>
      <c r="S130" s="306">
        <f t="shared" si="2"/>
        <v>6</v>
      </c>
      <c r="T130" s="307">
        <f t="shared" si="2"/>
        <v>4899</v>
      </c>
      <c r="U130" s="306">
        <f t="shared" si="2"/>
        <v>25</v>
      </c>
      <c r="V130" s="307">
        <f t="shared" si="2"/>
        <v>13225</v>
      </c>
      <c r="W130" s="306">
        <f t="shared" si="2"/>
        <v>17</v>
      </c>
      <c r="X130" s="307">
        <f t="shared" si="2"/>
        <v>989.82999999999993</v>
      </c>
      <c r="Y130" s="306">
        <f t="shared" si="2"/>
        <v>0</v>
      </c>
      <c r="Z130" s="307">
        <f t="shared" si="2"/>
        <v>0</v>
      </c>
      <c r="AA130" s="306">
        <f t="shared" si="2"/>
        <v>2</v>
      </c>
      <c r="AB130" s="307">
        <f t="shared" si="2"/>
        <v>8050</v>
      </c>
      <c r="AC130" s="308">
        <f t="shared" si="2"/>
        <v>11</v>
      </c>
      <c r="AD130" s="308">
        <f t="shared" si="2"/>
        <v>1084.8899999999999</v>
      </c>
      <c r="AE130" s="306">
        <f t="shared" ref="AE130:BF130" si="3">SUM(AE81:AE129)</f>
        <v>26</v>
      </c>
      <c r="AF130" s="307">
        <f t="shared" si="3"/>
        <v>779.74</v>
      </c>
      <c r="AG130" s="306">
        <f t="shared" si="3"/>
        <v>0</v>
      </c>
      <c r="AH130" s="307">
        <f t="shared" si="3"/>
        <v>0</v>
      </c>
      <c r="AI130" s="306">
        <f t="shared" si="3"/>
        <v>0</v>
      </c>
      <c r="AJ130" s="307">
        <f t="shared" si="3"/>
        <v>0</v>
      </c>
      <c r="AK130" s="306">
        <f t="shared" si="3"/>
        <v>0</v>
      </c>
      <c r="AL130" s="307">
        <f t="shared" si="3"/>
        <v>0</v>
      </c>
      <c r="AM130" s="306">
        <f t="shared" si="3"/>
        <v>0</v>
      </c>
      <c r="AN130" s="307">
        <f t="shared" si="3"/>
        <v>0</v>
      </c>
      <c r="AO130" s="306">
        <f t="shared" si="3"/>
        <v>0</v>
      </c>
      <c r="AP130" s="307">
        <f t="shared" si="3"/>
        <v>0</v>
      </c>
      <c r="AQ130" s="306">
        <f t="shared" si="3"/>
        <v>0</v>
      </c>
      <c r="AR130" s="307">
        <f t="shared" si="3"/>
        <v>0</v>
      </c>
      <c r="AS130" s="306">
        <f t="shared" si="3"/>
        <v>0</v>
      </c>
      <c r="AT130" s="307">
        <f t="shared" si="3"/>
        <v>0</v>
      </c>
      <c r="AU130" s="306">
        <f t="shared" si="3"/>
        <v>0</v>
      </c>
      <c r="AV130" s="307">
        <f t="shared" si="3"/>
        <v>0</v>
      </c>
      <c r="AW130" s="306">
        <f t="shared" si="3"/>
        <v>15</v>
      </c>
      <c r="AX130" s="307">
        <f t="shared" si="3"/>
        <v>4578.83</v>
      </c>
      <c r="AY130" s="306">
        <f t="shared" si="3"/>
        <v>15</v>
      </c>
      <c r="AZ130" s="307">
        <f t="shared" si="3"/>
        <v>3008.42</v>
      </c>
      <c r="BA130" s="306">
        <f t="shared" si="3"/>
        <v>3</v>
      </c>
      <c r="BB130" s="307">
        <f t="shared" si="3"/>
        <v>83.97</v>
      </c>
      <c r="BC130" s="306">
        <f t="shared" si="3"/>
        <v>0</v>
      </c>
      <c r="BD130" s="307">
        <f t="shared" si="3"/>
        <v>0</v>
      </c>
      <c r="BE130" s="306">
        <f t="shared" si="3"/>
        <v>3</v>
      </c>
      <c r="BF130" s="307">
        <f t="shared" si="3"/>
        <v>191.97</v>
      </c>
    </row>
    <row r="131" spans="2:58" ht="16" thickBot="1" x14ac:dyDescent="0.25">
      <c r="B131" s="762"/>
      <c r="C131" s="160">
        <f>SUM(C129,C121,C112,C105,C94,C91,C81)</f>
        <v>109137.9</v>
      </c>
      <c r="D131" s="160"/>
      <c r="E131" s="304"/>
      <c r="F131" s="294"/>
      <c r="G131" s="752" t="s">
        <v>29</v>
      </c>
      <c r="H131" s="752"/>
      <c r="I131" s="752" t="s">
        <v>30</v>
      </c>
      <c r="J131" s="752"/>
      <c r="K131" s="752" t="s">
        <v>31</v>
      </c>
      <c r="L131" s="752"/>
      <c r="M131" s="752" t="s">
        <v>32</v>
      </c>
      <c r="N131" s="752"/>
      <c r="O131" s="752" t="s">
        <v>33</v>
      </c>
      <c r="P131" s="752"/>
      <c r="Q131" s="752" t="s">
        <v>247</v>
      </c>
      <c r="R131" s="752"/>
      <c r="S131" s="752" t="s">
        <v>34</v>
      </c>
      <c r="T131" s="752"/>
      <c r="U131" s="752" t="s">
        <v>35</v>
      </c>
      <c r="V131" s="752"/>
      <c r="W131" s="752" t="s">
        <v>36</v>
      </c>
      <c r="X131" s="752"/>
      <c r="Y131" s="752" t="s">
        <v>37</v>
      </c>
      <c r="Z131" s="752"/>
      <c r="AA131" s="752" t="s">
        <v>38</v>
      </c>
      <c r="AB131" s="752"/>
      <c r="AC131" s="752" t="s">
        <v>39</v>
      </c>
      <c r="AD131" s="752"/>
      <c r="AE131" s="752" t="s">
        <v>40</v>
      </c>
      <c r="AF131" s="752"/>
      <c r="AG131" s="752" t="s">
        <v>41</v>
      </c>
      <c r="AH131" s="752"/>
      <c r="AI131" s="752" t="s">
        <v>42</v>
      </c>
      <c r="AJ131" s="752"/>
      <c r="AK131" s="752" t="s">
        <v>43</v>
      </c>
      <c r="AL131" s="752"/>
      <c r="AM131" s="752" t="s">
        <v>157</v>
      </c>
      <c r="AN131" s="752"/>
      <c r="AO131" s="752" t="s">
        <v>248</v>
      </c>
      <c r="AP131" s="752"/>
      <c r="AQ131" s="752" t="s">
        <v>249</v>
      </c>
      <c r="AR131" s="752"/>
      <c r="AS131" s="752" t="s">
        <v>150</v>
      </c>
      <c r="AT131" s="752"/>
      <c r="AU131" s="752" t="s">
        <v>151</v>
      </c>
      <c r="AV131" s="752"/>
      <c r="AW131" s="752" t="s">
        <v>44</v>
      </c>
      <c r="AX131" s="752"/>
      <c r="AY131" s="752" t="s">
        <v>250</v>
      </c>
      <c r="AZ131" s="752"/>
      <c r="BA131" s="752" t="s">
        <v>45</v>
      </c>
      <c r="BB131" s="752"/>
      <c r="BC131" s="752" t="s">
        <v>46</v>
      </c>
      <c r="BD131" s="752"/>
      <c r="BE131" s="752" t="s">
        <v>92</v>
      </c>
      <c r="BF131" s="752"/>
    </row>
    <row r="132" spans="2:58" ht="16" thickBot="1" x14ac:dyDescent="0.25">
      <c r="B132" s="282"/>
      <c r="C132" s="285"/>
      <c r="D132" s="275"/>
      <c r="E132" s="284"/>
      <c r="F132" s="293"/>
      <c r="G132" s="752" t="s">
        <v>50</v>
      </c>
      <c r="H132" s="752"/>
      <c r="I132" s="752" t="s">
        <v>51</v>
      </c>
      <c r="J132" s="752"/>
      <c r="K132" s="752" t="s">
        <v>51</v>
      </c>
      <c r="L132" s="752"/>
      <c r="M132" s="752" t="s">
        <v>52</v>
      </c>
      <c r="N132" s="752"/>
      <c r="O132" s="752">
        <v>180</v>
      </c>
      <c r="P132" s="752"/>
      <c r="Q132" s="752" t="s">
        <v>53</v>
      </c>
      <c r="R132" s="752"/>
      <c r="S132" s="752" t="s">
        <v>54</v>
      </c>
      <c r="T132" s="752"/>
      <c r="U132" s="752" t="s">
        <v>54</v>
      </c>
      <c r="V132" s="752"/>
      <c r="W132" s="752" t="s">
        <v>55</v>
      </c>
      <c r="X132" s="752"/>
      <c r="Y132" s="752" t="s">
        <v>54</v>
      </c>
      <c r="Z132" s="752"/>
      <c r="AA132" s="752" t="s">
        <v>54</v>
      </c>
      <c r="AB132" s="752"/>
      <c r="AC132" s="752" t="s">
        <v>56</v>
      </c>
      <c r="AD132" s="752"/>
      <c r="AE132" s="752" t="s">
        <v>57</v>
      </c>
      <c r="AF132" s="752"/>
      <c r="AG132" s="752" t="s">
        <v>57</v>
      </c>
      <c r="AH132" s="752"/>
      <c r="AI132" s="752" t="s">
        <v>58</v>
      </c>
      <c r="AJ132" s="752"/>
      <c r="AK132" s="752" t="s">
        <v>300</v>
      </c>
      <c r="AL132" s="752"/>
      <c r="AM132" s="752" t="s">
        <v>301</v>
      </c>
      <c r="AN132" s="752"/>
      <c r="AO132" s="752">
        <v>20</v>
      </c>
      <c r="AP132" s="752"/>
      <c r="AQ132" s="752">
        <v>20</v>
      </c>
      <c r="AR132" s="752"/>
      <c r="AS132" s="752" t="s">
        <v>57</v>
      </c>
      <c r="AT132" s="752"/>
      <c r="AU132" s="752" t="s">
        <v>302</v>
      </c>
      <c r="AV132" s="752"/>
      <c r="AW132" s="752">
        <v>100</v>
      </c>
      <c r="AX132" s="752"/>
      <c r="AY132" s="752">
        <v>100</v>
      </c>
      <c r="AZ132" s="752"/>
      <c r="BA132" s="752" t="s">
        <v>59</v>
      </c>
      <c r="BB132" s="752"/>
      <c r="BC132" s="752" t="s">
        <v>51</v>
      </c>
      <c r="BD132" s="752"/>
      <c r="BE132" s="752" t="s">
        <v>53</v>
      </c>
      <c r="BF132" s="752"/>
    </row>
    <row r="133" spans="2:58" ht="16" thickBot="1" x14ac:dyDescent="0.25">
      <c r="B133" s="162"/>
      <c r="C133" s="286"/>
      <c r="D133" s="273"/>
      <c r="E133" s="280"/>
      <c r="F133" s="305"/>
      <c r="G133" s="752">
        <v>151</v>
      </c>
      <c r="H133" s="752"/>
      <c r="I133" s="752">
        <v>167.99</v>
      </c>
      <c r="J133" s="752"/>
      <c r="K133" s="752">
        <v>144.99</v>
      </c>
      <c r="L133" s="752"/>
      <c r="M133" s="760">
        <v>169.99</v>
      </c>
      <c r="N133" s="760"/>
      <c r="O133" s="760">
        <v>274.99</v>
      </c>
      <c r="P133" s="760"/>
      <c r="Q133" s="760">
        <v>102.99</v>
      </c>
      <c r="R133" s="760"/>
      <c r="S133" s="752">
        <v>910.5</v>
      </c>
      <c r="T133" s="752"/>
      <c r="U133" s="752">
        <v>460.75</v>
      </c>
      <c r="V133" s="752"/>
      <c r="W133" s="752">
        <v>1048.95</v>
      </c>
      <c r="X133" s="752"/>
      <c r="Y133" s="752">
        <v>772.8</v>
      </c>
      <c r="Z133" s="752"/>
      <c r="AA133" s="752">
        <v>3450</v>
      </c>
      <c r="AB133" s="752"/>
      <c r="AC133" s="760">
        <v>89.99</v>
      </c>
      <c r="AD133" s="760"/>
      <c r="AE133" s="752">
        <v>39.99</v>
      </c>
      <c r="AF133" s="752"/>
      <c r="AG133" s="752">
        <v>498</v>
      </c>
      <c r="AH133" s="752"/>
      <c r="AI133" s="752">
        <v>4.99</v>
      </c>
      <c r="AJ133" s="752"/>
      <c r="AK133" s="752">
        <v>132.25</v>
      </c>
      <c r="AL133" s="752"/>
      <c r="AM133" s="752">
        <v>47.99</v>
      </c>
      <c r="AN133" s="752"/>
      <c r="AO133" s="752">
        <v>560</v>
      </c>
      <c r="AP133" s="752"/>
      <c r="AQ133" s="752">
        <v>560</v>
      </c>
      <c r="AR133" s="752"/>
      <c r="AS133" s="752">
        <v>613.5</v>
      </c>
      <c r="AT133" s="752"/>
      <c r="AU133" s="752">
        <v>313.89999999999998</v>
      </c>
      <c r="AV133" s="752"/>
      <c r="AW133" s="752">
        <v>405.8</v>
      </c>
      <c r="AX133" s="752"/>
      <c r="AY133" s="752">
        <v>218.99</v>
      </c>
      <c r="AZ133" s="752"/>
      <c r="BA133" s="752">
        <v>24.99</v>
      </c>
      <c r="BB133" s="752"/>
      <c r="BC133" s="752">
        <v>1425</v>
      </c>
      <c r="BD133" s="752"/>
      <c r="BE133" s="752">
        <v>54.99</v>
      </c>
      <c r="BF133" s="752"/>
    </row>
    <row r="134" spans="2:58" ht="16" thickBot="1" x14ac:dyDescent="0.25">
      <c r="B134" s="162"/>
      <c r="C134" s="753" t="str">
        <f>L134</f>
        <v>6 - 12 JANUARY 2025</v>
      </c>
      <c r="D134" s="754"/>
      <c r="E134" s="754"/>
      <c r="F134" s="754"/>
      <c r="G134" s="755"/>
      <c r="H134" s="756"/>
      <c r="I134" s="163"/>
      <c r="J134" s="157"/>
      <c r="K134" s="157"/>
      <c r="L134" s="757" t="str">
        <f>AL134</f>
        <v>6 - 12 JANUARY 2025</v>
      </c>
      <c r="M134" s="755"/>
      <c r="N134" s="755"/>
      <c r="O134" s="755"/>
      <c r="P134" s="755"/>
      <c r="Q134" s="755"/>
      <c r="R134" s="755"/>
      <c r="S134" s="755"/>
      <c r="T134" s="756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758"/>
      <c r="AH134" s="758"/>
      <c r="AI134" s="164"/>
      <c r="AJ134" s="157"/>
      <c r="AK134" s="157"/>
      <c r="AL134" s="759" t="str">
        <f>AW134</f>
        <v>6 - 12 JANUARY 2025</v>
      </c>
      <c r="AM134" s="759"/>
      <c r="AN134" s="759"/>
      <c r="AO134" s="759"/>
      <c r="AP134" s="157"/>
      <c r="AQ134" s="157"/>
      <c r="AR134" s="157"/>
      <c r="AS134" s="157"/>
      <c r="AT134" s="157"/>
      <c r="AU134" s="157"/>
      <c r="AV134" s="157"/>
      <c r="AW134" s="757" t="str">
        <f>AW66</f>
        <v>6 - 12 JANUARY 2025</v>
      </c>
      <c r="AX134" s="755" t="s">
        <v>28</v>
      </c>
      <c r="AY134" s="755"/>
      <c r="AZ134" s="755"/>
      <c r="BA134" s="755"/>
      <c r="BB134" s="755"/>
      <c r="BC134" s="755"/>
      <c r="BD134" s="756"/>
      <c r="BE134" s="157"/>
      <c r="BF134" s="157"/>
    </row>
    <row r="135" spans="2:58" ht="16" thickBot="1" x14ac:dyDescent="0.25"/>
    <row r="136" spans="2:58" ht="16" thickBot="1" x14ac:dyDescent="0.25">
      <c r="B136" s="156" t="s">
        <v>27</v>
      </c>
      <c r="C136" s="753" t="s">
        <v>527</v>
      </c>
      <c r="D136" s="754"/>
      <c r="E136" s="754"/>
      <c r="F136" s="754"/>
      <c r="G136" s="763"/>
      <c r="H136" s="764"/>
      <c r="I136" s="163"/>
      <c r="J136" s="157"/>
      <c r="K136" s="157"/>
      <c r="L136" s="765" t="str">
        <f>C136</f>
        <v>13 - 19 JANUARY 2025</v>
      </c>
      <c r="M136" s="763"/>
      <c r="N136" s="763"/>
      <c r="O136" s="763"/>
      <c r="P136" s="763"/>
      <c r="Q136" s="763"/>
      <c r="R136" s="763"/>
      <c r="S136" s="763"/>
      <c r="T136" s="764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766"/>
      <c r="AH136" s="766"/>
      <c r="AI136" s="753" t="str">
        <f>L136</f>
        <v>13 - 19 JANUARY 2025</v>
      </c>
      <c r="AJ136" s="754"/>
      <c r="AK136" s="754"/>
      <c r="AL136" s="754"/>
      <c r="AM136" s="754"/>
      <c r="AN136" s="754"/>
      <c r="AO136" s="767"/>
      <c r="AP136" s="157"/>
      <c r="AQ136" s="157"/>
      <c r="AR136" s="157"/>
      <c r="AS136" s="157"/>
      <c r="AT136" s="157"/>
      <c r="AU136" s="157"/>
      <c r="AV136" s="157"/>
      <c r="AW136" s="765" t="str">
        <f>AI136</f>
        <v>13 - 19 JANUARY 2025</v>
      </c>
      <c r="AX136" s="763" t="s">
        <v>28</v>
      </c>
      <c r="AY136" s="763"/>
      <c r="AZ136" s="763"/>
      <c r="BA136" s="763"/>
      <c r="BB136" s="763"/>
      <c r="BC136" s="763"/>
      <c r="BD136" s="764"/>
      <c r="BE136" s="157"/>
      <c r="BF136" s="157"/>
    </row>
    <row r="137" spans="2:58" ht="16" thickBot="1" x14ac:dyDescent="0.25">
      <c r="B137" s="158"/>
      <c r="C137" s="161"/>
      <c r="D137" s="161"/>
      <c r="E137" s="157"/>
      <c r="F137" s="157"/>
      <c r="G137" s="752" t="s">
        <v>29</v>
      </c>
      <c r="H137" s="752"/>
      <c r="I137" s="752" t="s">
        <v>30</v>
      </c>
      <c r="J137" s="752"/>
      <c r="K137" s="752" t="s">
        <v>31</v>
      </c>
      <c r="L137" s="752"/>
      <c r="M137" s="752" t="s">
        <v>32</v>
      </c>
      <c r="N137" s="752"/>
      <c r="O137" s="752" t="s">
        <v>33</v>
      </c>
      <c r="P137" s="752"/>
      <c r="Q137" s="752" t="s">
        <v>247</v>
      </c>
      <c r="R137" s="752"/>
      <c r="S137" s="752" t="s">
        <v>34</v>
      </c>
      <c r="T137" s="752"/>
      <c r="U137" s="752" t="s">
        <v>35</v>
      </c>
      <c r="V137" s="752"/>
      <c r="W137" s="752" t="s">
        <v>36</v>
      </c>
      <c r="X137" s="752"/>
      <c r="Y137" s="752" t="s">
        <v>37</v>
      </c>
      <c r="Z137" s="752"/>
      <c r="AA137" s="752" t="s">
        <v>38</v>
      </c>
      <c r="AB137" s="752"/>
      <c r="AC137" s="752" t="s">
        <v>39</v>
      </c>
      <c r="AD137" s="752"/>
      <c r="AE137" s="752" t="s">
        <v>40</v>
      </c>
      <c r="AF137" s="752"/>
      <c r="AG137" s="752" t="s">
        <v>41</v>
      </c>
      <c r="AH137" s="752"/>
      <c r="AI137" s="752" t="s">
        <v>42</v>
      </c>
      <c r="AJ137" s="752"/>
      <c r="AK137" s="752" t="s">
        <v>43</v>
      </c>
      <c r="AL137" s="752"/>
      <c r="AM137" s="752" t="s">
        <v>157</v>
      </c>
      <c r="AN137" s="752"/>
      <c r="AO137" s="752" t="s">
        <v>248</v>
      </c>
      <c r="AP137" s="752"/>
      <c r="AQ137" s="752" t="s">
        <v>249</v>
      </c>
      <c r="AR137" s="752"/>
      <c r="AS137" s="752" t="s">
        <v>150</v>
      </c>
      <c r="AT137" s="752"/>
      <c r="AU137" s="752" t="s">
        <v>151</v>
      </c>
      <c r="AV137" s="752"/>
      <c r="AW137" s="752" t="s">
        <v>44</v>
      </c>
      <c r="AX137" s="752"/>
      <c r="AY137" s="752" t="s">
        <v>250</v>
      </c>
      <c r="AZ137" s="752"/>
      <c r="BA137" s="752" t="s">
        <v>45</v>
      </c>
      <c r="BB137" s="752"/>
      <c r="BC137" s="752" t="s">
        <v>46</v>
      </c>
      <c r="BD137" s="752"/>
      <c r="BE137" s="752" t="s">
        <v>92</v>
      </c>
      <c r="BF137" s="752"/>
    </row>
    <row r="138" spans="2:58" ht="16" thickBot="1" x14ac:dyDescent="0.25">
      <c r="B138" s="156" t="s">
        <v>47</v>
      </c>
      <c r="C138" s="156" t="s">
        <v>48</v>
      </c>
      <c r="D138" s="283"/>
      <c r="E138" s="271"/>
      <c r="F138" s="271" t="s">
        <v>49</v>
      </c>
      <c r="G138" s="752" t="s">
        <v>50</v>
      </c>
      <c r="H138" s="752"/>
      <c r="I138" s="752" t="s">
        <v>51</v>
      </c>
      <c r="J138" s="752"/>
      <c r="K138" s="752" t="s">
        <v>51</v>
      </c>
      <c r="L138" s="752"/>
      <c r="M138" s="752" t="s">
        <v>52</v>
      </c>
      <c r="N138" s="752"/>
      <c r="O138" s="752">
        <v>180</v>
      </c>
      <c r="P138" s="752"/>
      <c r="Q138" s="752" t="s">
        <v>53</v>
      </c>
      <c r="R138" s="752"/>
      <c r="S138" s="752" t="s">
        <v>54</v>
      </c>
      <c r="T138" s="752"/>
      <c r="U138" s="752" t="s">
        <v>54</v>
      </c>
      <c r="V138" s="752"/>
      <c r="W138" s="752" t="s">
        <v>55</v>
      </c>
      <c r="X138" s="752"/>
      <c r="Y138" s="752" t="s">
        <v>54</v>
      </c>
      <c r="Z138" s="752"/>
      <c r="AA138" s="752" t="s">
        <v>54</v>
      </c>
      <c r="AB138" s="752"/>
      <c r="AC138" s="752" t="s">
        <v>56</v>
      </c>
      <c r="AD138" s="752"/>
      <c r="AE138" s="752" t="s">
        <v>57</v>
      </c>
      <c r="AF138" s="752"/>
      <c r="AG138" s="752" t="s">
        <v>57</v>
      </c>
      <c r="AH138" s="752"/>
      <c r="AI138" s="752" t="s">
        <v>58</v>
      </c>
      <c r="AJ138" s="752"/>
      <c r="AK138" s="752" t="s">
        <v>300</v>
      </c>
      <c r="AL138" s="752"/>
      <c r="AM138" s="752" t="s">
        <v>301</v>
      </c>
      <c r="AN138" s="752"/>
      <c r="AO138" s="752">
        <v>20</v>
      </c>
      <c r="AP138" s="752"/>
      <c r="AQ138" s="752">
        <v>20</v>
      </c>
      <c r="AR138" s="752"/>
      <c r="AS138" s="752" t="s">
        <v>57</v>
      </c>
      <c r="AT138" s="752"/>
      <c r="AU138" s="752" t="s">
        <v>302</v>
      </c>
      <c r="AV138" s="752"/>
      <c r="AW138" s="752">
        <v>100</v>
      </c>
      <c r="AX138" s="752"/>
      <c r="AY138" s="752">
        <v>100</v>
      </c>
      <c r="AZ138" s="752"/>
      <c r="BA138" s="752" t="s">
        <v>59</v>
      </c>
      <c r="BB138" s="752"/>
      <c r="BC138" s="752" t="s">
        <v>51</v>
      </c>
      <c r="BD138" s="752"/>
      <c r="BE138" s="752" t="s">
        <v>53</v>
      </c>
      <c r="BF138" s="752"/>
    </row>
    <row r="139" spans="2:58" ht="16" thickBot="1" x14ac:dyDescent="0.25">
      <c r="B139" s="156"/>
      <c r="C139" s="156" t="s">
        <v>60</v>
      </c>
      <c r="D139" s="283"/>
      <c r="E139" s="271" t="s">
        <v>61</v>
      </c>
      <c r="F139" s="271" t="s">
        <v>62</v>
      </c>
      <c r="G139" s="752">
        <v>151</v>
      </c>
      <c r="H139" s="752"/>
      <c r="I139" s="752">
        <v>167.99</v>
      </c>
      <c r="J139" s="752"/>
      <c r="K139" s="752">
        <v>144.99</v>
      </c>
      <c r="L139" s="752"/>
      <c r="M139" s="760">
        <v>169.99</v>
      </c>
      <c r="N139" s="760"/>
      <c r="O139" s="760">
        <v>274.99</v>
      </c>
      <c r="P139" s="760"/>
      <c r="Q139" s="760">
        <v>135</v>
      </c>
      <c r="R139" s="760"/>
      <c r="S139" s="752">
        <v>910.5</v>
      </c>
      <c r="T139" s="752"/>
      <c r="U139" s="752">
        <v>460.75</v>
      </c>
      <c r="V139" s="752"/>
      <c r="W139" s="752">
        <v>1048.95</v>
      </c>
      <c r="X139" s="752"/>
      <c r="Y139" s="752">
        <v>772.8</v>
      </c>
      <c r="Z139" s="752"/>
      <c r="AA139" s="752">
        <v>3450</v>
      </c>
      <c r="AB139" s="752"/>
      <c r="AC139" s="760">
        <v>99.99</v>
      </c>
      <c r="AD139" s="760"/>
      <c r="AE139" s="752">
        <v>29.99</v>
      </c>
      <c r="AF139" s="752"/>
      <c r="AG139" s="752">
        <v>548</v>
      </c>
      <c r="AH139" s="752"/>
      <c r="AI139" s="752">
        <v>4.99</v>
      </c>
      <c r="AJ139" s="752"/>
      <c r="AK139" s="752">
        <v>132.25</v>
      </c>
      <c r="AL139" s="752"/>
      <c r="AM139" s="752">
        <v>47.99</v>
      </c>
      <c r="AN139" s="752"/>
      <c r="AO139" s="752">
        <v>560</v>
      </c>
      <c r="AP139" s="752"/>
      <c r="AQ139" s="752">
        <v>560</v>
      </c>
      <c r="AR139" s="752"/>
      <c r="AS139" s="752">
        <v>613.5</v>
      </c>
      <c r="AT139" s="752"/>
      <c r="AU139" s="752">
        <v>313.89999999999998</v>
      </c>
      <c r="AV139" s="752"/>
      <c r="AW139" s="752">
        <v>405.8</v>
      </c>
      <c r="AX139" s="752"/>
      <c r="AY139" s="752">
        <v>218.99</v>
      </c>
      <c r="AZ139" s="752"/>
      <c r="BA139" s="752">
        <v>24.99</v>
      </c>
      <c r="BB139" s="752"/>
      <c r="BC139" s="752">
        <v>1425</v>
      </c>
      <c r="BD139" s="752"/>
      <c r="BE139" s="752">
        <v>54.99</v>
      </c>
      <c r="BF139" s="752"/>
    </row>
    <row r="140" spans="2:58" ht="16" thickBot="1" x14ac:dyDescent="0.25">
      <c r="B140" s="272">
        <v>45670</v>
      </c>
      <c r="C140" s="274">
        <v>300</v>
      </c>
      <c r="D140" s="276"/>
      <c r="E140" s="278" t="s">
        <v>528</v>
      </c>
      <c r="F140" s="278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  <c r="AO140" s="271"/>
      <c r="AP140" s="271"/>
      <c r="AQ140" s="271"/>
      <c r="AR140" s="271"/>
      <c r="AS140" s="271"/>
      <c r="AT140" s="271"/>
      <c r="AU140" s="271"/>
      <c r="AV140" s="271"/>
      <c r="AW140" s="271"/>
      <c r="AX140" s="271"/>
      <c r="AY140" s="271"/>
      <c r="AZ140" s="271"/>
      <c r="BA140" s="271"/>
      <c r="BB140" s="271"/>
      <c r="BC140" s="271"/>
      <c r="BD140" s="271"/>
      <c r="BE140" s="271"/>
      <c r="BF140" s="271"/>
    </row>
    <row r="141" spans="2:58" ht="16" thickBot="1" x14ac:dyDescent="0.25">
      <c r="B141" s="660"/>
      <c r="C141" s="275">
        <f>1110+5383.56</f>
        <v>6493.56</v>
      </c>
      <c r="D141" s="661"/>
      <c r="E141" s="303"/>
      <c r="F141" s="303" t="s">
        <v>9</v>
      </c>
      <c r="G141" s="271">
        <v>10</v>
      </c>
      <c r="H141" s="271">
        <v>1399.9</v>
      </c>
      <c r="I141" s="271">
        <v>4</v>
      </c>
      <c r="J141" s="271">
        <v>411.96</v>
      </c>
      <c r="K141" s="271">
        <v>6</v>
      </c>
      <c r="L141" s="271">
        <v>1091.94</v>
      </c>
      <c r="M141" s="271">
        <v>10</v>
      </c>
      <c r="N141" s="271">
        <v>1499.9</v>
      </c>
      <c r="O141" s="271">
        <v>3</v>
      </c>
      <c r="P141" s="271">
        <v>1110</v>
      </c>
      <c r="Q141" s="271"/>
      <c r="R141" s="271"/>
      <c r="S141" s="271"/>
      <c r="T141" s="271"/>
      <c r="U141" s="271"/>
      <c r="V141" s="271"/>
      <c r="W141" s="271">
        <v>6</v>
      </c>
      <c r="X141" s="271">
        <v>257.94</v>
      </c>
      <c r="Y141" s="271"/>
      <c r="Z141" s="271"/>
      <c r="AA141" s="271"/>
      <c r="AB141" s="271"/>
      <c r="AC141" s="271">
        <v>6</v>
      </c>
      <c r="AD141" s="271">
        <v>593.94000000000005</v>
      </c>
      <c r="AE141" s="271"/>
      <c r="AF141" s="271"/>
      <c r="AG141" s="271"/>
      <c r="AH141" s="271"/>
      <c r="AI141" s="271"/>
      <c r="AJ141" s="271"/>
      <c r="AK141" s="271"/>
      <c r="AL141" s="271"/>
      <c r="AM141" s="271">
        <v>1</v>
      </c>
      <c r="AN141" s="271">
        <v>49.99</v>
      </c>
      <c r="AO141" s="271"/>
      <c r="AP141" s="271"/>
      <c r="AQ141" s="271"/>
      <c r="AR141" s="271"/>
      <c r="AS141" s="271"/>
      <c r="AT141" s="271"/>
      <c r="AU141" s="271"/>
      <c r="AV141" s="271"/>
      <c r="AW141" s="271"/>
      <c r="AX141" s="271"/>
      <c r="AY141" s="271"/>
      <c r="AZ141" s="271"/>
      <c r="BA141" s="271">
        <v>1</v>
      </c>
      <c r="BB141" s="271">
        <v>27.99</v>
      </c>
      <c r="BC141" s="271"/>
      <c r="BD141" s="271"/>
      <c r="BE141" s="271"/>
      <c r="BF141" s="271"/>
    </row>
    <row r="142" spans="2:58" ht="16" thickBot="1" x14ac:dyDescent="0.25">
      <c r="B142" s="660"/>
      <c r="C142" s="275">
        <v>314.91000000000003</v>
      </c>
      <c r="D142" s="661"/>
      <c r="E142" s="303"/>
      <c r="F142" s="303" t="s">
        <v>14</v>
      </c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  <c r="AB142" s="271"/>
      <c r="AC142" s="271"/>
      <c r="AD142" s="271"/>
      <c r="AE142" s="271">
        <v>9</v>
      </c>
      <c r="AF142" s="271">
        <v>314.91000000000003</v>
      </c>
      <c r="AG142" s="271"/>
      <c r="AH142" s="271"/>
      <c r="AI142" s="271"/>
      <c r="AJ142" s="271"/>
      <c r="AK142" s="271"/>
      <c r="AL142" s="271"/>
      <c r="AM142" s="271"/>
      <c r="AN142" s="271"/>
      <c r="AO142" s="271"/>
      <c r="AP142" s="271"/>
      <c r="AQ142" s="271"/>
      <c r="AR142" s="271"/>
      <c r="AS142" s="271"/>
      <c r="AT142" s="271"/>
      <c r="AU142" s="271"/>
      <c r="AV142" s="271"/>
      <c r="AW142" s="271"/>
      <c r="AX142" s="271"/>
      <c r="AY142" s="271"/>
      <c r="AZ142" s="271"/>
      <c r="BA142" s="271"/>
      <c r="BB142" s="271"/>
      <c r="BC142" s="271"/>
      <c r="BD142" s="271"/>
      <c r="BE142" s="271"/>
      <c r="BF142" s="271"/>
    </row>
    <row r="143" spans="2:58" ht="16" thickBot="1" x14ac:dyDescent="0.25">
      <c r="B143" s="660"/>
      <c r="C143" s="275">
        <v>870</v>
      </c>
      <c r="D143" s="661"/>
      <c r="E143" s="303" t="s">
        <v>396</v>
      </c>
      <c r="F143" s="303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  <c r="AO143" s="271"/>
      <c r="AP143" s="271"/>
      <c r="AQ143" s="271"/>
      <c r="AR143" s="271"/>
      <c r="AS143" s="271"/>
      <c r="AT143" s="271"/>
      <c r="AU143" s="271"/>
      <c r="AV143" s="271"/>
      <c r="AW143" s="271"/>
      <c r="AX143" s="271"/>
      <c r="AY143" s="271"/>
      <c r="AZ143" s="271"/>
      <c r="BA143" s="271"/>
      <c r="BB143" s="271"/>
      <c r="BC143" s="271"/>
      <c r="BD143" s="271"/>
      <c r="BE143" s="271"/>
      <c r="BF143" s="271"/>
    </row>
    <row r="144" spans="2:58" ht="16" thickBot="1" x14ac:dyDescent="0.25">
      <c r="B144" s="660"/>
      <c r="C144" s="275">
        <v>672</v>
      </c>
      <c r="D144" s="661"/>
      <c r="E144" s="303"/>
      <c r="F144" s="303" t="s">
        <v>17</v>
      </c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  <c r="AO144" s="271">
        <v>20</v>
      </c>
      <c r="AP144" s="271">
        <v>600</v>
      </c>
      <c r="AQ144" s="271"/>
      <c r="AR144" s="271"/>
      <c r="AS144" s="271"/>
      <c r="AT144" s="271"/>
      <c r="AU144" s="271"/>
      <c r="AV144" s="271"/>
      <c r="AW144" s="271"/>
      <c r="AX144" s="271"/>
      <c r="AY144" s="271"/>
      <c r="AZ144" s="271"/>
      <c r="BA144" s="271"/>
      <c r="BB144" s="271"/>
      <c r="BC144" s="271"/>
      <c r="BD144" s="271"/>
      <c r="BE144" s="271"/>
      <c r="BF144" s="271"/>
    </row>
    <row r="145" spans="2:58" ht="16" thickBot="1" x14ac:dyDescent="0.25">
      <c r="B145" s="681" t="s">
        <v>20</v>
      </c>
      <c r="C145" s="275"/>
      <c r="D145" s="277"/>
      <c r="E145" s="279"/>
      <c r="F145" s="279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  <c r="AO145" s="271"/>
      <c r="AP145" s="271"/>
      <c r="AQ145" s="271"/>
      <c r="AR145" s="271"/>
      <c r="AS145" s="271"/>
      <c r="AT145" s="271"/>
      <c r="AU145" s="271"/>
      <c r="AV145" s="271"/>
      <c r="AW145" s="271"/>
      <c r="AX145" s="271"/>
      <c r="AY145" s="271"/>
      <c r="AZ145" s="271"/>
      <c r="BA145" s="271"/>
      <c r="BB145" s="271"/>
      <c r="BC145" s="271"/>
      <c r="BD145" s="271"/>
      <c r="BE145" s="271"/>
      <c r="BF145" s="271"/>
    </row>
    <row r="146" spans="2:58" ht="16" thickBot="1" x14ac:dyDescent="0.25">
      <c r="B146" s="479"/>
      <c r="C146" s="680">
        <f>SUM(C140:C145)</f>
        <v>8650.4700000000012</v>
      </c>
      <c r="D146" s="159"/>
      <c r="E146" s="270"/>
      <c r="F146" s="281"/>
      <c r="G146" s="309"/>
      <c r="H146" s="310"/>
      <c r="I146" s="309"/>
      <c r="J146" s="310"/>
      <c r="K146" s="309"/>
      <c r="L146" s="310"/>
      <c r="M146" s="309"/>
      <c r="N146" s="310"/>
      <c r="O146" s="271"/>
      <c r="P146" s="271"/>
      <c r="Q146" s="310"/>
      <c r="R146" s="310"/>
      <c r="S146" s="309"/>
      <c r="T146" s="310"/>
      <c r="U146" s="309"/>
      <c r="V146" s="310"/>
      <c r="W146" s="309"/>
      <c r="X146" s="310"/>
      <c r="Y146" s="309"/>
      <c r="Z146" s="310"/>
      <c r="AA146" s="309"/>
      <c r="AB146" s="310"/>
      <c r="AC146" s="271"/>
      <c r="AD146" s="271"/>
      <c r="AE146" s="309"/>
      <c r="AF146" s="310"/>
      <c r="AG146" s="309"/>
      <c r="AH146" s="310"/>
      <c r="AI146" s="309"/>
      <c r="AJ146" s="310"/>
      <c r="AK146" s="309"/>
      <c r="AL146" s="310"/>
      <c r="AM146" s="309"/>
      <c r="AN146" s="310"/>
      <c r="AO146" s="309"/>
      <c r="AP146" s="310"/>
      <c r="AQ146" s="309"/>
      <c r="AR146" s="310"/>
      <c r="AS146" s="309"/>
      <c r="AT146" s="310"/>
      <c r="AU146" s="309"/>
      <c r="AV146" s="310"/>
      <c r="AW146" s="309"/>
      <c r="AX146" s="310"/>
      <c r="AY146" s="309"/>
      <c r="AZ146" s="310"/>
      <c r="BA146" s="271"/>
      <c r="BB146" s="271"/>
      <c r="BC146" s="271"/>
      <c r="BD146" s="271"/>
      <c r="BE146" s="271"/>
      <c r="BF146" s="271"/>
    </row>
    <row r="147" spans="2:58" ht="16" thickBot="1" x14ac:dyDescent="0.25">
      <c r="B147" s="289">
        <v>45671</v>
      </c>
      <c r="C147" s="275">
        <v>1233.96</v>
      </c>
      <c r="D147" s="277"/>
      <c r="E147" s="279" t="s">
        <v>475</v>
      </c>
      <c r="F147" s="279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  <c r="AO147" s="271"/>
      <c r="AP147" s="271"/>
      <c r="AQ147" s="271"/>
      <c r="AR147" s="271"/>
      <c r="AS147" s="271"/>
      <c r="AT147" s="271"/>
      <c r="AU147" s="271"/>
      <c r="AV147" s="271"/>
      <c r="AW147" s="271"/>
      <c r="AX147" s="271"/>
      <c r="AY147" s="271"/>
      <c r="AZ147" s="271"/>
      <c r="BA147" s="271"/>
      <c r="BB147" s="271"/>
      <c r="BC147" s="271"/>
      <c r="BD147" s="271"/>
      <c r="BE147" s="271"/>
      <c r="BF147" s="271"/>
    </row>
    <row r="148" spans="2:58" ht="16" thickBot="1" x14ac:dyDescent="0.25">
      <c r="B148" s="289"/>
      <c r="C148" s="139">
        <v>137</v>
      </c>
      <c r="E148" s="575" t="s">
        <v>536</v>
      </c>
      <c r="F148" s="279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  <c r="AO148" s="271"/>
      <c r="AP148" s="271"/>
      <c r="AQ148" s="271"/>
      <c r="AR148" s="271"/>
      <c r="AS148" s="271"/>
      <c r="AT148" s="271"/>
      <c r="AU148" s="271"/>
      <c r="AV148" s="271"/>
      <c r="AW148" s="271"/>
      <c r="AX148" s="271"/>
      <c r="AY148" s="271"/>
      <c r="AZ148" s="271"/>
      <c r="BA148" s="271"/>
      <c r="BB148" s="271"/>
      <c r="BC148" s="271"/>
      <c r="BD148" s="271"/>
      <c r="BE148" s="271"/>
      <c r="BF148" s="271"/>
    </row>
    <row r="149" spans="2:58" ht="16" thickBot="1" x14ac:dyDescent="0.25">
      <c r="B149" s="289"/>
      <c r="C149" s="4">
        <v>60</v>
      </c>
      <c r="E149" s="142" t="s">
        <v>537</v>
      </c>
      <c r="F149" s="279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  <c r="AA149" s="271"/>
      <c r="AB149" s="271"/>
      <c r="AC149" s="271"/>
      <c r="AD149" s="271"/>
      <c r="AE149" s="271"/>
      <c r="AF149" s="271"/>
      <c r="AG149" s="271"/>
      <c r="AH149" s="271"/>
      <c r="AI149" s="271"/>
      <c r="AJ149" s="271"/>
      <c r="AK149" s="271"/>
      <c r="AL149" s="271"/>
      <c r="AM149" s="271"/>
      <c r="AN149" s="271"/>
      <c r="AO149" s="271"/>
      <c r="AP149" s="271"/>
      <c r="AQ149" s="271"/>
      <c r="AR149" s="271"/>
      <c r="AS149" s="271"/>
      <c r="AT149" s="271"/>
      <c r="AU149" s="271"/>
      <c r="AV149" s="271"/>
      <c r="AW149" s="271"/>
      <c r="AX149" s="271"/>
      <c r="AY149" s="271"/>
      <c r="AZ149" s="271"/>
      <c r="BA149" s="271"/>
      <c r="BB149" s="271"/>
      <c r="BC149" s="271"/>
      <c r="BD149" s="271"/>
      <c r="BE149" s="271"/>
      <c r="BF149" s="271"/>
    </row>
    <row r="150" spans="2:58" ht="16" thickBot="1" x14ac:dyDescent="0.25">
      <c r="B150" s="289"/>
      <c r="C150" s="146">
        <v>244.93</v>
      </c>
      <c r="E150" s="147"/>
      <c r="F150" s="279" t="s">
        <v>14</v>
      </c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  <c r="AB150" s="271"/>
      <c r="AC150" s="271"/>
      <c r="AD150" s="271"/>
      <c r="AE150" s="271">
        <v>7</v>
      </c>
      <c r="AF150" s="271">
        <v>244.93</v>
      </c>
      <c r="AG150" s="271"/>
      <c r="AH150" s="271"/>
      <c r="AI150" s="271"/>
      <c r="AJ150" s="271"/>
      <c r="AK150" s="271"/>
      <c r="AL150" s="271"/>
      <c r="AM150" s="271"/>
      <c r="AN150" s="271"/>
      <c r="AO150" s="271"/>
      <c r="AP150" s="271"/>
      <c r="AQ150" s="271"/>
      <c r="AR150" s="271"/>
      <c r="AS150" s="271"/>
      <c r="AT150" s="271"/>
      <c r="AU150" s="271"/>
      <c r="AV150" s="271"/>
      <c r="AW150" s="271"/>
      <c r="AX150" s="271"/>
      <c r="AY150" s="271"/>
      <c r="AZ150" s="271"/>
      <c r="BA150" s="271"/>
      <c r="BB150" s="271"/>
      <c r="BC150" s="271"/>
      <c r="BD150" s="271"/>
      <c r="BE150" s="271"/>
      <c r="BF150" s="271"/>
    </row>
    <row r="151" spans="2:58" ht="16" thickBot="1" x14ac:dyDescent="0.25">
      <c r="B151" s="289"/>
      <c r="C151" s="4">
        <v>80.94</v>
      </c>
      <c r="E151" s="142" t="s">
        <v>538</v>
      </c>
      <c r="F151" s="279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1"/>
      <c r="AN151" s="271"/>
      <c r="AO151" s="271"/>
      <c r="AP151" s="271"/>
      <c r="AQ151" s="271"/>
      <c r="AR151" s="271"/>
      <c r="AS151" s="271"/>
      <c r="AT151" s="271"/>
      <c r="AU151" s="271"/>
      <c r="AV151" s="271"/>
      <c r="AW151" s="271"/>
      <c r="AX151" s="271"/>
      <c r="AY151" s="271"/>
      <c r="AZ151" s="271"/>
      <c r="BA151" s="271"/>
      <c r="BB151" s="271"/>
      <c r="BC151" s="271"/>
      <c r="BD151" s="271"/>
      <c r="BE151" s="271"/>
      <c r="BF151" s="271"/>
    </row>
    <row r="152" spans="2:58" ht="16" thickBot="1" x14ac:dyDescent="0.25">
      <c r="B152" s="289"/>
      <c r="C152" s="4">
        <v>6880.59</v>
      </c>
      <c r="E152" s="142"/>
      <c r="F152" s="279" t="s">
        <v>9</v>
      </c>
      <c r="G152" s="271">
        <v>8</v>
      </c>
      <c r="H152" s="271">
        <v>1095.92</v>
      </c>
      <c r="I152" s="271">
        <v>4</v>
      </c>
      <c r="J152" s="271">
        <v>411.96</v>
      </c>
      <c r="K152" s="271">
        <v>6</v>
      </c>
      <c r="L152" s="271">
        <v>1091.94</v>
      </c>
      <c r="M152" s="271">
        <v>9</v>
      </c>
      <c r="N152" s="271">
        <v>1349.91</v>
      </c>
      <c r="O152" s="271">
        <v>5</v>
      </c>
      <c r="P152" s="271">
        <v>1925</v>
      </c>
      <c r="Q152" s="271"/>
      <c r="R152" s="271"/>
      <c r="S152" s="271"/>
      <c r="T152" s="271"/>
      <c r="U152" s="271"/>
      <c r="V152" s="271"/>
      <c r="W152" s="271">
        <v>6</v>
      </c>
      <c r="X152" s="271">
        <v>257.94</v>
      </c>
      <c r="Y152" s="271"/>
      <c r="Z152" s="271"/>
      <c r="AA152" s="271"/>
      <c r="AB152" s="271"/>
      <c r="AC152" s="271">
        <v>6</v>
      </c>
      <c r="AD152" s="271">
        <v>593.94000000000005</v>
      </c>
      <c r="AE152" s="271"/>
      <c r="AF152" s="271"/>
      <c r="AG152" s="271"/>
      <c r="AH152" s="271"/>
      <c r="AI152" s="271"/>
      <c r="AJ152" s="271"/>
      <c r="AK152" s="271"/>
      <c r="AL152" s="271"/>
      <c r="AM152" s="271"/>
      <c r="AN152" s="271"/>
      <c r="AO152" s="271"/>
      <c r="AP152" s="271"/>
      <c r="AQ152" s="271"/>
      <c r="AR152" s="271"/>
      <c r="AS152" s="271"/>
      <c r="AT152" s="271"/>
      <c r="AU152" s="271"/>
      <c r="AV152" s="271"/>
      <c r="AW152" s="271"/>
      <c r="AX152" s="271"/>
      <c r="AY152" s="271"/>
      <c r="AZ152" s="271"/>
      <c r="BA152" s="271">
        <v>1</v>
      </c>
      <c r="BB152" s="271">
        <v>27.99</v>
      </c>
      <c r="BC152" s="271"/>
      <c r="BD152" s="271"/>
      <c r="BE152" s="271">
        <v>1</v>
      </c>
      <c r="BF152" s="271">
        <v>75.989999999999995</v>
      </c>
    </row>
    <row r="153" spans="2:58" ht="16" thickBot="1" x14ac:dyDescent="0.25">
      <c r="B153" s="289"/>
      <c r="C153" s="275">
        <v>11325</v>
      </c>
      <c r="D153" s="277"/>
      <c r="E153" s="279" t="s">
        <v>12</v>
      </c>
      <c r="F153" s="279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  <c r="AA153" s="271"/>
      <c r="AB153" s="271"/>
      <c r="AC153" s="271"/>
      <c r="AD153" s="271"/>
      <c r="AE153" s="271"/>
      <c r="AF153" s="271"/>
      <c r="AG153" s="271"/>
      <c r="AH153" s="271"/>
      <c r="AI153" s="271"/>
      <c r="AJ153" s="271"/>
      <c r="AK153" s="271"/>
      <c r="AL153" s="271"/>
      <c r="AM153" s="271"/>
      <c r="AN153" s="271"/>
      <c r="AO153" s="271"/>
      <c r="AP153" s="271"/>
      <c r="AQ153" s="271"/>
      <c r="AR153" s="271"/>
      <c r="AS153" s="271"/>
      <c r="AT153" s="271"/>
      <c r="AU153" s="271"/>
      <c r="AV153" s="271"/>
      <c r="AW153" s="271"/>
      <c r="AX153" s="271"/>
      <c r="AY153" s="271"/>
      <c r="AZ153" s="271"/>
      <c r="BA153" s="271"/>
      <c r="BB153" s="271"/>
      <c r="BC153" s="271"/>
      <c r="BD153" s="271"/>
      <c r="BE153" s="271"/>
      <c r="BF153" s="271"/>
    </row>
    <row r="154" spans="2:58" ht="16" thickBot="1" x14ac:dyDescent="0.25">
      <c r="B154" s="289"/>
      <c r="C154" s="275">
        <v>7800</v>
      </c>
      <c r="D154" s="277"/>
      <c r="E154" s="279"/>
      <c r="F154" s="279" t="s">
        <v>435</v>
      </c>
      <c r="G154" s="271"/>
      <c r="H154" s="271"/>
      <c r="I154" s="271"/>
      <c r="J154" s="271"/>
      <c r="K154" s="271"/>
      <c r="L154" s="271"/>
      <c r="M154" s="271"/>
      <c r="N154" s="271"/>
      <c r="O154" s="271">
        <v>13</v>
      </c>
      <c r="P154" s="271">
        <v>7800</v>
      </c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  <c r="AA154" s="271"/>
      <c r="AB154" s="271"/>
      <c r="AC154" s="271"/>
      <c r="AD154" s="271"/>
      <c r="AE154" s="271"/>
      <c r="AF154" s="271"/>
      <c r="AG154" s="271"/>
      <c r="AH154" s="271"/>
      <c r="AI154" s="271"/>
      <c r="AJ154" s="271"/>
      <c r="AK154" s="271"/>
      <c r="AL154" s="271"/>
      <c r="AM154" s="271"/>
      <c r="AN154" s="271"/>
      <c r="AO154" s="271"/>
      <c r="AP154" s="271"/>
      <c r="AQ154" s="271"/>
      <c r="AR154" s="271"/>
      <c r="AS154" s="271"/>
      <c r="AT154" s="271"/>
      <c r="AU154" s="271"/>
      <c r="AV154" s="271"/>
      <c r="AW154" s="271"/>
      <c r="AX154" s="271"/>
      <c r="AY154" s="271"/>
      <c r="AZ154" s="271"/>
      <c r="BA154" s="271"/>
      <c r="BB154" s="271"/>
      <c r="BC154" s="271"/>
      <c r="BD154" s="271"/>
      <c r="BE154" s="271"/>
      <c r="BF154" s="271"/>
    </row>
    <row r="155" spans="2:58" ht="16" thickBot="1" x14ac:dyDescent="0.25">
      <c r="B155" s="289" t="s">
        <v>90</v>
      </c>
      <c r="C155" s="275"/>
      <c r="D155" s="277"/>
      <c r="E155" s="279"/>
      <c r="F155" s="279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  <c r="AA155" s="271"/>
      <c r="AB155" s="271"/>
      <c r="AC155" s="271"/>
      <c r="AD155" s="271"/>
      <c r="AE155" s="271"/>
      <c r="AF155" s="271"/>
      <c r="AG155" s="271"/>
      <c r="AH155" s="271"/>
      <c r="AI155" s="271"/>
      <c r="AJ155" s="271"/>
      <c r="AK155" s="271"/>
      <c r="AL155" s="271"/>
      <c r="AM155" s="271"/>
      <c r="AN155" s="271"/>
      <c r="AO155" s="271"/>
      <c r="AP155" s="271"/>
      <c r="AQ155" s="271"/>
      <c r="AR155" s="271"/>
      <c r="AS155" s="271"/>
      <c r="AT155" s="271"/>
      <c r="AU155" s="271"/>
      <c r="AV155" s="271"/>
      <c r="AW155" s="271"/>
      <c r="AX155" s="271"/>
      <c r="AY155" s="271"/>
      <c r="AZ155" s="271"/>
      <c r="BA155" s="271"/>
      <c r="BB155" s="271"/>
      <c r="BC155" s="271"/>
      <c r="BD155" s="271"/>
      <c r="BE155" s="271"/>
      <c r="BF155" s="271"/>
    </row>
    <row r="156" spans="2:58" ht="16" thickBot="1" x14ac:dyDescent="0.25">
      <c r="B156" s="292"/>
      <c r="C156" s="159">
        <f>SUM(C147:C155)</f>
        <v>27762.42</v>
      </c>
      <c r="D156" s="159"/>
      <c r="E156" s="270"/>
      <c r="F156" s="281"/>
      <c r="G156" s="309"/>
      <c r="H156" s="310"/>
      <c r="I156" s="309"/>
      <c r="J156" s="310"/>
      <c r="K156" s="309"/>
      <c r="L156" s="310"/>
      <c r="M156" s="309"/>
      <c r="N156" s="310"/>
      <c r="O156" s="271"/>
      <c r="P156" s="271"/>
      <c r="Q156" s="310"/>
      <c r="R156" s="310"/>
      <c r="S156" s="309"/>
      <c r="T156" s="310"/>
      <c r="U156" s="309"/>
      <c r="V156" s="310"/>
      <c r="W156" s="309"/>
      <c r="X156" s="310"/>
      <c r="Y156" s="309"/>
      <c r="Z156" s="310"/>
      <c r="AA156" s="309"/>
      <c r="AB156" s="310"/>
      <c r="AC156" s="271"/>
      <c r="AD156" s="271"/>
      <c r="AE156" s="309"/>
      <c r="AF156" s="310"/>
      <c r="AG156" s="309"/>
      <c r="AH156" s="310"/>
      <c r="AI156" s="309"/>
      <c r="AJ156" s="310"/>
      <c r="AK156" s="309"/>
      <c r="AL156" s="310"/>
      <c r="AM156" s="309"/>
      <c r="AN156" s="310"/>
      <c r="AO156" s="309"/>
      <c r="AP156" s="310"/>
      <c r="AQ156" s="309"/>
      <c r="AR156" s="310"/>
      <c r="AS156" s="309"/>
      <c r="AT156" s="310"/>
      <c r="AU156" s="309"/>
      <c r="AV156" s="310"/>
      <c r="AW156" s="309"/>
      <c r="AX156" s="310"/>
      <c r="AY156" s="309"/>
      <c r="AZ156" s="310"/>
      <c r="BA156" s="271"/>
      <c r="BB156" s="271"/>
      <c r="BC156" s="271"/>
      <c r="BD156" s="271"/>
      <c r="BE156" s="271"/>
      <c r="BF156" s="271"/>
    </row>
    <row r="157" spans="2:58" ht="16" thickBot="1" x14ac:dyDescent="0.25">
      <c r="B157" s="289">
        <v>45672</v>
      </c>
      <c r="C157" s="275">
        <v>850.16</v>
      </c>
      <c r="D157" s="277"/>
      <c r="E157" s="279" t="s">
        <v>186</v>
      </c>
      <c r="F157" s="279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/>
      <c r="AC157" s="271"/>
      <c r="AD157" s="271"/>
      <c r="AE157" s="271"/>
      <c r="AF157" s="271"/>
      <c r="AG157" s="271"/>
      <c r="AH157" s="271"/>
      <c r="AI157" s="271"/>
      <c r="AJ157" s="271"/>
      <c r="AK157" s="271"/>
      <c r="AL157" s="271"/>
      <c r="AM157" s="271"/>
      <c r="AN157" s="271"/>
      <c r="AO157" s="271"/>
      <c r="AP157" s="271"/>
      <c r="AQ157" s="271"/>
      <c r="AR157" s="271"/>
      <c r="AS157" s="271"/>
      <c r="AT157" s="271"/>
      <c r="AU157" s="271"/>
      <c r="AV157" s="271"/>
      <c r="AW157" s="271"/>
      <c r="AX157" s="271"/>
      <c r="AY157" s="271"/>
      <c r="AZ157" s="271"/>
      <c r="BA157" s="271"/>
      <c r="BB157" s="271"/>
      <c r="BC157" s="271"/>
      <c r="BD157" s="271"/>
      <c r="BE157" s="271"/>
      <c r="BF157" s="271"/>
    </row>
    <row r="158" spans="2:58" ht="16" thickBot="1" x14ac:dyDescent="0.25">
      <c r="B158" s="288" t="s">
        <v>22</v>
      </c>
      <c r="C158" s="287">
        <v>13146.8</v>
      </c>
      <c r="D158" s="290"/>
      <c r="E158" s="290"/>
      <c r="F158" s="296" t="s">
        <v>6</v>
      </c>
      <c r="G158" s="309"/>
      <c r="H158" s="310"/>
      <c r="I158" s="309"/>
      <c r="J158" s="310"/>
      <c r="K158" s="309"/>
      <c r="L158" s="310"/>
      <c r="M158" s="309"/>
      <c r="N158" s="310"/>
      <c r="O158" s="271"/>
      <c r="P158" s="271"/>
      <c r="Q158" s="309"/>
      <c r="R158" s="310"/>
      <c r="S158" s="309">
        <v>3</v>
      </c>
      <c r="T158" s="310">
        <v>2484</v>
      </c>
      <c r="U158" s="309"/>
      <c r="V158" s="310"/>
      <c r="W158" s="309"/>
      <c r="X158" s="310"/>
      <c r="Y158" s="309">
        <v>1</v>
      </c>
      <c r="Z158" s="310">
        <v>772.8</v>
      </c>
      <c r="AA158" s="309">
        <v>2</v>
      </c>
      <c r="AB158" s="310">
        <v>8050</v>
      </c>
      <c r="AC158" s="271"/>
      <c r="AD158" s="271"/>
      <c r="AE158" s="309"/>
      <c r="AF158" s="310"/>
      <c r="AG158" s="309"/>
      <c r="AH158" s="310"/>
      <c r="AI158" s="309"/>
      <c r="AJ158" s="310"/>
      <c r="AK158" s="309"/>
      <c r="AL158" s="310"/>
      <c r="AM158" s="309"/>
      <c r="AN158" s="310"/>
      <c r="AO158" s="309"/>
      <c r="AP158" s="310"/>
      <c r="AQ158" s="309"/>
      <c r="AR158" s="310"/>
      <c r="AS158" s="309"/>
      <c r="AT158" s="310"/>
      <c r="AU158" s="309"/>
      <c r="AV158" s="310"/>
      <c r="AW158" s="309"/>
      <c r="AX158" s="310"/>
      <c r="AY158" s="309"/>
      <c r="AZ158" s="310"/>
      <c r="BA158" s="271"/>
      <c r="BB158" s="271"/>
      <c r="BC158" s="271"/>
      <c r="BD158" s="271"/>
      <c r="BE158" s="271"/>
      <c r="BF158" s="271"/>
    </row>
    <row r="159" spans="2:58" ht="16" thickBot="1" x14ac:dyDescent="0.25">
      <c r="B159" s="292"/>
      <c r="C159" s="159">
        <f>SUM(C157:C158)</f>
        <v>13996.96</v>
      </c>
      <c r="D159" s="159"/>
      <c r="E159" s="270"/>
      <c r="F159" s="297"/>
      <c r="G159" s="309"/>
      <c r="H159" s="310"/>
      <c r="I159" s="309"/>
      <c r="J159" s="310"/>
      <c r="K159" s="309"/>
      <c r="L159" s="310"/>
      <c r="M159" s="309"/>
      <c r="N159" s="310"/>
      <c r="O159" s="271"/>
      <c r="P159" s="271"/>
      <c r="Q159" s="310"/>
      <c r="R159" s="310"/>
      <c r="S159" s="309"/>
      <c r="T159" s="310"/>
      <c r="U159" s="309"/>
      <c r="V159" s="310"/>
      <c r="W159" s="309"/>
      <c r="X159" s="310"/>
      <c r="Y159" s="309"/>
      <c r="Z159" s="310"/>
      <c r="AA159" s="309"/>
      <c r="AB159" s="310"/>
      <c r="AC159" s="271"/>
      <c r="AD159" s="271"/>
      <c r="AE159" s="309"/>
      <c r="AF159" s="310"/>
      <c r="AG159" s="309"/>
      <c r="AH159" s="310"/>
      <c r="AI159" s="309"/>
      <c r="AJ159" s="310"/>
      <c r="AK159" s="309"/>
      <c r="AL159" s="310"/>
      <c r="AM159" s="309"/>
      <c r="AN159" s="310"/>
      <c r="AO159" s="309"/>
      <c r="AP159" s="310"/>
      <c r="AQ159" s="309"/>
      <c r="AR159" s="310"/>
      <c r="AS159" s="309"/>
      <c r="AT159" s="310"/>
      <c r="AU159" s="309"/>
      <c r="AV159" s="310"/>
      <c r="AW159" s="309"/>
      <c r="AX159" s="310"/>
      <c r="AY159" s="309"/>
      <c r="AZ159" s="310"/>
      <c r="BA159" s="271"/>
      <c r="BB159" s="271"/>
      <c r="BC159" s="271"/>
      <c r="BD159" s="271"/>
      <c r="BE159" s="271"/>
      <c r="BF159" s="271"/>
    </row>
    <row r="160" spans="2:58" ht="16" thickBot="1" x14ac:dyDescent="0.25">
      <c r="B160" s="289">
        <v>45673</v>
      </c>
      <c r="C160" s="295">
        <v>88</v>
      </c>
      <c r="D160" s="275"/>
      <c r="E160" s="274" t="s">
        <v>297</v>
      </c>
      <c r="F160" s="301"/>
      <c r="G160" s="309"/>
      <c r="H160" s="310"/>
      <c r="I160" s="309"/>
      <c r="J160" s="310"/>
      <c r="K160" s="309"/>
      <c r="L160" s="310"/>
      <c r="M160" s="309"/>
      <c r="N160" s="310"/>
      <c r="O160" s="271"/>
      <c r="P160" s="271"/>
      <c r="Q160" s="309"/>
      <c r="R160" s="310"/>
      <c r="S160" s="309"/>
      <c r="T160" s="310"/>
      <c r="U160" s="309"/>
      <c r="V160" s="310"/>
      <c r="W160" s="309"/>
      <c r="X160" s="310"/>
      <c r="Y160" s="309"/>
      <c r="Z160" s="310"/>
      <c r="AA160" s="309"/>
      <c r="AB160" s="310"/>
      <c r="AC160" s="271"/>
      <c r="AD160" s="271"/>
      <c r="AE160" s="309"/>
      <c r="AF160" s="310"/>
      <c r="AG160" s="309"/>
      <c r="AH160" s="310"/>
      <c r="AI160" s="309"/>
      <c r="AJ160" s="310"/>
      <c r="AK160" s="309"/>
      <c r="AL160" s="310"/>
      <c r="AM160" s="309"/>
      <c r="AN160" s="310"/>
      <c r="AO160" s="309"/>
      <c r="AP160" s="310"/>
      <c r="AQ160" s="309"/>
      <c r="AR160" s="310"/>
      <c r="AS160" s="309"/>
      <c r="AT160" s="310"/>
      <c r="AU160" s="309"/>
      <c r="AV160" s="310"/>
      <c r="AW160" s="309"/>
      <c r="AX160" s="310"/>
      <c r="AY160" s="309"/>
      <c r="AZ160" s="310"/>
      <c r="BA160" s="271"/>
      <c r="BB160" s="271"/>
      <c r="BC160" s="271"/>
      <c r="BD160" s="271"/>
      <c r="BE160" s="271"/>
      <c r="BF160" s="271"/>
    </row>
    <row r="161" spans="2:58" ht="16" thickBot="1" x14ac:dyDescent="0.25">
      <c r="B161" s="289"/>
      <c r="C161" s="295">
        <v>314.91000000000003</v>
      </c>
      <c r="D161" s="275"/>
      <c r="E161" s="275"/>
      <c r="F161" s="302" t="s">
        <v>14</v>
      </c>
      <c r="G161" s="309"/>
      <c r="H161" s="310"/>
      <c r="I161" s="309"/>
      <c r="J161" s="310"/>
      <c r="K161" s="309"/>
      <c r="L161" s="310"/>
      <c r="M161" s="309"/>
      <c r="N161" s="310"/>
      <c r="O161" s="271"/>
      <c r="P161" s="271"/>
      <c r="Q161" s="309"/>
      <c r="R161" s="310"/>
      <c r="S161" s="309"/>
      <c r="T161" s="310"/>
      <c r="U161" s="309"/>
      <c r="V161" s="310"/>
      <c r="W161" s="309"/>
      <c r="X161" s="310"/>
      <c r="Y161" s="309"/>
      <c r="Z161" s="310"/>
      <c r="AA161" s="309"/>
      <c r="AB161" s="310"/>
      <c r="AC161" s="271"/>
      <c r="AD161" s="271"/>
      <c r="AE161" s="309">
        <v>9</v>
      </c>
      <c r="AF161" s="310">
        <v>314.91000000000003</v>
      </c>
      <c r="AG161" s="309"/>
      <c r="AH161" s="310"/>
      <c r="AI161" s="309"/>
      <c r="AJ161" s="310"/>
      <c r="AK161" s="309"/>
      <c r="AL161" s="310"/>
      <c r="AM161" s="309"/>
      <c r="AN161" s="310"/>
      <c r="AO161" s="309"/>
      <c r="AP161" s="310"/>
      <c r="AQ161" s="309"/>
      <c r="AR161" s="310"/>
      <c r="AS161" s="309"/>
      <c r="AT161" s="310"/>
      <c r="AU161" s="309"/>
      <c r="AV161" s="310"/>
      <c r="AW161" s="309"/>
      <c r="AX161" s="310"/>
      <c r="AY161" s="309"/>
      <c r="AZ161" s="310"/>
      <c r="BA161" s="271"/>
      <c r="BB161" s="271"/>
      <c r="BC161" s="271"/>
      <c r="BD161" s="271"/>
      <c r="BE161" s="271"/>
      <c r="BF161" s="271"/>
    </row>
    <row r="162" spans="2:58" ht="16" thickBot="1" x14ac:dyDescent="0.25">
      <c r="B162" s="289"/>
      <c r="C162" s="295">
        <v>5978.5</v>
      </c>
      <c r="D162" s="275"/>
      <c r="E162" s="275"/>
      <c r="F162" s="302" t="s">
        <v>9</v>
      </c>
      <c r="G162" s="309">
        <v>9</v>
      </c>
      <c r="H162" s="310">
        <v>1232.9100000000001</v>
      </c>
      <c r="I162" s="309">
        <v>3</v>
      </c>
      <c r="J162" s="310">
        <v>308.97000000000003</v>
      </c>
      <c r="K162" s="309">
        <v>8</v>
      </c>
      <c r="L162" s="310">
        <v>1455.92</v>
      </c>
      <c r="M162" s="309">
        <v>12</v>
      </c>
      <c r="N162" s="310">
        <v>1799.88</v>
      </c>
      <c r="O162" s="271"/>
      <c r="P162" s="271"/>
      <c r="Q162" s="309">
        <v>1</v>
      </c>
      <c r="R162" s="310">
        <v>134.99</v>
      </c>
      <c r="S162" s="309"/>
      <c r="T162" s="310"/>
      <c r="U162" s="309"/>
      <c r="V162" s="310"/>
      <c r="W162" s="309">
        <v>6</v>
      </c>
      <c r="X162" s="310">
        <v>257.94</v>
      </c>
      <c r="Y162" s="309"/>
      <c r="Z162" s="310"/>
      <c r="AA162" s="309"/>
      <c r="AB162" s="310"/>
      <c r="AC162" s="271">
        <v>6</v>
      </c>
      <c r="AD162" s="271">
        <v>593.94000000000005</v>
      </c>
      <c r="AE162" s="309"/>
      <c r="AF162" s="310"/>
      <c r="AG162" s="309"/>
      <c r="AH162" s="310"/>
      <c r="AI162" s="309">
        <v>2</v>
      </c>
      <c r="AJ162" s="310">
        <v>11.98</v>
      </c>
      <c r="AK162" s="309"/>
      <c r="AL162" s="310"/>
      <c r="AM162" s="309"/>
      <c r="AN162" s="310"/>
      <c r="AO162" s="309"/>
      <c r="AP162" s="310"/>
      <c r="AQ162" s="309"/>
      <c r="AR162" s="310"/>
      <c r="AS162" s="309"/>
      <c r="AT162" s="310"/>
      <c r="AU162" s="309"/>
      <c r="AV162" s="310"/>
      <c r="AW162" s="309"/>
      <c r="AX162" s="310"/>
      <c r="AY162" s="309"/>
      <c r="AZ162" s="310"/>
      <c r="BA162" s="271">
        <v>2</v>
      </c>
      <c r="BB162" s="271">
        <v>55.98</v>
      </c>
      <c r="BC162" s="271"/>
      <c r="BD162" s="271"/>
      <c r="BE162" s="271">
        <v>1</v>
      </c>
      <c r="BF162" s="271">
        <v>75.989999999999995</v>
      </c>
    </row>
    <row r="163" spans="2:58" ht="16" thickBot="1" x14ac:dyDescent="0.25">
      <c r="B163" s="289" t="s">
        <v>23</v>
      </c>
      <c r="C163" s="295">
        <v>2529.08</v>
      </c>
      <c r="D163" s="275"/>
      <c r="E163" s="275"/>
      <c r="F163" s="302" t="s">
        <v>343</v>
      </c>
      <c r="G163" s="309"/>
      <c r="H163" s="310"/>
      <c r="I163" s="309"/>
      <c r="J163" s="310"/>
      <c r="K163" s="309"/>
      <c r="L163" s="310"/>
      <c r="M163" s="309"/>
      <c r="N163" s="310"/>
      <c r="O163" s="271"/>
      <c r="P163" s="271"/>
      <c r="Q163" s="309"/>
      <c r="R163" s="310"/>
      <c r="S163" s="309"/>
      <c r="T163" s="310"/>
      <c r="U163" s="309"/>
      <c r="V163" s="310"/>
      <c r="W163" s="309"/>
      <c r="X163" s="310"/>
      <c r="Y163" s="309"/>
      <c r="Z163" s="310"/>
      <c r="AA163" s="309"/>
      <c r="AB163" s="310"/>
      <c r="AC163" s="271"/>
      <c r="AD163" s="271"/>
      <c r="AE163" s="309"/>
      <c r="AF163" s="310"/>
      <c r="AG163" s="309"/>
      <c r="AH163" s="310"/>
      <c r="AI163" s="309"/>
      <c r="AJ163" s="310"/>
      <c r="AK163" s="309"/>
      <c r="AL163" s="310"/>
      <c r="AM163" s="309"/>
      <c r="AN163" s="310"/>
      <c r="AO163" s="309"/>
      <c r="AP163" s="310"/>
      <c r="AQ163" s="309"/>
      <c r="AR163" s="310"/>
      <c r="AS163" s="309"/>
      <c r="AT163" s="310"/>
      <c r="AU163" s="309"/>
      <c r="AV163" s="310"/>
      <c r="AW163" s="309">
        <v>5</v>
      </c>
      <c r="AX163" s="310">
        <v>1526.28</v>
      </c>
      <c r="AY163" s="309">
        <v>5</v>
      </c>
      <c r="AZ163" s="310">
        <v>1002.81</v>
      </c>
      <c r="BA163" s="271"/>
      <c r="BB163" s="271"/>
      <c r="BC163" s="271"/>
      <c r="BD163" s="271"/>
      <c r="BE163" s="271"/>
      <c r="BF163" s="271"/>
    </row>
    <row r="164" spans="2:58" ht="16" thickBot="1" x14ac:dyDescent="0.25">
      <c r="B164" s="298"/>
      <c r="C164" s="656">
        <f>SUM(C160:C163)</f>
        <v>8910.49</v>
      </c>
      <c r="D164" s="656"/>
      <c r="E164" s="578"/>
      <c r="F164" s="553"/>
      <c r="G164" s="309"/>
      <c r="H164" s="310"/>
      <c r="I164" s="309"/>
      <c r="J164" s="310"/>
      <c r="K164" s="309"/>
      <c r="L164" s="310"/>
      <c r="M164" s="309"/>
      <c r="N164" s="310"/>
      <c r="O164" s="271"/>
      <c r="P164" s="271"/>
      <c r="Q164" s="309"/>
      <c r="R164" s="310"/>
      <c r="S164" s="309"/>
      <c r="T164" s="310"/>
      <c r="U164" s="309"/>
      <c r="V164" s="310"/>
      <c r="W164" s="309"/>
      <c r="X164" s="310"/>
      <c r="Y164" s="309"/>
      <c r="Z164" s="310"/>
      <c r="AA164" s="309"/>
      <c r="AB164" s="310"/>
      <c r="AC164" s="271"/>
      <c r="AD164" s="271"/>
      <c r="AE164" s="309"/>
      <c r="AF164" s="310"/>
      <c r="AG164" s="309"/>
      <c r="AH164" s="310"/>
      <c r="AI164" s="309"/>
      <c r="AJ164" s="310"/>
      <c r="AK164" s="309"/>
      <c r="AL164" s="310"/>
      <c r="AM164" s="309"/>
      <c r="AN164" s="310"/>
      <c r="AO164" s="309"/>
      <c r="AP164" s="310"/>
      <c r="AQ164" s="309"/>
      <c r="AR164" s="310"/>
      <c r="AS164" s="309"/>
      <c r="AT164" s="310"/>
      <c r="AU164" s="309"/>
      <c r="AV164" s="310"/>
      <c r="AW164" s="309"/>
      <c r="AX164" s="310"/>
      <c r="AY164" s="309"/>
      <c r="AZ164" s="310"/>
      <c r="BA164" s="271"/>
      <c r="BB164" s="271"/>
      <c r="BC164" s="271"/>
      <c r="BD164" s="271"/>
      <c r="BE164" s="271"/>
      <c r="BF164" s="271"/>
    </row>
    <row r="165" spans="2:58" ht="16" thickBot="1" x14ac:dyDescent="0.25">
      <c r="B165" s="479">
        <v>45674</v>
      </c>
      <c r="C165" s="299">
        <v>800</v>
      </c>
      <c r="D165" s="300"/>
      <c r="E165" s="274" t="s">
        <v>424</v>
      </c>
      <c r="F165" s="301"/>
      <c r="G165" s="309"/>
      <c r="H165" s="310"/>
      <c r="I165" s="309"/>
      <c r="J165" s="310"/>
      <c r="K165" s="309"/>
      <c r="L165" s="310"/>
      <c r="M165" s="309"/>
      <c r="N165" s="310"/>
      <c r="O165" s="271"/>
      <c r="P165" s="271"/>
      <c r="Q165" s="309"/>
      <c r="R165" s="310"/>
      <c r="S165" s="309"/>
      <c r="T165" s="310"/>
      <c r="U165" s="309"/>
      <c r="V165" s="310"/>
      <c r="W165" s="309"/>
      <c r="X165" s="310"/>
      <c r="Y165" s="309"/>
      <c r="Z165" s="310"/>
      <c r="AA165" s="309"/>
      <c r="AB165" s="310"/>
      <c r="AC165" s="271"/>
      <c r="AD165" s="271"/>
      <c r="AE165" s="309"/>
      <c r="AF165" s="310"/>
      <c r="AG165" s="309"/>
      <c r="AH165" s="310"/>
      <c r="AI165" s="309"/>
      <c r="AJ165" s="310"/>
      <c r="AK165" s="309"/>
      <c r="AL165" s="310"/>
      <c r="AM165" s="309"/>
      <c r="AN165" s="310"/>
      <c r="AO165" s="309"/>
      <c r="AP165" s="310"/>
      <c r="AQ165" s="309"/>
      <c r="AR165" s="310"/>
      <c r="AS165" s="309"/>
      <c r="AT165" s="310"/>
      <c r="AU165" s="309"/>
      <c r="AV165" s="310"/>
      <c r="AW165" s="309"/>
      <c r="AX165" s="310"/>
      <c r="AY165" s="309"/>
      <c r="AZ165" s="310"/>
      <c r="BA165" s="271"/>
      <c r="BB165" s="271"/>
      <c r="BC165" s="271"/>
      <c r="BD165" s="271"/>
      <c r="BE165" s="271"/>
      <c r="BF165" s="271"/>
    </row>
    <row r="166" spans="2:58" ht="16" thickBot="1" x14ac:dyDescent="0.25">
      <c r="B166" s="479"/>
      <c r="C166" s="299"/>
      <c r="D166" s="300"/>
      <c r="E166" s="275"/>
      <c r="F166" s="302"/>
      <c r="G166" s="309"/>
      <c r="H166" s="310"/>
      <c r="I166" s="309"/>
      <c r="J166" s="310"/>
      <c r="K166" s="309"/>
      <c r="L166" s="310"/>
      <c r="M166" s="309"/>
      <c r="N166" s="310"/>
      <c r="O166" s="271"/>
      <c r="P166" s="271"/>
      <c r="Q166" s="309"/>
      <c r="R166" s="310"/>
      <c r="S166" s="309"/>
      <c r="T166" s="310"/>
      <c r="U166" s="309"/>
      <c r="V166" s="310"/>
      <c r="W166" s="309"/>
      <c r="X166" s="310"/>
      <c r="Y166" s="309"/>
      <c r="Z166" s="310"/>
      <c r="AA166" s="309"/>
      <c r="AB166" s="310"/>
      <c r="AC166" s="271"/>
      <c r="AD166" s="271"/>
      <c r="AE166" s="309"/>
      <c r="AF166" s="310"/>
      <c r="AG166" s="309"/>
      <c r="AH166" s="310"/>
      <c r="AI166" s="309"/>
      <c r="AJ166" s="310"/>
      <c r="AK166" s="309"/>
      <c r="AL166" s="310"/>
      <c r="AM166" s="309"/>
      <c r="AN166" s="310"/>
      <c r="AO166" s="309"/>
      <c r="AP166" s="310"/>
      <c r="AQ166" s="309"/>
      <c r="AR166" s="310"/>
      <c r="AS166" s="309"/>
      <c r="AT166" s="310"/>
      <c r="AU166" s="309"/>
      <c r="AV166" s="310"/>
      <c r="AW166" s="309"/>
      <c r="AX166" s="310"/>
      <c r="AY166" s="309"/>
      <c r="AZ166" s="310"/>
      <c r="BA166" s="271"/>
      <c r="BB166" s="271"/>
      <c r="BC166" s="271"/>
      <c r="BD166" s="271"/>
      <c r="BE166" s="271"/>
      <c r="BF166" s="271"/>
    </row>
    <row r="167" spans="2:58" ht="16" thickBot="1" x14ac:dyDescent="0.25">
      <c r="B167" s="479"/>
      <c r="C167" s="299"/>
      <c r="D167" s="300"/>
      <c r="E167" s="275"/>
      <c r="F167" s="302"/>
      <c r="G167" s="309"/>
      <c r="H167" s="310"/>
      <c r="I167" s="309"/>
      <c r="J167" s="310"/>
      <c r="K167" s="309"/>
      <c r="L167" s="310"/>
      <c r="M167" s="309"/>
      <c r="N167" s="310"/>
      <c r="O167" s="271"/>
      <c r="P167" s="271"/>
      <c r="Q167" s="309"/>
      <c r="R167" s="310"/>
      <c r="S167" s="309"/>
      <c r="T167" s="310"/>
      <c r="U167" s="309"/>
      <c r="V167" s="310"/>
      <c r="W167" s="309"/>
      <c r="X167" s="310"/>
      <c r="Y167" s="309"/>
      <c r="Z167" s="310"/>
      <c r="AA167" s="309"/>
      <c r="AB167" s="310"/>
      <c r="AC167" s="271"/>
      <c r="AD167" s="271"/>
      <c r="AE167" s="309"/>
      <c r="AF167" s="310"/>
      <c r="AG167" s="309"/>
      <c r="AH167" s="310"/>
      <c r="AI167" s="309"/>
      <c r="AJ167" s="310"/>
      <c r="AK167" s="309"/>
      <c r="AL167" s="310"/>
      <c r="AM167" s="309"/>
      <c r="AN167" s="310"/>
      <c r="AO167" s="309"/>
      <c r="AP167" s="310"/>
      <c r="AQ167" s="309"/>
      <c r="AR167" s="310"/>
      <c r="AS167" s="309"/>
      <c r="AT167" s="310"/>
      <c r="AU167" s="309"/>
      <c r="AV167" s="310"/>
      <c r="AW167" s="309"/>
      <c r="AX167" s="310"/>
      <c r="AY167" s="309"/>
      <c r="AZ167" s="310"/>
      <c r="BA167" s="271"/>
      <c r="BB167" s="271"/>
      <c r="BC167" s="271"/>
      <c r="BD167" s="271"/>
      <c r="BE167" s="271"/>
      <c r="BF167" s="271"/>
    </row>
    <row r="168" spans="2:58" ht="16" thickBot="1" x14ac:dyDescent="0.25">
      <c r="B168" s="479"/>
      <c r="C168" s="299"/>
      <c r="D168" s="300"/>
      <c r="E168" s="275"/>
      <c r="F168" s="302"/>
      <c r="G168" s="309"/>
      <c r="H168" s="310"/>
      <c r="I168" s="309"/>
      <c r="J168" s="310"/>
      <c r="K168" s="309"/>
      <c r="L168" s="310"/>
      <c r="M168" s="309"/>
      <c r="N168" s="310"/>
      <c r="O168" s="271"/>
      <c r="P168" s="271"/>
      <c r="Q168" s="309"/>
      <c r="R168" s="310"/>
      <c r="S168" s="309"/>
      <c r="T168" s="310"/>
      <c r="U168" s="309"/>
      <c r="V168" s="310"/>
      <c r="W168" s="309"/>
      <c r="X168" s="310"/>
      <c r="Y168" s="309"/>
      <c r="Z168" s="310"/>
      <c r="AA168" s="309"/>
      <c r="AB168" s="310"/>
      <c r="AC168" s="271"/>
      <c r="AD168" s="271"/>
      <c r="AE168" s="309"/>
      <c r="AF168" s="310"/>
      <c r="AG168" s="309"/>
      <c r="AH168" s="310"/>
      <c r="AI168" s="309"/>
      <c r="AJ168" s="310"/>
      <c r="AK168" s="309"/>
      <c r="AL168" s="310"/>
      <c r="AM168" s="309"/>
      <c r="AN168" s="310"/>
      <c r="AO168" s="309"/>
      <c r="AP168" s="310"/>
      <c r="AQ168" s="309"/>
      <c r="AR168" s="310"/>
      <c r="AS168" s="309"/>
      <c r="AT168" s="310"/>
      <c r="AU168" s="309"/>
      <c r="AV168" s="310"/>
      <c r="AW168" s="309"/>
      <c r="AX168" s="310"/>
      <c r="AY168" s="309"/>
      <c r="AZ168" s="310"/>
      <c r="BA168" s="271"/>
      <c r="BB168" s="271"/>
      <c r="BC168" s="271"/>
      <c r="BD168" s="271"/>
      <c r="BE168" s="271"/>
      <c r="BF168" s="271"/>
    </row>
    <row r="169" spans="2:58" ht="16" thickBot="1" x14ac:dyDescent="0.25">
      <c r="B169" s="479"/>
      <c r="C169" s="657"/>
      <c r="D169" s="657"/>
      <c r="E169" s="285"/>
      <c r="F169" s="302"/>
      <c r="G169" s="309"/>
      <c r="H169" s="310"/>
      <c r="I169" s="309"/>
      <c r="J169" s="310"/>
      <c r="K169" s="309"/>
      <c r="L169" s="310"/>
      <c r="M169" s="309"/>
      <c r="N169" s="310"/>
      <c r="O169" s="271"/>
      <c r="P169" s="271"/>
      <c r="Q169" s="309"/>
      <c r="R169" s="310"/>
      <c r="S169" s="309"/>
      <c r="T169" s="310"/>
      <c r="U169" s="309"/>
      <c r="V169" s="310"/>
      <c r="W169" s="309"/>
      <c r="X169" s="310"/>
      <c r="Y169" s="309"/>
      <c r="Z169" s="310"/>
      <c r="AA169" s="309"/>
      <c r="AB169" s="310"/>
      <c r="AC169" s="271"/>
      <c r="AD169" s="271"/>
      <c r="AE169" s="309"/>
      <c r="AF169" s="310"/>
      <c r="AG169" s="309"/>
      <c r="AH169" s="310"/>
      <c r="AI169" s="309"/>
      <c r="AJ169" s="310"/>
      <c r="AK169" s="309"/>
      <c r="AL169" s="310"/>
      <c r="AM169" s="309"/>
      <c r="AN169" s="310"/>
      <c r="AO169" s="309"/>
      <c r="AP169" s="310"/>
      <c r="AQ169" s="309"/>
      <c r="AR169" s="310"/>
      <c r="AS169" s="309"/>
      <c r="AT169" s="310"/>
      <c r="AU169" s="309"/>
      <c r="AV169" s="310"/>
      <c r="AW169" s="309"/>
      <c r="AX169" s="310"/>
      <c r="AY169" s="309"/>
      <c r="AZ169" s="310"/>
      <c r="BA169" s="271"/>
      <c r="BB169" s="271"/>
      <c r="BC169" s="271"/>
      <c r="BD169" s="271"/>
      <c r="BE169" s="271"/>
      <c r="BF169" s="271"/>
    </row>
    <row r="170" spans="2:58" ht="16" thickBot="1" x14ac:dyDescent="0.25">
      <c r="B170" s="479" t="s">
        <v>24</v>
      </c>
      <c r="C170" s="299"/>
      <c r="D170" s="300"/>
      <c r="E170" s="275"/>
      <c r="F170" s="302"/>
      <c r="G170" s="309"/>
      <c r="H170" s="310"/>
      <c r="I170" s="309"/>
      <c r="J170" s="310"/>
      <c r="K170" s="309"/>
      <c r="L170" s="310"/>
      <c r="M170" s="309"/>
      <c r="N170" s="310"/>
      <c r="O170" s="271"/>
      <c r="P170" s="271"/>
      <c r="Q170" s="309"/>
      <c r="R170" s="310"/>
      <c r="S170" s="309"/>
      <c r="T170" s="310"/>
      <c r="U170" s="309"/>
      <c r="V170" s="310"/>
      <c r="W170" s="309"/>
      <c r="X170" s="310"/>
      <c r="Y170" s="309"/>
      <c r="Z170" s="310"/>
      <c r="AA170" s="309"/>
      <c r="AB170" s="310"/>
      <c r="AC170" s="271"/>
      <c r="AD170" s="271"/>
      <c r="AE170" s="309"/>
      <c r="AF170" s="310"/>
      <c r="AG170" s="309"/>
      <c r="AH170" s="310"/>
      <c r="AI170" s="309"/>
      <c r="AJ170" s="310"/>
      <c r="AK170" s="309"/>
      <c r="AL170" s="310"/>
      <c r="AM170" s="309"/>
      <c r="AN170" s="310"/>
      <c r="AO170" s="309"/>
      <c r="AP170" s="310"/>
      <c r="AQ170" s="309"/>
      <c r="AR170" s="310"/>
      <c r="AS170" s="309"/>
      <c r="AT170" s="310"/>
      <c r="AU170" s="309"/>
      <c r="AV170" s="310"/>
      <c r="AW170" s="309"/>
      <c r="AX170" s="310"/>
      <c r="AY170" s="309"/>
      <c r="AZ170" s="310"/>
      <c r="BA170" s="271"/>
      <c r="BB170" s="271"/>
      <c r="BC170" s="271"/>
      <c r="BD170" s="271"/>
      <c r="BE170" s="271"/>
      <c r="BF170" s="271"/>
    </row>
    <row r="171" spans="2:58" ht="16" thickBot="1" x14ac:dyDescent="0.25">
      <c r="B171" s="577"/>
      <c r="C171" s="159">
        <f>SUM(C165:C170)</f>
        <v>800</v>
      </c>
      <c r="D171" s="159"/>
      <c r="E171" s="270"/>
      <c r="F171" s="271"/>
      <c r="G171" s="309"/>
      <c r="H171" s="310"/>
      <c r="I171" s="309"/>
      <c r="J171" s="310"/>
      <c r="K171" s="309"/>
      <c r="L171" s="310"/>
      <c r="M171" s="309"/>
      <c r="N171" s="310"/>
      <c r="O171" s="271"/>
      <c r="P171" s="271"/>
      <c r="Q171" s="309"/>
      <c r="R171" s="310"/>
      <c r="S171" s="309"/>
      <c r="T171" s="310"/>
      <c r="U171" s="309"/>
      <c r="V171" s="310"/>
      <c r="W171" s="309"/>
      <c r="X171" s="310"/>
      <c r="Y171" s="309"/>
      <c r="Z171" s="310"/>
      <c r="AA171" s="309"/>
      <c r="AB171" s="310"/>
      <c r="AC171" s="271"/>
      <c r="AD171" s="271"/>
      <c r="AE171" s="309"/>
      <c r="AF171" s="310"/>
      <c r="AG171" s="309"/>
      <c r="AH171" s="310"/>
      <c r="AI171" s="309"/>
      <c r="AJ171" s="310"/>
      <c r="AK171" s="309"/>
      <c r="AL171" s="310"/>
      <c r="AM171" s="309"/>
      <c r="AN171" s="310"/>
      <c r="AO171" s="309"/>
      <c r="AP171" s="310"/>
      <c r="AQ171" s="309"/>
      <c r="AR171" s="310"/>
      <c r="AS171" s="309"/>
      <c r="AT171" s="310"/>
      <c r="AU171" s="309"/>
      <c r="AV171" s="310"/>
      <c r="AW171" s="309"/>
      <c r="AX171" s="310"/>
      <c r="AY171" s="309"/>
      <c r="AZ171" s="310"/>
      <c r="BA171" s="271"/>
      <c r="BB171" s="271"/>
      <c r="BC171" s="271"/>
      <c r="BD171" s="271"/>
      <c r="BE171" s="271"/>
      <c r="BF171" s="271"/>
    </row>
    <row r="172" spans="2:58" ht="16" thickBot="1" x14ac:dyDescent="0.25">
      <c r="B172" s="289">
        <v>45675</v>
      </c>
      <c r="C172" s="299">
        <v>1500</v>
      </c>
      <c r="D172" s="300"/>
      <c r="E172" s="274" t="s">
        <v>3</v>
      </c>
      <c r="F172" s="302"/>
      <c r="G172" s="309"/>
      <c r="H172" s="310"/>
      <c r="I172" s="309"/>
      <c r="J172" s="310"/>
      <c r="K172" s="309"/>
      <c r="L172" s="310"/>
      <c r="M172" s="309"/>
      <c r="N172" s="310"/>
      <c r="O172" s="271"/>
      <c r="P172" s="271"/>
      <c r="Q172" s="309"/>
      <c r="R172" s="310"/>
      <c r="S172" s="309"/>
      <c r="T172" s="310"/>
      <c r="U172" s="309"/>
      <c r="V172" s="310"/>
      <c r="W172" s="309"/>
      <c r="X172" s="310"/>
      <c r="Y172" s="309"/>
      <c r="Z172" s="310"/>
      <c r="AA172" s="309"/>
      <c r="AB172" s="310"/>
      <c r="AC172" s="271"/>
      <c r="AD172" s="271"/>
      <c r="AE172" s="309"/>
      <c r="AF172" s="310"/>
      <c r="AG172" s="309"/>
      <c r="AH172" s="310"/>
      <c r="AI172" s="309"/>
      <c r="AJ172" s="310"/>
      <c r="AK172" s="309"/>
      <c r="AL172" s="310"/>
      <c r="AM172" s="309"/>
      <c r="AN172" s="310"/>
      <c r="AO172" s="309"/>
      <c r="AP172" s="310"/>
      <c r="AQ172" s="309"/>
      <c r="AR172" s="310"/>
      <c r="AS172" s="309"/>
      <c r="AT172" s="310"/>
      <c r="AU172" s="309"/>
      <c r="AV172" s="310"/>
      <c r="AW172" s="309"/>
      <c r="AX172" s="310"/>
      <c r="AY172" s="309"/>
      <c r="AZ172" s="310"/>
      <c r="BA172" s="271"/>
      <c r="BB172" s="271"/>
      <c r="BC172" s="271"/>
      <c r="BD172" s="271"/>
      <c r="BE172" s="271"/>
      <c r="BF172" s="271"/>
    </row>
    <row r="173" spans="2:58" ht="16" thickBot="1" x14ac:dyDescent="0.25">
      <c r="B173" s="289"/>
      <c r="C173" s="299">
        <v>349.9</v>
      </c>
      <c r="D173" s="300"/>
      <c r="E173" s="275"/>
      <c r="F173" s="302" t="s">
        <v>14</v>
      </c>
      <c r="G173" s="309"/>
      <c r="H173" s="310"/>
      <c r="I173" s="309"/>
      <c r="J173" s="310"/>
      <c r="K173" s="309"/>
      <c r="L173" s="310"/>
      <c r="M173" s="309"/>
      <c r="N173" s="310"/>
      <c r="O173" s="271"/>
      <c r="P173" s="271"/>
      <c r="Q173" s="309"/>
      <c r="R173" s="310"/>
      <c r="S173" s="309"/>
      <c r="T173" s="310"/>
      <c r="U173" s="309"/>
      <c r="V173" s="310"/>
      <c r="W173" s="309"/>
      <c r="X173" s="310"/>
      <c r="Y173" s="309"/>
      <c r="Z173" s="310"/>
      <c r="AA173" s="309"/>
      <c r="AB173" s="310"/>
      <c r="AC173" s="271"/>
      <c r="AD173" s="271"/>
      <c r="AE173" s="309">
        <v>10</v>
      </c>
      <c r="AF173" s="310">
        <v>349.9</v>
      </c>
      <c r="AG173" s="309"/>
      <c r="AH173" s="310"/>
      <c r="AI173" s="309"/>
      <c r="AJ173" s="310"/>
      <c r="AK173" s="309"/>
      <c r="AL173" s="310"/>
      <c r="AM173" s="309"/>
      <c r="AN173" s="310"/>
      <c r="AO173" s="309"/>
      <c r="AP173" s="310"/>
      <c r="AQ173" s="309"/>
      <c r="AR173" s="310"/>
      <c r="AS173" s="309"/>
      <c r="AT173" s="310"/>
      <c r="AU173" s="309"/>
      <c r="AV173" s="310"/>
      <c r="AW173" s="309"/>
      <c r="AX173" s="310"/>
      <c r="AY173" s="309"/>
      <c r="AZ173" s="310"/>
      <c r="BA173" s="271"/>
      <c r="BB173" s="271"/>
      <c r="BC173" s="271"/>
      <c r="BD173" s="271"/>
      <c r="BE173" s="271"/>
      <c r="BF173" s="271"/>
    </row>
    <row r="174" spans="2:58" ht="16" thickBot="1" x14ac:dyDescent="0.25">
      <c r="B174" s="289"/>
      <c r="C174" s="299">
        <v>6462.58</v>
      </c>
      <c r="D174" s="300"/>
      <c r="E174" s="275"/>
      <c r="F174" s="302" t="s">
        <v>9</v>
      </c>
      <c r="G174" s="309">
        <v>12</v>
      </c>
      <c r="H174" s="310">
        <v>1643.88</v>
      </c>
      <c r="I174" s="309">
        <v>4</v>
      </c>
      <c r="J174" s="310">
        <v>819.96</v>
      </c>
      <c r="K174" s="309">
        <v>8</v>
      </c>
      <c r="L174" s="310">
        <v>1455.92</v>
      </c>
      <c r="M174" s="309">
        <v>10</v>
      </c>
      <c r="N174" s="310">
        <f>299.98+1195.98</f>
        <v>1495.96</v>
      </c>
      <c r="O174" s="271"/>
      <c r="P174" s="271"/>
      <c r="Q174" s="309"/>
      <c r="R174" s="310"/>
      <c r="S174" s="309"/>
      <c r="T174" s="310"/>
      <c r="U174" s="309"/>
      <c r="V174" s="310"/>
      <c r="W174" s="309">
        <v>4</v>
      </c>
      <c r="X174" s="310">
        <v>171.96</v>
      </c>
      <c r="Y174" s="309"/>
      <c r="Z174" s="310"/>
      <c r="AA174" s="309"/>
      <c r="AB174" s="310"/>
      <c r="AC174" s="271">
        <v>7</v>
      </c>
      <c r="AD174" s="271">
        <v>692.93</v>
      </c>
      <c r="AE174" s="309"/>
      <c r="AF174" s="310"/>
      <c r="AG174" s="309"/>
      <c r="AH174" s="310"/>
      <c r="AI174" s="309"/>
      <c r="AJ174" s="310"/>
      <c r="AK174" s="309"/>
      <c r="AL174" s="310"/>
      <c r="AM174" s="309"/>
      <c r="AN174" s="310"/>
      <c r="AO174" s="309"/>
      <c r="AP174" s="310"/>
      <c r="AQ174" s="309"/>
      <c r="AR174" s="310"/>
      <c r="AS174" s="309"/>
      <c r="AT174" s="310"/>
      <c r="AU174" s="309"/>
      <c r="AV174" s="310"/>
      <c r="AW174" s="309"/>
      <c r="AX174" s="310"/>
      <c r="AY174" s="309"/>
      <c r="AZ174" s="310"/>
      <c r="BA174" s="271">
        <v>2</v>
      </c>
      <c r="BB174" s="271">
        <v>55.98</v>
      </c>
      <c r="BC174" s="271"/>
      <c r="BD174" s="271"/>
      <c r="BE174" s="271">
        <v>1</v>
      </c>
      <c r="BF174" s="271">
        <v>75.989999999999995</v>
      </c>
    </row>
    <row r="175" spans="2:58" ht="16" thickBot="1" x14ac:dyDescent="0.25">
      <c r="B175" s="289"/>
      <c r="C175" s="299">
        <v>520</v>
      </c>
      <c r="D175" s="300"/>
      <c r="E175" s="275" t="s">
        <v>500</v>
      </c>
      <c r="F175" s="302"/>
      <c r="G175" s="309"/>
      <c r="H175" s="310"/>
      <c r="I175" s="309"/>
      <c r="J175" s="310"/>
      <c r="K175" s="309"/>
      <c r="L175" s="310"/>
      <c r="M175" s="309"/>
      <c r="N175" s="310"/>
      <c r="O175" s="271"/>
      <c r="P175" s="271"/>
      <c r="Q175" s="309"/>
      <c r="R175" s="310"/>
      <c r="S175" s="309"/>
      <c r="T175" s="310"/>
      <c r="U175" s="309"/>
      <c r="V175" s="310"/>
      <c r="W175" s="309"/>
      <c r="X175" s="310"/>
      <c r="Y175" s="309"/>
      <c r="Z175" s="310"/>
      <c r="AA175" s="309"/>
      <c r="AB175" s="310"/>
      <c r="AC175" s="271"/>
      <c r="AD175" s="271"/>
      <c r="AE175" s="309"/>
      <c r="AF175" s="310"/>
      <c r="AG175" s="309"/>
      <c r="AH175" s="310"/>
      <c r="AI175" s="309"/>
      <c r="AJ175" s="310"/>
      <c r="AK175" s="309"/>
      <c r="AL175" s="310"/>
      <c r="AM175" s="309"/>
      <c r="AN175" s="310"/>
      <c r="AO175" s="309"/>
      <c r="AP175" s="310"/>
      <c r="AQ175" s="309"/>
      <c r="AR175" s="310"/>
      <c r="AS175" s="309"/>
      <c r="AT175" s="310"/>
      <c r="AU175" s="309"/>
      <c r="AV175" s="310"/>
      <c r="AW175" s="309"/>
      <c r="AX175" s="310"/>
      <c r="AY175" s="309"/>
      <c r="AZ175" s="310"/>
      <c r="BA175" s="271"/>
      <c r="BB175" s="271"/>
      <c r="BC175" s="271"/>
      <c r="BD175" s="271"/>
      <c r="BE175" s="271"/>
      <c r="BF175" s="271"/>
    </row>
    <row r="176" spans="2:58" ht="16" thickBot="1" x14ac:dyDescent="0.25">
      <c r="B176" s="289"/>
      <c r="C176" s="299">
        <v>25.9</v>
      </c>
      <c r="D176" s="300"/>
      <c r="E176" s="275" t="s">
        <v>334</v>
      </c>
      <c r="F176" s="302"/>
      <c r="G176" s="309"/>
      <c r="H176" s="310"/>
      <c r="I176" s="309"/>
      <c r="J176" s="310"/>
      <c r="K176" s="309"/>
      <c r="L176" s="310"/>
      <c r="M176" s="309"/>
      <c r="N176" s="310"/>
      <c r="O176" s="271"/>
      <c r="P176" s="271"/>
      <c r="Q176" s="309"/>
      <c r="R176" s="310"/>
      <c r="S176" s="309"/>
      <c r="T176" s="310"/>
      <c r="U176" s="309"/>
      <c r="V176" s="310"/>
      <c r="W176" s="309"/>
      <c r="X176" s="310"/>
      <c r="Y176" s="309"/>
      <c r="Z176" s="310"/>
      <c r="AA176" s="309"/>
      <c r="AB176" s="310"/>
      <c r="AC176" s="271"/>
      <c r="AD176" s="271"/>
      <c r="AE176" s="309"/>
      <c r="AF176" s="310"/>
      <c r="AG176" s="309"/>
      <c r="AH176" s="310"/>
      <c r="AI176" s="309"/>
      <c r="AJ176" s="310"/>
      <c r="AK176" s="309"/>
      <c r="AL176" s="310"/>
      <c r="AM176" s="309"/>
      <c r="AN176" s="310"/>
      <c r="AO176" s="309"/>
      <c r="AP176" s="310"/>
      <c r="AQ176" s="309"/>
      <c r="AR176" s="310"/>
      <c r="AS176" s="309"/>
      <c r="AT176" s="310"/>
      <c r="AU176" s="309"/>
      <c r="AV176" s="310"/>
      <c r="AW176" s="309"/>
      <c r="AX176" s="310"/>
      <c r="AY176" s="309"/>
      <c r="AZ176" s="310"/>
      <c r="BA176" s="271"/>
      <c r="BB176" s="271"/>
      <c r="BC176" s="271"/>
      <c r="BD176" s="271"/>
      <c r="BE176" s="271"/>
      <c r="BF176" s="271"/>
    </row>
    <row r="177" spans="2:58" ht="16" thickBot="1" x14ac:dyDescent="0.25">
      <c r="B177" s="289"/>
      <c r="C177" s="299"/>
      <c r="D177" s="300"/>
      <c r="E177" s="275"/>
      <c r="F177" s="302"/>
      <c r="G177" s="309"/>
      <c r="H177" s="310"/>
      <c r="I177" s="309"/>
      <c r="J177" s="310"/>
      <c r="K177" s="309"/>
      <c r="L177" s="310"/>
      <c r="M177" s="309"/>
      <c r="N177" s="310"/>
      <c r="O177" s="271"/>
      <c r="P177" s="271"/>
      <c r="Q177" s="309"/>
      <c r="R177" s="310"/>
      <c r="S177" s="309"/>
      <c r="T177" s="310"/>
      <c r="U177" s="309"/>
      <c r="V177" s="310"/>
      <c r="W177" s="309"/>
      <c r="X177" s="310"/>
      <c r="Y177" s="309"/>
      <c r="Z177" s="310"/>
      <c r="AA177" s="309"/>
      <c r="AB177" s="310"/>
      <c r="AC177" s="271"/>
      <c r="AD177" s="271"/>
      <c r="AE177" s="309"/>
      <c r="AF177" s="310"/>
      <c r="AG177" s="309"/>
      <c r="AH177" s="310"/>
      <c r="AI177" s="309"/>
      <c r="AJ177" s="310"/>
      <c r="AK177" s="309"/>
      <c r="AL177" s="310"/>
      <c r="AM177" s="309"/>
      <c r="AN177" s="310"/>
      <c r="AO177" s="309"/>
      <c r="AP177" s="310"/>
      <c r="AQ177" s="309"/>
      <c r="AR177" s="310"/>
      <c r="AS177" s="309"/>
      <c r="AT177" s="310"/>
      <c r="AU177" s="309"/>
      <c r="AV177" s="310"/>
      <c r="AW177" s="309"/>
      <c r="AX177" s="310"/>
      <c r="AY177" s="309"/>
      <c r="AZ177" s="310"/>
      <c r="BA177" s="271"/>
      <c r="BB177" s="271"/>
      <c r="BC177" s="271"/>
      <c r="BD177" s="271"/>
      <c r="BE177" s="271"/>
      <c r="BF177" s="271"/>
    </row>
    <row r="178" spans="2:58" ht="16" thickBot="1" x14ac:dyDescent="0.25">
      <c r="B178" s="289"/>
      <c r="C178" s="299"/>
      <c r="D178" s="300"/>
      <c r="E178" s="275"/>
      <c r="F178" s="302"/>
      <c r="G178" s="309"/>
      <c r="H178" s="310"/>
      <c r="I178" s="309"/>
      <c r="J178" s="310"/>
      <c r="K178" s="309"/>
      <c r="L178" s="310"/>
      <c r="M178" s="309"/>
      <c r="N178" s="310"/>
      <c r="O178" s="271"/>
      <c r="P178" s="271"/>
      <c r="Q178" s="309"/>
      <c r="R178" s="310"/>
      <c r="S178" s="309"/>
      <c r="T178" s="310"/>
      <c r="U178" s="309"/>
      <c r="V178" s="310"/>
      <c r="W178" s="309"/>
      <c r="X178" s="310"/>
      <c r="Y178" s="309"/>
      <c r="Z178" s="310"/>
      <c r="AA178" s="309"/>
      <c r="AB178" s="310"/>
      <c r="AC178" s="271"/>
      <c r="AD178" s="271"/>
      <c r="AE178" s="309"/>
      <c r="AF178" s="310"/>
      <c r="AG178" s="309"/>
      <c r="AH178" s="310"/>
      <c r="AI178" s="309"/>
      <c r="AJ178" s="310"/>
      <c r="AK178" s="309"/>
      <c r="AL178" s="310"/>
      <c r="AM178" s="309"/>
      <c r="AN178" s="310"/>
      <c r="AO178" s="309"/>
      <c r="AP178" s="310"/>
      <c r="AQ178" s="309"/>
      <c r="AR178" s="310"/>
      <c r="AS178" s="309"/>
      <c r="AT178" s="310"/>
      <c r="AU178" s="309"/>
      <c r="AV178" s="310"/>
      <c r="AW178" s="309"/>
      <c r="AX178" s="310"/>
      <c r="AY178" s="309"/>
      <c r="AZ178" s="310"/>
      <c r="BA178" s="271"/>
      <c r="BB178" s="271"/>
      <c r="BC178" s="271"/>
      <c r="BD178" s="271"/>
      <c r="BE178" s="271"/>
      <c r="BF178" s="271"/>
    </row>
    <row r="179" spans="2:58" ht="16" thickBot="1" x14ac:dyDescent="0.25">
      <c r="B179" s="288" t="s">
        <v>25</v>
      </c>
      <c r="C179" s="284"/>
      <c r="D179" s="291"/>
      <c r="E179" s="290"/>
      <c r="F179" s="293"/>
      <c r="G179" s="309"/>
      <c r="H179" s="310"/>
      <c r="I179" s="309"/>
      <c r="J179" s="310"/>
      <c r="K179" s="309"/>
      <c r="L179" s="310"/>
      <c r="M179" s="309"/>
      <c r="N179" s="310"/>
      <c r="O179" s="271"/>
      <c r="P179" s="271"/>
      <c r="Q179" s="309"/>
      <c r="R179" s="310"/>
      <c r="S179" s="309"/>
      <c r="T179" s="310"/>
      <c r="U179" s="309"/>
      <c r="V179" s="310"/>
      <c r="W179" s="309"/>
      <c r="X179" s="310"/>
      <c r="Y179" s="309"/>
      <c r="Z179" s="310"/>
      <c r="AA179" s="309"/>
      <c r="AB179" s="310"/>
      <c r="AC179" s="271"/>
      <c r="AD179" s="271"/>
      <c r="AE179" s="309"/>
      <c r="AF179" s="310"/>
      <c r="AG179" s="309"/>
      <c r="AH179" s="310"/>
      <c r="AI179" s="309"/>
      <c r="AJ179" s="310"/>
      <c r="AK179" s="309"/>
      <c r="AL179" s="310"/>
      <c r="AM179" s="309"/>
      <c r="AN179" s="310"/>
      <c r="AO179" s="309"/>
      <c r="AP179" s="310"/>
      <c r="AQ179" s="309"/>
      <c r="AR179" s="310"/>
      <c r="AS179" s="309"/>
      <c r="AT179" s="310"/>
      <c r="AU179" s="309"/>
      <c r="AV179" s="310"/>
      <c r="AW179" s="309"/>
      <c r="AX179" s="310"/>
      <c r="AY179" s="309"/>
      <c r="AZ179" s="310"/>
      <c r="BA179" s="271"/>
      <c r="BB179" s="271"/>
      <c r="BC179" s="271"/>
      <c r="BD179" s="271"/>
      <c r="BE179" s="271"/>
      <c r="BF179" s="271"/>
    </row>
    <row r="180" spans="2:58" ht="16" thickBot="1" x14ac:dyDescent="0.25">
      <c r="B180" s="668"/>
      <c r="C180" s="640">
        <f>SUM(C172:C179)</f>
        <v>8858.3799999999992</v>
      </c>
      <c r="D180" s="159"/>
      <c r="E180" s="270"/>
      <c r="F180" s="271"/>
      <c r="G180" s="309"/>
      <c r="H180" s="310"/>
      <c r="I180" s="309"/>
      <c r="J180" s="310"/>
      <c r="K180" s="309"/>
      <c r="L180" s="310"/>
      <c r="M180" s="309"/>
      <c r="N180" s="310"/>
      <c r="O180" s="271"/>
      <c r="P180" s="271"/>
      <c r="Q180" s="309"/>
      <c r="R180" s="310"/>
      <c r="S180" s="309"/>
      <c r="T180" s="310"/>
      <c r="U180" s="309"/>
      <c r="V180" s="310"/>
      <c r="W180" s="309"/>
      <c r="X180" s="310"/>
      <c r="Y180" s="309"/>
      <c r="Z180" s="310"/>
      <c r="AA180" s="309"/>
      <c r="AB180" s="310"/>
      <c r="AC180" s="271"/>
      <c r="AD180" s="271"/>
      <c r="AE180" s="309"/>
      <c r="AF180" s="310"/>
      <c r="AG180" s="309"/>
      <c r="AH180" s="310"/>
      <c r="AI180" s="309"/>
      <c r="AJ180" s="310"/>
      <c r="AK180" s="309"/>
      <c r="AL180" s="310"/>
      <c r="AM180" s="309"/>
      <c r="AN180" s="310"/>
      <c r="AO180" s="309"/>
      <c r="AP180" s="310"/>
      <c r="AQ180" s="309"/>
      <c r="AR180" s="310"/>
      <c r="AS180" s="309"/>
      <c r="AT180" s="310"/>
      <c r="AU180" s="309"/>
      <c r="AV180" s="310"/>
      <c r="AW180" s="309"/>
      <c r="AX180" s="310"/>
      <c r="AY180" s="309"/>
      <c r="AZ180" s="310"/>
      <c r="BA180" s="271"/>
      <c r="BB180" s="271"/>
      <c r="BC180" s="271"/>
      <c r="BD180" s="271"/>
      <c r="BE180" s="271"/>
      <c r="BF180" s="271"/>
    </row>
    <row r="181" spans="2:58" ht="16" thickBot="1" x14ac:dyDescent="0.25">
      <c r="B181" s="479">
        <v>45676</v>
      </c>
      <c r="C181" s="657"/>
      <c r="D181" s="641"/>
      <c r="E181" s="274"/>
      <c r="F181" s="301"/>
      <c r="G181" s="550"/>
      <c r="H181" s="310"/>
      <c r="I181" s="309"/>
      <c r="J181" s="310"/>
      <c r="K181" s="309"/>
      <c r="L181" s="310"/>
      <c r="M181" s="309"/>
      <c r="N181" s="310"/>
      <c r="O181" s="271"/>
      <c r="P181" s="271"/>
      <c r="Q181" s="309"/>
      <c r="R181" s="310"/>
      <c r="S181" s="309"/>
      <c r="T181" s="310"/>
      <c r="U181" s="309"/>
      <c r="V181" s="310"/>
      <c r="W181" s="309"/>
      <c r="X181" s="310"/>
      <c r="Y181" s="309"/>
      <c r="Z181" s="310"/>
      <c r="AA181" s="309"/>
      <c r="AB181" s="310"/>
      <c r="AC181" s="271"/>
      <c r="AD181" s="271"/>
      <c r="AE181" s="309"/>
      <c r="AF181" s="310"/>
      <c r="AG181" s="309"/>
      <c r="AH181" s="310"/>
      <c r="AI181" s="309"/>
      <c r="AJ181" s="310"/>
      <c r="AK181" s="309"/>
      <c r="AL181" s="310"/>
      <c r="AM181" s="309"/>
      <c r="AN181" s="310"/>
      <c r="AO181" s="309"/>
      <c r="AP181" s="310"/>
      <c r="AQ181" s="309"/>
      <c r="AR181" s="310"/>
      <c r="AS181" s="309"/>
      <c r="AT181" s="310"/>
      <c r="AU181" s="309"/>
      <c r="AV181" s="310"/>
      <c r="AW181" s="309"/>
      <c r="AX181" s="310"/>
      <c r="AY181" s="309"/>
      <c r="AZ181" s="310"/>
      <c r="BA181" s="271"/>
      <c r="BB181" s="271"/>
      <c r="BC181" s="271"/>
      <c r="BD181" s="271"/>
      <c r="BE181" s="271"/>
      <c r="BF181" s="271"/>
    </row>
    <row r="182" spans="2:58" ht="16" thickBot="1" x14ac:dyDescent="0.25">
      <c r="B182" s="479"/>
      <c r="C182" s="657"/>
      <c r="D182" s="657"/>
      <c r="E182" s="285"/>
      <c r="F182" s="302"/>
      <c r="G182" s="550"/>
      <c r="H182" s="310"/>
      <c r="I182" s="309"/>
      <c r="J182" s="310"/>
      <c r="K182" s="309"/>
      <c r="L182" s="310"/>
      <c r="M182" s="309"/>
      <c r="N182" s="310"/>
      <c r="O182" s="271"/>
      <c r="P182" s="271"/>
      <c r="Q182" s="309"/>
      <c r="R182" s="310"/>
      <c r="S182" s="309"/>
      <c r="T182" s="310"/>
      <c r="U182" s="309"/>
      <c r="V182" s="310"/>
      <c r="W182" s="309"/>
      <c r="X182" s="310"/>
      <c r="Y182" s="309"/>
      <c r="Z182" s="310"/>
      <c r="AA182" s="309"/>
      <c r="AB182" s="310"/>
      <c r="AC182" s="271"/>
      <c r="AD182" s="271"/>
      <c r="AE182" s="309"/>
      <c r="AF182" s="310"/>
      <c r="AG182" s="309"/>
      <c r="AH182" s="310"/>
      <c r="AI182" s="309"/>
      <c r="AJ182" s="310"/>
      <c r="AK182" s="309"/>
      <c r="AL182" s="310"/>
      <c r="AM182" s="309"/>
      <c r="AN182" s="310"/>
      <c r="AO182" s="309"/>
      <c r="AP182" s="310"/>
      <c r="AQ182" s="309"/>
      <c r="AR182" s="310"/>
      <c r="AS182" s="309"/>
      <c r="AT182" s="310"/>
      <c r="AU182" s="309"/>
      <c r="AV182" s="310"/>
      <c r="AW182" s="309"/>
      <c r="AX182" s="310"/>
      <c r="AY182" s="309"/>
      <c r="AZ182" s="310"/>
      <c r="BA182" s="271"/>
      <c r="BB182" s="271"/>
      <c r="BC182" s="271"/>
      <c r="BD182" s="271"/>
      <c r="BE182" s="271"/>
      <c r="BF182" s="271"/>
    </row>
    <row r="183" spans="2:58" ht="16" thickBot="1" x14ac:dyDescent="0.25">
      <c r="B183" s="479"/>
      <c r="C183" s="657"/>
      <c r="D183" s="657"/>
      <c r="E183" s="285"/>
      <c r="F183" s="302"/>
      <c r="G183" s="550"/>
      <c r="H183" s="310"/>
      <c r="I183" s="309"/>
      <c r="J183" s="310"/>
      <c r="K183" s="309"/>
      <c r="L183" s="310"/>
      <c r="M183" s="309"/>
      <c r="N183" s="310"/>
      <c r="O183" s="271"/>
      <c r="P183" s="271"/>
      <c r="Q183" s="309"/>
      <c r="R183" s="310"/>
      <c r="S183" s="309"/>
      <c r="T183" s="310"/>
      <c r="U183" s="309"/>
      <c r="V183" s="310"/>
      <c r="W183" s="309"/>
      <c r="X183" s="310"/>
      <c r="Y183" s="309"/>
      <c r="Z183" s="310"/>
      <c r="AA183" s="309"/>
      <c r="AB183" s="310"/>
      <c r="AC183" s="271"/>
      <c r="AD183" s="271"/>
      <c r="AE183" s="309"/>
      <c r="AF183" s="310"/>
      <c r="AG183" s="309"/>
      <c r="AH183" s="310"/>
      <c r="AI183" s="309"/>
      <c r="AJ183" s="310"/>
      <c r="AK183" s="309"/>
      <c r="AL183" s="310"/>
      <c r="AM183" s="309"/>
      <c r="AN183" s="310"/>
      <c r="AO183" s="309"/>
      <c r="AP183" s="310"/>
      <c r="AQ183" s="309"/>
      <c r="AR183" s="310"/>
      <c r="AS183" s="309"/>
      <c r="AT183" s="310"/>
      <c r="AU183" s="309"/>
      <c r="AV183" s="310"/>
      <c r="AW183" s="309"/>
      <c r="AX183" s="310"/>
      <c r="AY183" s="309"/>
      <c r="AZ183" s="310"/>
      <c r="BA183" s="271"/>
      <c r="BB183" s="271"/>
      <c r="BC183" s="271"/>
      <c r="BD183" s="271"/>
      <c r="BE183" s="271"/>
      <c r="BF183" s="271"/>
    </row>
    <row r="184" spans="2:58" ht="16" thickBot="1" x14ac:dyDescent="0.25">
      <c r="B184" s="479"/>
      <c r="C184" s="657"/>
      <c r="D184" s="657"/>
      <c r="E184" s="285"/>
      <c r="F184" s="302"/>
      <c r="G184" s="550"/>
      <c r="H184" s="310"/>
      <c r="I184" s="309"/>
      <c r="J184" s="310"/>
      <c r="K184" s="309"/>
      <c r="L184" s="310"/>
      <c r="M184" s="309"/>
      <c r="N184" s="310"/>
      <c r="O184" s="271"/>
      <c r="P184" s="271"/>
      <c r="Q184" s="309"/>
      <c r="R184" s="310"/>
      <c r="S184" s="309"/>
      <c r="T184" s="310"/>
      <c r="U184" s="309"/>
      <c r="V184" s="310"/>
      <c r="W184" s="309"/>
      <c r="X184" s="310"/>
      <c r="Y184" s="309"/>
      <c r="Z184" s="310"/>
      <c r="AA184" s="309"/>
      <c r="AB184" s="310"/>
      <c r="AC184" s="271"/>
      <c r="AD184" s="271"/>
      <c r="AE184" s="309"/>
      <c r="AF184" s="310"/>
      <c r="AG184" s="309"/>
      <c r="AH184" s="310"/>
      <c r="AI184" s="309"/>
      <c r="AJ184" s="310"/>
      <c r="AK184" s="309"/>
      <c r="AL184" s="310"/>
      <c r="AM184" s="309"/>
      <c r="AN184" s="310"/>
      <c r="AO184" s="309"/>
      <c r="AP184" s="310"/>
      <c r="AQ184" s="309"/>
      <c r="AR184" s="310"/>
      <c r="AS184" s="309"/>
      <c r="AT184" s="310"/>
      <c r="AU184" s="309"/>
      <c r="AV184" s="310"/>
      <c r="AW184" s="309"/>
      <c r="AX184" s="310"/>
      <c r="AY184" s="309"/>
      <c r="AZ184" s="310"/>
      <c r="BA184" s="271"/>
      <c r="BB184" s="271"/>
      <c r="BC184" s="271"/>
      <c r="BD184" s="271"/>
      <c r="BE184" s="271"/>
      <c r="BF184" s="271"/>
    </row>
    <row r="185" spans="2:58" ht="16" thickBot="1" x14ac:dyDescent="0.25">
      <c r="B185" s="479"/>
      <c r="C185" s="657"/>
      <c r="D185" s="657"/>
      <c r="E185" s="285"/>
      <c r="F185" s="302"/>
      <c r="G185" s="550"/>
      <c r="H185" s="310"/>
      <c r="I185" s="309"/>
      <c r="J185" s="310"/>
      <c r="K185" s="309"/>
      <c r="L185" s="310"/>
      <c r="M185" s="309"/>
      <c r="N185" s="310"/>
      <c r="O185" s="271"/>
      <c r="P185" s="271"/>
      <c r="Q185" s="309"/>
      <c r="R185" s="310"/>
      <c r="S185" s="309"/>
      <c r="T185" s="310"/>
      <c r="U185" s="309"/>
      <c r="V185" s="310"/>
      <c r="W185" s="309"/>
      <c r="X185" s="310"/>
      <c r="Y185" s="309"/>
      <c r="Z185" s="310"/>
      <c r="AA185" s="309"/>
      <c r="AB185" s="310"/>
      <c r="AC185" s="271"/>
      <c r="AD185" s="271"/>
      <c r="AE185" s="309"/>
      <c r="AF185" s="310"/>
      <c r="AG185" s="309"/>
      <c r="AH185" s="310"/>
      <c r="AI185" s="309"/>
      <c r="AJ185" s="310"/>
      <c r="AK185" s="309"/>
      <c r="AL185" s="310"/>
      <c r="AM185" s="309"/>
      <c r="AN185" s="310"/>
      <c r="AO185" s="309"/>
      <c r="AP185" s="310"/>
      <c r="AQ185" s="309"/>
      <c r="AR185" s="310"/>
      <c r="AS185" s="309"/>
      <c r="AT185" s="310"/>
      <c r="AU185" s="309"/>
      <c r="AV185" s="310"/>
      <c r="AW185" s="309"/>
      <c r="AX185" s="310"/>
      <c r="AY185" s="309"/>
      <c r="AZ185" s="310"/>
      <c r="BA185" s="271"/>
      <c r="BB185" s="271"/>
      <c r="BC185" s="271"/>
      <c r="BD185" s="271"/>
      <c r="BE185" s="271"/>
      <c r="BF185" s="271"/>
    </row>
    <row r="186" spans="2:58" ht="16" thickBot="1" x14ac:dyDescent="0.25">
      <c r="B186" s="479"/>
      <c r="C186" s="657"/>
      <c r="D186" s="657"/>
      <c r="E186" s="285"/>
      <c r="F186" s="302"/>
      <c r="G186" s="550"/>
      <c r="H186" s="310"/>
      <c r="I186" s="309"/>
      <c r="J186" s="310"/>
      <c r="K186" s="309"/>
      <c r="L186" s="310"/>
      <c r="M186" s="309"/>
      <c r="N186" s="310"/>
      <c r="O186" s="271"/>
      <c r="P186" s="271"/>
      <c r="Q186" s="309"/>
      <c r="R186" s="310"/>
      <c r="S186" s="309"/>
      <c r="T186" s="310"/>
      <c r="U186" s="309"/>
      <c r="V186" s="310"/>
      <c r="W186" s="309"/>
      <c r="X186" s="310"/>
      <c r="Y186" s="309"/>
      <c r="Z186" s="310"/>
      <c r="AA186" s="309"/>
      <c r="AB186" s="310"/>
      <c r="AC186" s="271"/>
      <c r="AD186" s="271"/>
      <c r="AE186" s="309"/>
      <c r="AF186" s="310"/>
      <c r="AG186" s="309"/>
      <c r="AH186" s="310"/>
      <c r="AI186" s="309"/>
      <c r="AJ186" s="310"/>
      <c r="AK186" s="309"/>
      <c r="AL186" s="310"/>
      <c r="AM186" s="309"/>
      <c r="AN186" s="310"/>
      <c r="AO186" s="309"/>
      <c r="AP186" s="310"/>
      <c r="AQ186" s="309"/>
      <c r="AR186" s="310"/>
      <c r="AS186" s="309"/>
      <c r="AT186" s="310"/>
      <c r="AU186" s="309"/>
      <c r="AV186" s="310"/>
      <c r="AW186" s="309"/>
      <c r="AX186" s="310"/>
      <c r="AY186" s="309"/>
      <c r="AZ186" s="310"/>
      <c r="BA186" s="271"/>
      <c r="BB186" s="271"/>
      <c r="BC186" s="271"/>
      <c r="BD186" s="271"/>
      <c r="BE186" s="271"/>
      <c r="BF186" s="271"/>
    </row>
    <row r="187" spans="2:58" ht="16" thickBot="1" x14ac:dyDescent="0.25">
      <c r="B187" s="549" t="s">
        <v>26</v>
      </c>
      <c r="C187" s="554"/>
      <c r="D187" s="291"/>
      <c r="E187" s="290"/>
      <c r="F187" s="293"/>
      <c r="G187" s="550"/>
      <c r="H187" s="310"/>
      <c r="I187" s="309"/>
      <c r="J187" s="310"/>
      <c r="K187" s="309"/>
      <c r="L187" s="310"/>
      <c r="M187" s="309"/>
      <c r="N187" s="310"/>
      <c r="O187" s="271"/>
      <c r="P187" s="271"/>
      <c r="Q187" s="309"/>
      <c r="R187" s="310"/>
      <c r="S187" s="309"/>
      <c r="T187" s="310"/>
      <c r="U187" s="309"/>
      <c r="V187" s="310"/>
      <c r="W187" s="309"/>
      <c r="X187" s="310"/>
      <c r="Y187" s="309"/>
      <c r="Z187" s="310"/>
      <c r="AA187" s="309"/>
      <c r="AB187" s="310"/>
      <c r="AC187" s="271"/>
      <c r="AD187" s="271"/>
      <c r="AE187" s="309"/>
      <c r="AF187" s="310"/>
      <c r="AG187" s="309"/>
      <c r="AH187" s="310"/>
      <c r="AI187" s="309"/>
      <c r="AJ187" s="310"/>
      <c r="AK187" s="309"/>
      <c r="AL187" s="310"/>
      <c r="AM187" s="309"/>
      <c r="AN187" s="310"/>
      <c r="AO187" s="309"/>
      <c r="AP187" s="310"/>
      <c r="AQ187" s="309"/>
      <c r="AR187" s="310"/>
      <c r="AS187" s="309"/>
      <c r="AT187" s="310"/>
      <c r="AU187" s="309"/>
      <c r="AV187" s="310"/>
      <c r="AW187" s="309"/>
      <c r="AX187" s="310"/>
      <c r="AY187" s="309"/>
      <c r="AZ187" s="310"/>
      <c r="BA187" s="271"/>
      <c r="BB187" s="271"/>
      <c r="BC187" s="271"/>
      <c r="BD187" s="271"/>
      <c r="BE187" s="271"/>
      <c r="BF187" s="271"/>
    </row>
    <row r="188" spans="2:58" ht="16" thickBot="1" x14ac:dyDescent="0.25">
      <c r="B188" s="292"/>
      <c r="C188" s="551">
        <f>SUM(C181:C187)</f>
        <v>0</v>
      </c>
      <c r="D188" s="551"/>
      <c r="E188" s="552"/>
      <c r="F188" s="553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  <c r="AA188" s="271"/>
      <c r="AB188" s="271"/>
      <c r="AC188" s="271"/>
      <c r="AD188" s="271"/>
      <c r="AE188" s="309"/>
      <c r="AF188" s="310"/>
      <c r="AG188" s="309"/>
      <c r="AH188" s="310"/>
      <c r="AI188" s="309"/>
      <c r="AJ188" s="310"/>
      <c r="AK188" s="309"/>
      <c r="AL188" s="310"/>
      <c r="AM188" s="309"/>
      <c r="AN188" s="310"/>
      <c r="AO188" s="309"/>
      <c r="AP188" s="310"/>
      <c r="AQ188" s="309"/>
      <c r="AR188" s="310"/>
      <c r="AS188" s="309"/>
      <c r="AT188" s="310"/>
      <c r="AU188" s="309"/>
      <c r="AV188" s="310"/>
      <c r="AW188" s="309"/>
      <c r="AX188" s="310"/>
      <c r="AY188" s="309"/>
      <c r="AZ188" s="310"/>
      <c r="BA188" s="271"/>
      <c r="BB188" s="271"/>
      <c r="BC188" s="271"/>
      <c r="BD188" s="271"/>
      <c r="BE188" s="271"/>
      <c r="BF188" s="271"/>
    </row>
    <row r="189" spans="2:58" ht="16" thickBot="1" x14ac:dyDescent="0.25">
      <c r="B189" s="761" t="s">
        <v>329</v>
      </c>
      <c r="C189" s="311"/>
      <c r="D189" s="312"/>
      <c r="E189" s="285"/>
      <c r="F189" s="302"/>
      <c r="G189" s="306">
        <f t="shared" ref="G189:AD189" si="4">SUM(G146:G187)</f>
        <v>29</v>
      </c>
      <c r="H189" s="307">
        <f t="shared" si="4"/>
        <v>3972.71</v>
      </c>
      <c r="I189" s="306">
        <f t="shared" si="4"/>
        <v>11</v>
      </c>
      <c r="J189" s="307">
        <f t="shared" si="4"/>
        <v>1540.89</v>
      </c>
      <c r="K189" s="306">
        <f t="shared" si="4"/>
        <v>22</v>
      </c>
      <c r="L189" s="307">
        <f t="shared" si="4"/>
        <v>4003.78</v>
      </c>
      <c r="M189" s="306">
        <f t="shared" si="4"/>
        <v>31</v>
      </c>
      <c r="N189" s="307">
        <f t="shared" si="4"/>
        <v>4645.75</v>
      </c>
      <c r="O189" s="308">
        <f t="shared" si="4"/>
        <v>18</v>
      </c>
      <c r="P189" s="308">
        <f t="shared" si="4"/>
        <v>9725</v>
      </c>
      <c r="Q189" s="306">
        <f t="shared" si="4"/>
        <v>1</v>
      </c>
      <c r="R189" s="307">
        <f t="shared" si="4"/>
        <v>134.99</v>
      </c>
      <c r="S189" s="306">
        <f t="shared" si="4"/>
        <v>3</v>
      </c>
      <c r="T189" s="307">
        <f t="shared" si="4"/>
        <v>2484</v>
      </c>
      <c r="U189" s="306">
        <f t="shared" si="4"/>
        <v>0</v>
      </c>
      <c r="V189" s="307">
        <f t="shared" si="4"/>
        <v>0</v>
      </c>
      <c r="W189" s="306">
        <f t="shared" si="4"/>
        <v>16</v>
      </c>
      <c r="X189" s="307">
        <f t="shared" si="4"/>
        <v>687.84</v>
      </c>
      <c r="Y189" s="306">
        <f t="shared" si="4"/>
        <v>1</v>
      </c>
      <c r="Z189" s="307">
        <f t="shared" si="4"/>
        <v>772.8</v>
      </c>
      <c r="AA189" s="306">
        <f t="shared" si="4"/>
        <v>2</v>
      </c>
      <c r="AB189" s="307">
        <f t="shared" si="4"/>
        <v>8050</v>
      </c>
      <c r="AC189" s="308">
        <f t="shared" si="4"/>
        <v>19</v>
      </c>
      <c r="AD189" s="308">
        <f t="shared" si="4"/>
        <v>1880.81</v>
      </c>
      <c r="AE189" s="306">
        <f t="shared" ref="AE189:BF189" si="5">SUM(AE146:AE188)</f>
        <v>26</v>
      </c>
      <c r="AF189" s="307">
        <f t="shared" si="5"/>
        <v>909.74</v>
      </c>
      <c r="AG189" s="306">
        <f t="shared" si="5"/>
        <v>0</v>
      </c>
      <c r="AH189" s="307">
        <f t="shared" si="5"/>
        <v>0</v>
      </c>
      <c r="AI189" s="306">
        <f t="shared" si="5"/>
        <v>2</v>
      </c>
      <c r="AJ189" s="307">
        <f t="shared" si="5"/>
        <v>11.98</v>
      </c>
      <c r="AK189" s="306">
        <f t="shared" si="5"/>
        <v>0</v>
      </c>
      <c r="AL189" s="307">
        <f t="shared" si="5"/>
        <v>0</v>
      </c>
      <c r="AM189" s="306">
        <f t="shared" si="5"/>
        <v>0</v>
      </c>
      <c r="AN189" s="307">
        <f t="shared" si="5"/>
        <v>0</v>
      </c>
      <c r="AO189" s="306">
        <f t="shared" si="5"/>
        <v>0</v>
      </c>
      <c r="AP189" s="307">
        <f t="shared" si="5"/>
        <v>0</v>
      </c>
      <c r="AQ189" s="306">
        <f t="shared" si="5"/>
        <v>0</v>
      </c>
      <c r="AR189" s="307">
        <f t="shared" si="5"/>
        <v>0</v>
      </c>
      <c r="AS189" s="306">
        <f t="shared" si="5"/>
        <v>0</v>
      </c>
      <c r="AT189" s="307">
        <f t="shared" si="5"/>
        <v>0</v>
      </c>
      <c r="AU189" s="306">
        <f t="shared" si="5"/>
        <v>0</v>
      </c>
      <c r="AV189" s="307">
        <f t="shared" si="5"/>
        <v>0</v>
      </c>
      <c r="AW189" s="306">
        <f t="shared" si="5"/>
        <v>5</v>
      </c>
      <c r="AX189" s="307">
        <f t="shared" si="5"/>
        <v>1526.28</v>
      </c>
      <c r="AY189" s="306">
        <f t="shared" si="5"/>
        <v>5</v>
      </c>
      <c r="AZ189" s="307">
        <f t="shared" si="5"/>
        <v>1002.81</v>
      </c>
      <c r="BA189" s="306">
        <f t="shared" si="5"/>
        <v>5</v>
      </c>
      <c r="BB189" s="307">
        <f t="shared" si="5"/>
        <v>139.94999999999999</v>
      </c>
      <c r="BC189" s="306">
        <f t="shared" si="5"/>
        <v>0</v>
      </c>
      <c r="BD189" s="307">
        <f t="shared" si="5"/>
        <v>0</v>
      </c>
      <c r="BE189" s="306">
        <f t="shared" si="5"/>
        <v>3</v>
      </c>
      <c r="BF189" s="307">
        <f t="shared" si="5"/>
        <v>227.96999999999997</v>
      </c>
    </row>
    <row r="190" spans="2:58" ht="16" thickBot="1" x14ac:dyDescent="0.25">
      <c r="B190" s="762"/>
      <c r="C190" s="160">
        <f>SUM(C188,C180,C171,C164,C159,C156,C146)</f>
        <v>68978.720000000001</v>
      </c>
      <c r="D190" s="160"/>
      <c r="E190" s="304"/>
      <c r="F190" s="294"/>
      <c r="G190" s="752" t="s">
        <v>29</v>
      </c>
      <c r="H190" s="752"/>
      <c r="I190" s="752" t="s">
        <v>30</v>
      </c>
      <c r="J190" s="752"/>
      <c r="K190" s="752" t="s">
        <v>31</v>
      </c>
      <c r="L190" s="752"/>
      <c r="M190" s="752" t="s">
        <v>32</v>
      </c>
      <c r="N190" s="752"/>
      <c r="O190" s="752" t="s">
        <v>33</v>
      </c>
      <c r="P190" s="752"/>
      <c r="Q190" s="752" t="s">
        <v>247</v>
      </c>
      <c r="R190" s="752"/>
      <c r="S190" s="752" t="s">
        <v>34</v>
      </c>
      <c r="T190" s="752"/>
      <c r="U190" s="752" t="s">
        <v>35</v>
      </c>
      <c r="V190" s="752"/>
      <c r="W190" s="752" t="s">
        <v>36</v>
      </c>
      <c r="X190" s="752"/>
      <c r="Y190" s="752" t="s">
        <v>37</v>
      </c>
      <c r="Z190" s="752"/>
      <c r="AA190" s="752" t="s">
        <v>38</v>
      </c>
      <c r="AB190" s="752"/>
      <c r="AC190" s="752" t="s">
        <v>39</v>
      </c>
      <c r="AD190" s="752"/>
      <c r="AE190" s="752" t="s">
        <v>40</v>
      </c>
      <c r="AF190" s="752"/>
      <c r="AG190" s="752" t="s">
        <v>41</v>
      </c>
      <c r="AH190" s="752"/>
      <c r="AI190" s="752" t="s">
        <v>42</v>
      </c>
      <c r="AJ190" s="752"/>
      <c r="AK190" s="752" t="s">
        <v>43</v>
      </c>
      <c r="AL190" s="752"/>
      <c r="AM190" s="752" t="s">
        <v>157</v>
      </c>
      <c r="AN190" s="752"/>
      <c r="AO190" s="752" t="s">
        <v>248</v>
      </c>
      <c r="AP190" s="752"/>
      <c r="AQ190" s="752" t="s">
        <v>249</v>
      </c>
      <c r="AR190" s="752"/>
      <c r="AS190" s="752" t="s">
        <v>150</v>
      </c>
      <c r="AT190" s="752"/>
      <c r="AU190" s="752" t="s">
        <v>151</v>
      </c>
      <c r="AV190" s="752"/>
      <c r="AW190" s="752" t="s">
        <v>44</v>
      </c>
      <c r="AX190" s="752"/>
      <c r="AY190" s="752" t="s">
        <v>250</v>
      </c>
      <c r="AZ190" s="752"/>
      <c r="BA190" s="752" t="s">
        <v>45</v>
      </c>
      <c r="BB190" s="752"/>
      <c r="BC190" s="752" t="s">
        <v>46</v>
      </c>
      <c r="BD190" s="752"/>
      <c r="BE190" s="752" t="s">
        <v>92</v>
      </c>
      <c r="BF190" s="752"/>
    </row>
    <row r="191" spans="2:58" ht="16" thickBot="1" x14ac:dyDescent="0.25">
      <c r="B191" s="282"/>
      <c r="C191" s="285"/>
      <c r="D191" s="275"/>
      <c r="E191" s="284"/>
      <c r="F191" s="293"/>
      <c r="G191" s="752" t="s">
        <v>50</v>
      </c>
      <c r="H191" s="752"/>
      <c r="I191" s="752" t="s">
        <v>51</v>
      </c>
      <c r="J191" s="752"/>
      <c r="K191" s="752" t="s">
        <v>51</v>
      </c>
      <c r="L191" s="752"/>
      <c r="M191" s="752" t="s">
        <v>52</v>
      </c>
      <c r="N191" s="752"/>
      <c r="O191" s="752">
        <v>180</v>
      </c>
      <c r="P191" s="752"/>
      <c r="Q191" s="752" t="s">
        <v>53</v>
      </c>
      <c r="R191" s="752"/>
      <c r="S191" s="752" t="s">
        <v>54</v>
      </c>
      <c r="T191" s="752"/>
      <c r="U191" s="752" t="s">
        <v>54</v>
      </c>
      <c r="V191" s="752"/>
      <c r="W191" s="752" t="s">
        <v>55</v>
      </c>
      <c r="X191" s="752"/>
      <c r="Y191" s="752" t="s">
        <v>54</v>
      </c>
      <c r="Z191" s="752"/>
      <c r="AA191" s="752" t="s">
        <v>54</v>
      </c>
      <c r="AB191" s="752"/>
      <c r="AC191" s="752" t="s">
        <v>56</v>
      </c>
      <c r="AD191" s="752"/>
      <c r="AE191" s="752" t="s">
        <v>57</v>
      </c>
      <c r="AF191" s="752"/>
      <c r="AG191" s="752" t="s">
        <v>57</v>
      </c>
      <c r="AH191" s="752"/>
      <c r="AI191" s="752" t="s">
        <v>58</v>
      </c>
      <c r="AJ191" s="752"/>
      <c r="AK191" s="752" t="s">
        <v>300</v>
      </c>
      <c r="AL191" s="752"/>
      <c r="AM191" s="752" t="s">
        <v>301</v>
      </c>
      <c r="AN191" s="752"/>
      <c r="AO191" s="752">
        <v>20</v>
      </c>
      <c r="AP191" s="752"/>
      <c r="AQ191" s="752">
        <v>20</v>
      </c>
      <c r="AR191" s="752"/>
      <c r="AS191" s="752" t="s">
        <v>57</v>
      </c>
      <c r="AT191" s="752"/>
      <c r="AU191" s="752" t="s">
        <v>302</v>
      </c>
      <c r="AV191" s="752"/>
      <c r="AW191" s="752">
        <v>100</v>
      </c>
      <c r="AX191" s="752"/>
      <c r="AY191" s="752">
        <v>100</v>
      </c>
      <c r="AZ191" s="752"/>
      <c r="BA191" s="752" t="s">
        <v>59</v>
      </c>
      <c r="BB191" s="752"/>
      <c r="BC191" s="752" t="s">
        <v>51</v>
      </c>
      <c r="BD191" s="752"/>
      <c r="BE191" s="752" t="s">
        <v>53</v>
      </c>
      <c r="BF191" s="752"/>
    </row>
    <row r="192" spans="2:58" ht="16" thickBot="1" x14ac:dyDescent="0.25">
      <c r="B192" s="162"/>
      <c r="C192" s="286"/>
      <c r="D192" s="273"/>
      <c r="E192" s="280"/>
      <c r="F192" s="305"/>
      <c r="G192" s="752">
        <v>151</v>
      </c>
      <c r="H192" s="752"/>
      <c r="I192" s="752">
        <v>167.99</v>
      </c>
      <c r="J192" s="752"/>
      <c r="K192" s="752">
        <v>144.99</v>
      </c>
      <c r="L192" s="752"/>
      <c r="M192" s="760">
        <v>169.99</v>
      </c>
      <c r="N192" s="760"/>
      <c r="O192" s="760">
        <v>274.99</v>
      </c>
      <c r="P192" s="760"/>
      <c r="Q192" s="760">
        <v>102.99</v>
      </c>
      <c r="R192" s="760"/>
      <c r="S192" s="752">
        <v>910.5</v>
      </c>
      <c r="T192" s="752"/>
      <c r="U192" s="752">
        <v>460.75</v>
      </c>
      <c r="V192" s="752"/>
      <c r="W192" s="752">
        <v>1048.95</v>
      </c>
      <c r="X192" s="752"/>
      <c r="Y192" s="752">
        <v>772.8</v>
      </c>
      <c r="Z192" s="752"/>
      <c r="AA192" s="752">
        <v>3450</v>
      </c>
      <c r="AB192" s="752"/>
      <c r="AC192" s="760">
        <v>89.99</v>
      </c>
      <c r="AD192" s="760"/>
      <c r="AE192" s="752">
        <v>39.99</v>
      </c>
      <c r="AF192" s="752"/>
      <c r="AG192" s="752">
        <v>498</v>
      </c>
      <c r="AH192" s="752"/>
      <c r="AI192" s="752">
        <v>4.99</v>
      </c>
      <c r="AJ192" s="752"/>
      <c r="AK192" s="752">
        <v>132.25</v>
      </c>
      <c r="AL192" s="752"/>
      <c r="AM192" s="752">
        <v>47.99</v>
      </c>
      <c r="AN192" s="752"/>
      <c r="AO192" s="752">
        <v>560</v>
      </c>
      <c r="AP192" s="752"/>
      <c r="AQ192" s="752">
        <v>560</v>
      </c>
      <c r="AR192" s="752"/>
      <c r="AS192" s="752">
        <v>613.5</v>
      </c>
      <c r="AT192" s="752"/>
      <c r="AU192" s="752">
        <v>313.89999999999998</v>
      </c>
      <c r="AV192" s="752"/>
      <c r="AW192" s="752">
        <v>405.8</v>
      </c>
      <c r="AX192" s="752"/>
      <c r="AY192" s="752">
        <v>218.99</v>
      </c>
      <c r="AZ192" s="752"/>
      <c r="BA192" s="752">
        <v>24.99</v>
      </c>
      <c r="BB192" s="752"/>
      <c r="BC192" s="752">
        <v>1425</v>
      </c>
      <c r="BD192" s="752"/>
      <c r="BE192" s="752">
        <v>54.99</v>
      </c>
      <c r="BF192" s="752"/>
    </row>
    <row r="193" spans="2:58" ht="16" thickBot="1" x14ac:dyDescent="0.25">
      <c r="B193" s="162"/>
      <c r="C193" s="753" t="str">
        <f>L193</f>
        <v>13 - 19 JANUARY 2025</v>
      </c>
      <c r="D193" s="754"/>
      <c r="E193" s="754"/>
      <c r="F193" s="754"/>
      <c r="G193" s="755"/>
      <c r="H193" s="756"/>
      <c r="I193" s="163"/>
      <c r="J193" s="157"/>
      <c r="K193" s="157"/>
      <c r="L193" s="757" t="str">
        <f>AL193</f>
        <v>13 - 19 JANUARY 2025</v>
      </c>
      <c r="M193" s="755"/>
      <c r="N193" s="755"/>
      <c r="O193" s="755"/>
      <c r="P193" s="755"/>
      <c r="Q193" s="755"/>
      <c r="R193" s="755"/>
      <c r="S193" s="755"/>
      <c r="T193" s="756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758"/>
      <c r="AH193" s="758"/>
      <c r="AI193" s="164"/>
      <c r="AJ193" s="157"/>
      <c r="AK193" s="157"/>
      <c r="AL193" s="759" t="str">
        <f>AW193</f>
        <v>13 - 19 JANUARY 2025</v>
      </c>
      <c r="AM193" s="759"/>
      <c r="AN193" s="759"/>
      <c r="AO193" s="759"/>
      <c r="AP193" s="157"/>
      <c r="AQ193" s="157"/>
      <c r="AR193" s="157"/>
      <c r="AS193" s="157"/>
      <c r="AT193" s="157"/>
      <c r="AU193" s="157"/>
      <c r="AV193" s="157"/>
      <c r="AW193" s="757" t="str">
        <f>AW136</f>
        <v>13 - 19 JANUARY 2025</v>
      </c>
      <c r="AX193" s="755" t="s">
        <v>28</v>
      </c>
      <c r="AY193" s="755"/>
      <c r="AZ193" s="755"/>
      <c r="BA193" s="755"/>
      <c r="BB193" s="755"/>
      <c r="BC193" s="755"/>
      <c r="BD193" s="756"/>
      <c r="BE193" s="157"/>
      <c r="BF193" s="157"/>
    </row>
    <row r="194" spans="2:58" ht="16" thickBot="1" x14ac:dyDescent="0.25"/>
    <row r="195" spans="2:58" ht="16" thickBot="1" x14ac:dyDescent="0.25">
      <c r="B195" s="156" t="s">
        <v>27</v>
      </c>
      <c r="C195" s="753" t="s">
        <v>580</v>
      </c>
      <c r="D195" s="754"/>
      <c r="E195" s="754"/>
      <c r="F195" s="754"/>
      <c r="G195" s="763"/>
      <c r="H195" s="764"/>
      <c r="I195" s="163"/>
      <c r="J195" s="157"/>
      <c r="K195" s="157"/>
      <c r="L195" s="765" t="str">
        <f>C195</f>
        <v>20 - 26 JANUARY 2025</v>
      </c>
      <c r="M195" s="763"/>
      <c r="N195" s="763"/>
      <c r="O195" s="763"/>
      <c r="P195" s="763"/>
      <c r="Q195" s="763"/>
      <c r="R195" s="763"/>
      <c r="S195" s="763"/>
      <c r="T195" s="764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766"/>
      <c r="AH195" s="766"/>
      <c r="AI195" s="753" t="str">
        <f>L195</f>
        <v>20 - 26 JANUARY 2025</v>
      </c>
      <c r="AJ195" s="754"/>
      <c r="AK195" s="754"/>
      <c r="AL195" s="754"/>
      <c r="AM195" s="754"/>
      <c r="AN195" s="754"/>
      <c r="AO195" s="767"/>
      <c r="AP195" s="157"/>
      <c r="AQ195" s="157"/>
      <c r="AR195" s="157"/>
      <c r="AS195" s="157"/>
      <c r="AT195" s="157"/>
      <c r="AU195" s="157"/>
      <c r="AV195" s="157"/>
      <c r="AW195" s="765" t="str">
        <f>AI195</f>
        <v>20 - 26 JANUARY 2025</v>
      </c>
      <c r="AX195" s="763" t="s">
        <v>28</v>
      </c>
      <c r="AY195" s="763"/>
      <c r="AZ195" s="763"/>
      <c r="BA195" s="763"/>
      <c r="BB195" s="763"/>
      <c r="BC195" s="763"/>
      <c r="BD195" s="764"/>
      <c r="BE195" s="157"/>
      <c r="BF195" s="157"/>
    </row>
    <row r="196" spans="2:58" ht="16" thickBot="1" x14ac:dyDescent="0.25">
      <c r="B196" s="158"/>
      <c r="C196" s="161"/>
      <c r="D196" s="161"/>
      <c r="E196" s="157"/>
      <c r="F196" s="157"/>
      <c r="G196" s="752" t="s">
        <v>29</v>
      </c>
      <c r="H196" s="752"/>
      <c r="I196" s="752" t="s">
        <v>30</v>
      </c>
      <c r="J196" s="752"/>
      <c r="K196" s="752" t="s">
        <v>31</v>
      </c>
      <c r="L196" s="752"/>
      <c r="M196" s="752" t="s">
        <v>32</v>
      </c>
      <c r="N196" s="752"/>
      <c r="O196" s="752" t="s">
        <v>33</v>
      </c>
      <c r="P196" s="752"/>
      <c r="Q196" s="752" t="s">
        <v>247</v>
      </c>
      <c r="R196" s="752"/>
      <c r="S196" s="752" t="s">
        <v>34</v>
      </c>
      <c r="T196" s="752"/>
      <c r="U196" s="752" t="s">
        <v>35</v>
      </c>
      <c r="V196" s="752"/>
      <c r="W196" s="752" t="s">
        <v>36</v>
      </c>
      <c r="X196" s="752"/>
      <c r="Y196" s="752" t="s">
        <v>37</v>
      </c>
      <c r="Z196" s="752"/>
      <c r="AA196" s="752" t="s">
        <v>38</v>
      </c>
      <c r="AB196" s="752"/>
      <c r="AC196" s="752" t="s">
        <v>39</v>
      </c>
      <c r="AD196" s="752"/>
      <c r="AE196" s="752" t="s">
        <v>40</v>
      </c>
      <c r="AF196" s="752"/>
      <c r="AG196" s="752" t="s">
        <v>41</v>
      </c>
      <c r="AH196" s="752"/>
      <c r="AI196" s="752" t="s">
        <v>42</v>
      </c>
      <c r="AJ196" s="752"/>
      <c r="AK196" s="752" t="s">
        <v>43</v>
      </c>
      <c r="AL196" s="752"/>
      <c r="AM196" s="752" t="s">
        <v>157</v>
      </c>
      <c r="AN196" s="752"/>
      <c r="AO196" s="752" t="s">
        <v>248</v>
      </c>
      <c r="AP196" s="752"/>
      <c r="AQ196" s="752" t="s">
        <v>249</v>
      </c>
      <c r="AR196" s="752"/>
      <c r="AS196" s="752" t="s">
        <v>150</v>
      </c>
      <c r="AT196" s="752"/>
      <c r="AU196" s="752" t="s">
        <v>151</v>
      </c>
      <c r="AV196" s="752"/>
      <c r="AW196" s="752" t="s">
        <v>44</v>
      </c>
      <c r="AX196" s="752"/>
      <c r="AY196" s="752" t="s">
        <v>250</v>
      </c>
      <c r="AZ196" s="752"/>
      <c r="BA196" s="752" t="s">
        <v>45</v>
      </c>
      <c r="BB196" s="752"/>
      <c r="BC196" s="752" t="s">
        <v>46</v>
      </c>
      <c r="BD196" s="752"/>
      <c r="BE196" s="752" t="s">
        <v>92</v>
      </c>
      <c r="BF196" s="752"/>
    </row>
    <row r="197" spans="2:58" ht="16" thickBot="1" x14ac:dyDescent="0.25">
      <c r="B197" s="156" t="s">
        <v>47</v>
      </c>
      <c r="C197" s="156" t="s">
        <v>48</v>
      </c>
      <c r="D197" s="283"/>
      <c r="E197" s="271"/>
      <c r="F197" s="271" t="s">
        <v>49</v>
      </c>
      <c r="G197" s="752" t="s">
        <v>50</v>
      </c>
      <c r="H197" s="752"/>
      <c r="I197" s="752" t="s">
        <v>51</v>
      </c>
      <c r="J197" s="752"/>
      <c r="K197" s="752" t="s">
        <v>51</v>
      </c>
      <c r="L197" s="752"/>
      <c r="M197" s="752" t="s">
        <v>52</v>
      </c>
      <c r="N197" s="752"/>
      <c r="O197" s="752">
        <v>180</v>
      </c>
      <c r="P197" s="752"/>
      <c r="Q197" s="752" t="s">
        <v>53</v>
      </c>
      <c r="R197" s="752"/>
      <c r="S197" s="752" t="s">
        <v>54</v>
      </c>
      <c r="T197" s="752"/>
      <c r="U197" s="752" t="s">
        <v>54</v>
      </c>
      <c r="V197" s="752"/>
      <c r="W197" s="752" t="s">
        <v>55</v>
      </c>
      <c r="X197" s="752"/>
      <c r="Y197" s="752" t="s">
        <v>54</v>
      </c>
      <c r="Z197" s="752"/>
      <c r="AA197" s="752" t="s">
        <v>54</v>
      </c>
      <c r="AB197" s="752"/>
      <c r="AC197" s="752" t="s">
        <v>56</v>
      </c>
      <c r="AD197" s="752"/>
      <c r="AE197" s="752" t="s">
        <v>57</v>
      </c>
      <c r="AF197" s="752"/>
      <c r="AG197" s="752" t="s">
        <v>57</v>
      </c>
      <c r="AH197" s="752"/>
      <c r="AI197" s="752" t="s">
        <v>58</v>
      </c>
      <c r="AJ197" s="752"/>
      <c r="AK197" s="752" t="s">
        <v>300</v>
      </c>
      <c r="AL197" s="752"/>
      <c r="AM197" s="752" t="s">
        <v>301</v>
      </c>
      <c r="AN197" s="752"/>
      <c r="AO197" s="752">
        <v>20</v>
      </c>
      <c r="AP197" s="752"/>
      <c r="AQ197" s="752">
        <v>20</v>
      </c>
      <c r="AR197" s="752"/>
      <c r="AS197" s="752" t="s">
        <v>57</v>
      </c>
      <c r="AT197" s="752"/>
      <c r="AU197" s="752" t="s">
        <v>302</v>
      </c>
      <c r="AV197" s="752"/>
      <c r="AW197" s="752">
        <v>100</v>
      </c>
      <c r="AX197" s="752"/>
      <c r="AY197" s="752">
        <v>100</v>
      </c>
      <c r="AZ197" s="752"/>
      <c r="BA197" s="752" t="s">
        <v>59</v>
      </c>
      <c r="BB197" s="752"/>
      <c r="BC197" s="752" t="s">
        <v>51</v>
      </c>
      <c r="BD197" s="752"/>
      <c r="BE197" s="752" t="s">
        <v>53</v>
      </c>
      <c r="BF197" s="752"/>
    </row>
    <row r="198" spans="2:58" ht="16" thickBot="1" x14ac:dyDescent="0.25">
      <c r="B198" s="156"/>
      <c r="C198" s="156" t="s">
        <v>60</v>
      </c>
      <c r="D198" s="283"/>
      <c r="E198" s="271" t="s">
        <v>61</v>
      </c>
      <c r="F198" s="271" t="s">
        <v>62</v>
      </c>
      <c r="G198" s="752">
        <v>151</v>
      </c>
      <c r="H198" s="752"/>
      <c r="I198" s="752">
        <v>167.99</v>
      </c>
      <c r="J198" s="752"/>
      <c r="K198" s="752">
        <v>144.99</v>
      </c>
      <c r="L198" s="752"/>
      <c r="M198" s="760">
        <v>169.99</v>
      </c>
      <c r="N198" s="760"/>
      <c r="O198" s="760">
        <v>274.99</v>
      </c>
      <c r="P198" s="760"/>
      <c r="Q198" s="760">
        <v>135</v>
      </c>
      <c r="R198" s="760"/>
      <c r="S198" s="752">
        <v>910.5</v>
      </c>
      <c r="T198" s="752"/>
      <c r="U198" s="752">
        <v>460.75</v>
      </c>
      <c r="V198" s="752"/>
      <c r="W198" s="752">
        <v>1048.95</v>
      </c>
      <c r="X198" s="752"/>
      <c r="Y198" s="752">
        <v>772.8</v>
      </c>
      <c r="Z198" s="752"/>
      <c r="AA198" s="752">
        <v>3450</v>
      </c>
      <c r="AB198" s="752"/>
      <c r="AC198" s="760">
        <v>99.99</v>
      </c>
      <c r="AD198" s="760"/>
      <c r="AE198" s="752">
        <v>29.99</v>
      </c>
      <c r="AF198" s="752"/>
      <c r="AG198" s="752">
        <v>548</v>
      </c>
      <c r="AH198" s="752"/>
      <c r="AI198" s="752">
        <v>4.99</v>
      </c>
      <c r="AJ198" s="752"/>
      <c r="AK198" s="752">
        <v>132.25</v>
      </c>
      <c r="AL198" s="752"/>
      <c r="AM198" s="752">
        <v>47.99</v>
      </c>
      <c r="AN198" s="752"/>
      <c r="AO198" s="752">
        <v>560</v>
      </c>
      <c r="AP198" s="752"/>
      <c r="AQ198" s="752">
        <v>560</v>
      </c>
      <c r="AR198" s="752"/>
      <c r="AS198" s="752">
        <v>613.5</v>
      </c>
      <c r="AT198" s="752"/>
      <c r="AU198" s="752">
        <v>313.89999999999998</v>
      </c>
      <c r="AV198" s="752"/>
      <c r="AW198" s="752">
        <v>405.8</v>
      </c>
      <c r="AX198" s="752"/>
      <c r="AY198" s="752">
        <v>218.99</v>
      </c>
      <c r="AZ198" s="752"/>
      <c r="BA198" s="752">
        <v>24.99</v>
      </c>
      <c r="BB198" s="752"/>
      <c r="BC198" s="752">
        <v>1425</v>
      </c>
      <c r="BD198" s="752"/>
      <c r="BE198" s="752">
        <v>54.99</v>
      </c>
      <c r="BF198" s="752"/>
    </row>
    <row r="199" spans="2:58" ht="16" thickBot="1" x14ac:dyDescent="0.25">
      <c r="B199" s="272">
        <v>45677</v>
      </c>
      <c r="C199" s="274">
        <v>6700</v>
      </c>
      <c r="D199" s="276"/>
      <c r="E199" s="278" t="s">
        <v>12</v>
      </c>
      <c r="F199" s="278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  <c r="AA199" s="271"/>
      <c r="AB199" s="271"/>
      <c r="AC199" s="271"/>
      <c r="AD199" s="271"/>
      <c r="AE199" s="271"/>
      <c r="AF199" s="271"/>
      <c r="AG199" s="271"/>
      <c r="AH199" s="271"/>
      <c r="AI199" s="271"/>
      <c r="AJ199" s="271"/>
      <c r="AK199" s="271"/>
      <c r="AL199" s="271"/>
      <c r="AM199" s="271"/>
      <c r="AN199" s="271"/>
      <c r="AO199" s="271"/>
      <c r="AP199" s="271"/>
      <c r="AQ199" s="271"/>
      <c r="AR199" s="271"/>
      <c r="AS199" s="271"/>
      <c r="AT199" s="271"/>
      <c r="AU199" s="271"/>
      <c r="AV199" s="271"/>
      <c r="AW199" s="271"/>
      <c r="AX199" s="271"/>
      <c r="AY199" s="271"/>
      <c r="AZ199" s="271"/>
      <c r="BA199" s="271"/>
      <c r="BB199" s="271"/>
      <c r="BC199" s="271"/>
      <c r="BD199" s="271"/>
      <c r="BE199" s="271"/>
      <c r="BF199" s="271"/>
    </row>
    <row r="200" spans="2:58" ht="16" thickBot="1" x14ac:dyDescent="0.25">
      <c r="B200" s="660"/>
      <c r="C200" s="275">
        <v>1501.06</v>
      </c>
      <c r="D200" s="661"/>
      <c r="E200" s="303" t="s">
        <v>186</v>
      </c>
      <c r="F200" s="303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  <c r="AA200" s="271"/>
      <c r="AB200" s="271"/>
      <c r="AC200" s="271"/>
      <c r="AD200" s="271"/>
      <c r="AE200" s="271"/>
      <c r="AF200" s="271"/>
      <c r="AG200" s="271"/>
      <c r="AH200" s="271"/>
      <c r="AI200" s="271"/>
      <c r="AJ200" s="271"/>
      <c r="AK200" s="271"/>
      <c r="AL200" s="271"/>
      <c r="AM200" s="271"/>
      <c r="AN200" s="271"/>
      <c r="AO200" s="271"/>
      <c r="AP200" s="271"/>
      <c r="AQ200" s="271"/>
      <c r="AR200" s="271"/>
      <c r="AS200" s="271"/>
      <c r="AT200" s="271"/>
      <c r="AU200" s="271"/>
      <c r="AV200" s="271"/>
      <c r="AW200" s="271"/>
      <c r="AX200" s="271"/>
      <c r="AY200" s="271"/>
      <c r="AZ200" s="271"/>
      <c r="BA200" s="271"/>
      <c r="BB200" s="271"/>
      <c r="BC200" s="271"/>
      <c r="BD200" s="271"/>
      <c r="BE200" s="271"/>
      <c r="BF200" s="271"/>
    </row>
    <row r="201" spans="2:58" ht="16" thickBot="1" x14ac:dyDescent="0.25">
      <c r="B201" s="660"/>
      <c r="C201" s="275">
        <v>139.96</v>
      </c>
      <c r="D201" s="661"/>
      <c r="E201" s="303"/>
      <c r="F201" s="303" t="s">
        <v>14</v>
      </c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  <c r="AB201" s="271"/>
      <c r="AC201" s="271"/>
      <c r="AD201" s="271"/>
      <c r="AE201" s="271">
        <v>4</v>
      </c>
      <c r="AF201" s="271">
        <v>139.96</v>
      </c>
      <c r="AG201" s="271"/>
      <c r="AH201" s="271"/>
      <c r="AI201" s="271"/>
      <c r="AJ201" s="271"/>
      <c r="AK201" s="271"/>
      <c r="AL201" s="271"/>
      <c r="AM201" s="271"/>
      <c r="AN201" s="271"/>
      <c r="AO201" s="271"/>
      <c r="AP201" s="271"/>
      <c r="AQ201" s="271"/>
      <c r="AR201" s="271"/>
      <c r="AS201" s="271"/>
      <c r="AT201" s="271"/>
      <c r="AU201" s="271"/>
      <c r="AV201" s="271"/>
      <c r="AW201" s="271"/>
      <c r="AX201" s="271"/>
      <c r="AY201" s="271"/>
      <c r="AZ201" s="271"/>
      <c r="BA201" s="271"/>
      <c r="BB201" s="271"/>
      <c r="BC201" s="271"/>
      <c r="BD201" s="271"/>
      <c r="BE201" s="271"/>
      <c r="BF201" s="271"/>
    </row>
    <row r="202" spans="2:58" ht="16" thickBot="1" x14ac:dyDescent="0.25">
      <c r="B202" s="660"/>
      <c r="C202" s="275">
        <v>4667.6400000000003</v>
      </c>
      <c r="D202" s="661"/>
      <c r="E202" s="303"/>
      <c r="F202" s="303" t="s">
        <v>9</v>
      </c>
      <c r="G202" s="271">
        <v>8</v>
      </c>
      <c r="H202" s="271">
        <v>1095.92</v>
      </c>
      <c r="I202" s="271">
        <v>2</v>
      </c>
      <c r="J202" s="271">
        <v>20.98</v>
      </c>
      <c r="K202" s="271">
        <v>6</v>
      </c>
      <c r="L202" s="271">
        <v>1091.94</v>
      </c>
      <c r="M202" s="271">
        <v>10</v>
      </c>
      <c r="N202" s="271">
        <v>1569.9</v>
      </c>
      <c r="O202" s="271"/>
      <c r="P202" s="271"/>
      <c r="Q202" s="271"/>
      <c r="R202" s="271"/>
      <c r="S202" s="271"/>
      <c r="T202" s="271"/>
      <c r="U202" s="271"/>
      <c r="V202" s="271"/>
      <c r="W202" s="271">
        <v>6</v>
      </c>
      <c r="X202" s="271">
        <v>257.94</v>
      </c>
      <c r="Y202" s="271"/>
      <c r="Z202" s="271"/>
      <c r="AA202" s="271"/>
      <c r="AB202" s="271"/>
      <c r="AC202" s="271">
        <v>4</v>
      </c>
      <c r="AD202" s="271">
        <v>395.96</v>
      </c>
      <c r="AE202" s="271"/>
      <c r="AF202" s="271"/>
      <c r="AG202" s="271"/>
      <c r="AH202" s="271"/>
      <c r="AI202" s="271"/>
      <c r="AJ202" s="271"/>
      <c r="AK202" s="271"/>
      <c r="AL202" s="271"/>
      <c r="AM202" s="271"/>
      <c r="AN202" s="271"/>
      <c r="AO202" s="271"/>
      <c r="AP202" s="271"/>
      <c r="AQ202" s="271"/>
      <c r="AR202" s="271"/>
      <c r="AS202" s="271"/>
      <c r="AT202" s="271"/>
      <c r="AU202" s="271"/>
      <c r="AV202" s="271"/>
      <c r="AW202" s="271"/>
      <c r="AX202" s="271"/>
      <c r="AY202" s="271"/>
      <c r="AZ202" s="271"/>
      <c r="BA202" s="271"/>
      <c r="BB202" s="271"/>
      <c r="BC202" s="271"/>
      <c r="BD202" s="271"/>
      <c r="BE202" s="271"/>
      <c r="BF202" s="271"/>
    </row>
    <row r="203" spans="2:58" ht="16" thickBot="1" x14ac:dyDescent="0.25">
      <c r="B203" s="660"/>
      <c r="C203" s="275">
        <v>180</v>
      </c>
      <c r="D203" s="661"/>
      <c r="E203" s="303" t="s">
        <v>334</v>
      </c>
      <c r="F203" s="303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  <c r="AA203" s="271"/>
      <c r="AB203" s="271"/>
      <c r="AC203" s="271"/>
      <c r="AD203" s="271"/>
      <c r="AE203" s="271"/>
      <c r="AF203" s="271"/>
      <c r="AG203" s="271"/>
      <c r="AH203" s="271"/>
      <c r="AI203" s="271"/>
      <c r="AJ203" s="271"/>
      <c r="AK203" s="271"/>
      <c r="AL203" s="271"/>
      <c r="AM203" s="271"/>
      <c r="AN203" s="271"/>
      <c r="AO203" s="271"/>
      <c r="AP203" s="271"/>
      <c r="AQ203" s="271"/>
      <c r="AR203" s="271"/>
      <c r="AS203" s="271"/>
      <c r="AT203" s="271"/>
      <c r="AU203" s="271"/>
      <c r="AV203" s="271"/>
      <c r="AW203" s="271"/>
      <c r="AX203" s="271"/>
      <c r="AY203" s="271"/>
      <c r="AZ203" s="271"/>
      <c r="BA203" s="271"/>
      <c r="BB203" s="271"/>
      <c r="BC203" s="271"/>
      <c r="BD203" s="271"/>
      <c r="BE203" s="271"/>
      <c r="BF203" s="271"/>
    </row>
    <row r="204" spans="2:58" ht="16" thickBot="1" x14ac:dyDescent="0.25">
      <c r="B204" s="681" t="s">
        <v>20</v>
      </c>
      <c r="C204" s="275">
        <v>826</v>
      </c>
      <c r="D204" s="277"/>
      <c r="E204" s="279" t="s">
        <v>396</v>
      </c>
      <c r="F204" s="279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  <c r="AA204" s="271"/>
      <c r="AB204" s="271"/>
      <c r="AC204" s="271"/>
      <c r="AD204" s="271"/>
      <c r="AE204" s="271"/>
      <c r="AF204" s="271"/>
      <c r="AG204" s="271"/>
      <c r="AH204" s="271"/>
      <c r="AI204" s="271"/>
      <c r="AJ204" s="271"/>
      <c r="AK204" s="271"/>
      <c r="AL204" s="271"/>
      <c r="AM204" s="271"/>
      <c r="AN204" s="271"/>
      <c r="AO204" s="271"/>
      <c r="AP204" s="271"/>
      <c r="AQ204" s="271"/>
      <c r="AR204" s="271"/>
      <c r="AS204" s="271"/>
      <c r="AT204" s="271"/>
      <c r="AU204" s="271"/>
      <c r="AV204" s="271"/>
      <c r="AW204" s="271"/>
      <c r="AX204" s="271"/>
      <c r="AY204" s="271"/>
      <c r="AZ204" s="271"/>
      <c r="BA204" s="271"/>
      <c r="BB204" s="271"/>
      <c r="BC204" s="271"/>
      <c r="BD204" s="271"/>
      <c r="BE204" s="271"/>
      <c r="BF204" s="271"/>
    </row>
    <row r="205" spans="2:58" ht="16" thickBot="1" x14ac:dyDescent="0.25">
      <c r="B205" s="479"/>
      <c r="C205" s="680">
        <f>SUM(C199:C204)</f>
        <v>14014.66</v>
      </c>
      <c r="D205" s="159"/>
      <c r="E205" s="270"/>
      <c r="F205" s="281"/>
      <c r="G205" s="309"/>
      <c r="H205" s="310"/>
      <c r="I205" s="309"/>
      <c r="J205" s="310"/>
      <c r="K205" s="309"/>
      <c r="L205" s="310"/>
      <c r="M205" s="309"/>
      <c r="N205" s="310"/>
      <c r="O205" s="271"/>
      <c r="P205" s="271"/>
      <c r="Q205" s="310"/>
      <c r="R205" s="310"/>
      <c r="S205" s="309"/>
      <c r="T205" s="310"/>
      <c r="U205" s="309"/>
      <c r="V205" s="310"/>
      <c r="W205" s="309"/>
      <c r="X205" s="310"/>
      <c r="Y205" s="309"/>
      <c r="Z205" s="310"/>
      <c r="AA205" s="309"/>
      <c r="AB205" s="310"/>
      <c r="AC205" s="271"/>
      <c r="AD205" s="271"/>
      <c r="AE205" s="309"/>
      <c r="AF205" s="310"/>
      <c r="AG205" s="309"/>
      <c r="AH205" s="310"/>
      <c r="AI205" s="309"/>
      <c r="AJ205" s="310"/>
      <c r="AK205" s="309"/>
      <c r="AL205" s="310"/>
      <c r="AM205" s="309"/>
      <c r="AN205" s="310"/>
      <c r="AO205" s="309"/>
      <c r="AP205" s="310"/>
      <c r="AQ205" s="309"/>
      <c r="AR205" s="310"/>
      <c r="AS205" s="309"/>
      <c r="AT205" s="310"/>
      <c r="AU205" s="309"/>
      <c r="AV205" s="310"/>
      <c r="AW205" s="309"/>
      <c r="AX205" s="310"/>
      <c r="AY205" s="309"/>
      <c r="AZ205" s="310"/>
      <c r="BA205" s="271"/>
      <c r="BB205" s="271"/>
      <c r="BC205" s="271"/>
      <c r="BD205" s="271"/>
      <c r="BE205" s="271"/>
      <c r="BF205" s="271"/>
    </row>
    <row r="206" spans="2:58" ht="16" thickBot="1" x14ac:dyDescent="0.25">
      <c r="B206" s="289">
        <v>45678</v>
      </c>
      <c r="C206" s="275">
        <f>1119.53+79+79</f>
        <v>1277.53</v>
      </c>
      <c r="D206" s="277"/>
      <c r="E206" s="279" t="s">
        <v>498</v>
      </c>
      <c r="F206" s="279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  <c r="AA206" s="271"/>
      <c r="AB206" s="271"/>
      <c r="AC206" s="271"/>
      <c r="AD206" s="271"/>
      <c r="AE206" s="271"/>
      <c r="AF206" s="271"/>
      <c r="AG206" s="271"/>
      <c r="AH206" s="271"/>
      <c r="AI206" s="271"/>
      <c r="AJ206" s="271"/>
      <c r="AK206" s="271"/>
      <c r="AL206" s="271"/>
      <c r="AM206" s="271"/>
      <c r="AN206" s="271"/>
      <c r="AO206" s="271"/>
      <c r="AP206" s="271"/>
      <c r="AQ206" s="271"/>
      <c r="AR206" s="271"/>
      <c r="AS206" s="271"/>
      <c r="AT206" s="271"/>
      <c r="AU206" s="271"/>
      <c r="AV206" s="271"/>
      <c r="AW206" s="271"/>
      <c r="AX206" s="271"/>
      <c r="AY206" s="271"/>
      <c r="AZ206" s="271"/>
      <c r="BA206" s="271"/>
      <c r="BB206" s="271"/>
      <c r="BC206" s="271"/>
      <c r="BD206" s="271"/>
      <c r="BE206" s="271"/>
      <c r="BF206" s="271"/>
    </row>
    <row r="207" spans="2:58" ht="16" thickBot="1" x14ac:dyDescent="0.25">
      <c r="B207" s="289"/>
      <c r="C207" s="139">
        <v>3997.68</v>
      </c>
      <c r="E207" s="575"/>
      <c r="F207" s="279" t="s">
        <v>9</v>
      </c>
      <c r="G207" s="271">
        <v>6</v>
      </c>
      <c r="H207" s="271">
        <v>821.94</v>
      </c>
      <c r="I207" s="271">
        <v>4</v>
      </c>
      <c r="J207" s="271">
        <v>411.96</v>
      </c>
      <c r="K207" s="271">
        <v>4</v>
      </c>
      <c r="L207" s="271">
        <v>727.96</v>
      </c>
      <c r="M207" s="271">
        <v>8</v>
      </c>
      <c r="N207" s="271">
        <v>1255.92</v>
      </c>
      <c r="O207" s="271"/>
      <c r="P207" s="271"/>
      <c r="Q207" s="271">
        <v>1</v>
      </c>
      <c r="R207" s="271">
        <v>134.99</v>
      </c>
      <c r="S207" s="271"/>
      <c r="T207" s="271"/>
      <c r="U207" s="271"/>
      <c r="V207" s="271"/>
      <c r="W207" s="271">
        <v>4</v>
      </c>
      <c r="X207" s="271">
        <v>171.96</v>
      </c>
      <c r="Y207" s="271"/>
      <c r="Z207" s="271"/>
      <c r="AA207" s="271"/>
      <c r="AB207" s="271"/>
      <c r="AC207" s="271">
        <v>4</v>
      </c>
      <c r="AD207" s="271">
        <v>395.96</v>
      </c>
      <c r="AE207" s="271"/>
      <c r="AF207" s="271"/>
      <c r="AG207" s="271"/>
      <c r="AH207" s="271"/>
      <c r="AI207" s="271"/>
      <c r="AJ207" s="271"/>
      <c r="AK207" s="271"/>
      <c r="AL207" s="271"/>
      <c r="AM207" s="271"/>
      <c r="AN207" s="271"/>
      <c r="AO207" s="271"/>
      <c r="AP207" s="271"/>
      <c r="AQ207" s="271"/>
      <c r="AR207" s="271"/>
      <c r="AS207" s="271"/>
      <c r="AT207" s="271"/>
      <c r="AU207" s="271"/>
      <c r="AV207" s="271"/>
      <c r="AW207" s="271"/>
      <c r="AX207" s="271"/>
      <c r="AY207" s="271"/>
      <c r="AZ207" s="271"/>
      <c r="BA207" s="271">
        <v>1</v>
      </c>
      <c r="BB207" s="271">
        <v>26.99</v>
      </c>
      <c r="BC207" s="271"/>
      <c r="BD207" s="271"/>
      <c r="BE207" s="271"/>
      <c r="BF207" s="271"/>
    </row>
    <row r="208" spans="2:58" ht="16" thickBot="1" x14ac:dyDescent="0.25">
      <c r="B208" s="289" t="s">
        <v>90</v>
      </c>
      <c r="C208" s="275">
        <v>24276.5</v>
      </c>
      <c r="D208" s="277"/>
      <c r="E208" s="279"/>
      <c r="F208" s="279" t="s">
        <v>6</v>
      </c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>
        <v>6</v>
      </c>
      <c r="T208" s="271">
        <f>2484+2380.5</f>
        <v>4864.5</v>
      </c>
      <c r="U208" s="271">
        <v>18</v>
      </c>
      <c r="V208" s="271">
        <v>9522</v>
      </c>
      <c r="W208" s="271"/>
      <c r="X208" s="271"/>
      <c r="Y208" s="271"/>
      <c r="Z208" s="271"/>
      <c r="AA208" s="271">
        <v>2</v>
      </c>
      <c r="AB208" s="271">
        <v>8050</v>
      </c>
      <c r="AC208" s="271"/>
      <c r="AD208" s="271"/>
      <c r="AE208" s="271"/>
      <c r="AF208" s="271"/>
      <c r="AG208" s="271"/>
      <c r="AH208" s="271"/>
      <c r="AI208" s="271"/>
      <c r="AJ208" s="271"/>
      <c r="AK208" s="271"/>
      <c r="AL208" s="271"/>
      <c r="AM208" s="271"/>
      <c r="AN208" s="271"/>
      <c r="AO208" s="271"/>
      <c r="AP208" s="271"/>
      <c r="AQ208" s="271"/>
      <c r="AR208" s="271"/>
      <c r="AS208" s="271"/>
      <c r="AT208" s="271"/>
      <c r="AU208" s="271"/>
      <c r="AV208" s="271"/>
      <c r="AW208" s="271"/>
      <c r="AX208" s="271"/>
      <c r="AY208" s="271"/>
      <c r="AZ208" s="271"/>
      <c r="BA208" s="271"/>
      <c r="BB208" s="271"/>
      <c r="BC208" s="271"/>
      <c r="BD208" s="271"/>
      <c r="BE208" s="271"/>
      <c r="BF208" s="271"/>
    </row>
    <row r="209" spans="2:58" ht="16" thickBot="1" x14ac:dyDescent="0.25">
      <c r="B209" s="292"/>
      <c r="C209" s="159">
        <f>SUM(C206:C208)</f>
        <v>29551.71</v>
      </c>
      <c r="D209" s="159"/>
      <c r="E209" s="270"/>
      <c r="F209" s="281"/>
      <c r="G209" s="309"/>
      <c r="H209" s="310"/>
      <c r="I209" s="309"/>
      <c r="J209" s="310"/>
      <c r="K209" s="309"/>
      <c r="L209" s="310"/>
      <c r="M209" s="309"/>
      <c r="N209" s="310"/>
      <c r="O209" s="271"/>
      <c r="P209" s="271"/>
      <c r="Q209" s="310"/>
      <c r="R209" s="310"/>
      <c r="S209" s="309"/>
      <c r="T209" s="310"/>
      <c r="U209" s="309"/>
      <c r="V209" s="310"/>
      <c r="W209" s="309"/>
      <c r="X209" s="310"/>
      <c r="Y209" s="309"/>
      <c r="Z209" s="310"/>
      <c r="AA209" s="309"/>
      <c r="AB209" s="310"/>
      <c r="AC209" s="271"/>
      <c r="AD209" s="271"/>
      <c r="AE209" s="309"/>
      <c r="AF209" s="310"/>
      <c r="AG209" s="309"/>
      <c r="AH209" s="310"/>
      <c r="AI209" s="309"/>
      <c r="AJ209" s="310"/>
      <c r="AK209" s="309"/>
      <c r="AL209" s="310"/>
      <c r="AM209" s="309"/>
      <c r="AN209" s="310"/>
      <c r="AO209" s="309"/>
      <c r="AP209" s="310"/>
      <c r="AQ209" s="309"/>
      <c r="AR209" s="310"/>
      <c r="AS209" s="309"/>
      <c r="AT209" s="310"/>
      <c r="AU209" s="309"/>
      <c r="AV209" s="310"/>
      <c r="AW209" s="309"/>
      <c r="AX209" s="310"/>
      <c r="AY209" s="309"/>
      <c r="AZ209" s="310"/>
      <c r="BA209" s="271"/>
      <c r="BB209" s="271"/>
      <c r="BC209" s="271"/>
      <c r="BD209" s="271"/>
      <c r="BE209" s="271"/>
      <c r="BF209" s="271"/>
    </row>
    <row r="210" spans="2:58" ht="16" thickBot="1" x14ac:dyDescent="0.25">
      <c r="B210" s="289">
        <v>45679</v>
      </c>
      <c r="C210" s="275">
        <v>800</v>
      </c>
      <c r="D210" s="277"/>
      <c r="E210" s="279" t="s">
        <v>186</v>
      </c>
      <c r="F210" s="279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  <c r="AA210" s="271"/>
      <c r="AB210" s="271"/>
      <c r="AC210" s="271"/>
      <c r="AD210" s="271"/>
      <c r="AE210" s="271"/>
      <c r="AF210" s="271"/>
      <c r="AG210" s="271"/>
      <c r="AH210" s="271"/>
      <c r="AI210" s="271"/>
      <c r="AJ210" s="271"/>
      <c r="AK210" s="271"/>
      <c r="AL210" s="271"/>
      <c r="AM210" s="271"/>
      <c r="AN210" s="271"/>
      <c r="AO210" s="271"/>
      <c r="AP210" s="271"/>
      <c r="AQ210" s="271"/>
      <c r="AR210" s="271"/>
      <c r="AS210" s="271"/>
      <c r="AT210" s="271"/>
      <c r="AU210" s="271"/>
      <c r="AV210" s="271"/>
      <c r="AW210" s="271"/>
      <c r="AX210" s="271"/>
      <c r="AY210" s="271"/>
      <c r="AZ210" s="271"/>
      <c r="BA210" s="271"/>
      <c r="BB210" s="271"/>
      <c r="BC210" s="271"/>
      <c r="BD210" s="271"/>
      <c r="BE210" s="271"/>
      <c r="BF210" s="271"/>
    </row>
    <row r="211" spans="2:58" ht="16" thickBot="1" x14ac:dyDescent="0.25">
      <c r="B211" s="289"/>
      <c r="C211" s="285">
        <v>476.75</v>
      </c>
      <c r="D211" s="277"/>
      <c r="E211" s="279" t="s">
        <v>592</v>
      </c>
      <c r="F211" s="279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  <c r="AA211" s="271"/>
      <c r="AB211" s="271"/>
      <c r="AC211" s="271"/>
      <c r="AD211" s="271"/>
      <c r="AE211" s="271"/>
      <c r="AF211" s="271"/>
      <c r="AG211" s="271"/>
      <c r="AH211" s="271"/>
      <c r="AI211" s="271"/>
      <c r="AJ211" s="271"/>
      <c r="AK211" s="271"/>
      <c r="AL211" s="271"/>
      <c r="AM211" s="271"/>
      <c r="AN211" s="271"/>
      <c r="AO211" s="271"/>
      <c r="AP211" s="271"/>
      <c r="AQ211" s="271"/>
      <c r="AR211" s="271"/>
      <c r="AS211" s="271"/>
      <c r="AT211" s="271"/>
      <c r="AU211" s="271"/>
      <c r="AV211" s="271"/>
      <c r="AW211" s="271"/>
      <c r="AX211" s="271"/>
      <c r="AY211" s="271"/>
      <c r="AZ211" s="271"/>
      <c r="BA211" s="271"/>
      <c r="BB211" s="271"/>
      <c r="BC211" s="271"/>
      <c r="BD211" s="271"/>
      <c r="BE211" s="271"/>
      <c r="BF211" s="271"/>
    </row>
    <row r="212" spans="2:58" ht="16" thickBot="1" x14ac:dyDescent="0.25">
      <c r="B212" s="288" t="s">
        <v>22</v>
      </c>
      <c r="C212" s="287">
        <v>1153.3</v>
      </c>
      <c r="D212" s="290"/>
      <c r="E212" s="290" t="s">
        <v>11</v>
      </c>
      <c r="F212" s="296"/>
      <c r="G212" s="309"/>
      <c r="H212" s="310"/>
      <c r="I212" s="309"/>
      <c r="J212" s="310"/>
      <c r="K212" s="309"/>
      <c r="L212" s="310"/>
      <c r="M212" s="309"/>
      <c r="N212" s="310"/>
      <c r="O212" s="271"/>
      <c r="P212" s="271"/>
      <c r="Q212" s="309"/>
      <c r="R212" s="310"/>
      <c r="S212" s="309"/>
      <c r="T212" s="310"/>
      <c r="U212" s="309"/>
      <c r="V212" s="310"/>
      <c r="W212" s="309"/>
      <c r="X212" s="310"/>
      <c r="Y212" s="309"/>
      <c r="Z212" s="310"/>
      <c r="AA212" s="309"/>
      <c r="AB212" s="310"/>
      <c r="AC212" s="271"/>
      <c r="AD212" s="271"/>
      <c r="AE212" s="309"/>
      <c r="AF212" s="310"/>
      <c r="AG212" s="309"/>
      <c r="AH212" s="310"/>
      <c r="AI212" s="309"/>
      <c r="AJ212" s="310"/>
      <c r="AK212" s="309"/>
      <c r="AL212" s="310"/>
      <c r="AM212" s="309"/>
      <c r="AN212" s="310"/>
      <c r="AO212" s="309"/>
      <c r="AP212" s="310"/>
      <c r="AQ212" s="309"/>
      <c r="AR212" s="310"/>
      <c r="AS212" s="309"/>
      <c r="AT212" s="310"/>
      <c r="AU212" s="309"/>
      <c r="AV212" s="310"/>
      <c r="AW212" s="309"/>
      <c r="AX212" s="310"/>
      <c r="AY212" s="309"/>
      <c r="AZ212" s="310"/>
      <c r="BA212" s="271"/>
      <c r="BB212" s="271"/>
      <c r="BC212" s="271"/>
      <c r="BD212" s="271"/>
      <c r="BE212" s="271"/>
      <c r="BF212" s="271"/>
    </row>
    <row r="213" spans="2:58" ht="16" thickBot="1" x14ac:dyDescent="0.25">
      <c r="B213" s="292"/>
      <c r="C213" s="159">
        <f>SUM(C210:C212)</f>
        <v>2430.0500000000002</v>
      </c>
      <c r="D213" s="159"/>
      <c r="E213" s="270"/>
      <c r="F213" s="297"/>
      <c r="G213" s="309"/>
      <c r="H213" s="310"/>
      <c r="I213" s="309"/>
      <c r="J213" s="310"/>
      <c r="K213" s="309"/>
      <c r="L213" s="310"/>
      <c r="M213" s="309"/>
      <c r="N213" s="310"/>
      <c r="O213" s="271"/>
      <c r="P213" s="271"/>
      <c r="Q213" s="310"/>
      <c r="R213" s="310"/>
      <c r="S213" s="309"/>
      <c r="T213" s="310"/>
      <c r="U213" s="309"/>
      <c r="V213" s="310"/>
      <c r="W213" s="309"/>
      <c r="X213" s="310"/>
      <c r="Y213" s="309"/>
      <c r="Z213" s="310"/>
      <c r="AA213" s="309"/>
      <c r="AB213" s="310"/>
      <c r="AC213" s="271"/>
      <c r="AD213" s="271"/>
      <c r="AE213" s="309"/>
      <c r="AF213" s="310"/>
      <c r="AG213" s="309"/>
      <c r="AH213" s="310"/>
      <c r="AI213" s="309"/>
      <c r="AJ213" s="310"/>
      <c r="AK213" s="309"/>
      <c r="AL213" s="310"/>
      <c r="AM213" s="309"/>
      <c r="AN213" s="310"/>
      <c r="AO213" s="309"/>
      <c r="AP213" s="310"/>
      <c r="AQ213" s="309"/>
      <c r="AR213" s="310"/>
      <c r="AS213" s="309"/>
      <c r="AT213" s="310"/>
      <c r="AU213" s="309"/>
      <c r="AV213" s="310"/>
      <c r="AW213" s="309"/>
      <c r="AX213" s="310"/>
      <c r="AY213" s="309"/>
      <c r="AZ213" s="310"/>
      <c r="BA213" s="271"/>
      <c r="BB213" s="271"/>
      <c r="BC213" s="271"/>
      <c r="BD213" s="271"/>
      <c r="BE213" s="271"/>
      <c r="BF213" s="271"/>
    </row>
    <row r="214" spans="2:58" ht="16" thickBot="1" x14ac:dyDescent="0.25">
      <c r="B214" s="289">
        <v>45680</v>
      </c>
      <c r="C214" s="295">
        <v>800</v>
      </c>
      <c r="D214" s="275"/>
      <c r="E214" s="274" t="s">
        <v>186</v>
      </c>
      <c r="F214" s="301"/>
      <c r="G214" s="309"/>
      <c r="H214" s="310"/>
      <c r="I214" s="309"/>
      <c r="J214" s="310"/>
      <c r="K214" s="309"/>
      <c r="L214" s="310"/>
      <c r="M214" s="309"/>
      <c r="N214" s="310"/>
      <c r="O214" s="271"/>
      <c r="P214" s="271"/>
      <c r="Q214" s="309"/>
      <c r="R214" s="310"/>
      <c r="S214" s="309"/>
      <c r="T214" s="310"/>
      <c r="U214" s="309"/>
      <c r="V214" s="310"/>
      <c r="W214" s="309"/>
      <c r="X214" s="310"/>
      <c r="Y214" s="309"/>
      <c r="Z214" s="310"/>
      <c r="AA214" s="309"/>
      <c r="AB214" s="310"/>
      <c r="AC214" s="271"/>
      <c r="AD214" s="271"/>
      <c r="AE214" s="309"/>
      <c r="AF214" s="310"/>
      <c r="AG214" s="309"/>
      <c r="AH214" s="310"/>
      <c r="AI214" s="309"/>
      <c r="AJ214" s="310"/>
      <c r="AK214" s="309"/>
      <c r="AL214" s="310"/>
      <c r="AM214" s="309"/>
      <c r="AN214" s="310"/>
      <c r="AO214" s="309"/>
      <c r="AP214" s="310"/>
      <c r="AQ214" s="309"/>
      <c r="AR214" s="310"/>
      <c r="AS214" s="309"/>
      <c r="AT214" s="310"/>
      <c r="AU214" s="309"/>
      <c r="AV214" s="310"/>
      <c r="AW214" s="309"/>
      <c r="AX214" s="310"/>
      <c r="AY214" s="309"/>
      <c r="AZ214" s="310"/>
      <c r="BA214" s="271"/>
      <c r="BB214" s="271"/>
      <c r="BC214" s="271"/>
      <c r="BD214" s="271"/>
      <c r="BE214" s="271"/>
      <c r="BF214" s="271"/>
    </row>
    <row r="215" spans="2:58" ht="16" thickBot="1" x14ac:dyDescent="0.25">
      <c r="B215" s="289"/>
      <c r="C215" s="295">
        <v>94.99</v>
      </c>
      <c r="D215" s="275"/>
      <c r="E215" s="275"/>
      <c r="F215" s="302" t="s">
        <v>279</v>
      </c>
      <c r="G215" s="309"/>
      <c r="H215" s="310"/>
      <c r="I215" s="309"/>
      <c r="J215" s="310"/>
      <c r="K215" s="309"/>
      <c r="L215" s="310"/>
      <c r="M215" s="309"/>
      <c r="N215" s="310"/>
      <c r="O215" s="271"/>
      <c r="P215" s="271"/>
      <c r="Q215" s="309"/>
      <c r="R215" s="310"/>
      <c r="S215" s="309"/>
      <c r="T215" s="310"/>
      <c r="U215" s="309"/>
      <c r="V215" s="310"/>
      <c r="W215" s="309"/>
      <c r="X215" s="310"/>
      <c r="Y215" s="309"/>
      <c r="Z215" s="310"/>
      <c r="AA215" s="309"/>
      <c r="AB215" s="310"/>
      <c r="AC215" s="271">
        <v>1</v>
      </c>
      <c r="AD215" s="271">
        <v>94.99</v>
      </c>
      <c r="AE215" s="309"/>
      <c r="AF215" s="310"/>
      <c r="AG215" s="309"/>
      <c r="AH215" s="310"/>
      <c r="AI215" s="309"/>
      <c r="AJ215" s="310"/>
      <c r="AK215" s="309"/>
      <c r="AL215" s="310"/>
      <c r="AM215" s="309"/>
      <c r="AN215" s="310"/>
      <c r="AO215" s="309"/>
      <c r="AP215" s="310"/>
      <c r="AQ215" s="309"/>
      <c r="AR215" s="310"/>
      <c r="AS215" s="309"/>
      <c r="AT215" s="310"/>
      <c r="AU215" s="309"/>
      <c r="AV215" s="310"/>
      <c r="AW215" s="309"/>
      <c r="AX215" s="310"/>
      <c r="AY215" s="309"/>
      <c r="AZ215" s="310"/>
      <c r="BA215" s="271"/>
      <c r="BB215" s="271"/>
      <c r="BC215" s="271"/>
      <c r="BD215" s="271"/>
      <c r="BE215" s="271"/>
      <c r="BF215" s="271"/>
    </row>
    <row r="216" spans="2:58" ht="16" thickBot="1" x14ac:dyDescent="0.25">
      <c r="B216" s="289"/>
      <c r="C216" s="295">
        <v>180</v>
      </c>
      <c r="D216" s="275"/>
      <c r="E216" s="275" t="s">
        <v>334</v>
      </c>
      <c r="F216" s="302"/>
      <c r="G216" s="309"/>
      <c r="H216" s="310"/>
      <c r="I216" s="309"/>
      <c r="J216" s="310"/>
      <c r="K216" s="309"/>
      <c r="L216" s="310"/>
      <c r="M216" s="309"/>
      <c r="N216" s="310"/>
      <c r="O216" s="271"/>
      <c r="P216" s="271"/>
      <c r="Q216" s="309"/>
      <c r="R216" s="310"/>
      <c r="S216" s="309"/>
      <c r="T216" s="310"/>
      <c r="U216" s="309"/>
      <c r="V216" s="310"/>
      <c r="W216" s="309"/>
      <c r="X216" s="310"/>
      <c r="Y216" s="309"/>
      <c r="Z216" s="310"/>
      <c r="AA216" s="309"/>
      <c r="AB216" s="310"/>
      <c r="AC216" s="271"/>
      <c r="AD216" s="271"/>
      <c r="AE216" s="309"/>
      <c r="AF216" s="310"/>
      <c r="AG216" s="309"/>
      <c r="AH216" s="310"/>
      <c r="AI216" s="309"/>
      <c r="AJ216" s="310"/>
      <c r="AK216" s="309"/>
      <c r="AL216" s="310"/>
      <c r="AM216" s="309"/>
      <c r="AN216" s="310"/>
      <c r="AO216" s="309"/>
      <c r="AP216" s="310"/>
      <c r="AQ216" s="309"/>
      <c r="AR216" s="310"/>
      <c r="AS216" s="309"/>
      <c r="AT216" s="310"/>
      <c r="AU216" s="309"/>
      <c r="AV216" s="310"/>
      <c r="AW216" s="309"/>
      <c r="AX216" s="310"/>
      <c r="AY216" s="309"/>
      <c r="AZ216" s="310"/>
      <c r="BA216" s="271"/>
      <c r="BB216" s="271"/>
      <c r="BC216" s="271"/>
      <c r="BD216" s="271"/>
      <c r="BE216" s="271"/>
      <c r="BF216" s="271"/>
    </row>
    <row r="217" spans="2:58" ht="16" thickBot="1" x14ac:dyDescent="0.25">
      <c r="B217" s="289"/>
      <c r="C217" s="295">
        <v>349.9</v>
      </c>
      <c r="D217" s="275"/>
      <c r="E217" s="275"/>
      <c r="F217" s="302" t="s">
        <v>14</v>
      </c>
      <c r="G217" s="309"/>
      <c r="H217" s="310"/>
      <c r="I217" s="309"/>
      <c r="J217" s="310"/>
      <c r="K217" s="309"/>
      <c r="L217" s="310"/>
      <c r="M217" s="309"/>
      <c r="N217" s="310"/>
      <c r="O217" s="271"/>
      <c r="P217" s="271"/>
      <c r="Q217" s="309"/>
      <c r="R217" s="310"/>
      <c r="S217" s="309"/>
      <c r="T217" s="310"/>
      <c r="U217" s="309"/>
      <c r="V217" s="310"/>
      <c r="W217" s="309"/>
      <c r="X217" s="310"/>
      <c r="Y217" s="309"/>
      <c r="Z217" s="310"/>
      <c r="AA217" s="309"/>
      <c r="AB217" s="310"/>
      <c r="AC217" s="271"/>
      <c r="AD217" s="271"/>
      <c r="AE217" s="309">
        <v>10</v>
      </c>
      <c r="AF217" s="310">
        <v>349.9</v>
      </c>
      <c r="AG217" s="309"/>
      <c r="AH217" s="310"/>
      <c r="AI217" s="309"/>
      <c r="AJ217" s="310"/>
      <c r="AK217" s="309"/>
      <c r="AL217" s="310"/>
      <c r="AM217" s="309"/>
      <c r="AN217" s="310"/>
      <c r="AO217" s="309"/>
      <c r="AP217" s="310"/>
      <c r="AQ217" s="309"/>
      <c r="AR217" s="310"/>
      <c r="AS217" s="309"/>
      <c r="AT217" s="310"/>
      <c r="AU217" s="309"/>
      <c r="AV217" s="310"/>
      <c r="AW217" s="309"/>
      <c r="AX217" s="310"/>
      <c r="AY217" s="309"/>
      <c r="AZ217" s="310"/>
      <c r="BA217" s="271"/>
      <c r="BB217" s="271"/>
      <c r="BC217" s="271"/>
      <c r="BD217" s="271"/>
      <c r="BE217" s="271"/>
      <c r="BF217" s="271"/>
    </row>
    <row r="218" spans="2:58" ht="16" thickBot="1" x14ac:dyDescent="0.25">
      <c r="B218" s="289"/>
      <c r="C218" s="295">
        <v>6275.5</v>
      </c>
      <c r="D218" s="275"/>
      <c r="E218" s="275"/>
      <c r="F218" s="302" t="s">
        <v>9</v>
      </c>
      <c r="G218" s="309">
        <v>10</v>
      </c>
      <c r="H218" s="310">
        <v>1369.9</v>
      </c>
      <c r="I218" s="309">
        <v>4</v>
      </c>
      <c r="J218" s="310">
        <v>411.96</v>
      </c>
      <c r="K218" s="309">
        <v>8</v>
      </c>
      <c r="L218" s="310">
        <v>1455.92</v>
      </c>
      <c r="M218" s="309">
        <v>12</v>
      </c>
      <c r="N218" s="310">
        <v>1883.88</v>
      </c>
      <c r="O218" s="271"/>
      <c r="P218" s="271"/>
      <c r="Q218" s="309"/>
      <c r="R218" s="310"/>
      <c r="S218" s="309"/>
      <c r="T218" s="310"/>
      <c r="U218" s="309"/>
      <c r="V218" s="310"/>
      <c r="W218" s="309">
        <v>6</v>
      </c>
      <c r="X218" s="310">
        <v>257.94</v>
      </c>
      <c r="Y218" s="309"/>
      <c r="Z218" s="310"/>
      <c r="AA218" s="309"/>
      <c r="AB218" s="310"/>
      <c r="AC218" s="271">
        <v>7</v>
      </c>
      <c r="AD218" s="271">
        <v>692.93</v>
      </c>
      <c r="AE218" s="309"/>
      <c r="AF218" s="310"/>
      <c r="AG218" s="309"/>
      <c r="AH218" s="310"/>
      <c r="AI218" s="309"/>
      <c r="AJ218" s="310"/>
      <c r="AK218" s="309"/>
      <c r="AL218" s="310"/>
      <c r="AM218" s="309">
        <v>1</v>
      </c>
      <c r="AN218" s="310">
        <v>49.99</v>
      </c>
      <c r="AO218" s="309"/>
      <c r="AP218" s="310"/>
      <c r="AQ218" s="309"/>
      <c r="AR218" s="310"/>
      <c r="AS218" s="309"/>
      <c r="AT218" s="310"/>
      <c r="AU218" s="309"/>
      <c r="AV218" s="310"/>
      <c r="AW218" s="309"/>
      <c r="AX218" s="310"/>
      <c r="AY218" s="309"/>
      <c r="AZ218" s="310"/>
      <c r="BA218" s="271">
        <v>1</v>
      </c>
      <c r="BB218" s="271">
        <v>26.99</v>
      </c>
      <c r="BC218" s="271"/>
      <c r="BD218" s="271"/>
      <c r="BE218" s="271">
        <v>1</v>
      </c>
      <c r="BF218" s="271">
        <v>75.989999999999995</v>
      </c>
    </row>
    <row r="219" spans="2:58" ht="16" thickBot="1" x14ac:dyDescent="0.25">
      <c r="B219" s="289"/>
      <c r="C219" s="295">
        <v>9739.66</v>
      </c>
      <c r="D219" s="275"/>
      <c r="E219" s="275"/>
      <c r="F219" s="302" t="s">
        <v>311</v>
      </c>
      <c r="G219" s="309"/>
      <c r="H219" s="310"/>
      <c r="I219" s="309"/>
      <c r="J219" s="310"/>
      <c r="K219" s="309"/>
      <c r="L219" s="310"/>
      <c r="M219" s="309"/>
      <c r="N219" s="310"/>
      <c r="O219" s="271"/>
      <c r="P219" s="271"/>
      <c r="Q219" s="309"/>
      <c r="R219" s="310"/>
      <c r="S219" s="309"/>
      <c r="T219" s="310"/>
      <c r="U219" s="309"/>
      <c r="V219" s="310"/>
      <c r="W219" s="309"/>
      <c r="X219" s="310"/>
      <c r="Y219" s="309"/>
      <c r="Z219" s="310"/>
      <c r="AA219" s="309"/>
      <c r="AB219" s="310"/>
      <c r="AC219" s="271"/>
      <c r="AD219" s="271"/>
      <c r="AE219" s="309"/>
      <c r="AF219" s="310"/>
      <c r="AG219" s="309"/>
      <c r="AH219" s="310"/>
      <c r="AI219" s="309"/>
      <c r="AJ219" s="310"/>
      <c r="AK219" s="309"/>
      <c r="AL219" s="310"/>
      <c r="AM219" s="309"/>
      <c r="AN219" s="310"/>
      <c r="AO219" s="309"/>
      <c r="AP219" s="310"/>
      <c r="AQ219" s="309"/>
      <c r="AR219" s="310"/>
      <c r="AS219" s="309"/>
      <c r="AT219" s="310"/>
      <c r="AU219" s="309"/>
      <c r="AV219" s="310"/>
      <c r="AW219" s="309">
        <v>20</v>
      </c>
      <c r="AX219" s="310">
        <f>8298.6/2</f>
        <v>4149.3</v>
      </c>
      <c r="AY219" s="309">
        <v>20</v>
      </c>
      <c r="AZ219" s="310">
        <v>4149.3</v>
      </c>
      <c r="BA219" s="271"/>
      <c r="BB219" s="271"/>
      <c r="BC219" s="271"/>
      <c r="BD219" s="271"/>
      <c r="BE219" s="271"/>
      <c r="BF219" s="271"/>
    </row>
    <row r="220" spans="2:58" ht="16" thickBot="1" x14ac:dyDescent="0.25">
      <c r="B220" s="289"/>
      <c r="C220" s="295">
        <v>9970</v>
      </c>
      <c r="D220" s="275"/>
      <c r="E220" s="275" t="s">
        <v>12</v>
      </c>
      <c r="F220" s="302"/>
      <c r="G220" s="309"/>
      <c r="H220" s="310"/>
      <c r="I220" s="309"/>
      <c r="J220" s="310"/>
      <c r="K220" s="309"/>
      <c r="L220" s="310"/>
      <c r="M220" s="309"/>
      <c r="N220" s="310"/>
      <c r="O220" s="271"/>
      <c r="P220" s="271"/>
      <c r="Q220" s="309"/>
      <c r="R220" s="310"/>
      <c r="S220" s="309"/>
      <c r="T220" s="310"/>
      <c r="U220" s="309"/>
      <c r="V220" s="310"/>
      <c r="W220" s="309"/>
      <c r="X220" s="310"/>
      <c r="Y220" s="309"/>
      <c r="Z220" s="310"/>
      <c r="AA220" s="309"/>
      <c r="AB220" s="310"/>
      <c r="AC220" s="271"/>
      <c r="AD220" s="271"/>
      <c r="AE220" s="309"/>
      <c r="AF220" s="310"/>
      <c r="AG220" s="309"/>
      <c r="AH220" s="310"/>
      <c r="AI220" s="309"/>
      <c r="AJ220" s="310"/>
      <c r="AK220" s="309"/>
      <c r="AL220" s="310"/>
      <c r="AM220" s="309"/>
      <c r="AN220" s="310"/>
      <c r="AO220" s="309"/>
      <c r="AP220" s="310"/>
      <c r="AQ220" s="309"/>
      <c r="AR220" s="310"/>
      <c r="AS220" s="309"/>
      <c r="AT220" s="310"/>
      <c r="AU220" s="309"/>
      <c r="AV220" s="310"/>
      <c r="AW220" s="309"/>
      <c r="AX220" s="310"/>
      <c r="AY220" s="309"/>
      <c r="AZ220" s="310"/>
      <c r="BA220" s="271"/>
      <c r="BB220" s="271"/>
      <c r="BC220" s="271"/>
      <c r="BD220" s="271"/>
      <c r="BE220" s="271"/>
      <c r="BF220" s="271"/>
    </row>
    <row r="221" spans="2:58" ht="16" thickBot="1" x14ac:dyDescent="0.25">
      <c r="B221" s="289" t="s">
        <v>23</v>
      </c>
      <c r="C221" s="295"/>
      <c r="D221" s="275"/>
      <c r="E221" s="275"/>
      <c r="F221" s="302"/>
      <c r="G221" s="309"/>
      <c r="H221" s="310"/>
      <c r="I221" s="309"/>
      <c r="J221" s="310"/>
      <c r="K221" s="309"/>
      <c r="L221" s="310"/>
      <c r="M221" s="309"/>
      <c r="N221" s="310"/>
      <c r="O221" s="271"/>
      <c r="P221" s="271"/>
      <c r="Q221" s="309"/>
      <c r="R221" s="310"/>
      <c r="S221" s="309"/>
      <c r="T221" s="310"/>
      <c r="U221" s="309"/>
      <c r="V221" s="310"/>
      <c r="W221" s="309"/>
      <c r="X221" s="310"/>
      <c r="Y221" s="309"/>
      <c r="Z221" s="310"/>
      <c r="AA221" s="309"/>
      <c r="AB221" s="310"/>
      <c r="AC221" s="271"/>
      <c r="AD221" s="271"/>
      <c r="AE221" s="309"/>
      <c r="AF221" s="310"/>
      <c r="AG221" s="309"/>
      <c r="AH221" s="310"/>
      <c r="AI221" s="309"/>
      <c r="AJ221" s="310"/>
      <c r="AK221" s="309"/>
      <c r="AL221" s="310"/>
      <c r="AM221" s="309"/>
      <c r="AN221" s="310"/>
      <c r="AO221" s="309"/>
      <c r="AP221" s="310"/>
      <c r="AQ221" s="309"/>
      <c r="AR221" s="310"/>
      <c r="AS221" s="309"/>
      <c r="AT221" s="310"/>
      <c r="AU221" s="309"/>
      <c r="AV221" s="310"/>
      <c r="AW221" s="309"/>
      <c r="AX221" s="310"/>
      <c r="AY221" s="309"/>
      <c r="AZ221" s="310"/>
      <c r="BA221" s="271"/>
      <c r="BB221" s="271"/>
      <c r="BC221" s="271"/>
      <c r="BD221" s="271"/>
      <c r="BE221" s="271"/>
      <c r="BF221" s="271"/>
    </row>
    <row r="222" spans="2:58" ht="16" thickBot="1" x14ac:dyDescent="0.25">
      <c r="B222" s="298"/>
      <c r="C222" s="656">
        <f>SUM(C214:C221)</f>
        <v>27410.05</v>
      </c>
      <c r="D222" s="656"/>
      <c r="E222" s="578"/>
      <c r="F222" s="553"/>
      <c r="G222" s="309"/>
      <c r="H222" s="310"/>
      <c r="I222" s="309"/>
      <c r="J222" s="310"/>
      <c r="K222" s="309"/>
      <c r="L222" s="310"/>
      <c r="M222" s="309"/>
      <c r="N222" s="310"/>
      <c r="O222" s="271"/>
      <c r="P222" s="271"/>
      <c r="Q222" s="309"/>
      <c r="R222" s="310"/>
      <c r="S222" s="309"/>
      <c r="T222" s="310"/>
      <c r="U222" s="309"/>
      <c r="V222" s="310"/>
      <c r="W222" s="309"/>
      <c r="X222" s="310"/>
      <c r="Y222" s="309"/>
      <c r="Z222" s="310"/>
      <c r="AA222" s="309"/>
      <c r="AB222" s="310"/>
      <c r="AC222" s="271"/>
      <c r="AD222" s="271"/>
      <c r="AE222" s="309"/>
      <c r="AF222" s="310"/>
      <c r="AG222" s="309"/>
      <c r="AH222" s="310"/>
      <c r="AI222" s="309"/>
      <c r="AJ222" s="310"/>
      <c r="AK222" s="309"/>
      <c r="AL222" s="310"/>
      <c r="AM222" s="309"/>
      <c r="AN222" s="310"/>
      <c r="AO222" s="309"/>
      <c r="AP222" s="310"/>
      <c r="AQ222" s="309"/>
      <c r="AR222" s="310"/>
      <c r="AS222" s="309"/>
      <c r="AT222" s="310"/>
      <c r="AU222" s="309"/>
      <c r="AV222" s="310"/>
      <c r="AW222" s="309"/>
      <c r="AX222" s="310"/>
      <c r="AY222" s="309"/>
      <c r="AZ222" s="310"/>
      <c r="BA222" s="271"/>
      <c r="BB222" s="271"/>
      <c r="BC222" s="271"/>
      <c r="BD222" s="271"/>
      <c r="BE222" s="271"/>
      <c r="BF222" s="271"/>
    </row>
    <row r="223" spans="2:58" ht="16" thickBot="1" x14ac:dyDescent="0.25">
      <c r="B223" s="479">
        <v>45681</v>
      </c>
      <c r="C223" s="299">
        <v>6090</v>
      </c>
      <c r="D223" s="300"/>
      <c r="E223" s="274" t="s">
        <v>12</v>
      </c>
      <c r="F223" s="301"/>
      <c r="G223" s="309"/>
      <c r="H223" s="310"/>
      <c r="I223" s="309"/>
      <c r="J223" s="310"/>
      <c r="K223" s="309"/>
      <c r="L223" s="310"/>
      <c r="M223" s="309"/>
      <c r="N223" s="310"/>
      <c r="O223" s="271"/>
      <c r="P223" s="271"/>
      <c r="Q223" s="309"/>
      <c r="R223" s="310"/>
      <c r="S223" s="309"/>
      <c r="T223" s="310"/>
      <c r="U223" s="309"/>
      <c r="V223" s="310"/>
      <c r="W223" s="309"/>
      <c r="X223" s="310"/>
      <c r="Y223" s="309"/>
      <c r="Z223" s="310"/>
      <c r="AA223" s="309"/>
      <c r="AB223" s="310"/>
      <c r="AC223" s="271"/>
      <c r="AD223" s="271"/>
      <c r="AE223" s="309"/>
      <c r="AF223" s="310"/>
      <c r="AG223" s="309"/>
      <c r="AH223" s="310"/>
      <c r="AI223" s="309"/>
      <c r="AJ223" s="310"/>
      <c r="AK223" s="309"/>
      <c r="AL223" s="310"/>
      <c r="AM223" s="309"/>
      <c r="AN223" s="310"/>
      <c r="AO223" s="309"/>
      <c r="AP223" s="310"/>
      <c r="AQ223" s="309"/>
      <c r="AR223" s="310"/>
      <c r="AS223" s="309"/>
      <c r="AT223" s="310"/>
      <c r="AU223" s="309"/>
      <c r="AV223" s="310"/>
      <c r="AW223" s="309"/>
      <c r="AX223" s="310"/>
      <c r="AY223" s="309"/>
      <c r="AZ223" s="310"/>
      <c r="BA223" s="271"/>
      <c r="BB223" s="271"/>
      <c r="BC223" s="271"/>
      <c r="BD223" s="271"/>
      <c r="BE223" s="271"/>
      <c r="BF223" s="271"/>
    </row>
    <row r="224" spans="2:58" ht="16" thickBot="1" x14ac:dyDescent="0.25">
      <c r="B224" s="479"/>
      <c r="C224" s="299">
        <v>800</v>
      </c>
      <c r="D224" s="300"/>
      <c r="E224" s="275" t="s">
        <v>186</v>
      </c>
      <c r="F224" s="302"/>
      <c r="G224" s="309"/>
      <c r="H224" s="310"/>
      <c r="I224" s="309"/>
      <c r="J224" s="310"/>
      <c r="K224" s="309"/>
      <c r="L224" s="310"/>
      <c r="M224" s="309"/>
      <c r="N224" s="310"/>
      <c r="O224" s="271"/>
      <c r="P224" s="271"/>
      <c r="Q224" s="309"/>
      <c r="R224" s="310"/>
      <c r="S224" s="309"/>
      <c r="T224" s="310"/>
      <c r="U224" s="309"/>
      <c r="V224" s="310"/>
      <c r="W224" s="309"/>
      <c r="X224" s="310"/>
      <c r="Y224" s="309"/>
      <c r="Z224" s="310"/>
      <c r="AA224" s="309"/>
      <c r="AB224" s="310"/>
      <c r="AC224" s="271"/>
      <c r="AD224" s="271"/>
      <c r="AE224" s="309"/>
      <c r="AF224" s="310"/>
      <c r="AG224" s="309"/>
      <c r="AH224" s="310"/>
      <c r="AI224" s="309"/>
      <c r="AJ224" s="310"/>
      <c r="AK224" s="309"/>
      <c r="AL224" s="310"/>
      <c r="AM224" s="309"/>
      <c r="AN224" s="310"/>
      <c r="AO224" s="309"/>
      <c r="AP224" s="310"/>
      <c r="AQ224" s="309"/>
      <c r="AR224" s="310"/>
      <c r="AS224" s="309"/>
      <c r="AT224" s="310"/>
      <c r="AU224" s="309"/>
      <c r="AV224" s="310"/>
      <c r="AW224" s="309"/>
      <c r="AX224" s="310"/>
      <c r="AY224" s="309"/>
      <c r="AZ224" s="310"/>
      <c r="BA224" s="271"/>
      <c r="BB224" s="271"/>
      <c r="BC224" s="271"/>
      <c r="BD224" s="271"/>
      <c r="BE224" s="271"/>
      <c r="BF224" s="271"/>
    </row>
    <row r="225" spans="2:58" ht="16" thickBot="1" x14ac:dyDescent="0.25">
      <c r="B225" s="479"/>
      <c r="C225" s="299">
        <f>98.28+65.52</f>
        <v>163.80000000000001</v>
      </c>
      <c r="D225" s="300"/>
      <c r="E225" s="275" t="s">
        <v>605</v>
      </c>
      <c r="F225" s="302"/>
      <c r="G225" s="309"/>
      <c r="H225" s="310"/>
      <c r="I225" s="309"/>
      <c r="J225" s="310"/>
      <c r="K225" s="309"/>
      <c r="L225" s="310"/>
      <c r="M225" s="309"/>
      <c r="N225" s="310"/>
      <c r="O225" s="271"/>
      <c r="P225" s="271"/>
      <c r="Q225" s="309"/>
      <c r="R225" s="310"/>
      <c r="S225" s="309"/>
      <c r="T225" s="310"/>
      <c r="U225" s="309"/>
      <c r="V225" s="310"/>
      <c r="W225" s="309"/>
      <c r="X225" s="310"/>
      <c r="Y225" s="309"/>
      <c r="Z225" s="310"/>
      <c r="AA225" s="309"/>
      <c r="AB225" s="310"/>
      <c r="AC225" s="271"/>
      <c r="AD225" s="271"/>
      <c r="AE225" s="309"/>
      <c r="AF225" s="310"/>
      <c r="AG225" s="309"/>
      <c r="AH225" s="310"/>
      <c r="AI225" s="309"/>
      <c r="AJ225" s="310"/>
      <c r="AK225" s="309"/>
      <c r="AL225" s="310"/>
      <c r="AM225" s="309"/>
      <c r="AN225" s="310"/>
      <c r="AO225" s="309"/>
      <c r="AP225" s="310"/>
      <c r="AQ225" s="309"/>
      <c r="AR225" s="310"/>
      <c r="AS225" s="309"/>
      <c r="AT225" s="310"/>
      <c r="AU225" s="309"/>
      <c r="AV225" s="310"/>
      <c r="AW225" s="309"/>
      <c r="AX225" s="310"/>
      <c r="AY225" s="309"/>
      <c r="AZ225" s="310"/>
      <c r="BA225" s="271"/>
      <c r="BB225" s="271"/>
      <c r="BC225" s="271"/>
      <c r="BD225" s="271"/>
      <c r="BE225" s="271"/>
      <c r="BF225" s="271"/>
    </row>
    <row r="226" spans="2:58" ht="16" thickBot="1" x14ac:dyDescent="0.25">
      <c r="B226" s="479" t="s">
        <v>24</v>
      </c>
      <c r="C226" s="299">
        <v>1087.95</v>
      </c>
      <c r="D226" s="300"/>
      <c r="E226" s="275" t="s">
        <v>186</v>
      </c>
      <c r="F226" s="302"/>
      <c r="G226" s="309"/>
      <c r="H226" s="310"/>
      <c r="I226" s="309"/>
      <c r="J226" s="310"/>
      <c r="K226" s="309"/>
      <c r="L226" s="310"/>
      <c r="M226" s="309"/>
      <c r="N226" s="310"/>
      <c r="O226" s="271"/>
      <c r="P226" s="271"/>
      <c r="Q226" s="309"/>
      <c r="R226" s="310"/>
      <c r="S226" s="309"/>
      <c r="T226" s="310"/>
      <c r="U226" s="309"/>
      <c r="V226" s="310"/>
      <c r="W226" s="309"/>
      <c r="X226" s="310"/>
      <c r="Y226" s="309"/>
      <c r="Z226" s="310"/>
      <c r="AA226" s="309"/>
      <c r="AB226" s="310"/>
      <c r="AC226" s="271"/>
      <c r="AD226" s="271"/>
      <c r="AE226" s="309"/>
      <c r="AF226" s="310"/>
      <c r="AG226" s="309"/>
      <c r="AH226" s="310"/>
      <c r="AI226" s="309"/>
      <c r="AJ226" s="310"/>
      <c r="AK226" s="309"/>
      <c r="AL226" s="310"/>
      <c r="AM226" s="309"/>
      <c r="AN226" s="310"/>
      <c r="AO226" s="309"/>
      <c r="AP226" s="310"/>
      <c r="AQ226" s="309"/>
      <c r="AR226" s="310"/>
      <c r="AS226" s="309"/>
      <c r="AT226" s="310"/>
      <c r="AU226" s="309"/>
      <c r="AV226" s="310"/>
      <c r="AW226" s="309"/>
      <c r="AX226" s="310"/>
      <c r="AY226" s="309"/>
      <c r="AZ226" s="310"/>
      <c r="BA226" s="271"/>
      <c r="BB226" s="271"/>
      <c r="BC226" s="271"/>
      <c r="BD226" s="271"/>
      <c r="BE226" s="271"/>
      <c r="BF226" s="271"/>
    </row>
    <row r="227" spans="2:58" ht="16" thickBot="1" x14ac:dyDescent="0.25">
      <c r="B227" s="577"/>
      <c r="C227" s="159">
        <f>SUM(C223:C226)</f>
        <v>8141.75</v>
      </c>
      <c r="D227" s="159"/>
      <c r="E227" s="270"/>
      <c r="F227" s="271"/>
      <c r="G227" s="309"/>
      <c r="H227" s="310"/>
      <c r="I227" s="309"/>
      <c r="J227" s="310"/>
      <c r="K227" s="309"/>
      <c r="L227" s="310"/>
      <c r="M227" s="309"/>
      <c r="N227" s="310"/>
      <c r="O227" s="271"/>
      <c r="P227" s="271"/>
      <c r="Q227" s="309"/>
      <c r="R227" s="310"/>
      <c r="S227" s="309"/>
      <c r="T227" s="310"/>
      <c r="U227" s="309"/>
      <c r="V227" s="310"/>
      <c r="W227" s="309"/>
      <c r="X227" s="310"/>
      <c r="Y227" s="309"/>
      <c r="Z227" s="310"/>
      <c r="AA227" s="309"/>
      <c r="AB227" s="310"/>
      <c r="AC227" s="271"/>
      <c r="AD227" s="271"/>
      <c r="AE227" s="309"/>
      <c r="AF227" s="310"/>
      <c r="AG227" s="309"/>
      <c r="AH227" s="310"/>
      <c r="AI227" s="309"/>
      <c r="AJ227" s="310"/>
      <c r="AK227" s="309"/>
      <c r="AL227" s="310"/>
      <c r="AM227" s="309"/>
      <c r="AN227" s="310"/>
      <c r="AO227" s="309"/>
      <c r="AP227" s="310"/>
      <c r="AQ227" s="309"/>
      <c r="AR227" s="310"/>
      <c r="AS227" s="309"/>
      <c r="AT227" s="310"/>
      <c r="AU227" s="309"/>
      <c r="AV227" s="310"/>
      <c r="AW227" s="309"/>
      <c r="AX227" s="310"/>
      <c r="AY227" s="309"/>
      <c r="AZ227" s="310"/>
      <c r="BA227" s="271"/>
      <c r="BB227" s="271"/>
      <c r="BC227" s="271"/>
      <c r="BD227" s="271"/>
      <c r="BE227" s="271"/>
      <c r="BF227" s="271"/>
    </row>
    <row r="228" spans="2:58" ht="16" thickBot="1" x14ac:dyDescent="0.25">
      <c r="B228" s="289">
        <v>45682</v>
      </c>
      <c r="C228" s="299">
        <v>155.4</v>
      </c>
      <c r="D228" s="300"/>
      <c r="E228" s="274" t="s">
        <v>607</v>
      </c>
      <c r="F228" s="302"/>
      <c r="G228" s="309"/>
      <c r="H228" s="310"/>
      <c r="I228" s="309"/>
      <c r="J228" s="310"/>
      <c r="K228" s="309"/>
      <c r="L228" s="310"/>
      <c r="M228" s="309"/>
      <c r="N228" s="310"/>
      <c r="O228" s="271"/>
      <c r="P228" s="271"/>
      <c r="Q228" s="309"/>
      <c r="R228" s="310"/>
      <c r="S228" s="309"/>
      <c r="T228" s="310"/>
      <c r="U228" s="309"/>
      <c r="V228" s="310"/>
      <c r="W228" s="309"/>
      <c r="X228" s="310"/>
      <c r="Y228" s="309"/>
      <c r="Z228" s="310"/>
      <c r="AA228" s="309"/>
      <c r="AB228" s="310"/>
      <c r="AC228" s="271"/>
      <c r="AD228" s="271"/>
      <c r="AE228" s="309"/>
      <c r="AF228" s="310"/>
      <c r="AG228" s="309"/>
      <c r="AH228" s="310"/>
      <c r="AI228" s="309"/>
      <c r="AJ228" s="310"/>
      <c r="AK228" s="309"/>
      <c r="AL228" s="310"/>
      <c r="AM228" s="309"/>
      <c r="AN228" s="310"/>
      <c r="AO228" s="309"/>
      <c r="AP228" s="310"/>
      <c r="AQ228" s="309"/>
      <c r="AR228" s="310"/>
      <c r="AS228" s="309"/>
      <c r="AT228" s="310"/>
      <c r="AU228" s="309"/>
      <c r="AV228" s="310"/>
      <c r="AW228" s="309"/>
      <c r="AX228" s="310"/>
      <c r="AY228" s="309"/>
      <c r="AZ228" s="310"/>
      <c r="BA228" s="271"/>
      <c r="BB228" s="271"/>
      <c r="BC228" s="271"/>
      <c r="BD228" s="271"/>
      <c r="BE228" s="271"/>
      <c r="BF228" s="271"/>
    </row>
    <row r="229" spans="2:58" ht="16" thickBot="1" x14ac:dyDescent="0.25">
      <c r="B229" s="289"/>
      <c r="C229" s="299">
        <v>83.4</v>
      </c>
      <c r="D229" s="300"/>
      <c r="E229" s="275" t="s">
        <v>606</v>
      </c>
      <c r="F229" s="302"/>
      <c r="G229" s="309"/>
      <c r="H229" s="310"/>
      <c r="I229" s="309"/>
      <c r="J229" s="310"/>
      <c r="K229" s="309"/>
      <c r="L229" s="310"/>
      <c r="M229" s="309"/>
      <c r="N229" s="310"/>
      <c r="O229" s="271"/>
      <c r="P229" s="271"/>
      <c r="Q229" s="309"/>
      <c r="R229" s="310"/>
      <c r="S229" s="309"/>
      <c r="T229" s="310"/>
      <c r="U229" s="309"/>
      <c r="V229" s="310"/>
      <c r="W229" s="309"/>
      <c r="X229" s="310"/>
      <c r="Y229" s="309"/>
      <c r="Z229" s="310"/>
      <c r="AA229" s="309"/>
      <c r="AB229" s="310"/>
      <c r="AC229" s="271"/>
      <c r="AD229" s="271"/>
      <c r="AE229" s="309"/>
      <c r="AF229" s="310"/>
      <c r="AG229" s="309"/>
      <c r="AH229" s="310"/>
      <c r="AI229" s="309"/>
      <c r="AJ229" s="310"/>
      <c r="AK229" s="309"/>
      <c r="AL229" s="310"/>
      <c r="AM229" s="309"/>
      <c r="AN229" s="310"/>
      <c r="AO229" s="309"/>
      <c r="AP229" s="310"/>
      <c r="AQ229" s="309"/>
      <c r="AR229" s="310"/>
      <c r="AS229" s="309"/>
      <c r="AT229" s="310"/>
      <c r="AU229" s="309"/>
      <c r="AV229" s="310"/>
      <c r="AW229" s="309"/>
      <c r="AX229" s="310"/>
      <c r="AY229" s="309"/>
      <c r="AZ229" s="310"/>
      <c r="BA229" s="271"/>
      <c r="BB229" s="271"/>
      <c r="BC229" s="271"/>
      <c r="BD229" s="271"/>
      <c r="BE229" s="271"/>
      <c r="BF229" s="271"/>
    </row>
    <row r="230" spans="2:58" ht="16" thickBot="1" x14ac:dyDescent="0.25">
      <c r="B230" s="288" t="s">
        <v>25</v>
      </c>
      <c r="C230" s="284">
        <v>2400</v>
      </c>
      <c r="D230" s="291"/>
      <c r="E230" s="290" t="s">
        <v>435</v>
      </c>
      <c r="F230" s="293"/>
      <c r="G230" s="309"/>
      <c r="H230" s="310"/>
      <c r="I230" s="309"/>
      <c r="J230" s="310"/>
      <c r="K230" s="309"/>
      <c r="L230" s="310"/>
      <c r="M230" s="309"/>
      <c r="N230" s="310"/>
      <c r="O230" s="271"/>
      <c r="P230" s="271"/>
      <c r="Q230" s="309"/>
      <c r="R230" s="310"/>
      <c r="S230" s="309"/>
      <c r="T230" s="310"/>
      <c r="U230" s="309"/>
      <c r="V230" s="310"/>
      <c r="W230" s="309"/>
      <c r="X230" s="310"/>
      <c r="Y230" s="309"/>
      <c r="Z230" s="310"/>
      <c r="AA230" s="309"/>
      <c r="AB230" s="310"/>
      <c r="AC230" s="271"/>
      <c r="AD230" s="271"/>
      <c r="AE230" s="309"/>
      <c r="AF230" s="310"/>
      <c r="AG230" s="309"/>
      <c r="AH230" s="310"/>
      <c r="AI230" s="309"/>
      <c r="AJ230" s="310"/>
      <c r="AK230" s="309"/>
      <c r="AL230" s="310"/>
      <c r="AM230" s="309"/>
      <c r="AN230" s="310"/>
      <c r="AO230" s="309"/>
      <c r="AP230" s="310"/>
      <c r="AQ230" s="309"/>
      <c r="AR230" s="310"/>
      <c r="AS230" s="309"/>
      <c r="AT230" s="310"/>
      <c r="AU230" s="309"/>
      <c r="AV230" s="310"/>
      <c r="AW230" s="309"/>
      <c r="AX230" s="310"/>
      <c r="AY230" s="309"/>
      <c r="AZ230" s="310"/>
      <c r="BA230" s="271"/>
      <c r="BB230" s="271"/>
      <c r="BC230" s="271"/>
      <c r="BD230" s="271"/>
      <c r="BE230" s="271"/>
      <c r="BF230" s="271"/>
    </row>
    <row r="231" spans="2:58" ht="16" thickBot="1" x14ac:dyDescent="0.25">
      <c r="B231" s="668"/>
      <c r="C231" s="640">
        <f>SUM(C228:C230)</f>
        <v>2638.8</v>
      </c>
      <c r="D231" s="159"/>
      <c r="E231" s="270"/>
      <c r="F231" s="271"/>
      <c r="G231" s="309"/>
      <c r="H231" s="310"/>
      <c r="I231" s="309"/>
      <c r="J231" s="310"/>
      <c r="K231" s="309"/>
      <c r="L231" s="310"/>
      <c r="M231" s="309"/>
      <c r="N231" s="310"/>
      <c r="O231" s="271"/>
      <c r="P231" s="271"/>
      <c r="Q231" s="309"/>
      <c r="R231" s="310"/>
      <c r="S231" s="309"/>
      <c r="T231" s="310"/>
      <c r="U231" s="309"/>
      <c r="V231" s="310"/>
      <c r="W231" s="309"/>
      <c r="X231" s="310"/>
      <c r="Y231" s="309"/>
      <c r="Z231" s="310"/>
      <c r="AA231" s="309"/>
      <c r="AB231" s="310"/>
      <c r="AC231" s="271"/>
      <c r="AD231" s="271"/>
      <c r="AE231" s="309"/>
      <c r="AF231" s="310"/>
      <c r="AG231" s="309"/>
      <c r="AH231" s="310"/>
      <c r="AI231" s="309"/>
      <c r="AJ231" s="310"/>
      <c r="AK231" s="309"/>
      <c r="AL231" s="310"/>
      <c r="AM231" s="309"/>
      <c r="AN231" s="310"/>
      <c r="AO231" s="309"/>
      <c r="AP231" s="310"/>
      <c r="AQ231" s="309"/>
      <c r="AR231" s="310"/>
      <c r="AS231" s="309"/>
      <c r="AT231" s="310"/>
      <c r="AU231" s="309"/>
      <c r="AV231" s="310"/>
      <c r="AW231" s="309"/>
      <c r="AX231" s="310"/>
      <c r="AY231" s="309"/>
      <c r="AZ231" s="310"/>
      <c r="BA231" s="271"/>
      <c r="BB231" s="271"/>
      <c r="BC231" s="271"/>
      <c r="BD231" s="271"/>
      <c r="BE231" s="271"/>
      <c r="BF231" s="271"/>
    </row>
    <row r="232" spans="2:58" ht="16" thickBot="1" x14ac:dyDescent="0.25">
      <c r="B232" s="479">
        <v>45683</v>
      </c>
      <c r="C232" s="657">
        <v>98</v>
      </c>
      <c r="D232" s="641"/>
      <c r="E232" s="274" t="s">
        <v>426</v>
      </c>
      <c r="F232" s="301"/>
      <c r="G232" s="550"/>
      <c r="H232" s="310"/>
      <c r="I232" s="309"/>
      <c r="J232" s="310"/>
      <c r="K232" s="309"/>
      <c r="L232" s="310"/>
      <c r="M232" s="309"/>
      <c r="N232" s="310"/>
      <c r="O232" s="271"/>
      <c r="P232" s="271"/>
      <c r="Q232" s="309"/>
      <c r="R232" s="310"/>
      <c r="S232" s="309"/>
      <c r="T232" s="310"/>
      <c r="U232" s="309"/>
      <c r="V232" s="310"/>
      <c r="W232" s="309"/>
      <c r="X232" s="310"/>
      <c r="Y232" s="309"/>
      <c r="Z232" s="310"/>
      <c r="AA232" s="309"/>
      <c r="AB232" s="310"/>
      <c r="AC232" s="271"/>
      <c r="AD232" s="271"/>
      <c r="AE232" s="309"/>
      <c r="AF232" s="310"/>
      <c r="AG232" s="309"/>
      <c r="AH232" s="310"/>
      <c r="AI232" s="309"/>
      <c r="AJ232" s="310"/>
      <c r="AK232" s="309"/>
      <c r="AL232" s="310"/>
      <c r="AM232" s="309"/>
      <c r="AN232" s="310"/>
      <c r="AO232" s="309"/>
      <c r="AP232" s="310"/>
      <c r="AQ232" s="309"/>
      <c r="AR232" s="310"/>
      <c r="AS232" s="309"/>
      <c r="AT232" s="310"/>
      <c r="AU232" s="309"/>
      <c r="AV232" s="310"/>
      <c r="AW232" s="309"/>
      <c r="AX232" s="310"/>
      <c r="AY232" s="309"/>
      <c r="AZ232" s="310"/>
      <c r="BA232" s="271"/>
      <c r="BB232" s="271"/>
      <c r="BC232" s="271"/>
      <c r="BD232" s="271"/>
      <c r="BE232" s="271"/>
      <c r="BF232" s="271"/>
    </row>
    <row r="233" spans="2:58" ht="16" thickBot="1" x14ac:dyDescent="0.25">
      <c r="B233" s="479"/>
      <c r="C233" s="657">
        <v>6123.48</v>
      </c>
      <c r="D233" s="657"/>
      <c r="E233" s="285"/>
      <c r="F233" s="302" t="s">
        <v>9</v>
      </c>
      <c r="G233" s="550">
        <v>8</v>
      </c>
      <c r="H233" s="310">
        <v>1095.92</v>
      </c>
      <c r="I233" s="309">
        <v>4</v>
      </c>
      <c r="J233" s="310">
        <v>411.96</v>
      </c>
      <c r="K233" s="309">
        <v>8</v>
      </c>
      <c r="L233" s="310">
        <v>1455.92</v>
      </c>
      <c r="M233" s="309">
        <v>12</v>
      </c>
      <c r="N233" s="310">
        <v>1883.88</v>
      </c>
      <c r="O233" s="271"/>
      <c r="P233" s="271"/>
      <c r="Q233" s="309">
        <v>1</v>
      </c>
      <c r="R233" s="310">
        <v>134.99</v>
      </c>
      <c r="S233" s="309"/>
      <c r="T233" s="310"/>
      <c r="U233" s="309"/>
      <c r="V233" s="310"/>
      <c r="W233" s="309">
        <v>4</v>
      </c>
      <c r="X233" s="310">
        <v>171.96</v>
      </c>
      <c r="Y233" s="309"/>
      <c r="Z233" s="310"/>
      <c r="AA233" s="309"/>
      <c r="AB233" s="310"/>
      <c r="AC233" s="271">
        <v>6</v>
      </c>
      <c r="AD233" s="271">
        <v>593.94000000000005</v>
      </c>
      <c r="AE233" s="309"/>
      <c r="AF233" s="310"/>
      <c r="AG233" s="309"/>
      <c r="AH233" s="310"/>
      <c r="AI233" s="309">
        <v>2</v>
      </c>
      <c r="AJ233" s="310">
        <v>11.98</v>
      </c>
      <c r="AK233" s="309"/>
      <c r="AL233" s="310"/>
      <c r="AM233" s="309"/>
      <c r="AN233" s="310"/>
      <c r="AO233" s="309"/>
      <c r="AP233" s="310"/>
      <c r="AQ233" s="309"/>
      <c r="AR233" s="310"/>
      <c r="AS233" s="309"/>
      <c r="AT233" s="310"/>
      <c r="AU233" s="309"/>
      <c r="AV233" s="310"/>
      <c r="AW233" s="309"/>
      <c r="AX233" s="310"/>
      <c r="AY233" s="309"/>
      <c r="AZ233" s="310"/>
      <c r="BA233" s="271">
        <v>1</v>
      </c>
      <c r="BB233" s="271">
        <v>26.99</v>
      </c>
      <c r="BC233" s="271"/>
      <c r="BD233" s="271"/>
      <c r="BE233" s="271">
        <v>1</v>
      </c>
      <c r="BF233" s="271">
        <v>75.989999999999995</v>
      </c>
    </row>
    <row r="234" spans="2:58" ht="16" thickBot="1" x14ac:dyDescent="0.25">
      <c r="B234" s="479"/>
      <c r="C234" s="657"/>
      <c r="D234" s="657"/>
      <c r="E234" s="285"/>
      <c r="F234" s="302"/>
      <c r="G234" s="550"/>
      <c r="H234" s="310"/>
      <c r="I234" s="309"/>
      <c r="J234" s="310"/>
      <c r="K234" s="309"/>
      <c r="L234" s="310"/>
      <c r="M234" s="309"/>
      <c r="N234" s="310"/>
      <c r="O234" s="271"/>
      <c r="P234" s="271"/>
      <c r="Q234" s="309"/>
      <c r="R234" s="310"/>
      <c r="S234" s="309"/>
      <c r="T234" s="310"/>
      <c r="U234" s="309"/>
      <c r="V234" s="310"/>
      <c r="W234" s="309"/>
      <c r="X234" s="310"/>
      <c r="Y234" s="309"/>
      <c r="Z234" s="310"/>
      <c r="AA234" s="309"/>
      <c r="AB234" s="310"/>
      <c r="AC234" s="271"/>
      <c r="AD234" s="271"/>
      <c r="AE234" s="309"/>
      <c r="AF234" s="310"/>
      <c r="AG234" s="309"/>
      <c r="AH234" s="310"/>
      <c r="AI234" s="309"/>
      <c r="AJ234" s="310"/>
      <c r="AK234" s="309"/>
      <c r="AL234" s="310"/>
      <c r="AM234" s="309"/>
      <c r="AN234" s="310"/>
      <c r="AO234" s="309"/>
      <c r="AP234" s="310"/>
      <c r="AQ234" s="309"/>
      <c r="AR234" s="310"/>
      <c r="AS234" s="309"/>
      <c r="AT234" s="310"/>
      <c r="AU234" s="309"/>
      <c r="AV234" s="310"/>
      <c r="AW234" s="309"/>
      <c r="AX234" s="310"/>
      <c r="AY234" s="309"/>
      <c r="AZ234" s="310"/>
      <c r="BA234" s="271"/>
      <c r="BB234" s="271"/>
      <c r="BC234" s="271"/>
      <c r="BD234" s="271"/>
      <c r="BE234" s="271"/>
      <c r="BF234" s="271"/>
    </row>
    <row r="235" spans="2:58" ht="16" thickBot="1" x14ac:dyDescent="0.25">
      <c r="B235" s="479"/>
      <c r="C235" s="657"/>
      <c r="D235" s="657"/>
      <c r="E235" s="285"/>
      <c r="F235" s="302"/>
      <c r="G235" s="550"/>
      <c r="H235" s="310"/>
      <c r="I235" s="309"/>
      <c r="J235" s="310"/>
      <c r="K235" s="309"/>
      <c r="L235" s="310"/>
      <c r="M235" s="309"/>
      <c r="N235" s="310"/>
      <c r="O235" s="271"/>
      <c r="P235" s="271"/>
      <c r="Q235" s="309"/>
      <c r="R235" s="310"/>
      <c r="S235" s="309"/>
      <c r="T235" s="310"/>
      <c r="U235" s="309"/>
      <c r="V235" s="310"/>
      <c r="W235" s="309"/>
      <c r="X235" s="310"/>
      <c r="Y235" s="309"/>
      <c r="Z235" s="310"/>
      <c r="AA235" s="309"/>
      <c r="AB235" s="310"/>
      <c r="AC235" s="271"/>
      <c r="AD235" s="271"/>
      <c r="AE235" s="309"/>
      <c r="AF235" s="310"/>
      <c r="AG235" s="309"/>
      <c r="AH235" s="310"/>
      <c r="AI235" s="309"/>
      <c r="AJ235" s="310"/>
      <c r="AK235" s="309"/>
      <c r="AL235" s="310"/>
      <c r="AM235" s="309"/>
      <c r="AN235" s="310"/>
      <c r="AO235" s="309"/>
      <c r="AP235" s="310"/>
      <c r="AQ235" s="309"/>
      <c r="AR235" s="310"/>
      <c r="AS235" s="309"/>
      <c r="AT235" s="310"/>
      <c r="AU235" s="309"/>
      <c r="AV235" s="310"/>
      <c r="AW235" s="309"/>
      <c r="AX235" s="310"/>
      <c r="AY235" s="309"/>
      <c r="AZ235" s="310"/>
      <c r="BA235" s="271"/>
      <c r="BB235" s="271"/>
      <c r="BC235" s="271"/>
      <c r="BD235" s="271"/>
      <c r="BE235" s="271"/>
      <c r="BF235" s="271"/>
    </row>
    <row r="236" spans="2:58" ht="16" thickBot="1" x14ac:dyDescent="0.25">
      <c r="B236" s="479"/>
      <c r="C236" s="657"/>
      <c r="D236" s="657"/>
      <c r="E236" s="285"/>
      <c r="F236" s="302"/>
      <c r="G236" s="550"/>
      <c r="H236" s="310"/>
      <c r="I236" s="309"/>
      <c r="J236" s="310"/>
      <c r="K236" s="309"/>
      <c r="L236" s="310"/>
      <c r="M236" s="309"/>
      <c r="N236" s="310"/>
      <c r="O236" s="271"/>
      <c r="P236" s="271"/>
      <c r="Q236" s="309"/>
      <c r="R236" s="310"/>
      <c r="S236" s="309"/>
      <c r="T236" s="310"/>
      <c r="U236" s="309"/>
      <c r="V236" s="310"/>
      <c r="W236" s="309"/>
      <c r="X236" s="310"/>
      <c r="Y236" s="309"/>
      <c r="Z236" s="310"/>
      <c r="AA236" s="309"/>
      <c r="AB236" s="310"/>
      <c r="AC236" s="271"/>
      <c r="AD236" s="271"/>
      <c r="AE236" s="309"/>
      <c r="AF236" s="310"/>
      <c r="AG236" s="309"/>
      <c r="AH236" s="310"/>
      <c r="AI236" s="309"/>
      <c r="AJ236" s="310"/>
      <c r="AK236" s="309"/>
      <c r="AL236" s="310"/>
      <c r="AM236" s="309"/>
      <c r="AN236" s="310"/>
      <c r="AO236" s="309"/>
      <c r="AP236" s="310"/>
      <c r="AQ236" s="309"/>
      <c r="AR236" s="310"/>
      <c r="AS236" s="309"/>
      <c r="AT236" s="310"/>
      <c r="AU236" s="309"/>
      <c r="AV236" s="310"/>
      <c r="AW236" s="309"/>
      <c r="AX236" s="310"/>
      <c r="AY236" s="309"/>
      <c r="AZ236" s="310"/>
      <c r="BA236" s="271"/>
      <c r="BB236" s="271"/>
      <c r="BC236" s="271"/>
      <c r="BD236" s="271"/>
      <c r="BE236" s="271"/>
      <c r="BF236" s="271"/>
    </row>
    <row r="237" spans="2:58" ht="16" thickBot="1" x14ac:dyDescent="0.25">
      <c r="B237" s="479"/>
      <c r="C237" s="657"/>
      <c r="D237" s="657"/>
      <c r="E237" s="285"/>
      <c r="F237" s="302"/>
      <c r="G237" s="550"/>
      <c r="H237" s="310"/>
      <c r="I237" s="309"/>
      <c r="J237" s="310"/>
      <c r="K237" s="309"/>
      <c r="L237" s="310"/>
      <c r="M237" s="309"/>
      <c r="N237" s="310"/>
      <c r="O237" s="271"/>
      <c r="P237" s="271"/>
      <c r="Q237" s="309"/>
      <c r="R237" s="310"/>
      <c r="S237" s="309"/>
      <c r="T237" s="310"/>
      <c r="U237" s="309"/>
      <c r="V237" s="310"/>
      <c r="W237" s="309"/>
      <c r="X237" s="310"/>
      <c r="Y237" s="309"/>
      <c r="Z237" s="310"/>
      <c r="AA237" s="309"/>
      <c r="AB237" s="310"/>
      <c r="AC237" s="271"/>
      <c r="AD237" s="271"/>
      <c r="AE237" s="309"/>
      <c r="AF237" s="310"/>
      <c r="AG237" s="309"/>
      <c r="AH237" s="310"/>
      <c r="AI237" s="309"/>
      <c r="AJ237" s="310"/>
      <c r="AK237" s="309"/>
      <c r="AL237" s="310"/>
      <c r="AM237" s="309"/>
      <c r="AN237" s="310"/>
      <c r="AO237" s="309"/>
      <c r="AP237" s="310"/>
      <c r="AQ237" s="309"/>
      <c r="AR237" s="310"/>
      <c r="AS237" s="309"/>
      <c r="AT237" s="310"/>
      <c r="AU237" s="309"/>
      <c r="AV237" s="310"/>
      <c r="AW237" s="309"/>
      <c r="AX237" s="310"/>
      <c r="AY237" s="309"/>
      <c r="AZ237" s="310"/>
      <c r="BA237" s="271"/>
      <c r="BB237" s="271"/>
      <c r="BC237" s="271"/>
      <c r="BD237" s="271"/>
      <c r="BE237" s="271"/>
      <c r="BF237" s="271"/>
    </row>
    <row r="238" spans="2:58" ht="16" thickBot="1" x14ac:dyDescent="0.25">
      <c r="B238" s="549" t="s">
        <v>26</v>
      </c>
      <c r="C238" s="554"/>
      <c r="D238" s="291"/>
      <c r="E238" s="290"/>
      <c r="F238" s="293"/>
      <c r="G238" s="550"/>
      <c r="H238" s="310"/>
      <c r="I238" s="309"/>
      <c r="J238" s="310"/>
      <c r="K238" s="309"/>
      <c r="L238" s="310"/>
      <c r="M238" s="309"/>
      <c r="N238" s="310"/>
      <c r="O238" s="271"/>
      <c r="P238" s="271"/>
      <c r="Q238" s="309"/>
      <c r="R238" s="310"/>
      <c r="S238" s="309"/>
      <c r="T238" s="310"/>
      <c r="U238" s="309"/>
      <c r="V238" s="310"/>
      <c r="W238" s="309"/>
      <c r="X238" s="310"/>
      <c r="Y238" s="309"/>
      <c r="Z238" s="310"/>
      <c r="AA238" s="309"/>
      <c r="AB238" s="310"/>
      <c r="AC238" s="271"/>
      <c r="AD238" s="271"/>
      <c r="AE238" s="309"/>
      <c r="AF238" s="310"/>
      <c r="AG238" s="309"/>
      <c r="AH238" s="310"/>
      <c r="AI238" s="309"/>
      <c r="AJ238" s="310"/>
      <c r="AK238" s="309"/>
      <c r="AL238" s="310"/>
      <c r="AM238" s="309"/>
      <c r="AN238" s="310"/>
      <c r="AO238" s="309"/>
      <c r="AP238" s="310"/>
      <c r="AQ238" s="309"/>
      <c r="AR238" s="310"/>
      <c r="AS238" s="309"/>
      <c r="AT238" s="310"/>
      <c r="AU238" s="309"/>
      <c r="AV238" s="310"/>
      <c r="AW238" s="309"/>
      <c r="AX238" s="310"/>
      <c r="AY238" s="309"/>
      <c r="AZ238" s="310"/>
      <c r="BA238" s="271"/>
      <c r="BB238" s="271"/>
      <c r="BC238" s="271"/>
      <c r="BD238" s="271"/>
      <c r="BE238" s="271"/>
      <c r="BF238" s="271"/>
    </row>
    <row r="239" spans="2:58" ht="16" thickBot="1" x14ac:dyDescent="0.25">
      <c r="B239" s="292"/>
      <c r="C239" s="551">
        <f>SUM(C232:C238)</f>
        <v>6221.48</v>
      </c>
      <c r="D239" s="551"/>
      <c r="E239" s="552"/>
      <c r="F239" s="553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  <c r="AA239" s="271"/>
      <c r="AB239" s="271"/>
      <c r="AC239" s="271"/>
      <c r="AD239" s="271"/>
      <c r="AE239" s="309"/>
      <c r="AF239" s="310"/>
      <c r="AG239" s="309"/>
      <c r="AH239" s="310"/>
      <c r="AI239" s="309"/>
      <c r="AJ239" s="310"/>
      <c r="AK239" s="309"/>
      <c r="AL239" s="310"/>
      <c r="AM239" s="309"/>
      <c r="AN239" s="310"/>
      <c r="AO239" s="309"/>
      <c r="AP239" s="310"/>
      <c r="AQ239" s="309"/>
      <c r="AR239" s="310"/>
      <c r="AS239" s="309"/>
      <c r="AT239" s="310"/>
      <c r="AU239" s="309"/>
      <c r="AV239" s="310"/>
      <c r="AW239" s="309"/>
      <c r="AX239" s="310"/>
      <c r="AY239" s="309"/>
      <c r="AZ239" s="310"/>
      <c r="BA239" s="271"/>
      <c r="BB239" s="271"/>
      <c r="BC239" s="271"/>
      <c r="BD239" s="271"/>
      <c r="BE239" s="271"/>
      <c r="BF239" s="271"/>
    </row>
    <row r="240" spans="2:58" ht="16" thickBot="1" x14ac:dyDescent="0.25">
      <c r="B240" s="761" t="s">
        <v>329</v>
      </c>
      <c r="C240" s="311"/>
      <c r="D240" s="312"/>
      <c r="E240" s="285"/>
      <c r="F240" s="302"/>
      <c r="G240" s="306">
        <f t="shared" ref="G240:AD240" si="6">SUM(G205:G238)</f>
        <v>24</v>
      </c>
      <c r="H240" s="307">
        <f t="shared" si="6"/>
        <v>3287.76</v>
      </c>
      <c r="I240" s="306">
        <f t="shared" si="6"/>
        <v>12</v>
      </c>
      <c r="J240" s="307">
        <f t="shared" si="6"/>
        <v>1235.8799999999999</v>
      </c>
      <c r="K240" s="306">
        <f t="shared" si="6"/>
        <v>20</v>
      </c>
      <c r="L240" s="307">
        <f t="shared" si="6"/>
        <v>3639.8</v>
      </c>
      <c r="M240" s="306">
        <f t="shared" si="6"/>
        <v>32</v>
      </c>
      <c r="N240" s="307">
        <f t="shared" si="6"/>
        <v>5023.68</v>
      </c>
      <c r="O240" s="308">
        <f t="shared" si="6"/>
        <v>0</v>
      </c>
      <c r="P240" s="308">
        <f t="shared" si="6"/>
        <v>0</v>
      </c>
      <c r="Q240" s="306">
        <f t="shared" si="6"/>
        <v>2</v>
      </c>
      <c r="R240" s="307">
        <f t="shared" si="6"/>
        <v>269.98</v>
      </c>
      <c r="S240" s="306">
        <f t="shared" si="6"/>
        <v>6</v>
      </c>
      <c r="T240" s="307">
        <f t="shared" si="6"/>
        <v>4864.5</v>
      </c>
      <c r="U240" s="306">
        <f t="shared" si="6"/>
        <v>18</v>
      </c>
      <c r="V240" s="307">
        <f t="shared" si="6"/>
        <v>9522</v>
      </c>
      <c r="W240" s="306">
        <f t="shared" si="6"/>
        <v>14</v>
      </c>
      <c r="X240" s="307">
        <f t="shared" si="6"/>
        <v>601.86</v>
      </c>
      <c r="Y240" s="306">
        <f t="shared" si="6"/>
        <v>0</v>
      </c>
      <c r="Z240" s="307">
        <f t="shared" si="6"/>
        <v>0</v>
      </c>
      <c r="AA240" s="306">
        <f t="shared" si="6"/>
        <v>2</v>
      </c>
      <c r="AB240" s="307">
        <f t="shared" si="6"/>
        <v>8050</v>
      </c>
      <c r="AC240" s="308">
        <f t="shared" si="6"/>
        <v>18</v>
      </c>
      <c r="AD240" s="308">
        <f t="shared" si="6"/>
        <v>1777.82</v>
      </c>
      <c r="AE240" s="306">
        <f t="shared" ref="AE240:BF240" si="7">SUM(AE205:AE239)</f>
        <v>10</v>
      </c>
      <c r="AF240" s="307">
        <f t="shared" si="7"/>
        <v>349.9</v>
      </c>
      <c r="AG240" s="306">
        <f t="shared" si="7"/>
        <v>0</v>
      </c>
      <c r="AH240" s="307">
        <f t="shared" si="7"/>
        <v>0</v>
      </c>
      <c r="AI240" s="306">
        <f t="shared" si="7"/>
        <v>2</v>
      </c>
      <c r="AJ240" s="307">
        <f t="shared" si="7"/>
        <v>11.98</v>
      </c>
      <c r="AK240" s="306">
        <f t="shared" si="7"/>
        <v>0</v>
      </c>
      <c r="AL240" s="307">
        <f t="shared" si="7"/>
        <v>0</v>
      </c>
      <c r="AM240" s="306">
        <f t="shared" si="7"/>
        <v>1</v>
      </c>
      <c r="AN240" s="307">
        <f t="shared" si="7"/>
        <v>49.99</v>
      </c>
      <c r="AO240" s="306">
        <f t="shared" si="7"/>
        <v>0</v>
      </c>
      <c r="AP240" s="307">
        <f t="shared" si="7"/>
        <v>0</v>
      </c>
      <c r="AQ240" s="306">
        <f t="shared" si="7"/>
        <v>0</v>
      </c>
      <c r="AR240" s="307">
        <f t="shared" si="7"/>
        <v>0</v>
      </c>
      <c r="AS240" s="306">
        <f t="shared" si="7"/>
        <v>0</v>
      </c>
      <c r="AT240" s="307">
        <f t="shared" si="7"/>
        <v>0</v>
      </c>
      <c r="AU240" s="306">
        <f t="shared" si="7"/>
        <v>0</v>
      </c>
      <c r="AV240" s="307">
        <f t="shared" si="7"/>
        <v>0</v>
      </c>
      <c r="AW240" s="306">
        <f t="shared" si="7"/>
        <v>20</v>
      </c>
      <c r="AX240" s="307">
        <f t="shared" si="7"/>
        <v>4149.3</v>
      </c>
      <c r="AY240" s="306">
        <f t="shared" si="7"/>
        <v>20</v>
      </c>
      <c r="AZ240" s="307">
        <f t="shared" si="7"/>
        <v>4149.3</v>
      </c>
      <c r="BA240" s="306">
        <f t="shared" si="7"/>
        <v>3</v>
      </c>
      <c r="BB240" s="307">
        <f t="shared" si="7"/>
        <v>80.97</v>
      </c>
      <c r="BC240" s="306">
        <f t="shared" si="7"/>
        <v>0</v>
      </c>
      <c r="BD240" s="307">
        <f t="shared" si="7"/>
        <v>0</v>
      </c>
      <c r="BE240" s="306">
        <f t="shared" si="7"/>
        <v>2</v>
      </c>
      <c r="BF240" s="307">
        <f t="shared" si="7"/>
        <v>151.97999999999999</v>
      </c>
    </row>
    <row r="241" spans="2:58" ht="16" thickBot="1" x14ac:dyDescent="0.25">
      <c r="B241" s="762"/>
      <c r="C241" s="160">
        <f>SUM(C239,C231,C227,C222,C213,C209,C205)</f>
        <v>90408.5</v>
      </c>
      <c r="D241" s="160"/>
      <c r="E241" s="304"/>
      <c r="F241" s="294"/>
      <c r="G241" s="752" t="s">
        <v>29</v>
      </c>
      <c r="H241" s="752"/>
      <c r="I241" s="752" t="s">
        <v>30</v>
      </c>
      <c r="J241" s="752"/>
      <c r="K241" s="752" t="s">
        <v>31</v>
      </c>
      <c r="L241" s="752"/>
      <c r="M241" s="752" t="s">
        <v>32</v>
      </c>
      <c r="N241" s="752"/>
      <c r="O241" s="752" t="s">
        <v>33</v>
      </c>
      <c r="P241" s="752"/>
      <c r="Q241" s="752" t="s">
        <v>247</v>
      </c>
      <c r="R241" s="752"/>
      <c r="S241" s="752" t="s">
        <v>34</v>
      </c>
      <c r="T241" s="752"/>
      <c r="U241" s="752" t="s">
        <v>35</v>
      </c>
      <c r="V241" s="752"/>
      <c r="W241" s="752" t="s">
        <v>36</v>
      </c>
      <c r="X241" s="752"/>
      <c r="Y241" s="752" t="s">
        <v>37</v>
      </c>
      <c r="Z241" s="752"/>
      <c r="AA241" s="752" t="s">
        <v>38</v>
      </c>
      <c r="AB241" s="752"/>
      <c r="AC241" s="752" t="s">
        <v>39</v>
      </c>
      <c r="AD241" s="752"/>
      <c r="AE241" s="752" t="s">
        <v>40</v>
      </c>
      <c r="AF241" s="752"/>
      <c r="AG241" s="752" t="s">
        <v>41</v>
      </c>
      <c r="AH241" s="752"/>
      <c r="AI241" s="752" t="s">
        <v>42</v>
      </c>
      <c r="AJ241" s="752"/>
      <c r="AK241" s="752" t="s">
        <v>43</v>
      </c>
      <c r="AL241" s="752"/>
      <c r="AM241" s="752" t="s">
        <v>157</v>
      </c>
      <c r="AN241" s="752"/>
      <c r="AO241" s="752" t="s">
        <v>248</v>
      </c>
      <c r="AP241" s="752"/>
      <c r="AQ241" s="752" t="s">
        <v>249</v>
      </c>
      <c r="AR241" s="752"/>
      <c r="AS241" s="752" t="s">
        <v>150</v>
      </c>
      <c r="AT241" s="752"/>
      <c r="AU241" s="752" t="s">
        <v>151</v>
      </c>
      <c r="AV241" s="752"/>
      <c r="AW241" s="752" t="s">
        <v>44</v>
      </c>
      <c r="AX241" s="752"/>
      <c r="AY241" s="752" t="s">
        <v>250</v>
      </c>
      <c r="AZ241" s="752"/>
      <c r="BA241" s="752" t="s">
        <v>45</v>
      </c>
      <c r="BB241" s="752"/>
      <c r="BC241" s="752" t="s">
        <v>46</v>
      </c>
      <c r="BD241" s="752"/>
      <c r="BE241" s="752" t="s">
        <v>92</v>
      </c>
      <c r="BF241" s="752"/>
    </row>
    <row r="242" spans="2:58" ht="16" thickBot="1" x14ac:dyDescent="0.25">
      <c r="B242" s="282"/>
      <c r="C242" s="285"/>
      <c r="D242" s="275"/>
      <c r="E242" s="284"/>
      <c r="F242" s="293"/>
      <c r="G242" s="752" t="s">
        <v>50</v>
      </c>
      <c r="H242" s="752"/>
      <c r="I242" s="752" t="s">
        <v>51</v>
      </c>
      <c r="J242" s="752"/>
      <c r="K242" s="752" t="s">
        <v>51</v>
      </c>
      <c r="L242" s="752"/>
      <c r="M242" s="752" t="s">
        <v>52</v>
      </c>
      <c r="N242" s="752"/>
      <c r="O242" s="752">
        <v>180</v>
      </c>
      <c r="P242" s="752"/>
      <c r="Q242" s="752" t="s">
        <v>53</v>
      </c>
      <c r="R242" s="752"/>
      <c r="S242" s="752" t="s">
        <v>54</v>
      </c>
      <c r="T242" s="752"/>
      <c r="U242" s="752" t="s">
        <v>54</v>
      </c>
      <c r="V242" s="752"/>
      <c r="W242" s="752" t="s">
        <v>55</v>
      </c>
      <c r="X242" s="752"/>
      <c r="Y242" s="752" t="s">
        <v>54</v>
      </c>
      <c r="Z242" s="752"/>
      <c r="AA242" s="752" t="s">
        <v>54</v>
      </c>
      <c r="AB242" s="752"/>
      <c r="AC242" s="752" t="s">
        <v>56</v>
      </c>
      <c r="AD242" s="752"/>
      <c r="AE242" s="752" t="s">
        <v>57</v>
      </c>
      <c r="AF242" s="752"/>
      <c r="AG242" s="752" t="s">
        <v>57</v>
      </c>
      <c r="AH242" s="752"/>
      <c r="AI242" s="752" t="s">
        <v>58</v>
      </c>
      <c r="AJ242" s="752"/>
      <c r="AK242" s="752" t="s">
        <v>300</v>
      </c>
      <c r="AL242" s="752"/>
      <c r="AM242" s="752" t="s">
        <v>301</v>
      </c>
      <c r="AN242" s="752"/>
      <c r="AO242" s="752">
        <v>20</v>
      </c>
      <c r="AP242" s="752"/>
      <c r="AQ242" s="752">
        <v>20</v>
      </c>
      <c r="AR242" s="752"/>
      <c r="AS242" s="752" t="s">
        <v>57</v>
      </c>
      <c r="AT242" s="752"/>
      <c r="AU242" s="752" t="s">
        <v>302</v>
      </c>
      <c r="AV242" s="752"/>
      <c r="AW242" s="752">
        <v>100</v>
      </c>
      <c r="AX242" s="752"/>
      <c r="AY242" s="752">
        <v>100</v>
      </c>
      <c r="AZ242" s="752"/>
      <c r="BA242" s="752" t="s">
        <v>59</v>
      </c>
      <c r="BB242" s="752"/>
      <c r="BC242" s="752" t="s">
        <v>51</v>
      </c>
      <c r="BD242" s="752"/>
      <c r="BE242" s="752" t="s">
        <v>53</v>
      </c>
      <c r="BF242" s="752"/>
    </row>
    <row r="243" spans="2:58" ht="16" thickBot="1" x14ac:dyDescent="0.25">
      <c r="B243" s="162"/>
      <c r="C243" s="286"/>
      <c r="D243" s="273"/>
      <c r="E243" s="280"/>
      <c r="F243" s="305"/>
      <c r="G243" s="752">
        <v>151</v>
      </c>
      <c r="H243" s="752"/>
      <c r="I243" s="752">
        <v>167.99</v>
      </c>
      <c r="J243" s="752"/>
      <c r="K243" s="752">
        <v>144.99</v>
      </c>
      <c r="L243" s="752"/>
      <c r="M243" s="760">
        <v>169.99</v>
      </c>
      <c r="N243" s="760"/>
      <c r="O243" s="760">
        <v>274.99</v>
      </c>
      <c r="P243" s="760"/>
      <c r="Q243" s="760">
        <v>102.99</v>
      </c>
      <c r="R243" s="760"/>
      <c r="S243" s="752">
        <v>910.5</v>
      </c>
      <c r="T243" s="752"/>
      <c r="U243" s="752">
        <v>460.75</v>
      </c>
      <c r="V243" s="752"/>
      <c r="W243" s="752">
        <v>1048.95</v>
      </c>
      <c r="X243" s="752"/>
      <c r="Y243" s="752">
        <v>772.8</v>
      </c>
      <c r="Z243" s="752"/>
      <c r="AA243" s="752">
        <v>3450</v>
      </c>
      <c r="AB243" s="752"/>
      <c r="AC243" s="760">
        <v>89.99</v>
      </c>
      <c r="AD243" s="760"/>
      <c r="AE243" s="752">
        <v>39.99</v>
      </c>
      <c r="AF243" s="752"/>
      <c r="AG243" s="752">
        <v>498</v>
      </c>
      <c r="AH243" s="752"/>
      <c r="AI243" s="752">
        <v>4.99</v>
      </c>
      <c r="AJ243" s="752"/>
      <c r="AK243" s="752">
        <v>132.25</v>
      </c>
      <c r="AL243" s="752"/>
      <c r="AM243" s="752">
        <v>47.99</v>
      </c>
      <c r="AN243" s="752"/>
      <c r="AO243" s="752">
        <v>560</v>
      </c>
      <c r="AP243" s="752"/>
      <c r="AQ243" s="752">
        <v>560</v>
      </c>
      <c r="AR243" s="752"/>
      <c r="AS243" s="752">
        <v>613.5</v>
      </c>
      <c r="AT243" s="752"/>
      <c r="AU243" s="752">
        <v>313.89999999999998</v>
      </c>
      <c r="AV243" s="752"/>
      <c r="AW243" s="752">
        <v>405.8</v>
      </c>
      <c r="AX243" s="752"/>
      <c r="AY243" s="752">
        <v>218.99</v>
      </c>
      <c r="AZ243" s="752"/>
      <c r="BA243" s="752">
        <v>24.99</v>
      </c>
      <c r="BB243" s="752"/>
      <c r="BC243" s="752">
        <v>1425</v>
      </c>
      <c r="BD243" s="752"/>
      <c r="BE243" s="752">
        <v>54.99</v>
      </c>
      <c r="BF243" s="752"/>
    </row>
    <row r="244" spans="2:58" ht="16" thickBot="1" x14ac:dyDescent="0.25">
      <c r="B244" s="162"/>
      <c r="C244" s="753" t="str">
        <f>L244</f>
        <v>20 - 26 JANUARY 2025</v>
      </c>
      <c r="D244" s="754"/>
      <c r="E244" s="754"/>
      <c r="F244" s="754"/>
      <c r="G244" s="755"/>
      <c r="H244" s="756"/>
      <c r="I244" s="163"/>
      <c r="J244" s="157"/>
      <c r="K244" s="157"/>
      <c r="L244" s="757" t="str">
        <f>AL244</f>
        <v>20 - 26 JANUARY 2025</v>
      </c>
      <c r="M244" s="755"/>
      <c r="N244" s="755"/>
      <c r="O244" s="755"/>
      <c r="P244" s="755"/>
      <c r="Q244" s="755"/>
      <c r="R244" s="755"/>
      <c r="S244" s="755"/>
      <c r="T244" s="756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758"/>
      <c r="AH244" s="758"/>
      <c r="AI244" s="164"/>
      <c r="AJ244" s="157"/>
      <c r="AK244" s="157"/>
      <c r="AL244" s="759" t="str">
        <f>AW244</f>
        <v>20 - 26 JANUARY 2025</v>
      </c>
      <c r="AM244" s="759"/>
      <c r="AN244" s="759"/>
      <c r="AO244" s="759"/>
      <c r="AP244" s="157"/>
      <c r="AQ244" s="157"/>
      <c r="AR244" s="157"/>
      <c r="AS244" s="157"/>
      <c r="AT244" s="157"/>
      <c r="AU244" s="157"/>
      <c r="AV244" s="157"/>
      <c r="AW244" s="757" t="str">
        <f>AW195</f>
        <v>20 - 26 JANUARY 2025</v>
      </c>
      <c r="AX244" s="755" t="s">
        <v>28</v>
      </c>
      <c r="AY244" s="755"/>
      <c r="AZ244" s="755"/>
      <c r="BA244" s="755"/>
      <c r="BB244" s="755"/>
      <c r="BC244" s="755"/>
      <c r="BD244" s="756"/>
      <c r="BE244" s="157"/>
      <c r="BF244" s="157"/>
    </row>
    <row r="245" spans="2:58" ht="16" thickBot="1" x14ac:dyDescent="0.25"/>
    <row r="246" spans="2:58" ht="16" thickBot="1" x14ac:dyDescent="0.25">
      <c r="B246" s="156" t="s">
        <v>27</v>
      </c>
      <c r="C246" s="753" t="s">
        <v>617</v>
      </c>
      <c r="D246" s="754"/>
      <c r="E246" s="754"/>
      <c r="F246" s="754"/>
      <c r="G246" s="763"/>
      <c r="H246" s="764"/>
      <c r="I246" s="163"/>
      <c r="J246" s="157"/>
      <c r="K246" s="157"/>
      <c r="L246" s="765" t="str">
        <f>C246</f>
        <v>27 JANUARY - 2 FEBRUARY 2025</v>
      </c>
      <c r="M246" s="763"/>
      <c r="N246" s="763"/>
      <c r="O246" s="763"/>
      <c r="P246" s="763"/>
      <c r="Q246" s="763"/>
      <c r="R246" s="763"/>
      <c r="S246" s="763"/>
      <c r="T246" s="764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766"/>
      <c r="AH246" s="766"/>
      <c r="AI246" s="753" t="str">
        <f>L246</f>
        <v>27 JANUARY - 2 FEBRUARY 2025</v>
      </c>
      <c r="AJ246" s="754"/>
      <c r="AK246" s="754"/>
      <c r="AL246" s="754"/>
      <c r="AM246" s="754"/>
      <c r="AN246" s="754"/>
      <c r="AO246" s="767"/>
      <c r="AP246" s="157"/>
      <c r="AQ246" s="157"/>
      <c r="AR246" s="157"/>
      <c r="AS246" s="157"/>
      <c r="AT246" s="157"/>
      <c r="AU246" s="157"/>
      <c r="AV246" s="157"/>
      <c r="AW246" s="765" t="str">
        <f>AI246</f>
        <v>27 JANUARY - 2 FEBRUARY 2025</v>
      </c>
      <c r="AX246" s="763" t="s">
        <v>28</v>
      </c>
      <c r="AY246" s="763"/>
      <c r="AZ246" s="763"/>
      <c r="BA246" s="763"/>
      <c r="BB246" s="763"/>
      <c r="BC246" s="763"/>
      <c r="BD246" s="764"/>
      <c r="BE246" s="157"/>
      <c r="BF246" s="157"/>
    </row>
    <row r="247" spans="2:58" ht="16" thickBot="1" x14ac:dyDescent="0.25">
      <c r="B247" s="158"/>
      <c r="C247" s="161"/>
      <c r="D247" s="161"/>
      <c r="E247" s="157"/>
      <c r="F247" s="157"/>
      <c r="G247" s="752" t="s">
        <v>29</v>
      </c>
      <c r="H247" s="752"/>
      <c r="I247" s="752" t="s">
        <v>30</v>
      </c>
      <c r="J247" s="752"/>
      <c r="K247" s="752" t="s">
        <v>31</v>
      </c>
      <c r="L247" s="752"/>
      <c r="M247" s="752" t="s">
        <v>32</v>
      </c>
      <c r="N247" s="752"/>
      <c r="O247" s="752" t="s">
        <v>33</v>
      </c>
      <c r="P247" s="752"/>
      <c r="Q247" s="752" t="s">
        <v>247</v>
      </c>
      <c r="R247" s="752"/>
      <c r="S247" s="752" t="s">
        <v>34</v>
      </c>
      <c r="T247" s="752"/>
      <c r="U247" s="752" t="s">
        <v>35</v>
      </c>
      <c r="V247" s="752"/>
      <c r="W247" s="752" t="s">
        <v>36</v>
      </c>
      <c r="X247" s="752"/>
      <c r="Y247" s="752" t="s">
        <v>37</v>
      </c>
      <c r="Z247" s="752"/>
      <c r="AA247" s="752" t="s">
        <v>38</v>
      </c>
      <c r="AB247" s="752"/>
      <c r="AC247" s="752" t="s">
        <v>39</v>
      </c>
      <c r="AD247" s="752"/>
      <c r="AE247" s="752" t="s">
        <v>40</v>
      </c>
      <c r="AF247" s="752"/>
      <c r="AG247" s="752" t="s">
        <v>41</v>
      </c>
      <c r="AH247" s="752"/>
      <c r="AI247" s="752" t="s">
        <v>42</v>
      </c>
      <c r="AJ247" s="752"/>
      <c r="AK247" s="752" t="s">
        <v>43</v>
      </c>
      <c r="AL247" s="752"/>
      <c r="AM247" s="752" t="s">
        <v>157</v>
      </c>
      <c r="AN247" s="752"/>
      <c r="AO247" s="752" t="s">
        <v>248</v>
      </c>
      <c r="AP247" s="752"/>
      <c r="AQ247" s="752" t="s">
        <v>249</v>
      </c>
      <c r="AR247" s="752"/>
      <c r="AS247" s="752" t="s">
        <v>150</v>
      </c>
      <c r="AT247" s="752"/>
      <c r="AU247" s="752" t="s">
        <v>151</v>
      </c>
      <c r="AV247" s="752"/>
      <c r="AW247" s="752" t="s">
        <v>44</v>
      </c>
      <c r="AX247" s="752"/>
      <c r="AY247" s="752" t="s">
        <v>250</v>
      </c>
      <c r="AZ247" s="752"/>
      <c r="BA247" s="752" t="s">
        <v>45</v>
      </c>
      <c r="BB247" s="752"/>
      <c r="BC247" s="752" t="s">
        <v>46</v>
      </c>
      <c r="BD247" s="752"/>
      <c r="BE247" s="752" t="s">
        <v>92</v>
      </c>
      <c r="BF247" s="752"/>
    </row>
    <row r="248" spans="2:58" ht="16" thickBot="1" x14ac:dyDescent="0.25">
      <c r="B248" s="156" t="s">
        <v>47</v>
      </c>
      <c r="C248" s="156" t="s">
        <v>48</v>
      </c>
      <c r="D248" s="283"/>
      <c r="E248" s="271"/>
      <c r="F248" s="271" t="s">
        <v>49</v>
      </c>
      <c r="G248" s="752" t="s">
        <v>50</v>
      </c>
      <c r="H248" s="752"/>
      <c r="I248" s="752" t="s">
        <v>51</v>
      </c>
      <c r="J248" s="752"/>
      <c r="K248" s="752" t="s">
        <v>51</v>
      </c>
      <c r="L248" s="752"/>
      <c r="M248" s="752" t="s">
        <v>52</v>
      </c>
      <c r="N248" s="752"/>
      <c r="O248" s="752">
        <v>180</v>
      </c>
      <c r="P248" s="752"/>
      <c r="Q248" s="752" t="s">
        <v>53</v>
      </c>
      <c r="R248" s="752"/>
      <c r="S248" s="752" t="s">
        <v>54</v>
      </c>
      <c r="T248" s="752"/>
      <c r="U248" s="752" t="s">
        <v>54</v>
      </c>
      <c r="V248" s="752"/>
      <c r="W248" s="752" t="s">
        <v>55</v>
      </c>
      <c r="X248" s="752"/>
      <c r="Y248" s="752" t="s">
        <v>54</v>
      </c>
      <c r="Z248" s="752"/>
      <c r="AA248" s="752" t="s">
        <v>54</v>
      </c>
      <c r="AB248" s="752"/>
      <c r="AC248" s="752" t="s">
        <v>56</v>
      </c>
      <c r="AD248" s="752"/>
      <c r="AE248" s="752" t="s">
        <v>57</v>
      </c>
      <c r="AF248" s="752"/>
      <c r="AG248" s="752" t="s">
        <v>57</v>
      </c>
      <c r="AH248" s="752"/>
      <c r="AI248" s="752" t="s">
        <v>58</v>
      </c>
      <c r="AJ248" s="752"/>
      <c r="AK248" s="752" t="s">
        <v>300</v>
      </c>
      <c r="AL248" s="752"/>
      <c r="AM248" s="752" t="s">
        <v>301</v>
      </c>
      <c r="AN248" s="752"/>
      <c r="AO248" s="752">
        <v>20</v>
      </c>
      <c r="AP248" s="752"/>
      <c r="AQ248" s="752">
        <v>20</v>
      </c>
      <c r="AR248" s="752"/>
      <c r="AS248" s="752" t="s">
        <v>57</v>
      </c>
      <c r="AT248" s="752"/>
      <c r="AU248" s="752" t="s">
        <v>302</v>
      </c>
      <c r="AV248" s="752"/>
      <c r="AW248" s="752">
        <v>100</v>
      </c>
      <c r="AX248" s="752"/>
      <c r="AY248" s="752">
        <v>100</v>
      </c>
      <c r="AZ248" s="752"/>
      <c r="BA248" s="752" t="s">
        <v>59</v>
      </c>
      <c r="BB248" s="752"/>
      <c r="BC248" s="752" t="s">
        <v>51</v>
      </c>
      <c r="BD248" s="752"/>
      <c r="BE248" s="752" t="s">
        <v>53</v>
      </c>
      <c r="BF248" s="752"/>
    </row>
    <row r="249" spans="2:58" ht="16" thickBot="1" x14ac:dyDescent="0.25">
      <c r="B249" s="156"/>
      <c r="C249" s="156" t="s">
        <v>60</v>
      </c>
      <c r="D249" s="283"/>
      <c r="E249" s="271" t="s">
        <v>61</v>
      </c>
      <c r="F249" s="271" t="s">
        <v>62</v>
      </c>
      <c r="G249" s="752">
        <v>151</v>
      </c>
      <c r="H249" s="752"/>
      <c r="I249" s="752">
        <v>167.99</v>
      </c>
      <c r="J249" s="752"/>
      <c r="K249" s="752">
        <v>144.99</v>
      </c>
      <c r="L249" s="752"/>
      <c r="M249" s="760">
        <v>169.99</v>
      </c>
      <c r="N249" s="760"/>
      <c r="O249" s="760">
        <v>274.99</v>
      </c>
      <c r="P249" s="760"/>
      <c r="Q249" s="760">
        <v>135</v>
      </c>
      <c r="R249" s="760"/>
      <c r="S249" s="752">
        <v>910.5</v>
      </c>
      <c r="T249" s="752"/>
      <c r="U249" s="752">
        <v>460.75</v>
      </c>
      <c r="V249" s="752"/>
      <c r="W249" s="752">
        <v>1048.95</v>
      </c>
      <c r="X249" s="752"/>
      <c r="Y249" s="752">
        <v>772.8</v>
      </c>
      <c r="Z249" s="752"/>
      <c r="AA249" s="752">
        <v>3450</v>
      </c>
      <c r="AB249" s="752"/>
      <c r="AC249" s="760">
        <v>99.99</v>
      </c>
      <c r="AD249" s="760"/>
      <c r="AE249" s="752">
        <v>29.99</v>
      </c>
      <c r="AF249" s="752"/>
      <c r="AG249" s="752">
        <v>548</v>
      </c>
      <c r="AH249" s="752"/>
      <c r="AI249" s="752">
        <v>4.99</v>
      </c>
      <c r="AJ249" s="752"/>
      <c r="AK249" s="752">
        <v>132.25</v>
      </c>
      <c r="AL249" s="752"/>
      <c r="AM249" s="752">
        <v>47.99</v>
      </c>
      <c r="AN249" s="752"/>
      <c r="AO249" s="752">
        <v>560</v>
      </c>
      <c r="AP249" s="752"/>
      <c r="AQ249" s="752">
        <v>560</v>
      </c>
      <c r="AR249" s="752"/>
      <c r="AS249" s="752">
        <v>613.5</v>
      </c>
      <c r="AT249" s="752"/>
      <c r="AU249" s="752">
        <v>313.89999999999998</v>
      </c>
      <c r="AV249" s="752"/>
      <c r="AW249" s="752">
        <v>405.8</v>
      </c>
      <c r="AX249" s="752"/>
      <c r="AY249" s="752">
        <v>218.99</v>
      </c>
      <c r="AZ249" s="752"/>
      <c r="BA249" s="752">
        <v>24.99</v>
      </c>
      <c r="BB249" s="752"/>
      <c r="BC249" s="752">
        <v>1425</v>
      </c>
      <c r="BD249" s="752"/>
      <c r="BE249" s="752">
        <v>54.99</v>
      </c>
      <c r="BF249" s="752"/>
    </row>
    <row r="250" spans="2:58" ht="16" thickBot="1" x14ac:dyDescent="0.25">
      <c r="B250" s="272">
        <v>45684</v>
      </c>
      <c r="C250" s="274">
        <v>60</v>
      </c>
      <c r="D250" s="276"/>
      <c r="E250" s="278" t="s">
        <v>377</v>
      </c>
      <c r="F250" s="278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  <c r="AA250" s="271"/>
      <c r="AB250" s="271"/>
      <c r="AC250" s="271"/>
      <c r="AD250" s="271"/>
      <c r="AE250" s="271"/>
      <c r="AF250" s="271"/>
      <c r="AG250" s="271"/>
      <c r="AH250" s="271"/>
      <c r="AI250" s="271"/>
      <c r="AJ250" s="271"/>
      <c r="AK250" s="271"/>
      <c r="AL250" s="271"/>
      <c r="AM250" s="271"/>
      <c r="AN250" s="271"/>
      <c r="AO250" s="271"/>
      <c r="AP250" s="271"/>
      <c r="AQ250" s="271"/>
      <c r="AR250" s="271"/>
      <c r="AS250" s="271"/>
      <c r="AT250" s="271"/>
      <c r="AU250" s="271"/>
      <c r="AV250" s="271"/>
      <c r="AW250" s="271"/>
      <c r="AX250" s="271"/>
      <c r="AY250" s="271"/>
      <c r="AZ250" s="271"/>
      <c r="BA250" s="271"/>
      <c r="BB250" s="271"/>
      <c r="BC250" s="271"/>
      <c r="BD250" s="271"/>
      <c r="BE250" s="271"/>
      <c r="BF250" s="271"/>
    </row>
    <row r="251" spans="2:58" ht="16" thickBot="1" x14ac:dyDescent="0.25">
      <c r="B251" s="660"/>
      <c r="C251" s="275">
        <v>800</v>
      </c>
      <c r="D251" s="661"/>
      <c r="E251" s="303" t="s">
        <v>186</v>
      </c>
      <c r="F251" s="303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  <c r="AA251" s="271"/>
      <c r="AB251" s="271"/>
      <c r="AC251" s="271"/>
      <c r="AD251" s="271"/>
      <c r="AE251" s="271"/>
      <c r="AF251" s="271"/>
      <c r="AG251" s="271"/>
      <c r="AH251" s="271"/>
      <c r="AI251" s="271"/>
      <c r="AJ251" s="271"/>
      <c r="AK251" s="271"/>
      <c r="AL251" s="271"/>
      <c r="AM251" s="271"/>
      <c r="AN251" s="271"/>
      <c r="AO251" s="271"/>
      <c r="AP251" s="271"/>
      <c r="AQ251" s="271"/>
      <c r="AR251" s="271"/>
      <c r="AS251" s="271"/>
      <c r="AT251" s="271"/>
      <c r="AU251" s="271"/>
      <c r="AV251" s="271"/>
      <c r="AW251" s="271"/>
      <c r="AX251" s="271"/>
      <c r="AY251" s="271"/>
      <c r="AZ251" s="271"/>
      <c r="BA251" s="271"/>
      <c r="BB251" s="271"/>
      <c r="BC251" s="271"/>
      <c r="BD251" s="271"/>
      <c r="BE251" s="271"/>
      <c r="BF251" s="271"/>
    </row>
    <row r="252" spans="2:58" ht="16" thickBot="1" x14ac:dyDescent="0.25">
      <c r="B252" s="660"/>
      <c r="C252" s="275">
        <v>240</v>
      </c>
      <c r="D252" s="661"/>
      <c r="E252" s="303"/>
      <c r="F252" s="303" t="s">
        <v>618</v>
      </c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  <c r="AA252" s="271"/>
      <c r="AB252" s="271"/>
      <c r="AC252" s="271"/>
      <c r="AD252" s="271"/>
      <c r="AE252" s="271">
        <v>6</v>
      </c>
      <c r="AF252" s="271">
        <v>240</v>
      </c>
      <c r="AG252" s="271"/>
      <c r="AH252" s="271"/>
      <c r="AI252" s="271"/>
      <c r="AJ252" s="271"/>
      <c r="AK252" s="271"/>
      <c r="AL252" s="271"/>
      <c r="AM252" s="271"/>
      <c r="AN252" s="271"/>
      <c r="AO252" s="271"/>
      <c r="AP252" s="271"/>
      <c r="AQ252" s="271"/>
      <c r="AR252" s="271"/>
      <c r="AS252" s="271"/>
      <c r="AT252" s="271"/>
      <c r="AU252" s="271"/>
      <c r="AV252" s="271"/>
      <c r="AW252" s="271"/>
      <c r="AX252" s="271"/>
      <c r="AY252" s="271"/>
      <c r="AZ252" s="271"/>
      <c r="BA252" s="271"/>
      <c r="BB252" s="271"/>
      <c r="BC252" s="271"/>
      <c r="BD252" s="271"/>
      <c r="BE252" s="271"/>
      <c r="BF252" s="271"/>
    </row>
    <row r="253" spans="2:58" ht="16" thickBot="1" x14ac:dyDescent="0.25">
      <c r="B253" s="660"/>
      <c r="C253" s="275">
        <v>5463.58</v>
      </c>
      <c r="D253" s="661"/>
      <c r="E253" s="303"/>
      <c r="F253" s="303" t="s">
        <v>9</v>
      </c>
      <c r="G253" s="271">
        <v>8</v>
      </c>
      <c r="H253" s="271">
        <v>1095.92</v>
      </c>
      <c r="I253" s="271">
        <v>4</v>
      </c>
      <c r="J253" s="271">
        <v>411.96</v>
      </c>
      <c r="K253" s="271">
        <v>8</v>
      </c>
      <c r="L253" s="271">
        <v>1455.92</v>
      </c>
      <c r="M253" s="271">
        <v>10</v>
      </c>
      <c r="N253" s="271">
        <v>1569.9</v>
      </c>
      <c r="O253" s="271"/>
      <c r="P253" s="271"/>
      <c r="Q253" s="271"/>
      <c r="R253" s="271"/>
      <c r="S253" s="271"/>
      <c r="T253" s="271"/>
      <c r="U253" s="271"/>
      <c r="V253" s="271"/>
      <c r="W253" s="271">
        <v>4</v>
      </c>
      <c r="X253" s="271">
        <v>171.96</v>
      </c>
      <c r="Y253" s="271"/>
      <c r="Z253" s="271"/>
      <c r="AA253" s="271"/>
      <c r="AB253" s="271"/>
      <c r="AC253" s="271">
        <v>6</v>
      </c>
      <c r="AD253" s="271">
        <v>593.94000000000005</v>
      </c>
      <c r="AE253" s="271"/>
      <c r="AF253" s="271"/>
      <c r="AG253" s="271"/>
      <c r="AH253" s="271"/>
      <c r="AI253" s="271"/>
      <c r="AJ253" s="271"/>
      <c r="AK253" s="271"/>
      <c r="AL253" s="271"/>
      <c r="AM253" s="271"/>
      <c r="AN253" s="271"/>
      <c r="AO253" s="271"/>
      <c r="AP253" s="271"/>
      <c r="AQ253" s="271"/>
      <c r="AR253" s="271"/>
      <c r="AS253" s="271"/>
      <c r="AT253" s="271"/>
      <c r="AU253" s="271"/>
      <c r="AV253" s="271"/>
      <c r="AW253" s="271"/>
      <c r="AX253" s="271"/>
      <c r="AY253" s="271"/>
      <c r="AZ253" s="271"/>
      <c r="BA253" s="271">
        <v>1</v>
      </c>
      <c r="BB253" s="271">
        <v>27.99</v>
      </c>
      <c r="BC253" s="271"/>
      <c r="BD253" s="271"/>
      <c r="BE253" s="271">
        <v>1</v>
      </c>
      <c r="BF253" s="271">
        <v>75.989999999999995</v>
      </c>
    </row>
    <row r="254" spans="2:58" ht="16" thickBot="1" x14ac:dyDescent="0.25">
      <c r="B254" s="681" t="s">
        <v>20</v>
      </c>
      <c r="C254" s="275"/>
      <c r="D254" s="277"/>
      <c r="E254" s="279"/>
      <c r="F254" s="279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  <c r="AA254" s="271"/>
      <c r="AB254" s="271"/>
      <c r="AC254" s="271"/>
      <c r="AD254" s="271"/>
      <c r="AE254" s="271"/>
      <c r="AF254" s="271"/>
      <c r="AG254" s="271"/>
      <c r="AH254" s="271"/>
      <c r="AI254" s="271"/>
      <c r="AJ254" s="271"/>
      <c r="AK254" s="271"/>
      <c r="AL254" s="271"/>
      <c r="AM254" s="271"/>
      <c r="AN254" s="271"/>
      <c r="AO254" s="271"/>
      <c r="AP254" s="271"/>
      <c r="AQ254" s="271"/>
      <c r="AR254" s="271"/>
      <c r="AS254" s="271"/>
      <c r="AT254" s="271"/>
      <c r="AU254" s="271"/>
      <c r="AV254" s="271"/>
      <c r="AW254" s="271"/>
      <c r="AX254" s="271"/>
      <c r="AY254" s="271"/>
      <c r="AZ254" s="271"/>
      <c r="BA254" s="271"/>
      <c r="BB254" s="271"/>
      <c r="BC254" s="271"/>
      <c r="BD254" s="271"/>
      <c r="BE254" s="271"/>
      <c r="BF254" s="271"/>
    </row>
    <row r="255" spans="2:58" ht="16" thickBot="1" x14ac:dyDescent="0.25">
      <c r="B255" s="479"/>
      <c r="C255" s="680">
        <f>SUM(C250:C254)</f>
        <v>6563.58</v>
      </c>
      <c r="D255" s="159"/>
      <c r="E255" s="270"/>
      <c r="F255" s="281"/>
      <c r="G255" s="309"/>
      <c r="H255" s="310"/>
      <c r="I255" s="309"/>
      <c r="J255" s="310"/>
      <c r="K255" s="309"/>
      <c r="L255" s="310"/>
      <c r="M255" s="309"/>
      <c r="N255" s="310"/>
      <c r="O255" s="271"/>
      <c r="P255" s="271"/>
      <c r="Q255" s="310"/>
      <c r="R255" s="310"/>
      <c r="S255" s="309"/>
      <c r="T255" s="310"/>
      <c r="U255" s="309"/>
      <c r="V255" s="310"/>
      <c r="W255" s="309"/>
      <c r="X255" s="310"/>
      <c r="Y255" s="309"/>
      <c r="Z255" s="310"/>
      <c r="AA255" s="309"/>
      <c r="AB255" s="310"/>
      <c r="AC255" s="271"/>
      <c r="AD255" s="271"/>
      <c r="AE255" s="309"/>
      <c r="AF255" s="310"/>
      <c r="AG255" s="309"/>
      <c r="AH255" s="310"/>
      <c r="AI255" s="309"/>
      <c r="AJ255" s="310"/>
      <c r="AK255" s="309"/>
      <c r="AL255" s="310"/>
      <c r="AM255" s="309"/>
      <c r="AN255" s="310"/>
      <c r="AO255" s="309"/>
      <c r="AP255" s="310"/>
      <c r="AQ255" s="309"/>
      <c r="AR255" s="310"/>
      <c r="AS255" s="309"/>
      <c r="AT255" s="310"/>
      <c r="AU255" s="309"/>
      <c r="AV255" s="310"/>
      <c r="AW255" s="309"/>
      <c r="AX255" s="310"/>
      <c r="AY255" s="309"/>
      <c r="AZ255" s="310"/>
      <c r="BA255" s="271"/>
      <c r="BB255" s="271"/>
      <c r="BC255" s="271"/>
      <c r="BD255" s="271"/>
      <c r="BE255" s="271"/>
      <c r="BF255" s="271"/>
    </row>
    <row r="256" spans="2:58" ht="16" thickBot="1" x14ac:dyDescent="0.25">
      <c r="B256" s="289">
        <v>45685</v>
      </c>
      <c r="C256" s="275">
        <v>1560</v>
      </c>
      <c r="D256" s="277"/>
      <c r="E256" s="279" t="s">
        <v>625</v>
      </c>
      <c r="F256" s="279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  <c r="AA256" s="271"/>
      <c r="AB256" s="271"/>
      <c r="AC256" s="271"/>
      <c r="AD256" s="271"/>
      <c r="AE256" s="271"/>
      <c r="AF256" s="271"/>
      <c r="AG256" s="271"/>
      <c r="AH256" s="271"/>
      <c r="AI256" s="271"/>
      <c r="AJ256" s="271"/>
      <c r="AK256" s="271"/>
      <c r="AL256" s="271"/>
      <c r="AM256" s="271"/>
      <c r="AN256" s="271"/>
      <c r="AO256" s="271"/>
      <c r="AP256" s="271"/>
      <c r="AQ256" s="271"/>
      <c r="AR256" s="271"/>
      <c r="AS256" s="271"/>
      <c r="AT256" s="271"/>
      <c r="AU256" s="271"/>
      <c r="AV256" s="271"/>
      <c r="AW256" s="271"/>
      <c r="AX256" s="271"/>
      <c r="AY256" s="271"/>
      <c r="AZ256" s="271"/>
      <c r="BA256" s="271"/>
      <c r="BB256" s="271"/>
      <c r="BC256" s="271"/>
      <c r="BD256" s="271"/>
      <c r="BE256" s="271"/>
      <c r="BF256" s="271"/>
    </row>
    <row r="257" spans="2:58" ht="16" thickBot="1" x14ac:dyDescent="0.25">
      <c r="B257" s="289"/>
      <c r="C257" s="139">
        <f>845.04+79+79</f>
        <v>1003.04</v>
      </c>
      <c r="E257" s="575" t="s">
        <v>296</v>
      </c>
      <c r="F257" s="279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  <c r="AA257" s="271"/>
      <c r="AB257" s="271"/>
      <c r="AC257" s="271"/>
      <c r="AD257" s="271"/>
      <c r="AE257" s="271"/>
      <c r="AF257" s="271"/>
      <c r="AG257" s="271"/>
      <c r="AH257" s="271"/>
      <c r="AI257" s="271"/>
      <c r="AJ257" s="271"/>
      <c r="AK257" s="271"/>
      <c r="AL257" s="271"/>
      <c r="AM257" s="271"/>
      <c r="AN257" s="271"/>
      <c r="AO257" s="271"/>
      <c r="AP257" s="271"/>
      <c r="AQ257" s="271"/>
      <c r="AR257" s="271"/>
      <c r="AS257" s="271"/>
      <c r="AT257" s="271"/>
      <c r="AU257" s="271"/>
      <c r="AV257" s="271"/>
      <c r="AW257" s="271"/>
      <c r="AX257" s="271"/>
      <c r="AY257" s="271"/>
      <c r="AZ257" s="271"/>
      <c r="BA257" s="271"/>
      <c r="BB257" s="271"/>
      <c r="BC257" s="271"/>
      <c r="BD257" s="271"/>
      <c r="BE257" s="271"/>
      <c r="BF257" s="271"/>
    </row>
    <row r="258" spans="2:58" ht="16" thickBot="1" x14ac:dyDescent="0.25">
      <c r="B258" s="289"/>
      <c r="C258" s="4">
        <v>302.99</v>
      </c>
      <c r="E258" s="142" t="s">
        <v>297</v>
      </c>
      <c r="F258" s="279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  <c r="AA258" s="271"/>
      <c r="AB258" s="271"/>
      <c r="AC258" s="271"/>
      <c r="AD258" s="271"/>
      <c r="AE258" s="271"/>
      <c r="AF258" s="271"/>
      <c r="AG258" s="271"/>
      <c r="AH258" s="271"/>
      <c r="AI258" s="271"/>
      <c r="AJ258" s="271"/>
      <c r="AK258" s="271"/>
      <c r="AL258" s="271"/>
      <c r="AM258" s="271"/>
      <c r="AN258" s="271"/>
      <c r="AO258" s="271"/>
      <c r="AP258" s="271"/>
      <c r="AQ258" s="271"/>
      <c r="AR258" s="271"/>
      <c r="AS258" s="271"/>
      <c r="AT258" s="271"/>
      <c r="AU258" s="271"/>
      <c r="AV258" s="271"/>
      <c r="AW258" s="271"/>
      <c r="AX258" s="271"/>
      <c r="AY258" s="271"/>
      <c r="AZ258" s="271"/>
      <c r="BA258" s="271"/>
      <c r="BB258" s="271"/>
      <c r="BC258" s="271"/>
      <c r="BD258" s="271"/>
      <c r="BE258" s="271"/>
      <c r="BF258" s="271"/>
    </row>
    <row r="259" spans="2:58" ht="16" thickBot="1" x14ac:dyDescent="0.25">
      <c r="B259" s="289"/>
      <c r="C259" s="146">
        <f>39.99+5752.52</f>
        <v>5792.51</v>
      </c>
      <c r="E259" s="147"/>
      <c r="F259" s="279" t="s">
        <v>9</v>
      </c>
      <c r="G259" s="271">
        <v>9</v>
      </c>
      <c r="H259" s="271">
        <v>1232.9100000000001</v>
      </c>
      <c r="I259" s="271">
        <v>4</v>
      </c>
      <c r="J259" s="271">
        <v>411.96</v>
      </c>
      <c r="K259" s="271">
        <v>8</v>
      </c>
      <c r="L259" s="271">
        <v>1455.92</v>
      </c>
      <c r="M259" s="271">
        <v>10</v>
      </c>
      <c r="N259" s="271">
        <v>1569.9</v>
      </c>
      <c r="O259" s="271"/>
      <c r="P259" s="271"/>
      <c r="Q259" s="271"/>
      <c r="R259" s="271"/>
      <c r="S259" s="271"/>
      <c r="T259" s="271"/>
      <c r="U259" s="271"/>
      <c r="V259" s="271"/>
      <c r="W259" s="271">
        <v>4</v>
      </c>
      <c r="X259" s="271">
        <v>171.96</v>
      </c>
      <c r="Y259" s="271"/>
      <c r="Z259" s="271"/>
      <c r="AA259" s="271"/>
      <c r="AB259" s="271"/>
      <c r="AC259" s="271">
        <v>5</v>
      </c>
      <c r="AD259" s="271">
        <v>494.95</v>
      </c>
      <c r="AE259" s="271"/>
      <c r="AF259" s="271"/>
      <c r="AG259" s="271"/>
      <c r="AH259" s="271"/>
      <c r="AI259" s="271"/>
      <c r="AJ259" s="271"/>
      <c r="AK259" s="271"/>
      <c r="AL259" s="271"/>
      <c r="AM259" s="271"/>
      <c r="AN259" s="271"/>
      <c r="AO259" s="271"/>
      <c r="AP259" s="271"/>
      <c r="AQ259" s="271"/>
      <c r="AR259" s="271"/>
      <c r="AS259" s="271"/>
      <c r="AT259" s="271"/>
      <c r="AU259" s="271"/>
      <c r="AV259" s="271"/>
      <c r="AW259" s="271"/>
      <c r="AX259" s="271"/>
      <c r="AY259" s="271"/>
      <c r="AZ259" s="271"/>
      <c r="BA259" s="271">
        <v>1</v>
      </c>
      <c r="BB259" s="271">
        <v>26.99</v>
      </c>
      <c r="BC259" s="271"/>
      <c r="BD259" s="271"/>
      <c r="BE259" s="271">
        <v>1</v>
      </c>
      <c r="BF259" s="271">
        <v>75.989999999999995</v>
      </c>
    </row>
    <row r="260" spans="2:58" ht="16" thickBot="1" x14ac:dyDescent="0.25">
      <c r="B260" s="289"/>
      <c r="C260" s="4">
        <v>464</v>
      </c>
      <c r="E260" s="142" t="s">
        <v>396</v>
      </c>
      <c r="F260" s="279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  <c r="AB260" s="271"/>
      <c r="AC260" s="271"/>
      <c r="AD260" s="271"/>
      <c r="AE260" s="271"/>
      <c r="AF260" s="271"/>
      <c r="AG260" s="271"/>
      <c r="AH260" s="271"/>
      <c r="AI260" s="271"/>
      <c r="AJ260" s="271"/>
      <c r="AK260" s="271"/>
      <c r="AL260" s="271"/>
      <c r="AM260" s="271"/>
      <c r="AN260" s="271"/>
      <c r="AO260" s="271"/>
      <c r="AP260" s="271"/>
      <c r="AQ260" s="271"/>
      <c r="AR260" s="271"/>
      <c r="AS260" s="271"/>
      <c r="AT260" s="271"/>
      <c r="AU260" s="271"/>
      <c r="AV260" s="271"/>
      <c r="AW260" s="271"/>
      <c r="AX260" s="271"/>
      <c r="AY260" s="271"/>
      <c r="AZ260" s="271"/>
      <c r="BA260" s="271"/>
      <c r="BB260" s="271"/>
      <c r="BC260" s="271"/>
      <c r="BD260" s="271"/>
      <c r="BE260" s="271"/>
      <c r="BF260" s="271"/>
    </row>
    <row r="261" spans="2:58" ht="16" thickBot="1" x14ac:dyDescent="0.25">
      <c r="B261" s="289"/>
      <c r="C261" s="4">
        <v>244.93</v>
      </c>
      <c r="E261" s="142"/>
      <c r="F261" s="279" t="s">
        <v>14</v>
      </c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  <c r="AA261" s="271"/>
      <c r="AB261" s="271"/>
      <c r="AC261" s="271"/>
      <c r="AD261" s="271"/>
      <c r="AE261" s="271">
        <v>7</v>
      </c>
      <c r="AF261" s="271">
        <v>244.93</v>
      </c>
      <c r="AG261" s="271"/>
      <c r="AH261" s="271"/>
      <c r="AI261" s="271"/>
      <c r="AJ261" s="271"/>
      <c r="AK261" s="271"/>
      <c r="AL261" s="271"/>
      <c r="AM261" s="271"/>
      <c r="AN261" s="271"/>
      <c r="AO261" s="271"/>
      <c r="AP261" s="271"/>
      <c r="AQ261" s="271"/>
      <c r="AR261" s="271"/>
      <c r="AS261" s="271"/>
      <c r="AT261" s="271"/>
      <c r="AU261" s="271"/>
      <c r="AV261" s="271"/>
      <c r="AW261" s="271"/>
      <c r="AX261" s="271"/>
      <c r="AY261" s="271"/>
      <c r="AZ261" s="271"/>
      <c r="BA261" s="271"/>
      <c r="BB261" s="271"/>
      <c r="BC261" s="271"/>
      <c r="BD261" s="271"/>
      <c r="BE261" s="271"/>
      <c r="BF261" s="271"/>
    </row>
    <row r="262" spans="2:58" ht="16" thickBot="1" x14ac:dyDescent="0.25">
      <c r="B262" s="289" t="s">
        <v>90</v>
      </c>
      <c r="C262" s="275">
        <v>12186.33</v>
      </c>
      <c r="D262" s="277"/>
      <c r="E262" s="279"/>
      <c r="F262" s="279" t="s">
        <v>6</v>
      </c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>
        <v>18</v>
      </c>
      <c r="V262" s="271">
        <v>9522</v>
      </c>
      <c r="W262" s="271"/>
      <c r="X262" s="271"/>
      <c r="Y262" s="271"/>
      <c r="Z262" s="271"/>
      <c r="AA262" s="271"/>
      <c r="AB262" s="271"/>
      <c r="AC262" s="271"/>
      <c r="AD262" s="271"/>
      <c r="AE262" s="271"/>
      <c r="AF262" s="271"/>
      <c r="AG262" s="271"/>
      <c r="AH262" s="271"/>
      <c r="AI262" s="271"/>
      <c r="AJ262" s="271"/>
      <c r="AK262" s="271"/>
      <c r="AL262" s="271"/>
      <c r="AM262" s="271"/>
      <c r="AN262" s="271"/>
      <c r="AO262" s="271"/>
      <c r="AP262" s="271"/>
      <c r="AQ262" s="271"/>
      <c r="AR262" s="271"/>
      <c r="AS262" s="271"/>
      <c r="AT262" s="271"/>
      <c r="AU262" s="271">
        <v>2</v>
      </c>
      <c r="AV262" s="271">
        <f>416.19+408.14</f>
        <v>824.32999999999993</v>
      </c>
      <c r="AW262" s="271"/>
      <c r="AX262" s="271"/>
      <c r="AY262" s="271"/>
      <c r="AZ262" s="271"/>
      <c r="BA262" s="271"/>
      <c r="BB262" s="271"/>
      <c r="BC262" s="271"/>
      <c r="BD262" s="271"/>
      <c r="BE262" s="271"/>
      <c r="BF262" s="271"/>
    </row>
    <row r="263" spans="2:58" ht="16" thickBot="1" x14ac:dyDescent="0.25">
      <c r="B263" s="292"/>
      <c r="C263" s="159">
        <f>SUM(C256:C262)</f>
        <v>21553.800000000003</v>
      </c>
      <c r="D263" s="159"/>
      <c r="E263" s="270"/>
      <c r="F263" s="281"/>
      <c r="G263" s="309"/>
      <c r="H263" s="310"/>
      <c r="I263" s="309"/>
      <c r="J263" s="310"/>
      <c r="K263" s="309"/>
      <c r="L263" s="310"/>
      <c r="M263" s="309"/>
      <c r="N263" s="310"/>
      <c r="O263" s="271"/>
      <c r="P263" s="271"/>
      <c r="Q263" s="310"/>
      <c r="R263" s="310"/>
      <c r="S263" s="309"/>
      <c r="T263" s="310"/>
      <c r="U263" s="309"/>
      <c r="V263" s="310"/>
      <c r="W263" s="309"/>
      <c r="X263" s="310"/>
      <c r="Y263" s="309"/>
      <c r="Z263" s="310"/>
      <c r="AA263" s="309"/>
      <c r="AB263" s="310"/>
      <c r="AC263" s="271"/>
      <c r="AD263" s="271"/>
      <c r="AE263" s="309"/>
      <c r="AF263" s="310"/>
      <c r="AG263" s="309"/>
      <c r="AH263" s="310"/>
      <c r="AI263" s="309"/>
      <c r="AJ263" s="310"/>
      <c r="AK263" s="309"/>
      <c r="AL263" s="310"/>
      <c r="AM263" s="309"/>
      <c r="AN263" s="310"/>
      <c r="AO263" s="309"/>
      <c r="AP263" s="310"/>
      <c r="AQ263" s="309"/>
      <c r="AR263" s="310"/>
      <c r="AS263" s="309"/>
      <c r="AT263" s="310"/>
      <c r="AU263" s="309"/>
      <c r="AV263" s="310"/>
      <c r="AW263" s="309"/>
      <c r="AX263" s="310"/>
      <c r="AY263" s="309"/>
      <c r="AZ263" s="310"/>
      <c r="BA263" s="271"/>
      <c r="BB263" s="271"/>
      <c r="BC263" s="271"/>
      <c r="BD263" s="271"/>
      <c r="BE263" s="271"/>
      <c r="BF263" s="271"/>
    </row>
    <row r="264" spans="2:58" ht="16" thickBot="1" x14ac:dyDescent="0.25">
      <c r="B264" s="289">
        <v>45686</v>
      </c>
      <c r="C264" s="275">
        <v>800.16</v>
      </c>
      <c r="D264" s="277"/>
      <c r="E264" s="279" t="s">
        <v>186</v>
      </c>
      <c r="F264" s="279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  <c r="AA264" s="271"/>
      <c r="AB264" s="271"/>
      <c r="AC264" s="271"/>
      <c r="AD264" s="271"/>
      <c r="AE264" s="271"/>
      <c r="AF264" s="271"/>
      <c r="AG264" s="271"/>
      <c r="AH264" s="271"/>
      <c r="AI264" s="271"/>
      <c r="AJ264" s="271"/>
      <c r="AK264" s="271"/>
      <c r="AL264" s="271"/>
      <c r="AM264" s="271"/>
      <c r="AN264" s="271"/>
      <c r="AO264" s="271"/>
      <c r="AP264" s="271"/>
      <c r="AQ264" s="271"/>
      <c r="AR264" s="271"/>
      <c r="AS264" s="271"/>
      <c r="AT264" s="271"/>
      <c r="AU264" s="271"/>
      <c r="AV264" s="271"/>
      <c r="AW264" s="271"/>
      <c r="AX264" s="271"/>
      <c r="AY264" s="271"/>
      <c r="AZ264" s="271"/>
      <c r="BA264" s="271"/>
      <c r="BB264" s="271"/>
      <c r="BC264" s="271"/>
      <c r="BD264" s="271"/>
      <c r="BE264" s="271"/>
      <c r="BF264" s="271"/>
    </row>
    <row r="265" spans="2:58" ht="16" thickBot="1" x14ac:dyDescent="0.25">
      <c r="B265" s="288" t="s">
        <v>22</v>
      </c>
      <c r="C265" s="287"/>
      <c r="D265" s="290"/>
      <c r="E265" s="290"/>
      <c r="F265" s="296"/>
      <c r="G265" s="309"/>
      <c r="H265" s="310"/>
      <c r="I265" s="309"/>
      <c r="J265" s="310"/>
      <c r="K265" s="309"/>
      <c r="L265" s="310"/>
      <c r="M265" s="309"/>
      <c r="N265" s="310"/>
      <c r="O265" s="271"/>
      <c r="P265" s="271"/>
      <c r="Q265" s="309"/>
      <c r="R265" s="310"/>
      <c r="S265" s="309"/>
      <c r="T265" s="310"/>
      <c r="U265" s="309"/>
      <c r="V265" s="310"/>
      <c r="W265" s="309"/>
      <c r="X265" s="310"/>
      <c r="Y265" s="309"/>
      <c r="Z265" s="310"/>
      <c r="AA265" s="309"/>
      <c r="AB265" s="310"/>
      <c r="AC265" s="271"/>
      <c r="AD265" s="271"/>
      <c r="AE265" s="309"/>
      <c r="AF265" s="310"/>
      <c r="AG265" s="309"/>
      <c r="AH265" s="310"/>
      <c r="AI265" s="309"/>
      <c r="AJ265" s="310"/>
      <c r="AK265" s="309"/>
      <c r="AL265" s="310"/>
      <c r="AM265" s="309"/>
      <c r="AN265" s="310"/>
      <c r="AO265" s="309"/>
      <c r="AP265" s="310"/>
      <c r="AQ265" s="309"/>
      <c r="AR265" s="310"/>
      <c r="AS265" s="309"/>
      <c r="AT265" s="310"/>
      <c r="AU265" s="309"/>
      <c r="AV265" s="310"/>
      <c r="AW265" s="309"/>
      <c r="AX265" s="310"/>
      <c r="AY265" s="309"/>
      <c r="AZ265" s="310"/>
      <c r="BA265" s="271"/>
      <c r="BB265" s="271"/>
      <c r="BC265" s="271"/>
      <c r="BD265" s="271"/>
      <c r="BE265" s="271"/>
      <c r="BF265" s="271"/>
    </row>
    <row r="266" spans="2:58" ht="16" thickBot="1" x14ac:dyDescent="0.25">
      <c r="B266" s="292"/>
      <c r="C266" s="159">
        <f>SUM(C264:C265)</f>
        <v>800.16</v>
      </c>
      <c r="D266" s="159"/>
      <c r="E266" s="270"/>
      <c r="F266" s="297"/>
      <c r="G266" s="309"/>
      <c r="H266" s="310"/>
      <c r="I266" s="309"/>
      <c r="J266" s="310"/>
      <c r="K266" s="309"/>
      <c r="L266" s="310"/>
      <c r="M266" s="309"/>
      <c r="N266" s="310"/>
      <c r="O266" s="271"/>
      <c r="P266" s="271"/>
      <c r="Q266" s="310"/>
      <c r="R266" s="310"/>
      <c r="S266" s="309"/>
      <c r="T266" s="310"/>
      <c r="U266" s="309"/>
      <c r="V266" s="310"/>
      <c r="W266" s="309"/>
      <c r="X266" s="310"/>
      <c r="Y266" s="309"/>
      <c r="Z266" s="310"/>
      <c r="AA266" s="309"/>
      <c r="AB266" s="310"/>
      <c r="AC266" s="271"/>
      <c r="AD266" s="271"/>
      <c r="AE266" s="309"/>
      <c r="AF266" s="310"/>
      <c r="AG266" s="309"/>
      <c r="AH266" s="310"/>
      <c r="AI266" s="309"/>
      <c r="AJ266" s="310"/>
      <c r="AK266" s="309"/>
      <c r="AL266" s="310"/>
      <c r="AM266" s="309"/>
      <c r="AN266" s="310"/>
      <c r="AO266" s="309"/>
      <c r="AP266" s="310"/>
      <c r="AQ266" s="309"/>
      <c r="AR266" s="310"/>
      <c r="AS266" s="309"/>
      <c r="AT266" s="310"/>
      <c r="AU266" s="309"/>
      <c r="AV266" s="310"/>
      <c r="AW266" s="309"/>
      <c r="AX266" s="310"/>
      <c r="AY266" s="309"/>
      <c r="AZ266" s="310"/>
      <c r="BA266" s="271"/>
      <c r="BB266" s="271"/>
      <c r="BC266" s="271"/>
      <c r="BD266" s="271"/>
      <c r="BE266" s="271"/>
      <c r="BF266" s="271"/>
    </row>
    <row r="267" spans="2:58" ht="16" thickBot="1" x14ac:dyDescent="0.25">
      <c r="B267" s="289">
        <v>45687</v>
      </c>
      <c r="C267" s="295">
        <v>244.93</v>
      </c>
      <c r="D267" s="275"/>
      <c r="E267" s="274"/>
      <c r="F267" s="301" t="s">
        <v>14</v>
      </c>
      <c r="G267" s="309"/>
      <c r="H267" s="310"/>
      <c r="I267" s="309"/>
      <c r="J267" s="310"/>
      <c r="K267" s="309"/>
      <c r="L267" s="310"/>
      <c r="M267" s="309"/>
      <c r="N267" s="310"/>
      <c r="O267" s="271"/>
      <c r="P267" s="271"/>
      <c r="Q267" s="309"/>
      <c r="R267" s="310"/>
      <c r="S267" s="309"/>
      <c r="T267" s="310"/>
      <c r="U267" s="309"/>
      <c r="V267" s="310"/>
      <c r="W267" s="309"/>
      <c r="X267" s="310"/>
      <c r="Y267" s="309"/>
      <c r="Z267" s="310"/>
      <c r="AA267" s="309"/>
      <c r="AB267" s="310"/>
      <c r="AC267" s="271"/>
      <c r="AD267" s="271"/>
      <c r="AE267" s="309">
        <v>7</v>
      </c>
      <c r="AF267" s="310">
        <v>244.93</v>
      </c>
      <c r="AG267" s="309"/>
      <c r="AH267" s="310"/>
      <c r="AI267" s="309"/>
      <c r="AJ267" s="310"/>
      <c r="AK267" s="309"/>
      <c r="AL267" s="310"/>
      <c r="AM267" s="309"/>
      <c r="AN267" s="310"/>
      <c r="AO267" s="309"/>
      <c r="AP267" s="310"/>
      <c r="AQ267" s="309"/>
      <c r="AR267" s="310"/>
      <c r="AS267" s="309"/>
      <c r="AT267" s="310"/>
      <c r="AU267" s="309"/>
      <c r="AV267" s="310"/>
      <c r="AW267" s="309"/>
      <c r="AX267" s="310"/>
      <c r="AY267" s="309"/>
      <c r="AZ267" s="310"/>
      <c r="BA267" s="271"/>
      <c r="BB267" s="271"/>
      <c r="BC267" s="271"/>
      <c r="BD267" s="271"/>
      <c r="BE267" s="271"/>
      <c r="BF267" s="271"/>
    </row>
    <row r="268" spans="2:58" ht="16" thickBot="1" x14ac:dyDescent="0.25">
      <c r="B268" s="289"/>
      <c r="C268" s="295">
        <v>204</v>
      </c>
      <c r="D268" s="275"/>
      <c r="E268" s="275" t="s">
        <v>637</v>
      </c>
      <c r="F268" s="302"/>
      <c r="G268" s="309"/>
      <c r="H268" s="310"/>
      <c r="I268" s="309"/>
      <c r="J268" s="310"/>
      <c r="K268" s="309"/>
      <c r="L268" s="310"/>
      <c r="M268" s="309"/>
      <c r="N268" s="310"/>
      <c r="O268" s="271"/>
      <c r="P268" s="271"/>
      <c r="Q268" s="309"/>
      <c r="R268" s="310"/>
      <c r="S268" s="309"/>
      <c r="T268" s="310"/>
      <c r="U268" s="309"/>
      <c r="V268" s="310"/>
      <c r="W268" s="309"/>
      <c r="X268" s="310"/>
      <c r="Y268" s="309"/>
      <c r="Z268" s="310"/>
      <c r="AA268" s="309"/>
      <c r="AB268" s="310"/>
      <c r="AC268" s="271"/>
      <c r="AD268" s="271"/>
      <c r="AE268" s="309"/>
      <c r="AF268" s="310"/>
      <c r="AG268" s="309"/>
      <c r="AH268" s="310"/>
      <c r="AI268" s="309"/>
      <c r="AJ268" s="310"/>
      <c r="AK268" s="309"/>
      <c r="AL268" s="310"/>
      <c r="AM268" s="309"/>
      <c r="AN268" s="310"/>
      <c r="AO268" s="309"/>
      <c r="AP268" s="310"/>
      <c r="AQ268" s="309"/>
      <c r="AR268" s="310"/>
      <c r="AS268" s="309"/>
      <c r="AT268" s="310"/>
      <c r="AU268" s="309"/>
      <c r="AV268" s="310"/>
      <c r="AW268" s="309"/>
      <c r="AX268" s="310"/>
      <c r="AY268" s="309"/>
      <c r="AZ268" s="310"/>
      <c r="BA268" s="271"/>
      <c r="BB268" s="271"/>
      <c r="BC268" s="271"/>
      <c r="BD268" s="271"/>
      <c r="BE268" s="271"/>
      <c r="BF268" s="271"/>
    </row>
    <row r="269" spans="2:58" ht="16" thickBot="1" x14ac:dyDescent="0.25">
      <c r="B269" s="289"/>
      <c r="C269" s="295">
        <v>6857.43</v>
      </c>
      <c r="D269" s="275"/>
      <c r="E269" s="275"/>
      <c r="F269" s="302" t="s">
        <v>9</v>
      </c>
      <c r="G269" s="309">
        <v>9</v>
      </c>
      <c r="H269" s="310">
        <v>1232.9100000000001</v>
      </c>
      <c r="I269" s="309">
        <v>3</v>
      </c>
      <c r="J269" s="310">
        <v>614.97</v>
      </c>
      <c r="K269" s="309">
        <v>8</v>
      </c>
      <c r="L269" s="310">
        <v>1455.92</v>
      </c>
      <c r="M269" s="309">
        <v>12</v>
      </c>
      <c r="N269" s="310">
        <v>1883.88</v>
      </c>
      <c r="O269" s="271"/>
      <c r="P269" s="271"/>
      <c r="Q269" s="309">
        <v>1</v>
      </c>
      <c r="R269" s="310">
        <v>134.99</v>
      </c>
      <c r="S269" s="309"/>
      <c r="T269" s="310"/>
      <c r="U269" s="309"/>
      <c r="V269" s="310"/>
      <c r="W269" s="309">
        <v>6</v>
      </c>
      <c r="X269" s="310">
        <v>257.94</v>
      </c>
      <c r="Y269" s="309"/>
      <c r="Z269" s="310"/>
      <c r="AA269" s="309"/>
      <c r="AB269" s="310"/>
      <c r="AC269" s="271">
        <v>8</v>
      </c>
      <c r="AD269" s="271">
        <v>791.92</v>
      </c>
      <c r="AE269" s="309"/>
      <c r="AF269" s="310"/>
      <c r="AG269" s="309"/>
      <c r="AH269" s="310"/>
      <c r="AI269" s="309"/>
      <c r="AJ269" s="310"/>
      <c r="AK269" s="309"/>
      <c r="AL269" s="310"/>
      <c r="AM269" s="309">
        <v>1</v>
      </c>
      <c r="AN269" s="310">
        <v>49.99</v>
      </c>
      <c r="AO269" s="309"/>
      <c r="AP269" s="310"/>
      <c r="AQ269" s="309"/>
      <c r="AR269" s="310"/>
      <c r="AS269" s="309"/>
      <c r="AT269" s="310"/>
      <c r="AU269" s="309"/>
      <c r="AV269" s="310"/>
      <c r="AW269" s="309"/>
      <c r="AX269" s="310"/>
      <c r="AY269" s="309"/>
      <c r="AZ269" s="310"/>
      <c r="BA269" s="271">
        <v>1</v>
      </c>
      <c r="BB269" s="271">
        <v>26.99</v>
      </c>
      <c r="BC269" s="271"/>
      <c r="BD269" s="271"/>
      <c r="BE269" s="271">
        <v>1</v>
      </c>
      <c r="BF269" s="271">
        <v>75.989999999999995</v>
      </c>
    </row>
    <row r="270" spans="2:58" ht="16" thickBot="1" x14ac:dyDescent="0.25">
      <c r="B270" s="289"/>
      <c r="C270" s="295">
        <v>7157.54</v>
      </c>
      <c r="D270" s="275"/>
      <c r="E270" s="275"/>
      <c r="F270" s="302" t="s">
        <v>311</v>
      </c>
      <c r="G270" s="309"/>
      <c r="H270" s="310"/>
      <c r="I270" s="309"/>
      <c r="J270" s="310"/>
      <c r="K270" s="309"/>
      <c r="L270" s="310"/>
      <c r="M270" s="309"/>
      <c r="N270" s="310"/>
      <c r="O270" s="271"/>
      <c r="P270" s="271"/>
      <c r="Q270" s="309"/>
      <c r="R270" s="310"/>
      <c r="S270" s="309"/>
      <c r="T270" s="310"/>
      <c r="U270" s="309"/>
      <c r="V270" s="310"/>
      <c r="W270" s="309"/>
      <c r="X270" s="310"/>
      <c r="Y270" s="309"/>
      <c r="Z270" s="310"/>
      <c r="AA270" s="309"/>
      <c r="AB270" s="310"/>
      <c r="AC270" s="271"/>
      <c r="AD270" s="271"/>
      <c r="AE270" s="309"/>
      <c r="AF270" s="310"/>
      <c r="AG270" s="309"/>
      <c r="AH270" s="310"/>
      <c r="AI270" s="309"/>
      <c r="AJ270" s="310"/>
      <c r="AK270" s="309"/>
      <c r="AL270" s="310"/>
      <c r="AM270" s="309"/>
      <c r="AN270" s="310"/>
      <c r="AO270" s="309"/>
      <c r="AP270" s="310"/>
      <c r="AQ270" s="309"/>
      <c r="AR270" s="310"/>
      <c r="AS270" s="309"/>
      <c r="AT270" s="310"/>
      <c r="AU270" s="309"/>
      <c r="AV270" s="310"/>
      <c r="AW270" s="309">
        <v>15</v>
      </c>
      <c r="AX270" s="310">
        <f>7157.54/2</f>
        <v>3578.77</v>
      </c>
      <c r="AY270" s="309">
        <v>15</v>
      </c>
      <c r="AZ270" s="310">
        <v>3578.77</v>
      </c>
      <c r="BA270" s="271"/>
      <c r="BB270" s="271"/>
      <c r="BC270" s="271"/>
      <c r="BD270" s="271"/>
      <c r="BE270" s="271"/>
      <c r="BF270" s="271"/>
    </row>
    <row r="271" spans="2:58" ht="16" thickBot="1" x14ac:dyDescent="0.25">
      <c r="B271" s="289"/>
      <c r="C271" s="295">
        <v>800</v>
      </c>
      <c r="D271" s="275"/>
      <c r="E271" s="275" t="s">
        <v>186</v>
      </c>
      <c r="F271" s="302"/>
      <c r="G271" s="309"/>
      <c r="H271" s="310"/>
      <c r="I271" s="309"/>
      <c r="J271" s="310"/>
      <c r="K271" s="309"/>
      <c r="L271" s="310"/>
      <c r="M271" s="309"/>
      <c r="N271" s="310"/>
      <c r="O271" s="271"/>
      <c r="P271" s="271"/>
      <c r="Q271" s="309"/>
      <c r="R271" s="310"/>
      <c r="S271" s="309"/>
      <c r="T271" s="310"/>
      <c r="U271" s="309"/>
      <c r="V271" s="310"/>
      <c r="W271" s="309"/>
      <c r="X271" s="310"/>
      <c r="Y271" s="309"/>
      <c r="Z271" s="310"/>
      <c r="AA271" s="309"/>
      <c r="AB271" s="310"/>
      <c r="AC271" s="271"/>
      <c r="AD271" s="271"/>
      <c r="AE271" s="309"/>
      <c r="AF271" s="310"/>
      <c r="AG271" s="309"/>
      <c r="AH271" s="310"/>
      <c r="AI271" s="309"/>
      <c r="AJ271" s="310"/>
      <c r="AK271" s="309"/>
      <c r="AL271" s="310"/>
      <c r="AM271" s="309"/>
      <c r="AN271" s="310"/>
      <c r="AO271" s="309"/>
      <c r="AP271" s="310"/>
      <c r="AQ271" s="309"/>
      <c r="AR271" s="310"/>
      <c r="AS271" s="309"/>
      <c r="AT271" s="310"/>
      <c r="AU271" s="309"/>
      <c r="AV271" s="310"/>
      <c r="AW271" s="309"/>
      <c r="AX271" s="310"/>
      <c r="AY271" s="309"/>
      <c r="AZ271" s="310"/>
      <c r="BA271" s="271"/>
      <c r="BB271" s="271"/>
      <c r="BC271" s="271"/>
      <c r="BD271" s="271"/>
      <c r="BE271" s="271"/>
      <c r="BF271" s="271"/>
    </row>
    <row r="272" spans="2:58" ht="16" thickBot="1" x14ac:dyDescent="0.25">
      <c r="B272" s="289"/>
      <c r="C272" s="295"/>
      <c r="D272" s="275"/>
      <c r="E272" s="275"/>
      <c r="F272" s="302"/>
      <c r="G272" s="309"/>
      <c r="H272" s="310"/>
      <c r="I272" s="309"/>
      <c r="J272" s="310"/>
      <c r="K272" s="309"/>
      <c r="L272" s="310"/>
      <c r="M272" s="309"/>
      <c r="N272" s="310"/>
      <c r="O272" s="271"/>
      <c r="P272" s="271"/>
      <c r="Q272" s="309"/>
      <c r="R272" s="310"/>
      <c r="S272" s="309"/>
      <c r="T272" s="310"/>
      <c r="U272" s="309"/>
      <c r="V272" s="310"/>
      <c r="W272" s="309"/>
      <c r="X272" s="310"/>
      <c r="Y272" s="309"/>
      <c r="Z272" s="310"/>
      <c r="AA272" s="309"/>
      <c r="AB272" s="310"/>
      <c r="AC272" s="271"/>
      <c r="AD272" s="271"/>
      <c r="AE272" s="309"/>
      <c r="AF272" s="310"/>
      <c r="AG272" s="309"/>
      <c r="AH272" s="310"/>
      <c r="AI272" s="309"/>
      <c r="AJ272" s="310"/>
      <c r="AK272" s="309"/>
      <c r="AL272" s="310"/>
      <c r="AM272" s="309"/>
      <c r="AN272" s="310"/>
      <c r="AO272" s="309"/>
      <c r="AP272" s="310"/>
      <c r="AQ272" s="309"/>
      <c r="AR272" s="310"/>
      <c r="AS272" s="309"/>
      <c r="AT272" s="310"/>
      <c r="AU272" s="309"/>
      <c r="AV272" s="310"/>
      <c r="AW272" s="309"/>
      <c r="AX272" s="310"/>
      <c r="AY272" s="309"/>
      <c r="AZ272" s="310"/>
      <c r="BA272" s="271"/>
      <c r="BB272" s="271"/>
      <c r="BC272" s="271"/>
      <c r="BD272" s="271"/>
      <c r="BE272" s="271"/>
      <c r="BF272" s="271"/>
    </row>
    <row r="273" spans="2:58" ht="16" thickBot="1" x14ac:dyDescent="0.25">
      <c r="B273" s="289"/>
      <c r="C273" s="295"/>
      <c r="D273" s="275"/>
      <c r="E273" s="275"/>
      <c r="F273" s="302"/>
      <c r="G273" s="309"/>
      <c r="H273" s="310"/>
      <c r="I273" s="309"/>
      <c r="J273" s="310"/>
      <c r="K273" s="309"/>
      <c r="L273" s="310"/>
      <c r="M273" s="309"/>
      <c r="N273" s="310"/>
      <c r="O273" s="271"/>
      <c r="P273" s="271"/>
      <c r="Q273" s="309"/>
      <c r="R273" s="310"/>
      <c r="S273" s="309"/>
      <c r="T273" s="310"/>
      <c r="U273" s="309"/>
      <c r="V273" s="310"/>
      <c r="W273" s="309"/>
      <c r="X273" s="310"/>
      <c r="Y273" s="309"/>
      <c r="Z273" s="310"/>
      <c r="AA273" s="309"/>
      <c r="AB273" s="310"/>
      <c r="AC273" s="271"/>
      <c r="AD273" s="271"/>
      <c r="AE273" s="309"/>
      <c r="AF273" s="310"/>
      <c r="AG273" s="309"/>
      <c r="AH273" s="310"/>
      <c r="AI273" s="309"/>
      <c r="AJ273" s="310"/>
      <c r="AK273" s="309"/>
      <c r="AL273" s="310"/>
      <c r="AM273" s="309"/>
      <c r="AN273" s="310"/>
      <c r="AO273" s="309"/>
      <c r="AP273" s="310"/>
      <c r="AQ273" s="309"/>
      <c r="AR273" s="310"/>
      <c r="AS273" s="309"/>
      <c r="AT273" s="310"/>
      <c r="AU273" s="309"/>
      <c r="AV273" s="310"/>
      <c r="AW273" s="309"/>
      <c r="AX273" s="310"/>
      <c r="AY273" s="309"/>
      <c r="AZ273" s="310"/>
      <c r="BA273" s="271"/>
      <c r="BB273" s="271"/>
      <c r="BC273" s="271"/>
      <c r="BD273" s="271"/>
      <c r="BE273" s="271"/>
      <c r="BF273" s="271"/>
    </row>
    <row r="274" spans="2:58" ht="16" thickBot="1" x14ac:dyDescent="0.25">
      <c r="B274" s="289" t="s">
        <v>23</v>
      </c>
      <c r="C274" s="295"/>
      <c r="D274" s="275"/>
      <c r="E274" s="275"/>
      <c r="F274" s="302"/>
      <c r="G274" s="309"/>
      <c r="H274" s="310"/>
      <c r="I274" s="309"/>
      <c r="J274" s="310"/>
      <c r="K274" s="309"/>
      <c r="L274" s="310"/>
      <c r="M274" s="309"/>
      <c r="N274" s="310"/>
      <c r="O274" s="271"/>
      <c r="P274" s="271"/>
      <c r="Q274" s="309"/>
      <c r="R274" s="310"/>
      <c r="S274" s="309"/>
      <c r="T274" s="310"/>
      <c r="U274" s="309"/>
      <c r="V274" s="310"/>
      <c r="W274" s="309"/>
      <c r="X274" s="310"/>
      <c r="Y274" s="309"/>
      <c r="Z274" s="310"/>
      <c r="AA274" s="309"/>
      <c r="AB274" s="310"/>
      <c r="AC274" s="271"/>
      <c r="AD274" s="271"/>
      <c r="AE274" s="309"/>
      <c r="AF274" s="310"/>
      <c r="AG274" s="309"/>
      <c r="AH274" s="310"/>
      <c r="AI274" s="309"/>
      <c r="AJ274" s="310"/>
      <c r="AK274" s="309"/>
      <c r="AL274" s="310"/>
      <c r="AM274" s="309"/>
      <c r="AN274" s="310"/>
      <c r="AO274" s="309"/>
      <c r="AP274" s="310"/>
      <c r="AQ274" s="309"/>
      <c r="AR274" s="310"/>
      <c r="AS274" s="309"/>
      <c r="AT274" s="310"/>
      <c r="AU274" s="309"/>
      <c r="AV274" s="310"/>
      <c r="AW274" s="309"/>
      <c r="AX274" s="310"/>
      <c r="AY274" s="309"/>
      <c r="AZ274" s="310"/>
      <c r="BA274" s="271"/>
      <c r="BB274" s="271"/>
      <c r="BC274" s="271"/>
      <c r="BD274" s="271"/>
      <c r="BE274" s="271"/>
      <c r="BF274" s="271"/>
    </row>
    <row r="275" spans="2:58" ht="16" thickBot="1" x14ac:dyDescent="0.25">
      <c r="B275" s="298"/>
      <c r="C275" s="656">
        <f>SUM(C267:C274)</f>
        <v>15263.900000000001</v>
      </c>
      <c r="D275" s="656"/>
      <c r="E275" s="578"/>
      <c r="F275" s="553"/>
      <c r="G275" s="309"/>
      <c r="H275" s="310"/>
      <c r="I275" s="309"/>
      <c r="J275" s="310"/>
      <c r="K275" s="309"/>
      <c r="L275" s="310"/>
      <c r="M275" s="309"/>
      <c r="N275" s="310"/>
      <c r="O275" s="271"/>
      <c r="P275" s="271"/>
      <c r="Q275" s="309"/>
      <c r="R275" s="310"/>
      <c r="S275" s="309"/>
      <c r="T275" s="310"/>
      <c r="U275" s="309"/>
      <c r="V275" s="310"/>
      <c r="W275" s="309"/>
      <c r="X275" s="310"/>
      <c r="Y275" s="309"/>
      <c r="Z275" s="310"/>
      <c r="AA275" s="309"/>
      <c r="AB275" s="310"/>
      <c r="AC275" s="271"/>
      <c r="AD275" s="271"/>
      <c r="AE275" s="309"/>
      <c r="AF275" s="310"/>
      <c r="AG275" s="309"/>
      <c r="AH275" s="310"/>
      <c r="AI275" s="309"/>
      <c r="AJ275" s="310"/>
      <c r="AK275" s="309"/>
      <c r="AL275" s="310"/>
      <c r="AM275" s="309"/>
      <c r="AN275" s="310"/>
      <c r="AO275" s="309"/>
      <c r="AP275" s="310"/>
      <c r="AQ275" s="309"/>
      <c r="AR275" s="310"/>
      <c r="AS275" s="309"/>
      <c r="AT275" s="310"/>
      <c r="AU275" s="309"/>
      <c r="AV275" s="310"/>
      <c r="AW275" s="309"/>
      <c r="AX275" s="310"/>
      <c r="AY275" s="309"/>
      <c r="AZ275" s="310"/>
      <c r="BA275" s="271"/>
      <c r="BB275" s="271"/>
      <c r="BC275" s="271"/>
      <c r="BD275" s="271"/>
      <c r="BE275" s="271"/>
      <c r="BF275" s="271"/>
    </row>
    <row r="276" spans="2:58" ht="16" thickBot="1" x14ac:dyDescent="0.25">
      <c r="B276" s="479">
        <v>45688</v>
      </c>
      <c r="C276" s="299">
        <v>743.79</v>
      </c>
      <c r="D276" s="300"/>
      <c r="E276" s="274" t="s">
        <v>186</v>
      </c>
      <c r="F276" s="301"/>
      <c r="G276" s="309"/>
      <c r="H276" s="310"/>
      <c r="I276" s="309"/>
      <c r="J276" s="310"/>
      <c r="K276" s="309"/>
      <c r="L276" s="310"/>
      <c r="M276" s="309"/>
      <c r="N276" s="310"/>
      <c r="O276" s="271"/>
      <c r="P276" s="271"/>
      <c r="Q276" s="309"/>
      <c r="R276" s="310"/>
      <c r="S276" s="309"/>
      <c r="T276" s="310"/>
      <c r="U276" s="309"/>
      <c r="V276" s="310"/>
      <c r="W276" s="309"/>
      <c r="X276" s="310"/>
      <c r="Y276" s="309"/>
      <c r="Z276" s="310"/>
      <c r="AA276" s="309"/>
      <c r="AB276" s="310"/>
      <c r="AC276" s="271"/>
      <c r="AD276" s="271"/>
      <c r="AE276" s="309"/>
      <c r="AF276" s="310"/>
      <c r="AG276" s="309"/>
      <c r="AH276" s="310"/>
      <c r="AI276" s="309"/>
      <c r="AJ276" s="310"/>
      <c r="AK276" s="309"/>
      <c r="AL276" s="310"/>
      <c r="AM276" s="309"/>
      <c r="AN276" s="310"/>
      <c r="AO276" s="309"/>
      <c r="AP276" s="310"/>
      <c r="AQ276" s="309"/>
      <c r="AR276" s="310"/>
      <c r="AS276" s="309"/>
      <c r="AT276" s="310"/>
      <c r="AU276" s="309"/>
      <c r="AV276" s="310"/>
      <c r="AW276" s="309"/>
      <c r="AX276" s="310"/>
      <c r="AY276" s="309"/>
      <c r="AZ276" s="310"/>
      <c r="BA276" s="271"/>
      <c r="BB276" s="271"/>
      <c r="BC276" s="271"/>
      <c r="BD276" s="271"/>
      <c r="BE276" s="271"/>
      <c r="BF276" s="271"/>
    </row>
    <row r="277" spans="2:58" ht="16" thickBot="1" x14ac:dyDescent="0.25">
      <c r="B277" s="479"/>
      <c r="C277" s="299">
        <v>30</v>
      </c>
      <c r="D277" s="300"/>
      <c r="E277" s="275" t="s">
        <v>615</v>
      </c>
      <c r="F277" s="302"/>
      <c r="G277" s="309"/>
      <c r="H277" s="310"/>
      <c r="I277" s="309"/>
      <c r="J277" s="310"/>
      <c r="K277" s="309"/>
      <c r="L277" s="310"/>
      <c r="M277" s="309"/>
      <c r="N277" s="310"/>
      <c r="O277" s="271"/>
      <c r="P277" s="271"/>
      <c r="Q277" s="309"/>
      <c r="R277" s="310"/>
      <c r="S277" s="309"/>
      <c r="T277" s="310"/>
      <c r="U277" s="309"/>
      <c r="V277" s="310"/>
      <c r="W277" s="309"/>
      <c r="X277" s="310"/>
      <c r="Y277" s="309"/>
      <c r="Z277" s="310"/>
      <c r="AA277" s="309"/>
      <c r="AB277" s="310"/>
      <c r="AC277" s="271"/>
      <c r="AD277" s="271"/>
      <c r="AE277" s="309"/>
      <c r="AF277" s="310"/>
      <c r="AG277" s="309"/>
      <c r="AH277" s="310"/>
      <c r="AI277" s="309"/>
      <c r="AJ277" s="310"/>
      <c r="AK277" s="309"/>
      <c r="AL277" s="310"/>
      <c r="AM277" s="309"/>
      <c r="AN277" s="310"/>
      <c r="AO277" s="309"/>
      <c r="AP277" s="310"/>
      <c r="AQ277" s="309"/>
      <c r="AR277" s="310"/>
      <c r="AS277" s="309"/>
      <c r="AT277" s="310"/>
      <c r="AU277" s="309"/>
      <c r="AV277" s="310"/>
      <c r="AW277" s="309"/>
      <c r="AX277" s="310"/>
      <c r="AY277" s="309"/>
      <c r="AZ277" s="310"/>
      <c r="BA277" s="271"/>
      <c r="BB277" s="271"/>
      <c r="BC277" s="271"/>
      <c r="BD277" s="271"/>
      <c r="BE277" s="271"/>
      <c r="BF277" s="271"/>
    </row>
    <row r="278" spans="2:58" ht="16" thickBot="1" x14ac:dyDescent="0.25">
      <c r="B278" s="479"/>
      <c r="C278" s="299">
        <v>1500</v>
      </c>
      <c r="D278" s="300"/>
      <c r="E278" s="275" t="s">
        <v>3</v>
      </c>
      <c r="F278" s="302"/>
      <c r="G278" s="309"/>
      <c r="H278" s="310"/>
      <c r="I278" s="309"/>
      <c r="J278" s="310"/>
      <c r="K278" s="309"/>
      <c r="L278" s="310"/>
      <c r="M278" s="309"/>
      <c r="N278" s="310"/>
      <c r="O278" s="271"/>
      <c r="P278" s="271"/>
      <c r="Q278" s="309"/>
      <c r="R278" s="310"/>
      <c r="S278" s="309"/>
      <c r="T278" s="310"/>
      <c r="U278" s="309"/>
      <c r="V278" s="310"/>
      <c r="W278" s="309"/>
      <c r="X278" s="310"/>
      <c r="Y278" s="309"/>
      <c r="Z278" s="310"/>
      <c r="AA278" s="309"/>
      <c r="AB278" s="310"/>
      <c r="AC278" s="271"/>
      <c r="AD278" s="271"/>
      <c r="AE278" s="309"/>
      <c r="AF278" s="310"/>
      <c r="AG278" s="309"/>
      <c r="AH278" s="310"/>
      <c r="AI278" s="309"/>
      <c r="AJ278" s="310"/>
      <c r="AK278" s="309"/>
      <c r="AL278" s="310"/>
      <c r="AM278" s="309"/>
      <c r="AN278" s="310"/>
      <c r="AO278" s="309"/>
      <c r="AP278" s="310"/>
      <c r="AQ278" s="309"/>
      <c r="AR278" s="310"/>
      <c r="AS278" s="309"/>
      <c r="AT278" s="310"/>
      <c r="AU278" s="309"/>
      <c r="AV278" s="310"/>
      <c r="AW278" s="309"/>
      <c r="AX278" s="310"/>
      <c r="AY278" s="309"/>
      <c r="AZ278" s="310"/>
      <c r="BA278" s="271"/>
      <c r="BB278" s="271"/>
      <c r="BC278" s="271"/>
      <c r="BD278" s="271"/>
      <c r="BE278" s="271"/>
      <c r="BF278" s="271"/>
    </row>
    <row r="279" spans="2:58" ht="16" thickBot="1" x14ac:dyDescent="0.25">
      <c r="B279" s="479"/>
      <c r="C279" s="299">
        <v>252</v>
      </c>
      <c r="D279" s="300"/>
      <c r="E279" s="275" t="s">
        <v>637</v>
      </c>
      <c r="F279" s="302"/>
      <c r="G279" s="309"/>
      <c r="H279" s="310"/>
      <c r="I279" s="309"/>
      <c r="J279" s="310"/>
      <c r="K279" s="309"/>
      <c r="L279" s="310"/>
      <c r="M279" s="309"/>
      <c r="N279" s="310"/>
      <c r="O279" s="271"/>
      <c r="P279" s="271"/>
      <c r="Q279" s="309"/>
      <c r="R279" s="310"/>
      <c r="S279" s="309"/>
      <c r="T279" s="310"/>
      <c r="U279" s="309"/>
      <c r="V279" s="310"/>
      <c r="W279" s="309"/>
      <c r="X279" s="310"/>
      <c r="Y279" s="309"/>
      <c r="Z279" s="310"/>
      <c r="AA279" s="309"/>
      <c r="AB279" s="310"/>
      <c r="AC279" s="271"/>
      <c r="AD279" s="271"/>
      <c r="AE279" s="309"/>
      <c r="AF279" s="310"/>
      <c r="AG279" s="309"/>
      <c r="AH279" s="310"/>
      <c r="AI279" s="309"/>
      <c r="AJ279" s="310"/>
      <c r="AK279" s="309"/>
      <c r="AL279" s="310"/>
      <c r="AM279" s="309"/>
      <c r="AN279" s="310"/>
      <c r="AO279" s="309"/>
      <c r="AP279" s="310"/>
      <c r="AQ279" s="309"/>
      <c r="AR279" s="310"/>
      <c r="AS279" s="309"/>
      <c r="AT279" s="310"/>
      <c r="AU279" s="309"/>
      <c r="AV279" s="310"/>
      <c r="AW279" s="309"/>
      <c r="AX279" s="310"/>
      <c r="AY279" s="309"/>
      <c r="AZ279" s="310"/>
      <c r="BA279" s="271"/>
      <c r="BB279" s="271"/>
      <c r="BC279" s="271"/>
      <c r="BD279" s="271"/>
      <c r="BE279" s="271"/>
      <c r="BF279" s="271"/>
    </row>
    <row r="280" spans="2:58" ht="16" thickBot="1" x14ac:dyDescent="0.25">
      <c r="B280" s="479"/>
      <c r="C280" s="657">
        <v>6000</v>
      </c>
      <c r="D280" s="657"/>
      <c r="E280" s="285"/>
      <c r="F280" s="302" t="s">
        <v>435</v>
      </c>
      <c r="G280" s="309"/>
      <c r="H280" s="310"/>
      <c r="I280" s="309"/>
      <c r="J280" s="310"/>
      <c r="K280" s="309"/>
      <c r="L280" s="310"/>
      <c r="M280" s="309"/>
      <c r="N280" s="310"/>
      <c r="O280" s="271">
        <v>10</v>
      </c>
      <c r="P280" s="271">
        <v>6000</v>
      </c>
      <c r="Q280" s="309"/>
      <c r="R280" s="310"/>
      <c r="S280" s="309"/>
      <c r="T280" s="310"/>
      <c r="U280" s="309"/>
      <c r="V280" s="310"/>
      <c r="W280" s="309"/>
      <c r="X280" s="310"/>
      <c r="Y280" s="309"/>
      <c r="Z280" s="310"/>
      <c r="AA280" s="309"/>
      <c r="AB280" s="310"/>
      <c r="AC280" s="271"/>
      <c r="AD280" s="271"/>
      <c r="AE280" s="309"/>
      <c r="AF280" s="310"/>
      <c r="AG280" s="309"/>
      <c r="AH280" s="310"/>
      <c r="AI280" s="309"/>
      <c r="AJ280" s="310"/>
      <c r="AK280" s="309"/>
      <c r="AL280" s="310"/>
      <c r="AM280" s="309"/>
      <c r="AN280" s="310"/>
      <c r="AO280" s="309"/>
      <c r="AP280" s="310"/>
      <c r="AQ280" s="309"/>
      <c r="AR280" s="310"/>
      <c r="AS280" s="309"/>
      <c r="AT280" s="310"/>
      <c r="AU280" s="309"/>
      <c r="AV280" s="310"/>
      <c r="AW280" s="309"/>
      <c r="AX280" s="310"/>
      <c r="AY280" s="309"/>
      <c r="AZ280" s="310"/>
      <c r="BA280" s="271"/>
      <c r="BB280" s="271"/>
      <c r="BC280" s="271"/>
      <c r="BD280" s="271"/>
      <c r="BE280" s="271"/>
      <c r="BF280" s="271"/>
    </row>
    <row r="281" spans="2:58" ht="16" thickBot="1" x14ac:dyDescent="0.25">
      <c r="B281" s="479" t="s">
        <v>24</v>
      </c>
      <c r="C281" s="299"/>
      <c r="D281" s="300"/>
      <c r="E281" s="275"/>
      <c r="F281" s="302"/>
      <c r="G281" s="309"/>
      <c r="H281" s="310"/>
      <c r="I281" s="309"/>
      <c r="J281" s="310"/>
      <c r="K281" s="309"/>
      <c r="L281" s="310"/>
      <c r="M281" s="309"/>
      <c r="N281" s="310"/>
      <c r="O281" s="271"/>
      <c r="P281" s="271"/>
      <c r="Q281" s="309"/>
      <c r="R281" s="310"/>
      <c r="S281" s="309"/>
      <c r="T281" s="310"/>
      <c r="U281" s="309"/>
      <c r="V281" s="310"/>
      <c r="W281" s="309"/>
      <c r="X281" s="310"/>
      <c r="Y281" s="309"/>
      <c r="Z281" s="310"/>
      <c r="AA281" s="309"/>
      <c r="AB281" s="310"/>
      <c r="AC281" s="271"/>
      <c r="AD281" s="271"/>
      <c r="AE281" s="309"/>
      <c r="AF281" s="310"/>
      <c r="AG281" s="309"/>
      <c r="AH281" s="310"/>
      <c r="AI281" s="309"/>
      <c r="AJ281" s="310"/>
      <c r="AK281" s="309"/>
      <c r="AL281" s="310"/>
      <c r="AM281" s="309"/>
      <c r="AN281" s="310"/>
      <c r="AO281" s="309"/>
      <c r="AP281" s="310"/>
      <c r="AQ281" s="309"/>
      <c r="AR281" s="310"/>
      <c r="AS281" s="309"/>
      <c r="AT281" s="310"/>
      <c r="AU281" s="309"/>
      <c r="AV281" s="310"/>
      <c r="AW281" s="309"/>
      <c r="AX281" s="310"/>
      <c r="AY281" s="309"/>
      <c r="AZ281" s="310"/>
      <c r="BA281" s="271"/>
      <c r="BB281" s="271"/>
      <c r="BC281" s="271"/>
      <c r="BD281" s="271"/>
      <c r="BE281" s="271"/>
      <c r="BF281" s="271"/>
    </row>
    <row r="282" spans="2:58" ht="16" thickBot="1" x14ac:dyDescent="0.25">
      <c r="B282" s="577"/>
      <c r="C282" s="159">
        <f>SUM(C276:C281)</f>
        <v>8525.7900000000009</v>
      </c>
      <c r="D282" s="159"/>
      <c r="E282" s="270"/>
      <c r="F282" s="271"/>
      <c r="G282" s="309"/>
      <c r="H282" s="310"/>
      <c r="I282" s="309"/>
      <c r="J282" s="310"/>
      <c r="K282" s="309"/>
      <c r="L282" s="310"/>
      <c r="M282" s="309"/>
      <c r="N282" s="310"/>
      <c r="O282" s="271"/>
      <c r="P282" s="271"/>
      <c r="Q282" s="309"/>
      <c r="R282" s="310"/>
      <c r="S282" s="309"/>
      <c r="T282" s="310"/>
      <c r="U282" s="309"/>
      <c r="V282" s="310"/>
      <c r="W282" s="309"/>
      <c r="X282" s="310"/>
      <c r="Y282" s="309"/>
      <c r="Z282" s="310"/>
      <c r="AA282" s="309"/>
      <c r="AB282" s="310"/>
      <c r="AC282" s="271"/>
      <c r="AD282" s="271"/>
      <c r="AE282" s="309"/>
      <c r="AF282" s="310"/>
      <c r="AG282" s="309"/>
      <c r="AH282" s="310"/>
      <c r="AI282" s="309"/>
      <c r="AJ282" s="310"/>
      <c r="AK282" s="309"/>
      <c r="AL282" s="310"/>
      <c r="AM282" s="309"/>
      <c r="AN282" s="310"/>
      <c r="AO282" s="309"/>
      <c r="AP282" s="310"/>
      <c r="AQ282" s="309"/>
      <c r="AR282" s="310"/>
      <c r="AS282" s="309"/>
      <c r="AT282" s="310"/>
      <c r="AU282" s="309"/>
      <c r="AV282" s="310"/>
      <c r="AW282" s="309"/>
      <c r="AX282" s="310"/>
      <c r="AY282" s="309"/>
      <c r="AZ282" s="310"/>
      <c r="BA282" s="271"/>
      <c r="BB282" s="271"/>
      <c r="BC282" s="271"/>
      <c r="BD282" s="271"/>
      <c r="BE282" s="271"/>
      <c r="BF282" s="271"/>
    </row>
    <row r="283" spans="2:58" ht="16" thickBot="1" x14ac:dyDescent="0.25">
      <c r="B283" s="289">
        <v>45689</v>
      </c>
      <c r="C283" s="299">
        <v>6900</v>
      </c>
      <c r="D283" s="300"/>
      <c r="E283" s="274" t="s">
        <v>12</v>
      </c>
      <c r="F283" s="302"/>
      <c r="G283" s="309"/>
      <c r="H283" s="310"/>
      <c r="I283" s="309"/>
      <c r="J283" s="310"/>
      <c r="K283" s="309"/>
      <c r="L283" s="310"/>
      <c r="M283" s="309"/>
      <c r="N283" s="310"/>
      <c r="O283" s="271"/>
      <c r="P283" s="271"/>
      <c r="Q283" s="309"/>
      <c r="R283" s="310"/>
      <c r="S283" s="309"/>
      <c r="T283" s="310"/>
      <c r="U283" s="309"/>
      <c r="V283" s="310"/>
      <c r="W283" s="309"/>
      <c r="X283" s="310"/>
      <c r="Y283" s="309"/>
      <c r="Z283" s="310"/>
      <c r="AA283" s="309"/>
      <c r="AB283" s="310"/>
      <c r="AC283" s="271"/>
      <c r="AD283" s="271"/>
      <c r="AE283" s="309"/>
      <c r="AF283" s="310"/>
      <c r="AG283" s="309"/>
      <c r="AH283" s="310"/>
      <c r="AI283" s="309"/>
      <c r="AJ283" s="310"/>
      <c r="AK283" s="309"/>
      <c r="AL283" s="310"/>
      <c r="AM283" s="309"/>
      <c r="AN283" s="310"/>
      <c r="AO283" s="309"/>
      <c r="AP283" s="310"/>
      <c r="AQ283" s="309"/>
      <c r="AR283" s="310"/>
      <c r="AS283" s="309"/>
      <c r="AT283" s="310"/>
      <c r="AU283" s="309"/>
      <c r="AV283" s="310"/>
      <c r="AW283" s="309"/>
      <c r="AX283" s="310"/>
      <c r="AY283" s="309"/>
      <c r="AZ283" s="310"/>
      <c r="BA283" s="271"/>
      <c r="BB283" s="271"/>
      <c r="BC283" s="271"/>
      <c r="BD283" s="271"/>
      <c r="BE283" s="271"/>
      <c r="BF283" s="271"/>
    </row>
    <row r="284" spans="2:58" ht="16" thickBot="1" x14ac:dyDescent="0.25">
      <c r="B284" s="289"/>
      <c r="C284" s="299">
        <v>242.34</v>
      </c>
      <c r="D284" s="300"/>
      <c r="E284" s="275"/>
      <c r="F284" s="302" t="s">
        <v>279</v>
      </c>
      <c r="G284" s="309"/>
      <c r="H284" s="310"/>
      <c r="I284" s="309"/>
      <c r="J284" s="310"/>
      <c r="K284" s="309"/>
      <c r="L284" s="310"/>
      <c r="M284" s="309"/>
      <c r="N284" s="310"/>
      <c r="O284" s="271"/>
      <c r="P284" s="271"/>
      <c r="Q284" s="309"/>
      <c r="R284" s="310"/>
      <c r="S284" s="309"/>
      <c r="T284" s="310"/>
      <c r="U284" s="309"/>
      <c r="V284" s="310"/>
      <c r="W284" s="309"/>
      <c r="X284" s="310"/>
      <c r="Y284" s="309"/>
      <c r="Z284" s="310"/>
      <c r="AA284" s="309"/>
      <c r="AB284" s="310"/>
      <c r="AC284" s="271"/>
      <c r="AD284" s="271"/>
      <c r="AE284" s="309">
        <v>6</v>
      </c>
      <c r="AF284" s="310">
        <v>239.94</v>
      </c>
      <c r="AG284" s="309"/>
      <c r="AH284" s="310"/>
      <c r="AI284" s="309"/>
      <c r="AJ284" s="310"/>
      <c r="AK284" s="309"/>
      <c r="AL284" s="310"/>
      <c r="AM284" s="309"/>
      <c r="AN284" s="310"/>
      <c r="AO284" s="309"/>
      <c r="AP284" s="310"/>
      <c r="AQ284" s="309"/>
      <c r="AR284" s="310"/>
      <c r="AS284" s="309"/>
      <c r="AT284" s="310"/>
      <c r="AU284" s="309"/>
      <c r="AV284" s="310"/>
      <c r="AW284" s="309"/>
      <c r="AX284" s="310"/>
      <c r="AY284" s="309"/>
      <c r="AZ284" s="310"/>
      <c r="BA284" s="271"/>
      <c r="BB284" s="271"/>
      <c r="BC284" s="271"/>
      <c r="BD284" s="271"/>
      <c r="BE284" s="271"/>
      <c r="BF284" s="271"/>
    </row>
    <row r="285" spans="2:58" ht="16" thickBot="1" x14ac:dyDescent="0.25">
      <c r="B285" s="289"/>
      <c r="C285" s="299">
        <v>6232.66</v>
      </c>
      <c r="D285" s="300"/>
      <c r="E285" s="275"/>
      <c r="F285" s="302" t="s">
        <v>9</v>
      </c>
      <c r="G285" s="309">
        <v>9</v>
      </c>
      <c r="H285" s="310">
        <v>1232.9100000000001</v>
      </c>
      <c r="I285" s="309">
        <v>3</v>
      </c>
      <c r="J285" s="310">
        <v>514.97</v>
      </c>
      <c r="K285" s="309">
        <v>8</v>
      </c>
      <c r="L285" s="310">
        <v>1455.92</v>
      </c>
      <c r="M285" s="309">
        <v>12</v>
      </c>
      <c r="N285" s="310">
        <v>1854</v>
      </c>
      <c r="O285" s="271"/>
      <c r="P285" s="271"/>
      <c r="Q285" s="309">
        <v>1</v>
      </c>
      <c r="R285" s="310">
        <v>134.99</v>
      </c>
      <c r="S285" s="309"/>
      <c r="T285" s="310"/>
      <c r="U285" s="309"/>
      <c r="V285" s="310"/>
      <c r="W285" s="309">
        <v>6</v>
      </c>
      <c r="X285" s="310">
        <v>257.94</v>
      </c>
      <c r="Y285" s="309"/>
      <c r="Z285" s="310"/>
      <c r="AA285" s="309"/>
      <c r="AB285" s="310"/>
      <c r="AC285" s="271">
        <v>6</v>
      </c>
      <c r="AD285" s="271">
        <v>593.94000000000005</v>
      </c>
      <c r="AE285" s="309"/>
      <c r="AF285" s="310"/>
      <c r="AG285" s="309"/>
      <c r="AH285" s="310"/>
      <c r="AI285" s="309"/>
      <c r="AJ285" s="310"/>
      <c r="AK285" s="309"/>
      <c r="AL285" s="310"/>
      <c r="AM285" s="309"/>
      <c r="AN285" s="310"/>
      <c r="AO285" s="309"/>
      <c r="AP285" s="310"/>
      <c r="AQ285" s="309"/>
      <c r="AR285" s="310"/>
      <c r="AS285" s="309"/>
      <c r="AT285" s="310"/>
      <c r="AU285" s="309"/>
      <c r="AV285" s="310"/>
      <c r="AW285" s="309"/>
      <c r="AX285" s="310"/>
      <c r="AY285" s="309"/>
      <c r="AZ285" s="310"/>
      <c r="BA285" s="271">
        <v>1</v>
      </c>
      <c r="BB285" s="271">
        <v>27.99</v>
      </c>
      <c r="BC285" s="271"/>
      <c r="BD285" s="271"/>
      <c r="BE285" s="271"/>
      <c r="BF285" s="271"/>
    </row>
    <row r="286" spans="2:58" ht="16" thickBot="1" x14ac:dyDescent="0.25">
      <c r="B286" s="289"/>
      <c r="C286" s="299">
        <v>800.16</v>
      </c>
      <c r="D286" s="300"/>
      <c r="E286" s="275" t="s">
        <v>186</v>
      </c>
      <c r="F286" s="302"/>
      <c r="G286" s="309"/>
      <c r="H286" s="310"/>
      <c r="I286" s="309"/>
      <c r="J286" s="310"/>
      <c r="K286" s="309"/>
      <c r="L286" s="310"/>
      <c r="M286" s="309"/>
      <c r="N286" s="310"/>
      <c r="O286" s="271"/>
      <c r="P286" s="271"/>
      <c r="Q286" s="309"/>
      <c r="R286" s="310"/>
      <c r="S286" s="309"/>
      <c r="T286" s="310"/>
      <c r="U286" s="309"/>
      <c r="V286" s="310"/>
      <c r="W286" s="309"/>
      <c r="X286" s="310"/>
      <c r="Y286" s="309"/>
      <c r="Z286" s="310"/>
      <c r="AA286" s="309"/>
      <c r="AB286" s="310"/>
      <c r="AC286" s="271"/>
      <c r="AD286" s="271"/>
      <c r="AE286" s="309"/>
      <c r="AF286" s="310"/>
      <c r="AG286" s="309"/>
      <c r="AH286" s="310"/>
      <c r="AI286" s="309"/>
      <c r="AJ286" s="310"/>
      <c r="AK286" s="309"/>
      <c r="AL286" s="310"/>
      <c r="AM286" s="309"/>
      <c r="AN286" s="310"/>
      <c r="AO286" s="309"/>
      <c r="AP286" s="310"/>
      <c r="AQ286" s="309"/>
      <c r="AR286" s="310"/>
      <c r="AS286" s="309"/>
      <c r="AT286" s="310"/>
      <c r="AU286" s="309"/>
      <c r="AV286" s="310"/>
      <c r="AW286" s="309"/>
      <c r="AX286" s="310"/>
      <c r="AY286" s="309"/>
      <c r="AZ286" s="310"/>
      <c r="BA286" s="271"/>
      <c r="BB286" s="271"/>
      <c r="BC286" s="271"/>
      <c r="BD286" s="271"/>
      <c r="BE286" s="271"/>
      <c r="BF286" s="271"/>
    </row>
    <row r="287" spans="2:58" ht="16" thickBot="1" x14ac:dyDescent="0.25">
      <c r="B287" s="289"/>
      <c r="C287" s="299"/>
      <c r="D287" s="300"/>
      <c r="E287" s="275"/>
      <c r="F287" s="302"/>
      <c r="G287" s="309"/>
      <c r="H287" s="310"/>
      <c r="I287" s="309"/>
      <c r="J287" s="310"/>
      <c r="K287" s="309"/>
      <c r="L287" s="310"/>
      <c r="M287" s="309"/>
      <c r="N287" s="310"/>
      <c r="O287" s="271"/>
      <c r="P287" s="271"/>
      <c r="Q287" s="309"/>
      <c r="R287" s="310"/>
      <c r="S287" s="309"/>
      <c r="T287" s="310"/>
      <c r="U287" s="309"/>
      <c r="V287" s="310"/>
      <c r="W287" s="309"/>
      <c r="X287" s="310"/>
      <c r="Y287" s="309"/>
      <c r="Z287" s="310"/>
      <c r="AA287" s="309"/>
      <c r="AB287" s="310"/>
      <c r="AC287" s="271"/>
      <c r="AD287" s="271"/>
      <c r="AE287" s="309"/>
      <c r="AF287" s="310"/>
      <c r="AG287" s="309"/>
      <c r="AH287" s="310"/>
      <c r="AI287" s="309"/>
      <c r="AJ287" s="310"/>
      <c r="AK287" s="309"/>
      <c r="AL287" s="310"/>
      <c r="AM287" s="309"/>
      <c r="AN287" s="310"/>
      <c r="AO287" s="309"/>
      <c r="AP287" s="310"/>
      <c r="AQ287" s="309"/>
      <c r="AR287" s="310"/>
      <c r="AS287" s="309"/>
      <c r="AT287" s="310"/>
      <c r="AU287" s="309"/>
      <c r="AV287" s="310"/>
      <c r="AW287" s="309"/>
      <c r="AX287" s="310"/>
      <c r="AY287" s="309"/>
      <c r="AZ287" s="310"/>
      <c r="BA287" s="271"/>
      <c r="BB287" s="271"/>
      <c r="BC287" s="271"/>
      <c r="BD287" s="271"/>
      <c r="BE287" s="271"/>
      <c r="BF287" s="271"/>
    </row>
    <row r="288" spans="2:58" ht="16" thickBot="1" x14ac:dyDescent="0.25">
      <c r="B288" s="289"/>
      <c r="C288" s="299"/>
      <c r="D288" s="300"/>
      <c r="E288" s="275"/>
      <c r="F288" s="302"/>
      <c r="G288" s="309"/>
      <c r="H288" s="310"/>
      <c r="I288" s="309"/>
      <c r="J288" s="310"/>
      <c r="K288" s="309"/>
      <c r="L288" s="310"/>
      <c r="M288" s="309"/>
      <c r="N288" s="310"/>
      <c r="O288" s="271"/>
      <c r="P288" s="271"/>
      <c r="Q288" s="309"/>
      <c r="R288" s="310"/>
      <c r="S288" s="309"/>
      <c r="T288" s="310"/>
      <c r="U288" s="309"/>
      <c r="V288" s="310"/>
      <c r="W288" s="309"/>
      <c r="X288" s="310"/>
      <c r="Y288" s="309"/>
      <c r="Z288" s="310"/>
      <c r="AA288" s="309"/>
      <c r="AB288" s="310"/>
      <c r="AC288" s="271"/>
      <c r="AD288" s="271"/>
      <c r="AE288" s="309"/>
      <c r="AF288" s="310"/>
      <c r="AG288" s="309"/>
      <c r="AH288" s="310"/>
      <c r="AI288" s="309"/>
      <c r="AJ288" s="310"/>
      <c r="AK288" s="309"/>
      <c r="AL288" s="310"/>
      <c r="AM288" s="309"/>
      <c r="AN288" s="310"/>
      <c r="AO288" s="309"/>
      <c r="AP288" s="310"/>
      <c r="AQ288" s="309"/>
      <c r="AR288" s="310"/>
      <c r="AS288" s="309"/>
      <c r="AT288" s="310"/>
      <c r="AU288" s="309"/>
      <c r="AV288" s="310"/>
      <c r="AW288" s="309"/>
      <c r="AX288" s="310"/>
      <c r="AY288" s="309"/>
      <c r="AZ288" s="310"/>
      <c r="BA288" s="271"/>
      <c r="BB288" s="271"/>
      <c r="BC288" s="271"/>
      <c r="BD288" s="271"/>
      <c r="BE288" s="271"/>
      <c r="BF288" s="271"/>
    </row>
    <row r="289" spans="2:58" ht="16" thickBot="1" x14ac:dyDescent="0.25">
      <c r="B289" s="289"/>
      <c r="C289" s="299"/>
      <c r="D289" s="300"/>
      <c r="E289" s="275"/>
      <c r="F289" s="302"/>
      <c r="G289" s="309"/>
      <c r="H289" s="310"/>
      <c r="I289" s="309"/>
      <c r="J289" s="310"/>
      <c r="K289" s="309"/>
      <c r="L289" s="310"/>
      <c r="M289" s="309"/>
      <c r="N289" s="310"/>
      <c r="O289" s="271"/>
      <c r="P289" s="271"/>
      <c r="Q289" s="309"/>
      <c r="R289" s="310"/>
      <c r="S289" s="309"/>
      <c r="T289" s="310"/>
      <c r="U289" s="309"/>
      <c r="V289" s="310"/>
      <c r="W289" s="309"/>
      <c r="X289" s="310"/>
      <c r="Y289" s="309"/>
      <c r="Z289" s="310"/>
      <c r="AA289" s="309"/>
      <c r="AB289" s="310"/>
      <c r="AC289" s="271"/>
      <c r="AD289" s="271"/>
      <c r="AE289" s="309"/>
      <c r="AF289" s="310"/>
      <c r="AG289" s="309"/>
      <c r="AH289" s="310"/>
      <c r="AI289" s="309"/>
      <c r="AJ289" s="310"/>
      <c r="AK289" s="309"/>
      <c r="AL289" s="310"/>
      <c r="AM289" s="309"/>
      <c r="AN289" s="310"/>
      <c r="AO289" s="309"/>
      <c r="AP289" s="310"/>
      <c r="AQ289" s="309"/>
      <c r="AR289" s="310"/>
      <c r="AS289" s="309"/>
      <c r="AT289" s="310"/>
      <c r="AU289" s="309"/>
      <c r="AV289" s="310"/>
      <c r="AW289" s="309"/>
      <c r="AX289" s="310"/>
      <c r="AY289" s="309"/>
      <c r="AZ289" s="310"/>
      <c r="BA289" s="271"/>
      <c r="BB289" s="271"/>
      <c r="BC289" s="271"/>
      <c r="BD289" s="271"/>
      <c r="BE289" s="271"/>
      <c r="BF289" s="271"/>
    </row>
    <row r="290" spans="2:58" ht="16" thickBot="1" x14ac:dyDescent="0.25">
      <c r="B290" s="288" t="s">
        <v>25</v>
      </c>
      <c r="C290" s="284"/>
      <c r="D290" s="291"/>
      <c r="E290" s="290"/>
      <c r="F290" s="293"/>
      <c r="G290" s="309"/>
      <c r="H290" s="310"/>
      <c r="I290" s="309"/>
      <c r="J290" s="310"/>
      <c r="K290" s="309"/>
      <c r="L290" s="310"/>
      <c r="M290" s="309"/>
      <c r="N290" s="310"/>
      <c r="O290" s="271"/>
      <c r="P290" s="271"/>
      <c r="Q290" s="309"/>
      <c r="R290" s="310"/>
      <c r="S290" s="309"/>
      <c r="T290" s="310"/>
      <c r="U290" s="309"/>
      <c r="V290" s="310"/>
      <c r="W290" s="309"/>
      <c r="X290" s="310"/>
      <c r="Y290" s="309"/>
      <c r="Z290" s="310"/>
      <c r="AA290" s="309"/>
      <c r="AB290" s="310"/>
      <c r="AC290" s="271"/>
      <c r="AD290" s="271"/>
      <c r="AE290" s="309"/>
      <c r="AF290" s="310"/>
      <c r="AG290" s="309"/>
      <c r="AH290" s="310"/>
      <c r="AI290" s="309"/>
      <c r="AJ290" s="310"/>
      <c r="AK290" s="309"/>
      <c r="AL290" s="310"/>
      <c r="AM290" s="309"/>
      <c r="AN290" s="310"/>
      <c r="AO290" s="309"/>
      <c r="AP290" s="310"/>
      <c r="AQ290" s="309"/>
      <c r="AR290" s="310"/>
      <c r="AS290" s="309"/>
      <c r="AT290" s="310"/>
      <c r="AU290" s="309"/>
      <c r="AV290" s="310"/>
      <c r="AW290" s="309"/>
      <c r="AX290" s="310"/>
      <c r="AY290" s="309"/>
      <c r="AZ290" s="310"/>
      <c r="BA290" s="271"/>
      <c r="BB290" s="271"/>
      <c r="BC290" s="271"/>
      <c r="BD290" s="271"/>
      <c r="BE290" s="271"/>
      <c r="BF290" s="271"/>
    </row>
    <row r="291" spans="2:58" ht="16" thickBot="1" x14ac:dyDescent="0.25">
      <c r="B291" s="668"/>
      <c r="C291" s="640">
        <f>SUM(C283:C290)</f>
        <v>14175.16</v>
      </c>
      <c r="D291" s="159"/>
      <c r="E291" s="270"/>
      <c r="F291" s="271"/>
      <c r="G291" s="309"/>
      <c r="H291" s="310"/>
      <c r="I291" s="309"/>
      <c r="J291" s="310"/>
      <c r="K291" s="309"/>
      <c r="L291" s="310"/>
      <c r="M291" s="309"/>
      <c r="N291" s="310"/>
      <c r="O291" s="271"/>
      <c r="P291" s="271"/>
      <c r="Q291" s="309"/>
      <c r="R291" s="310"/>
      <c r="S291" s="309"/>
      <c r="T291" s="310"/>
      <c r="U291" s="309"/>
      <c r="V291" s="310"/>
      <c r="W291" s="309"/>
      <c r="X291" s="310"/>
      <c r="Y291" s="309"/>
      <c r="Z291" s="310"/>
      <c r="AA291" s="309"/>
      <c r="AB291" s="310"/>
      <c r="AC291" s="271"/>
      <c r="AD291" s="271"/>
      <c r="AE291" s="309"/>
      <c r="AF291" s="310"/>
      <c r="AG291" s="309"/>
      <c r="AH291" s="310"/>
      <c r="AI291" s="309"/>
      <c r="AJ291" s="310"/>
      <c r="AK291" s="309"/>
      <c r="AL291" s="310"/>
      <c r="AM291" s="309"/>
      <c r="AN291" s="310"/>
      <c r="AO291" s="309"/>
      <c r="AP291" s="310"/>
      <c r="AQ291" s="309"/>
      <c r="AR291" s="310"/>
      <c r="AS291" s="309"/>
      <c r="AT291" s="310"/>
      <c r="AU291" s="309"/>
      <c r="AV291" s="310"/>
      <c r="AW291" s="309"/>
      <c r="AX291" s="310"/>
      <c r="AY291" s="309"/>
      <c r="AZ291" s="310"/>
      <c r="BA291" s="271"/>
      <c r="BB291" s="271"/>
      <c r="BC291" s="271"/>
      <c r="BD291" s="271"/>
      <c r="BE291" s="271"/>
      <c r="BF291" s="271"/>
    </row>
    <row r="292" spans="2:58" ht="16" thickBot="1" x14ac:dyDescent="0.25">
      <c r="B292" s="479">
        <v>45690</v>
      </c>
      <c r="C292" s="657"/>
      <c r="D292" s="641"/>
      <c r="E292" s="274"/>
      <c r="F292" s="301"/>
      <c r="G292" s="550"/>
      <c r="H292" s="310"/>
      <c r="I292" s="309"/>
      <c r="J292" s="310"/>
      <c r="K292" s="309"/>
      <c r="L292" s="310"/>
      <c r="M292" s="309"/>
      <c r="N292" s="310"/>
      <c r="O292" s="271"/>
      <c r="P292" s="271"/>
      <c r="Q292" s="309"/>
      <c r="R292" s="310"/>
      <c r="S292" s="309"/>
      <c r="T292" s="310"/>
      <c r="U292" s="309"/>
      <c r="V292" s="310"/>
      <c r="W292" s="309"/>
      <c r="X292" s="310"/>
      <c r="Y292" s="309"/>
      <c r="Z292" s="310"/>
      <c r="AA292" s="309"/>
      <c r="AB292" s="310"/>
      <c r="AC292" s="271"/>
      <c r="AD292" s="271"/>
      <c r="AE292" s="309"/>
      <c r="AF292" s="310"/>
      <c r="AG292" s="309"/>
      <c r="AH292" s="310"/>
      <c r="AI292" s="309"/>
      <c r="AJ292" s="310"/>
      <c r="AK292" s="309"/>
      <c r="AL292" s="310"/>
      <c r="AM292" s="309"/>
      <c r="AN292" s="310"/>
      <c r="AO292" s="309"/>
      <c r="AP292" s="310"/>
      <c r="AQ292" s="309"/>
      <c r="AR292" s="310"/>
      <c r="AS292" s="309"/>
      <c r="AT292" s="310"/>
      <c r="AU292" s="309"/>
      <c r="AV292" s="310"/>
      <c r="AW292" s="309"/>
      <c r="AX292" s="310"/>
      <c r="AY292" s="309"/>
      <c r="AZ292" s="310"/>
      <c r="BA292" s="271"/>
      <c r="BB292" s="271"/>
      <c r="BC292" s="271"/>
      <c r="BD292" s="271"/>
      <c r="BE292" s="271"/>
      <c r="BF292" s="271"/>
    </row>
    <row r="293" spans="2:58" ht="16" thickBot="1" x14ac:dyDescent="0.25">
      <c r="B293" s="479"/>
      <c r="C293" s="657"/>
      <c r="D293" s="657"/>
      <c r="E293" s="285"/>
      <c r="F293" s="302"/>
      <c r="G293" s="550"/>
      <c r="H293" s="310"/>
      <c r="I293" s="309"/>
      <c r="J293" s="310"/>
      <c r="K293" s="309"/>
      <c r="L293" s="310"/>
      <c r="M293" s="309"/>
      <c r="N293" s="310"/>
      <c r="O293" s="271"/>
      <c r="P293" s="271"/>
      <c r="Q293" s="309"/>
      <c r="R293" s="310"/>
      <c r="S293" s="309"/>
      <c r="T293" s="310"/>
      <c r="U293" s="309"/>
      <c r="V293" s="310"/>
      <c r="W293" s="309"/>
      <c r="X293" s="310"/>
      <c r="Y293" s="309"/>
      <c r="Z293" s="310"/>
      <c r="AA293" s="309"/>
      <c r="AB293" s="310"/>
      <c r="AC293" s="271"/>
      <c r="AD293" s="271"/>
      <c r="AE293" s="309"/>
      <c r="AF293" s="310"/>
      <c r="AG293" s="309"/>
      <c r="AH293" s="310"/>
      <c r="AI293" s="309"/>
      <c r="AJ293" s="310"/>
      <c r="AK293" s="309"/>
      <c r="AL293" s="310"/>
      <c r="AM293" s="309"/>
      <c r="AN293" s="310"/>
      <c r="AO293" s="309"/>
      <c r="AP293" s="310"/>
      <c r="AQ293" s="309"/>
      <c r="AR293" s="310"/>
      <c r="AS293" s="309"/>
      <c r="AT293" s="310"/>
      <c r="AU293" s="309"/>
      <c r="AV293" s="310"/>
      <c r="AW293" s="309"/>
      <c r="AX293" s="310"/>
      <c r="AY293" s="309"/>
      <c r="AZ293" s="310"/>
      <c r="BA293" s="271"/>
      <c r="BB293" s="271"/>
      <c r="BC293" s="271"/>
      <c r="BD293" s="271"/>
      <c r="BE293" s="271"/>
      <c r="BF293" s="271"/>
    </row>
    <row r="294" spans="2:58" ht="16" thickBot="1" x14ac:dyDescent="0.25">
      <c r="B294" s="479"/>
      <c r="C294" s="657"/>
      <c r="D294" s="657"/>
      <c r="E294" s="285"/>
      <c r="F294" s="302"/>
      <c r="G294" s="550"/>
      <c r="H294" s="310"/>
      <c r="I294" s="309"/>
      <c r="J294" s="310"/>
      <c r="K294" s="309"/>
      <c r="L294" s="310"/>
      <c r="M294" s="309"/>
      <c r="N294" s="310"/>
      <c r="O294" s="271"/>
      <c r="P294" s="271"/>
      <c r="Q294" s="309"/>
      <c r="R294" s="310"/>
      <c r="S294" s="309"/>
      <c r="T294" s="310"/>
      <c r="U294" s="309"/>
      <c r="V294" s="310"/>
      <c r="W294" s="309"/>
      <c r="X294" s="310"/>
      <c r="Y294" s="309"/>
      <c r="Z294" s="310"/>
      <c r="AA294" s="309"/>
      <c r="AB294" s="310"/>
      <c r="AC294" s="271"/>
      <c r="AD294" s="271"/>
      <c r="AE294" s="309"/>
      <c r="AF294" s="310"/>
      <c r="AG294" s="309"/>
      <c r="AH294" s="310"/>
      <c r="AI294" s="309"/>
      <c r="AJ294" s="310"/>
      <c r="AK294" s="309"/>
      <c r="AL294" s="310"/>
      <c r="AM294" s="309"/>
      <c r="AN294" s="310"/>
      <c r="AO294" s="309"/>
      <c r="AP294" s="310"/>
      <c r="AQ294" s="309"/>
      <c r="AR294" s="310"/>
      <c r="AS294" s="309"/>
      <c r="AT294" s="310"/>
      <c r="AU294" s="309"/>
      <c r="AV294" s="310"/>
      <c r="AW294" s="309"/>
      <c r="AX294" s="310"/>
      <c r="AY294" s="309"/>
      <c r="AZ294" s="310"/>
      <c r="BA294" s="271"/>
      <c r="BB294" s="271"/>
      <c r="BC294" s="271"/>
      <c r="BD294" s="271"/>
      <c r="BE294" s="271"/>
      <c r="BF294" s="271"/>
    </row>
    <row r="295" spans="2:58" ht="16" thickBot="1" x14ac:dyDescent="0.25">
      <c r="B295" s="479"/>
      <c r="C295" s="657"/>
      <c r="D295" s="657"/>
      <c r="E295" s="285"/>
      <c r="F295" s="302"/>
      <c r="G295" s="550"/>
      <c r="H295" s="310"/>
      <c r="I295" s="309"/>
      <c r="J295" s="310"/>
      <c r="K295" s="309"/>
      <c r="L295" s="310"/>
      <c r="M295" s="309"/>
      <c r="N295" s="310"/>
      <c r="O295" s="271"/>
      <c r="P295" s="271"/>
      <c r="Q295" s="309"/>
      <c r="R295" s="310"/>
      <c r="S295" s="309"/>
      <c r="T295" s="310"/>
      <c r="U295" s="309"/>
      <c r="V295" s="310"/>
      <c r="W295" s="309"/>
      <c r="X295" s="310"/>
      <c r="Y295" s="309"/>
      <c r="Z295" s="310"/>
      <c r="AA295" s="309"/>
      <c r="AB295" s="310"/>
      <c r="AC295" s="271"/>
      <c r="AD295" s="271"/>
      <c r="AE295" s="309"/>
      <c r="AF295" s="310"/>
      <c r="AG295" s="309"/>
      <c r="AH295" s="310"/>
      <c r="AI295" s="309"/>
      <c r="AJ295" s="310"/>
      <c r="AK295" s="309"/>
      <c r="AL295" s="310"/>
      <c r="AM295" s="309"/>
      <c r="AN295" s="310"/>
      <c r="AO295" s="309"/>
      <c r="AP295" s="310"/>
      <c r="AQ295" s="309"/>
      <c r="AR295" s="310"/>
      <c r="AS295" s="309"/>
      <c r="AT295" s="310"/>
      <c r="AU295" s="309"/>
      <c r="AV295" s="310"/>
      <c r="AW295" s="309"/>
      <c r="AX295" s="310"/>
      <c r="AY295" s="309"/>
      <c r="AZ295" s="310"/>
      <c r="BA295" s="271"/>
      <c r="BB295" s="271"/>
      <c r="BC295" s="271"/>
      <c r="BD295" s="271"/>
      <c r="BE295" s="271"/>
      <c r="BF295" s="271"/>
    </row>
    <row r="296" spans="2:58" ht="16" thickBot="1" x14ac:dyDescent="0.25">
      <c r="B296" s="479"/>
      <c r="C296" s="657"/>
      <c r="D296" s="657"/>
      <c r="E296" s="285"/>
      <c r="F296" s="302"/>
      <c r="G296" s="550"/>
      <c r="H296" s="310"/>
      <c r="I296" s="309"/>
      <c r="J296" s="310"/>
      <c r="K296" s="309"/>
      <c r="L296" s="310"/>
      <c r="M296" s="309"/>
      <c r="N296" s="310"/>
      <c r="O296" s="271"/>
      <c r="P296" s="271"/>
      <c r="Q296" s="309"/>
      <c r="R296" s="310"/>
      <c r="S296" s="309"/>
      <c r="T296" s="310"/>
      <c r="U296" s="309"/>
      <c r="V296" s="310"/>
      <c r="W296" s="309"/>
      <c r="X296" s="310"/>
      <c r="Y296" s="309"/>
      <c r="Z296" s="310"/>
      <c r="AA296" s="309"/>
      <c r="AB296" s="310"/>
      <c r="AC296" s="271"/>
      <c r="AD296" s="271"/>
      <c r="AE296" s="309"/>
      <c r="AF296" s="310"/>
      <c r="AG296" s="309"/>
      <c r="AH296" s="310"/>
      <c r="AI296" s="309"/>
      <c r="AJ296" s="310"/>
      <c r="AK296" s="309"/>
      <c r="AL296" s="310"/>
      <c r="AM296" s="309"/>
      <c r="AN296" s="310"/>
      <c r="AO296" s="309"/>
      <c r="AP296" s="310"/>
      <c r="AQ296" s="309"/>
      <c r="AR296" s="310"/>
      <c r="AS296" s="309"/>
      <c r="AT296" s="310"/>
      <c r="AU296" s="309"/>
      <c r="AV296" s="310"/>
      <c r="AW296" s="309"/>
      <c r="AX296" s="310"/>
      <c r="AY296" s="309"/>
      <c r="AZ296" s="310"/>
      <c r="BA296" s="271"/>
      <c r="BB296" s="271"/>
      <c r="BC296" s="271"/>
      <c r="BD296" s="271"/>
      <c r="BE296" s="271"/>
      <c r="BF296" s="271"/>
    </row>
    <row r="297" spans="2:58" ht="16" thickBot="1" x14ac:dyDescent="0.25">
      <c r="B297" s="479"/>
      <c r="C297" s="657"/>
      <c r="D297" s="657"/>
      <c r="E297" s="285"/>
      <c r="F297" s="302"/>
      <c r="G297" s="550"/>
      <c r="H297" s="310"/>
      <c r="I297" s="309"/>
      <c r="J297" s="310"/>
      <c r="K297" s="309"/>
      <c r="L297" s="310"/>
      <c r="M297" s="309"/>
      <c r="N297" s="310"/>
      <c r="O297" s="271"/>
      <c r="P297" s="271"/>
      <c r="Q297" s="309"/>
      <c r="R297" s="310"/>
      <c r="S297" s="309"/>
      <c r="T297" s="310"/>
      <c r="U297" s="309"/>
      <c r="V297" s="310"/>
      <c r="W297" s="309"/>
      <c r="X297" s="310"/>
      <c r="Y297" s="309"/>
      <c r="Z297" s="310"/>
      <c r="AA297" s="309"/>
      <c r="AB297" s="310"/>
      <c r="AC297" s="271"/>
      <c r="AD297" s="271"/>
      <c r="AE297" s="309"/>
      <c r="AF297" s="310"/>
      <c r="AG297" s="309"/>
      <c r="AH297" s="310"/>
      <c r="AI297" s="309"/>
      <c r="AJ297" s="310"/>
      <c r="AK297" s="309"/>
      <c r="AL297" s="310"/>
      <c r="AM297" s="309"/>
      <c r="AN297" s="310"/>
      <c r="AO297" s="309"/>
      <c r="AP297" s="310"/>
      <c r="AQ297" s="309"/>
      <c r="AR297" s="310"/>
      <c r="AS297" s="309"/>
      <c r="AT297" s="310"/>
      <c r="AU297" s="309"/>
      <c r="AV297" s="310"/>
      <c r="AW297" s="309"/>
      <c r="AX297" s="310"/>
      <c r="AY297" s="309"/>
      <c r="AZ297" s="310"/>
      <c r="BA297" s="271"/>
      <c r="BB297" s="271"/>
      <c r="BC297" s="271"/>
      <c r="BD297" s="271"/>
      <c r="BE297" s="271"/>
      <c r="BF297" s="271"/>
    </row>
    <row r="298" spans="2:58" ht="16" thickBot="1" x14ac:dyDescent="0.25">
      <c r="B298" s="549" t="s">
        <v>26</v>
      </c>
      <c r="C298" s="554"/>
      <c r="D298" s="291"/>
      <c r="E298" s="290"/>
      <c r="F298" s="293"/>
      <c r="G298" s="550"/>
      <c r="H298" s="310"/>
      <c r="I298" s="309"/>
      <c r="J298" s="310"/>
      <c r="K298" s="309"/>
      <c r="L298" s="310"/>
      <c r="M298" s="309"/>
      <c r="N298" s="310"/>
      <c r="O298" s="271"/>
      <c r="P298" s="271"/>
      <c r="Q298" s="309"/>
      <c r="R298" s="310"/>
      <c r="S298" s="309"/>
      <c r="T298" s="310"/>
      <c r="U298" s="309"/>
      <c r="V298" s="310"/>
      <c r="W298" s="309"/>
      <c r="X298" s="310"/>
      <c r="Y298" s="309"/>
      <c r="Z298" s="310"/>
      <c r="AA298" s="309"/>
      <c r="AB298" s="310"/>
      <c r="AC298" s="271"/>
      <c r="AD298" s="271"/>
      <c r="AE298" s="309"/>
      <c r="AF298" s="310"/>
      <c r="AG298" s="309"/>
      <c r="AH298" s="310"/>
      <c r="AI298" s="309"/>
      <c r="AJ298" s="310"/>
      <c r="AK298" s="309"/>
      <c r="AL298" s="310"/>
      <c r="AM298" s="309"/>
      <c r="AN298" s="310"/>
      <c r="AO298" s="309"/>
      <c r="AP298" s="310"/>
      <c r="AQ298" s="309"/>
      <c r="AR298" s="310"/>
      <c r="AS298" s="309"/>
      <c r="AT298" s="310"/>
      <c r="AU298" s="309"/>
      <c r="AV298" s="310"/>
      <c r="AW298" s="309"/>
      <c r="AX298" s="310"/>
      <c r="AY298" s="309"/>
      <c r="AZ298" s="310"/>
      <c r="BA298" s="271"/>
      <c r="BB298" s="271"/>
      <c r="BC298" s="271"/>
      <c r="BD298" s="271"/>
      <c r="BE298" s="271"/>
      <c r="BF298" s="271"/>
    </row>
    <row r="299" spans="2:58" ht="16" thickBot="1" x14ac:dyDescent="0.25">
      <c r="B299" s="292"/>
      <c r="C299" s="551">
        <f>SUM(C292:C298)</f>
        <v>0</v>
      </c>
      <c r="D299" s="551"/>
      <c r="E299" s="552"/>
      <c r="F299" s="553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  <c r="AA299" s="271"/>
      <c r="AB299" s="271"/>
      <c r="AC299" s="271"/>
      <c r="AD299" s="271"/>
      <c r="AE299" s="309"/>
      <c r="AF299" s="310"/>
      <c r="AG299" s="309"/>
      <c r="AH299" s="310"/>
      <c r="AI299" s="309"/>
      <c r="AJ299" s="310"/>
      <c r="AK299" s="309"/>
      <c r="AL299" s="310"/>
      <c r="AM299" s="309"/>
      <c r="AN299" s="310"/>
      <c r="AO299" s="309"/>
      <c r="AP299" s="310"/>
      <c r="AQ299" s="309"/>
      <c r="AR299" s="310"/>
      <c r="AS299" s="309"/>
      <c r="AT299" s="310"/>
      <c r="AU299" s="309"/>
      <c r="AV299" s="310"/>
      <c r="AW299" s="309"/>
      <c r="AX299" s="310"/>
      <c r="AY299" s="309"/>
      <c r="AZ299" s="310"/>
      <c r="BA299" s="271"/>
      <c r="BB299" s="271"/>
      <c r="BC299" s="271"/>
      <c r="BD299" s="271"/>
      <c r="BE299" s="271"/>
      <c r="BF299" s="271"/>
    </row>
    <row r="300" spans="2:58" ht="16" thickBot="1" x14ac:dyDescent="0.25">
      <c r="B300" s="761" t="s">
        <v>329</v>
      </c>
      <c r="C300" s="311"/>
      <c r="D300" s="312"/>
      <c r="E300" s="285"/>
      <c r="F300" s="302"/>
      <c r="G300" s="306">
        <f t="shared" ref="G300:AD300" si="8">SUM(G255:G298)</f>
        <v>27</v>
      </c>
      <c r="H300" s="307">
        <f t="shared" si="8"/>
        <v>3698.7300000000005</v>
      </c>
      <c r="I300" s="306">
        <f t="shared" si="8"/>
        <v>10</v>
      </c>
      <c r="J300" s="307">
        <f t="shared" si="8"/>
        <v>1541.9</v>
      </c>
      <c r="K300" s="306">
        <f t="shared" si="8"/>
        <v>24</v>
      </c>
      <c r="L300" s="307">
        <f t="shared" si="8"/>
        <v>4367.76</v>
      </c>
      <c r="M300" s="306">
        <f t="shared" si="8"/>
        <v>34</v>
      </c>
      <c r="N300" s="307">
        <f t="shared" si="8"/>
        <v>5307.7800000000007</v>
      </c>
      <c r="O300" s="308">
        <f t="shared" si="8"/>
        <v>10</v>
      </c>
      <c r="P300" s="308">
        <f t="shared" si="8"/>
        <v>6000</v>
      </c>
      <c r="Q300" s="306">
        <f t="shared" si="8"/>
        <v>2</v>
      </c>
      <c r="R300" s="307">
        <f t="shared" si="8"/>
        <v>269.98</v>
      </c>
      <c r="S300" s="306">
        <f t="shared" si="8"/>
        <v>0</v>
      </c>
      <c r="T300" s="307">
        <f t="shared" si="8"/>
        <v>0</v>
      </c>
      <c r="U300" s="306">
        <f t="shared" si="8"/>
        <v>18</v>
      </c>
      <c r="V300" s="307">
        <f t="shared" si="8"/>
        <v>9522</v>
      </c>
      <c r="W300" s="306">
        <f t="shared" si="8"/>
        <v>16</v>
      </c>
      <c r="X300" s="307">
        <f t="shared" si="8"/>
        <v>687.83999999999992</v>
      </c>
      <c r="Y300" s="306">
        <f t="shared" si="8"/>
        <v>0</v>
      </c>
      <c r="Z300" s="307">
        <f t="shared" si="8"/>
        <v>0</v>
      </c>
      <c r="AA300" s="306">
        <f t="shared" si="8"/>
        <v>0</v>
      </c>
      <c r="AB300" s="307">
        <f t="shared" si="8"/>
        <v>0</v>
      </c>
      <c r="AC300" s="308">
        <f t="shared" si="8"/>
        <v>19</v>
      </c>
      <c r="AD300" s="308">
        <f t="shared" si="8"/>
        <v>1880.81</v>
      </c>
      <c r="AE300" s="306">
        <f t="shared" ref="AE300:BF300" si="9">SUM(AE255:AE299)</f>
        <v>20</v>
      </c>
      <c r="AF300" s="307">
        <f t="shared" si="9"/>
        <v>729.8</v>
      </c>
      <c r="AG300" s="306">
        <f t="shared" si="9"/>
        <v>0</v>
      </c>
      <c r="AH300" s="307">
        <f t="shared" si="9"/>
        <v>0</v>
      </c>
      <c r="AI300" s="306">
        <f t="shared" si="9"/>
        <v>0</v>
      </c>
      <c r="AJ300" s="307">
        <f t="shared" si="9"/>
        <v>0</v>
      </c>
      <c r="AK300" s="306">
        <f t="shared" si="9"/>
        <v>0</v>
      </c>
      <c r="AL300" s="307">
        <f t="shared" si="9"/>
        <v>0</v>
      </c>
      <c r="AM300" s="306">
        <f t="shared" si="9"/>
        <v>1</v>
      </c>
      <c r="AN300" s="307">
        <f t="shared" si="9"/>
        <v>49.99</v>
      </c>
      <c r="AO300" s="306">
        <f t="shared" si="9"/>
        <v>0</v>
      </c>
      <c r="AP300" s="307">
        <f t="shared" si="9"/>
        <v>0</v>
      </c>
      <c r="AQ300" s="306">
        <f t="shared" si="9"/>
        <v>0</v>
      </c>
      <c r="AR300" s="307">
        <f t="shared" si="9"/>
        <v>0</v>
      </c>
      <c r="AS300" s="306">
        <f t="shared" si="9"/>
        <v>0</v>
      </c>
      <c r="AT300" s="307">
        <f t="shared" si="9"/>
        <v>0</v>
      </c>
      <c r="AU300" s="306">
        <f t="shared" si="9"/>
        <v>2</v>
      </c>
      <c r="AV300" s="307">
        <f t="shared" si="9"/>
        <v>824.32999999999993</v>
      </c>
      <c r="AW300" s="306">
        <f t="shared" si="9"/>
        <v>15</v>
      </c>
      <c r="AX300" s="307">
        <f t="shared" si="9"/>
        <v>3578.77</v>
      </c>
      <c r="AY300" s="306">
        <f t="shared" si="9"/>
        <v>15</v>
      </c>
      <c r="AZ300" s="307">
        <f t="shared" si="9"/>
        <v>3578.77</v>
      </c>
      <c r="BA300" s="306">
        <f t="shared" si="9"/>
        <v>3</v>
      </c>
      <c r="BB300" s="307">
        <f t="shared" si="9"/>
        <v>81.97</v>
      </c>
      <c r="BC300" s="306">
        <f t="shared" si="9"/>
        <v>0</v>
      </c>
      <c r="BD300" s="307">
        <f t="shared" si="9"/>
        <v>0</v>
      </c>
      <c r="BE300" s="306">
        <f t="shared" si="9"/>
        <v>2</v>
      </c>
      <c r="BF300" s="307">
        <f t="shared" si="9"/>
        <v>151.97999999999999</v>
      </c>
    </row>
    <row r="301" spans="2:58" ht="16" thickBot="1" x14ac:dyDescent="0.25">
      <c r="B301" s="762"/>
      <c r="C301" s="160">
        <f>SUM(C299,C291,C282,C275,C266,C263,C255)</f>
        <v>66882.390000000014</v>
      </c>
      <c r="D301" s="160"/>
      <c r="E301" s="304"/>
      <c r="F301" s="294"/>
      <c r="G301" s="752" t="s">
        <v>29</v>
      </c>
      <c r="H301" s="752"/>
      <c r="I301" s="752" t="s">
        <v>30</v>
      </c>
      <c r="J301" s="752"/>
      <c r="K301" s="752" t="s">
        <v>31</v>
      </c>
      <c r="L301" s="752"/>
      <c r="M301" s="752" t="s">
        <v>32</v>
      </c>
      <c r="N301" s="752"/>
      <c r="O301" s="752" t="s">
        <v>33</v>
      </c>
      <c r="P301" s="752"/>
      <c r="Q301" s="752" t="s">
        <v>247</v>
      </c>
      <c r="R301" s="752"/>
      <c r="S301" s="752" t="s">
        <v>34</v>
      </c>
      <c r="T301" s="752"/>
      <c r="U301" s="752" t="s">
        <v>35</v>
      </c>
      <c r="V301" s="752"/>
      <c r="W301" s="752" t="s">
        <v>36</v>
      </c>
      <c r="X301" s="752"/>
      <c r="Y301" s="752" t="s">
        <v>37</v>
      </c>
      <c r="Z301" s="752"/>
      <c r="AA301" s="752" t="s">
        <v>38</v>
      </c>
      <c r="AB301" s="752"/>
      <c r="AC301" s="752" t="s">
        <v>39</v>
      </c>
      <c r="AD301" s="752"/>
      <c r="AE301" s="752" t="s">
        <v>40</v>
      </c>
      <c r="AF301" s="752"/>
      <c r="AG301" s="752" t="s">
        <v>41</v>
      </c>
      <c r="AH301" s="752"/>
      <c r="AI301" s="752" t="s">
        <v>42</v>
      </c>
      <c r="AJ301" s="752"/>
      <c r="AK301" s="752" t="s">
        <v>43</v>
      </c>
      <c r="AL301" s="752"/>
      <c r="AM301" s="752" t="s">
        <v>157</v>
      </c>
      <c r="AN301" s="752"/>
      <c r="AO301" s="752" t="s">
        <v>248</v>
      </c>
      <c r="AP301" s="752"/>
      <c r="AQ301" s="752" t="s">
        <v>249</v>
      </c>
      <c r="AR301" s="752"/>
      <c r="AS301" s="752" t="s">
        <v>150</v>
      </c>
      <c r="AT301" s="752"/>
      <c r="AU301" s="752" t="s">
        <v>151</v>
      </c>
      <c r="AV301" s="752"/>
      <c r="AW301" s="752" t="s">
        <v>44</v>
      </c>
      <c r="AX301" s="752"/>
      <c r="AY301" s="752" t="s">
        <v>250</v>
      </c>
      <c r="AZ301" s="752"/>
      <c r="BA301" s="752" t="s">
        <v>45</v>
      </c>
      <c r="BB301" s="752"/>
      <c r="BC301" s="752" t="s">
        <v>46</v>
      </c>
      <c r="BD301" s="752"/>
      <c r="BE301" s="752" t="s">
        <v>92</v>
      </c>
      <c r="BF301" s="752"/>
    </row>
    <row r="302" spans="2:58" ht="16" thickBot="1" x14ac:dyDescent="0.25">
      <c r="B302" s="282"/>
      <c r="C302" s="285"/>
      <c r="D302" s="275"/>
      <c r="E302" s="284"/>
      <c r="F302" s="293"/>
      <c r="G302" s="752" t="s">
        <v>50</v>
      </c>
      <c r="H302" s="752"/>
      <c r="I302" s="752" t="s">
        <v>51</v>
      </c>
      <c r="J302" s="752"/>
      <c r="K302" s="752" t="s">
        <v>51</v>
      </c>
      <c r="L302" s="752"/>
      <c r="M302" s="752" t="s">
        <v>52</v>
      </c>
      <c r="N302" s="752"/>
      <c r="O302" s="752">
        <v>180</v>
      </c>
      <c r="P302" s="752"/>
      <c r="Q302" s="752" t="s">
        <v>53</v>
      </c>
      <c r="R302" s="752"/>
      <c r="S302" s="752" t="s">
        <v>54</v>
      </c>
      <c r="T302" s="752"/>
      <c r="U302" s="752" t="s">
        <v>54</v>
      </c>
      <c r="V302" s="752"/>
      <c r="W302" s="752" t="s">
        <v>55</v>
      </c>
      <c r="X302" s="752"/>
      <c r="Y302" s="752" t="s">
        <v>54</v>
      </c>
      <c r="Z302" s="752"/>
      <c r="AA302" s="752" t="s">
        <v>54</v>
      </c>
      <c r="AB302" s="752"/>
      <c r="AC302" s="752" t="s">
        <v>56</v>
      </c>
      <c r="AD302" s="752"/>
      <c r="AE302" s="752" t="s">
        <v>57</v>
      </c>
      <c r="AF302" s="752"/>
      <c r="AG302" s="752" t="s">
        <v>57</v>
      </c>
      <c r="AH302" s="752"/>
      <c r="AI302" s="752" t="s">
        <v>58</v>
      </c>
      <c r="AJ302" s="752"/>
      <c r="AK302" s="752" t="s">
        <v>300</v>
      </c>
      <c r="AL302" s="752"/>
      <c r="AM302" s="752" t="s">
        <v>301</v>
      </c>
      <c r="AN302" s="752"/>
      <c r="AO302" s="752">
        <v>20</v>
      </c>
      <c r="AP302" s="752"/>
      <c r="AQ302" s="752">
        <v>20</v>
      </c>
      <c r="AR302" s="752"/>
      <c r="AS302" s="752" t="s">
        <v>57</v>
      </c>
      <c r="AT302" s="752"/>
      <c r="AU302" s="752" t="s">
        <v>302</v>
      </c>
      <c r="AV302" s="752"/>
      <c r="AW302" s="752">
        <v>100</v>
      </c>
      <c r="AX302" s="752"/>
      <c r="AY302" s="752">
        <v>100</v>
      </c>
      <c r="AZ302" s="752"/>
      <c r="BA302" s="752" t="s">
        <v>59</v>
      </c>
      <c r="BB302" s="752"/>
      <c r="BC302" s="752" t="s">
        <v>51</v>
      </c>
      <c r="BD302" s="752"/>
      <c r="BE302" s="752" t="s">
        <v>53</v>
      </c>
      <c r="BF302" s="752"/>
    </row>
    <row r="303" spans="2:58" ht="16" thickBot="1" x14ac:dyDescent="0.25">
      <c r="B303" s="162"/>
      <c r="C303" s="286"/>
      <c r="D303" s="273"/>
      <c r="E303" s="280"/>
      <c r="F303" s="305"/>
      <c r="G303" s="752">
        <v>151</v>
      </c>
      <c r="H303" s="752"/>
      <c r="I303" s="752">
        <v>167.99</v>
      </c>
      <c r="J303" s="752"/>
      <c r="K303" s="752">
        <v>144.99</v>
      </c>
      <c r="L303" s="752"/>
      <c r="M303" s="760">
        <v>169.99</v>
      </c>
      <c r="N303" s="760"/>
      <c r="O303" s="760">
        <v>274.99</v>
      </c>
      <c r="P303" s="760"/>
      <c r="Q303" s="760">
        <v>102.99</v>
      </c>
      <c r="R303" s="760"/>
      <c r="S303" s="752">
        <v>910.5</v>
      </c>
      <c r="T303" s="752"/>
      <c r="U303" s="752">
        <v>460.75</v>
      </c>
      <c r="V303" s="752"/>
      <c r="W303" s="752">
        <v>1048.95</v>
      </c>
      <c r="X303" s="752"/>
      <c r="Y303" s="752">
        <v>772.8</v>
      </c>
      <c r="Z303" s="752"/>
      <c r="AA303" s="752">
        <v>3450</v>
      </c>
      <c r="AB303" s="752"/>
      <c r="AC303" s="760">
        <v>89.99</v>
      </c>
      <c r="AD303" s="760"/>
      <c r="AE303" s="752">
        <v>39.99</v>
      </c>
      <c r="AF303" s="752"/>
      <c r="AG303" s="752">
        <v>498</v>
      </c>
      <c r="AH303" s="752"/>
      <c r="AI303" s="752">
        <v>4.99</v>
      </c>
      <c r="AJ303" s="752"/>
      <c r="AK303" s="752">
        <v>132.25</v>
      </c>
      <c r="AL303" s="752"/>
      <c r="AM303" s="752">
        <v>47.99</v>
      </c>
      <c r="AN303" s="752"/>
      <c r="AO303" s="752">
        <v>560</v>
      </c>
      <c r="AP303" s="752"/>
      <c r="AQ303" s="752">
        <v>560</v>
      </c>
      <c r="AR303" s="752"/>
      <c r="AS303" s="752">
        <v>613.5</v>
      </c>
      <c r="AT303" s="752"/>
      <c r="AU303" s="752">
        <v>313.89999999999998</v>
      </c>
      <c r="AV303" s="752"/>
      <c r="AW303" s="752">
        <v>405.8</v>
      </c>
      <c r="AX303" s="752"/>
      <c r="AY303" s="752">
        <v>218.99</v>
      </c>
      <c r="AZ303" s="752"/>
      <c r="BA303" s="752">
        <v>24.99</v>
      </c>
      <c r="BB303" s="752"/>
      <c r="BC303" s="752">
        <v>1425</v>
      </c>
      <c r="BD303" s="752"/>
      <c r="BE303" s="752">
        <v>54.99</v>
      </c>
      <c r="BF303" s="752"/>
    </row>
    <row r="304" spans="2:58" ht="16" thickBot="1" x14ac:dyDescent="0.25">
      <c r="B304" s="162"/>
      <c r="C304" s="753" t="str">
        <f>L304</f>
        <v>27 JANUARY - 2 FEBRUARY 2025</v>
      </c>
      <c r="D304" s="754"/>
      <c r="E304" s="754"/>
      <c r="F304" s="754"/>
      <c r="G304" s="755"/>
      <c r="H304" s="756"/>
      <c r="I304" s="163"/>
      <c r="J304" s="157"/>
      <c r="K304" s="157"/>
      <c r="L304" s="757" t="str">
        <f>AL304</f>
        <v>27 JANUARY - 2 FEBRUARY 2025</v>
      </c>
      <c r="M304" s="755"/>
      <c r="N304" s="755"/>
      <c r="O304" s="755"/>
      <c r="P304" s="755"/>
      <c r="Q304" s="755"/>
      <c r="R304" s="755"/>
      <c r="S304" s="755"/>
      <c r="T304" s="756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758"/>
      <c r="AH304" s="758"/>
      <c r="AI304" s="164"/>
      <c r="AJ304" s="157"/>
      <c r="AK304" s="157"/>
      <c r="AL304" s="759" t="str">
        <f>AW304</f>
        <v>27 JANUARY - 2 FEBRUARY 2025</v>
      </c>
      <c r="AM304" s="759"/>
      <c r="AN304" s="759"/>
      <c r="AO304" s="759"/>
      <c r="AP304" s="157"/>
      <c r="AQ304" s="157"/>
      <c r="AR304" s="157"/>
      <c r="AS304" s="157"/>
      <c r="AT304" s="157"/>
      <c r="AU304" s="157"/>
      <c r="AV304" s="157"/>
      <c r="AW304" s="757" t="str">
        <f>AW246</f>
        <v>27 JANUARY - 2 FEBRUARY 2025</v>
      </c>
      <c r="AX304" s="755" t="s">
        <v>28</v>
      </c>
      <c r="AY304" s="755"/>
      <c r="AZ304" s="755"/>
      <c r="BA304" s="755"/>
      <c r="BB304" s="755"/>
      <c r="BC304" s="755"/>
      <c r="BD304" s="756"/>
      <c r="BE304" s="157"/>
      <c r="BF304" s="157"/>
    </row>
    <row r="305" spans="2:58" ht="16" thickBot="1" x14ac:dyDescent="0.25"/>
    <row r="306" spans="2:58" ht="16" thickBot="1" x14ac:dyDescent="0.25">
      <c r="B306" s="156" t="s">
        <v>27</v>
      </c>
      <c r="C306" s="753" t="s">
        <v>662</v>
      </c>
      <c r="D306" s="754"/>
      <c r="E306" s="754"/>
      <c r="F306" s="754"/>
      <c r="G306" s="763"/>
      <c r="H306" s="764"/>
      <c r="I306" s="163"/>
      <c r="J306" s="157"/>
      <c r="K306" s="157"/>
      <c r="L306" s="765" t="str">
        <f>C306</f>
        <v>3 - 9 FEBRUARY 2025</v>
      </c>
      <c r="M306" s="763"/>
      <c r="N306" s="763"/>
      <c r="O306" s="763"/>
      <c r="P306" s="763"/>
      <c r="Q306" s="763"/>
      <c r="R306" s="763"/>
      <c r="S306" s="763"/>
      <c r="T306" s="764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766"/>
      <c r="AH306" s="766"/>
      <c r="AI306" s="753" t="str">
        <f>L306</f>
        <v>3 - 9 FEBRUARY 2025</v>
      </c>
      <c r="AJ306" s="754"/>
      <c r="AK306" s="754"/>
      <c r="AL306" s="754"/>
      <c r="AM306" s="754"/>
      <c r="AN306" s="754"/>
      <c r="AO306" s="767"/>
      <c r="AP306" s="157"/>
      <c r="AQ306" s="157"/>
      <c r="AR306" s="157"/>
      <c r="AS306" s="157"/>
      <c r="AT306" s="157"/>
      <c r="AU306" s="157"/>
      <c r="AV306" s="157"/>
      <c r="AW306" s="765" t="str">
        <f>AI306</f>
        <v>3 - 9 FEBRUARY 2025</v>
      </c>
      <c r="AX306" s="763" t="s">
        <v>28</v>
      </c>
      <c r="AY306" s="763"/>
      <c r="AZ306" s="763"/>
      <c r="BA306" s="763"/>
      <c r="BB306" s="763"/>
      <c r="BC306" s="763"/>
      <c r="BD306" s="764"/>
      <c r="BE306" s="157"/>
      <c r="BF306" s="157"/>
    </row>
    <row r="307" spans="2:58" ht="16" thickBot="1" x14ac:dyDescent="0.25">
      <c r="B307" s="158"/>
      <c r="C307" s="161"/>
      <c r="D307" s="161"/>
      <c r="E307" s="157"/>
      <c r="F307" s="157"/>
      <c r="G307" s="752" t="s">
        <v>29</v>
      </c>
      <c r="H307" s="752"/>
      <c r="I307" s="752" t="s">
        <v>30</v>
      </c>
      <c r="J307" s="752"/>
      <c r="K307" s="752" t="s">
        <v>31</v>
      </c>
      <c r="L307" s="752"/>
      <c r="M307" s="752" t="s">
        <v>32</v>
      </c>
      <c r="N307" s="752"/>
      <c r="O307" s="752" t="s">
        <v>33</v>
      </c>
      <c r="P307" s="752"/>
      <c r="Q307" s="752" t="s">
        <v>247</v>
      </c>
      <c r="R307" s="752"/>
      <c r="S307" s="752" t="s">
        <v>34</v>
      </c>
      <c r="T307" s="752"/>
      <c r="U307" s="752" t="s">
        <v>35</v>
      </c>
      <c r="V307" s="752"/>
      <c r="W307" s="752" t="s">
        <v>36</v>
      </c>
      <c r="X307" s="752"/>
      <c r="Y307" s="752" t="s">
        <v>37</v>
      </c>
      <c r="Z307" s="752"/>
      <c r="AA307" s="752" t="s">
        <v>38</v>
      </c>
      <c r="AB307" s="752"/>
      <c r="AC307" s="752" t="s">
        <v>39</v>
      </c>
      <c r="AD307" s="752"/>
      <c r="AE307" s="752" t="s">
        <v>40</v>
      </c>
      <c r="AF307" s="752"/>
      <c r="AG307" s="752" t="s">
        <v>41</v>
      </c>
      <c r="AH307" s="752"/>
      <c r="AI307" s="752" t="s">
        <v>42</v>
      </c>
      <c r="AJ307" s="752"/>
      <c r="AK307" s="752" t="s">
        <v>43</v>
      </c>
      <c r="AL307" s="752"/>
      <c r="AM307" s="752" t="s">
        <v>157</v>
      </c>
      <c r="AN307" s="752"/>
      <c r="AO307" s="752" t="s">
        <v>248</v>
      </c>
      <c r="AP307" s="752"/>
      <c r="AQ307" s="752" t="s">
        <v>249</v>
      </c>
      <c r="AR307" s="752"/>
      <c r="AS307" s="752" t="s">
        <v>150</v>
      </c>
      <c r="AT307" s="752"/>
      <c r="AU307" s="752" t="s">
        <v>151</v>
      </c>
      <c r="AV307" s="752"/>
      <c r="AW307" s="752" t="s">
        <v>44</v>
      </c>
      <c r="AX307" s="752"/>
      <c r="AY307" s="752" t="s">
        <v>250</v>
      </c>
      <c r="AZ307" s="752"/>
      <c r="BA307" s="752" t="s">
        <v>45</v>
      </c>
      <c r="BB307" s="752"/>
      <c r="BC307" s="752" t="s">
        <v>46</v>
      </c>
      <c r="BD307" s="752"/>
      <c r="BE307" s="752" t="s">
        <v>92</v>
      </c>
      <c r="BF307" s="752"/>
    </row>
    <row r="308" spans="2:58" ht="16" thickBot="1" x14ac:dyDescent="0.25">
      <c r="B308" s="156" t="s">
        <v>47</v>
      </c>
      <c r="C308" s="156" t="s">
        <v>48</v>
      </c>
      <c r="D308" s="283"/>
      <c r="E308" s="271"/>
      <c r="F308" s="271" t="s">
        <v>49</v>
      </c>
      <c r="G308" s="752" t="s">
        <v>50</v>
      </c>
      <c r="H308" s="752"/>
      <c r="I308" s="752" t="s">
        <v>51</v>
      </c>
      <c r="J308" s="752"/>
      <c r="K308" s="752" t="s">
        <v>51</v>
      </c>
      <c r="L308" s="752"/>
      <c r="M308" s="752" t="s">
        <v>52</v>
      </c>
      <c r="N308" s="752"/>
      <c r="O308" s="752">
        <v>180</v>
      </c>
      <c r="P308" s="752"/>
      <c r="Q308" s="752" t="s">
        <v>53</v>
      </c>
      <c r="R308" s="752"/>
      <c r="S308" s="752" t="s">
        <v>54</v>
      </c>
      <c r="T308" s="752"/>
      <c r="U308" s="752" t="s">
        <v>54</v>
      </c>
      <c r="V308" s="752"/>
      <c r="W308" s="752" t="s">
        <v>55</v>
      </c>
      <c r="X308" s="752"/>
      <c r="Y308" s="752" t="s">
        <v>54</v>
      </c>
      <c r="Z308" s="752"/>
      <c r="AA308" s="752" t="s">
        <v>54</v>
      </c>
      <c r="AB308" s="752"/>
      <c r="AC308" s="752" t="s">
        <v>56</v>
      </c>
      <c r="AD308" s="752"/>
      <c r="AE308" s="752" t="s">
        <v>57</v>
      </c>
      <c r="AF308" s="752"/>
      <c r="AG308" s="752" t="s">
        <v>57</v>
      </c>
      <c r="AH308" s="752"/>
      <c r="AI308" s="752" t="s">
        <v>58</v>
      </c>
      <c r="AJ308" s="752"/>
      <c r="AK308" s="752" t="s">
        <v>300</v>
      </c>
      <c r="AL308" s="752"/>
      <c r="AM308" s="752" t="s">
        <v>301</v>
      </c>
      <c r="AN308" s="752"/>
      <c r="AO308" s="752">
        <v>20</v>
      </c>
      <c r="AP308" s="752"/>
      <c r="AQ308" s="752">
        <v>20</v>
      </c>
      <c r="AR308" s="752"/>
      <c r="AS308" s="752" t="s">
        <v>57</v>
      </c>
      <c r="AT308" s="752"/>
      <c r="AU308" s="752" t="s">
        <v>302</v>
      </c>
      <c r="AV308" s="752"/>
      <c r="AW308" s="752">
        <v>100</v>
      </c>
      <c r="AX308" s="752"/>
      <c r="AY308" s="752">
        <v>100</v>
      </c>
      <c r="AZ308" s="752"/>
      <c r="BA308" s="752" t="s">
        <v>59</v>
      </c>
      <c r="BB308" s="752"/>
      <c r="BC308" s="752" t="s">
        <v>51</v>
      </c>
      <c r="BD308" s="752"/>
      <c r="BE308" s="752" t="s">
        <v>53</v>
      </c>
      <c r="BF308" s="752"/>
    </row>
    <row r="309" spans="2:58" ht="16" thickBot="1" x14ac:dyDescent="0.25">
      <c r="B309" s="156"/>
      <c r="C309" s="156" t="s">
        <v>60</v>
      </c>
      <c r="D309" s="283"/>
      <c r="E309" s="271" t="s">
        <v>61</v>
      </c>
      <c r="F309" s="271" t="s">
        <v>62</v>
      </c>
      <c r="G309" s="752">
        <v>151</v>
      </c>
      <c r="H309" s="752"/>
      <c r="I309" s="752">
        <v>167.99</v>
      </c>
      <c r="J309" s="752"/>
      <c r="K309" s="752">
        <v>144.99</v>
      </c>
      <c r="L309" s="752"/>
      <c r="M309" s="760">
        <v>169.99</v>
      </c>
      <c r="N309" s="760"/>
      <c r="O309" s="760">
        <v>274.99</v>
      </c>
      <c r="P309" s="760"/>
      <c r="Q309" s="760">
        <v>135</v>
      </c>
      <c r="R309" s="760"/>
      <c r="S309" s="752">
        <v>910.5</v>
      </c>
      <c r="T309" s="752"/>
      <c r="U309" s="752">
        <v>460.75</v>
      </c>
      <c r="V309" s="752"/>
      <c r="W309" s="752">
        <v>1048.95</v>
      </c>
      <c r="X309" s="752"/>
      <c r="Y309" s="752">
        <v>772.8</v>
      </c>
      <c r="Z309" s="752"/>
      <c r="AA309" s="752">
        <v>3450</v>
      </c>
      <c r="AB309" s="752"/>
      <c r="AC309" s="760">
        <v>99.99</v>
      </c>
      <c r="AD309" s="760"/>
      <c r="AE309" s="752">
        <v>29.99</v>
      </c>
      <c r="AF309" s="752"/>
      <c r="AG309" s="752">
        <v>548</v>
      </c>
      <c r="AH309" s="752"/>
      <c r="AI309" s="752">
        <v>4.99</v>
      </c>
      <c r="AJ309" s="752"/>
      <c r="AK309" s="752">
        <v>132.25</v>
      </c>
      <c r="AL309" s="752"/>
      <c r="AM309" s="752">
        <v>47.99</v>
      </c>
      <c r="AN309" s="752"/>
      <c r="AO309" s="752">
        <v>560</v>
      </c>
      <c r="AP309" s="752"/>
      <c r="AQ309" s="752">
        <v>560</v>
      </c>
      <c r="AR309" s="752"/>
      <c r="AS309" s="752">
        <v>613.5</v>
      </c>
      <c r="AT309" s="752"/>
      <c r="AU309" s="752">
        <v>313.89999999999998</v>
      </c>
      <c r="AV309" s="752"/>
      <c r="AW309" s="752">
        <v>405.8</v>
      </c>
      <c r="AX309" s="752"/>
      <c r="AY309" s="752">
        <v>218.99</v>
      </c>
      <c r="AZ309" s="752"/>
      <c r="BA309" s="752">
        <v>24.99</v>
      </c>
      <c r="BB309" s="752"/>
      <c r="BC309" s="752">
        <v>1425</v>
      </c>
      <c r="BD309" s="752"/>
      <c r="BE309" s="752">
        <v>54.99</v>
      </c>
      <c r="BF309" s="752"/>
    </row>
    <row r="310" spans="2:58" ht="16" thickBot="1" x14ac:dyDescent="0.25">
      <c r="B310" s="272">
        <v>45691</v>
      </c>
      <c r="C310" s="274">
        <v>890</v>
      </c>
      <c r="D310" s="276"/>
      <c r="E310" s="278" t="s">
        <v>663</v>
      </c>
      <c r="F310" s="278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  <c r="AA310" s="271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L310" s="271"/>
      <c r="AM310" s="271"/>
      <c r="AN310" s="271"/>
      <c r="AO310" s="271"/>
      <c r="AP310" s="271"/>
      <c r="AQ310" s="271"/>
      <c r="AR310" s="271"/>
      <c r="AS310" s="271"/>
      <c r="AT310" s="271"/>
      <c r="AU310" s="271"/>
      <c r="AV310" s="271"/>
      <c r="AW310" s="271"/>
      <c r="AX310" s="271"/>
      <c r="AY310" s="271"/>
      <c r="AZ310" s="271"/>
      <c r="BA310" s="271"/>
      <c r="BB310" s="271"/>
      <c r="BC310" s="271"/>
      <c r="BD310" s="271"/>
      <c r="BE310" s="271"/>
      <c r="BF310" s="271"/>
    </row>
    <row r="311" spans="2:58" ht="16" thickBot="1" x14ac:dyDescent="0.25">
      <c r="B311" s="660"/>
      <c r="C311" s="275">
        <v>312</v>
      </c>
      <c r="D311" s="661"/>
      <c r="E311" s="303" t="s">
        <v>537</v>
      </c>
      <c r="F311" s="303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  <c r="AA311" s="271"/>
      <c r="AB311" s="271"/>
      <c r="AC311" s="271"/>
      <c r="AD311" s="271"/>
      <c r="AE311" s="271"/>
      <c r="AF311" s="271"/>
      <c r="AG311" s="271"/>
      <c r="AH311" s="271"/>
      <c r="AI311" s="271"/>
      <c r="AJ311" s="271"/>
      <c r="AK311" s="271"/>
      <c r="AL311" s="271"/>
      <c r="AM311" s="271"/>
      <c r="AN311" s="271"/>
      <c r="AO311" s="271"/>
      <c r="AP311" s="271"/>
      <c r="AQ311" s="271"/>
      <c r="AR311" s="271"/>
      <c r="AS311" s="271"/>
      <c r="AT311" s="271"/>
      <c r="AU311" s="271"/>
      <c r="AV311" s="271"/>
      <c r="AW311" s="271"/>
      <c r="AX311" s="271"/>
      <c r="AY311" s="271"/>
      <c r="AZ311" s="271"/>
      <c r="BA311" s="271"/>
      <c r="BB311" s="271"/>
      <c r="BC311" s="271"/>
      <c r="BD311" s="271"/>
      <c r="BE311" s="271"/>
      <c r="BF311" s="271"/>
    </row>
    <row r="312" spans="2:58" ht="16" thickBot="1" x14ac:dyDescent="0.25">
      <c r="B312" s="660"/>
      <c r="C312" s="275">
        <v>720</v>
      </c>
      <c r="D312" s="661"/>
      <c r="E312" s="303" t="s">
        <v>396</v>
      </c>
      <c r="F312" s="303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  <c r="AA312" s="271"/>
      <c r="AB312" s="271"/>
      <c r="AC312" s="271"/>
      <c r="AD312" s="271"/>
      <c r="AE312" s="271"/>
      <c r="AF312" s="271"/>
      <c r="AG312" s="271"/>
      <c r="AH312" s="271"/>
      <c r="AI312" s="271"/>
      <c r="AJ312" s="271"/>
      <c r="AK312" s="271"/>
      <c r="AL312" s="271"/>
      <c r="AM312" s="271"/>
      <c r="AN312" s="271"/>
      <c r="AO312" s="271"/>
      <c r="AP312" s="271"/>
      <c r="AQ312" s="271"/>
      <c r="AR312" s="271"/>
      <c r="AS312" s="271"/>
      <c r="AT312" s="271"/>
      <c r="AU312" s="271"/>
      <c r="AV312" s="271"/>
      <c r="AW312" s="271"/>
      <c r="AX312" s="271"/>
      <c r="AY312" s="271"/>
      <c r="AZ312" s="271"/>
      <c r="BA312" s="271"/>
      <c r="BB312" s="271"/>
      <c r="BC312" s="271"/>
      <c r="BD312" s="271"/>
      <c r="BE312" s="271"/>
      <c r="BF312" s="271"/>
    </row>
    <row r="313" spans="2:58" ht="16" thickBot="1" x14ac:dyDescent="0.25">
      <c r="B313" s="660"/>
      <c r="C313" s="275">
        <v>1667.37</v>
      </c>
      <c r="D313" s="661"/>
      <c r="E313" s="303" t="s">
        <v>279</v>
      </c>
      <c r="F313" s="303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  <c r="AA313" s="271"/>
      <c r="AB313" s="271"/>
      <c r="AC313" s="271"/>
      <c r="AD313" s="271"/>
      <c r="AE313" s="271"/>
      <c r="AF313" s="271"/>
      <c r="AG313" s="271"/>
      <c r="AH313" s="271"/>
      <c r="AI313" s="271"/>
      <c r="AJ313" s="271"/>
      <c r="AK313" s="271"/>
      <c r="AL313" s="271"/>
      <c r="AM313" s="271"/>
      <c r="AN313" s="271"/>
      <c r="AO313" s="271"/>
      <c r="AP313" s="271"/>
      <c r="AQ313" s="271"/>
      <c r="AR313" s="271"/>
      <c r="AS313" s="271"/>
      <c r="AT313" s="271"/>
      <c r="AU313" s="271"/>
      <c r="AV313" s="271"/>
      <c r="AW313" s="271"/>
      <c r="AX313" s="271"/>
      <c r="AY313" s="271"/>
      <c r="AZ313" s="271"/>
      <c r="BA313" s="271"/>
      <c r="BB313" s="271"/>
      <c r="BC313" s="271"/>
      <c r="BD313" s="271"/>
      <c r="BE313" s="271"/>
      <c r="BF313" s="271"/>
    </row>
    <row r="314" spans="2:58" ht="16" thickBot="1" x14ac:dyDescent="0.25">
      <c r="B314" s="660"/>
      <c r="C314" s="275">
        <v>6436.48</v>
      </c>
      <c r="D314" s="661"/>
      <c r="E314" s="303"/>
      <c r="F314" s="303" t="s">
        <v>9</v>
      </c>
      <c r="G314" s="271">
        <v>10</v>
      </c>
      <c r="H314" s="271">
        <v>1369.9</v>
      </c>
      <c r="I314" s="271">
        <v>2</v>
      </c>
      <c r="J314" s="271">
        <v>409.98</v>
      </c>
      <c r="K314" s="271">
        <v>10</v>
      </c>
      <c r="L314" s="271">
        <v>1819.9</v>
      </c>
      <c r="M314" s="271">
        <v>10</v>
      </c>
      <c r="N314" s="271">
        <v>1569.9</v>
      </c>
      <c r="O314" s="271"/>
      <c r="P314" s="271"/>
      <c r="Q314" s="271"/>
      <c r="R314" s="271"/>
      <c r="S314" s="271"/>
      <c r="T314" s="271"/>
      <c r="U314" s="271"/>
      <c r="V314" s="271"/>
      <c r="W314" s="271">
        <v>6</v>
      </c>
      <c r="X314" s="271">
        <v>257.94</v>
      </c>
      <c r="Y314" s="271"/>
      <c r="Z314" s="271"/>
      <c r="AA314" s="271"/>
      <c r="AB314" s="271"/>
      <c r="AC314" s="271">
        <v>6</v>
      </c>
      <c r="AD314" s="271">
        <v>593.94000000000005</v>
      </c>
      <c r="AE314" s="271"/>
      <c r="AF314" s="271"/>
      <c r="AG314" s="271"/>
      <c r="AH314" s="271"/>
      <c r="AI314" s="271"/>
      <c r="AJ314" s="271"/>
      <c r="AK314" s="271"/>
      <c r="AL314" s="271"/>
      <c r="AM314" s="271"/>
      <c r="AN314" s="271"/>
      <c r="AO314" s="271"/>
      <c r="AP314" s="271"/>
      <c r="AQ314" s="271"/>
      <c r="AR314" s="271"/>
      <c r="AS314" s="271"/>
      <c r="AT314" s="271"/>
      <c r="AU314" s="271"/>
      <c r="AV314" s="271"/>
      <c r="AW314" s="271"/>
      <c r="AX314" s="271"/>
      <c r="AY314" s="271"/>
      <c r="AZ314" s="271"/>
      <c r="BA314" s="271">
        <v>1</v>
      </c>
      <c r="BB314" s="271">
        <v>26.99</v>
      </c>
      <c r="BC314" s="271"/>
      <c r="BD314" s="271"/>
      <c r="BE314" s="271">
        <v>1</v>
      </c>
      <c r="BF314" s="271">
        <v>75.989999999999995</v>
      </c>
    </row>
    <row r="315" spans="2:58" ht="16" thickBot="1" x14ac:dyDescent="0.25">
      <c r="B315" s="681" t="s">
        <v>20</v>
      </c>
      <c r="C315" s="275"/>
      <c r="D315" s="277"/>
      <c r="E315" s="279"/>
      <c r="F315" s="279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L315" s="271"/>
      <c r="AM315" s="271"/>
      <c r="AN315" s="271"/>
      <c r="AO315" s="271"/>
      <c r="AP315" s="271"/>
      <c r="AQ315" s="271"/>
      <c r="AR315" s="271"/>
      <c r="AS315" s="271"/>
      <c r="AT315" s="271"/>
      <c r="AU315" s="271"/>
      <c r="AV315" s="271"/>
      <c r="AW315" s="271"/>
      <c r="AX315" s="271"/>
      <c r="AY315" s="271"/>
      <c r="AZ315" s="271"/>
      <c r="BA315" s="271"/>
      <c r="BB315" s="271"/>
      <c r="BC315" s="271"/>
      <c r="BD315" s="271"/>
      <c r="BE315" s="271"/>
      <c r="BF315" s="271"/>
    </row>
    <row r="316" spans="2:58" ht="16" thickBot="1" x14ac:dyDescent="0.25">
      <c r="B316" s="479"/>
      <c r="C316" s="680">
        <f>SUM(C310:C315)</f>
        <v>10025.849999999999</v>
      </c>
      <c r="D316" s="159"/>
      <c r="E316" s="270"/>
      <c r="F316" s="281"/>
      <c r="G316" s="309"/>
      <c r="H316" s="310"/>
      <c r="I316" s="309"/>
      <c r="J316" s="310"/>
      <c r="K316" s="309"/>
      <c r="L316" s="310"/>
      <c r="M316" s="309"/>
      <c r="N316" s="310"/>
      <c r="O316" s="271"/>
      <c r="P316" s="271"/>
      <c r="Q316" s="310"/>
      <c r="R316" s="310"/>
      <c r="S316" s="309"/>
      <c r="T316" s="310"/>
      <c r="U316" s="309"/>
      <c r="V316" s="310"/>
      <c r="W316" s="309"/>
      <c r="X316" s="310"/>
      <c r="Y316" s="309"/>
      <c r="Z316" s="310"/>
      <c r="AA316" s="309"/>
      <c r="AB316" s="310"/>
      <c r="AC316" s="271"/>
      <c r="AD316" s="271"/>
      <c r="AE316" s="309"/>
      <c r="AF316" s="310"/>
      <c r="AG316" s="309"/>
      <c r="AH316" s="310"/>
      <c r="AI316" s="309"/>
      <c r="AJ316" s="310"/>
      <c r="AK316" s="309"/>
      <c r="AL316" s="310"/>
      <c r="AM316" s="309"/>
      <c r="AN316" s="310"/>
      <c r="AO316" s="309"/>
      <c r="AP316" s="310"/>
      <c r="AQ316" s="309"/>
      <c r="AR316" s="310"/>
      <c r="AS316" s="309"/>
      <c r="AT316" s="310"/>
      <c r="AU316" s="309"/>
      <c r="AV316" s="310"/>
      <c r="AW316" s="309"/>
      <c r="AX316" s="310"/>
      <c r="AY316" s="309"/>
      <c r="AZ316" s="310"/>
      <c r="BA316" s="271"/>
      <c r="BB316" s="271"/>
      <c r="BC316" s="271"/>
      <c r="BD316" s="271"/>
      <c r="BE316" s="271"/>
      <c r="BF316" s="271"/>
    </row>
    <row r="317" spans="2:58" ht="16" thickBot="1" x14ac:dyDescent="0.25">
      <c r="B317" s="289">
        <v>45692</v>
      </c>
      <c r="C317" s="275">
        <f>800+79+79</f>
        <v>958</v>
      </c>
      <c r="D317" s="704"/>
      <c r="E317" s="705" t="s">
        <v>498</v>
      </c>
      <c r="F317" s="705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L317" s="271"/>
      <c r="AM317" s="271"/>
      <c r="AN317" s="271"/>
      <c r="AO317" s="271"/>
      <c r="AP317" s="271"/>
      <c r="AQ317" s="271"/>
      <c r="AR317" s="271"/>
      <c r="AS317" s="271"/>
      <c r="AT317" s="271"/>
      <c r="AU317" s="271"/>
      <c r="AV317" s="271"/>
      <c r="AW317" s="271"/>
      <c r="AX317" s="271"/>
      <c r="AY317" s="271"/>
      <c r="AZ317" s="271"/>
      <c r="BA317" s="271"/>
      <c r="BB317" s="271"/>
      <c r="BC317" s="271"/>
      <c r="BD317" s="271"/>
      <c r="BE317" s="271"/>
      <c r="BF317" s="271"/>
    </row>
    <row r="318" spans="2:58" ht="16" thickBot="1" x14ac:dyDescent="0.25">
      <c r="B318" s="289"/>
      <c r="C318" s="702">
        <v>250</v>
      </c>
      <c r="D318" s="3"/>
      <c r="E318" s="142" t="s">
        <v>670</v>
      </c>
      <c r="F318" s="706"/>
      <c r="G318" s="297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  <c r="AA318" s="271"/>
      <c r="AB318" s="271"/>
      <c r="AC318" s="271"/>
      <c r="AD318" s="271"/>
      <c r="AE318" s="271"/>
      <c r="AF318" s="271"/>
      <c r="AG318" s="271"/>
      <c r="AH318" s="271"/>
      <c r="AI318" s="271"/>
      <c r="AJ318" s="271"/>
      <c r="AK318" s="271"/>
      <c r="AL318" s="271"/>
      <c r="AM318" s="271"/>
      <c r="AN318" s="271"/>
      <c r="AO318" s="271"/>
      <c r="AP318" s="271"/>
      <c r="AQ318" s="271"/>
      <c r="AR318" s="271"/>
      <c r="AS318" s="271"/>
      <c r="AT318" s="271"/>
      <c r="AU318" s="271"/>
      <c r="AV318" s="271"/>
      <c r="AW318" s="271"/>
      <c r="AX318" s="271"/>
      <c r="AY318" s="271"/>
      <c r="AZ318" s="271"/>
      <c r="BA318" s="271"/>
      <c r="BB318" s="271"/>
      <c r="BC318" s="271"/>
      <c r="BD318" s="271"/>
      <c r="BE318" s="271"/>
      <c r="BF318" s="271"/>
    </row>
    <row r="319" spans="2:58" ht="16" thickBot="1" x14ac:dyDescent="0.25">
      <c r="B319" s="289"/>
      <c r="C319" s="10">
        <f>39.99+6851.51</f>
        <v>6891.5</v>
      </c>
      <c r="D319" s="3"/>
      <c r="E319" s="142"/>
      <c r="F319" s="706" t="s">
        <v>9</v>
      </c>
      <c r="G319" s="297">
        <v>10</v>
      </c>
      <c r="H319" s="271">
        <v>1369.9</v>
      </c>
      <c r="I319" s="271">
        <v>3</v>
      </c>
      <c r="J319" s="271">
        <v>614.97</v>
      </c>
      <c r="K319" s="271">
        <v>10</v>
      </c>
      <c r="L319" s="271">
        <v>1819.9</v>
      </c>
      <c r="M319" s="271">
        <v>12</v>
      </c>
      <c r="N319" s="271">
        <v>1883.88</v>
      </c>
      <c r="O319" s="271"/>
      <c r="P319" s="271"/>
      <c r="Q319" s="271">
        <v>1</v>
      </c>
      <c r="R319" s="271">
        <v>134.99</v>
      </c>
      <c r="S319" s="271"/>
      <c r="T319" s="271"/>
      <c r="U319" s="271"/>
      <c r="V319" s="271"/>
      <c r="W319" s="271">
        <v>4</v>
      </c>
      <c r="X319" s="271">
        <v>171.96</v>
      </c>
      <c r="Y319" s="271"/>
      <c r="Z319" s="271"/>
      <c r="AA319" s="271"/>
      <c r="AB319" s="271"/>
      <c r="AC319" s="271">
        <v>7</v>
      </c>
      <c r="AD319" s="271">
        <v>692.93</v>
      </c>
      <c r="AE319" s="271"/>
      <c r="AF319" s="271"/>
      <c r="AG319" s="271"/>
      <c r="AH319" s="271"/>
      <c r="AI319" s="271"/>
      <c r="AJ319" s="271"/>
      <c r="AK319" s="271"/>
      <c r="AL319" s="271"/>
      <c r="AM319" s="271"/>
      <c r="AN319" s="271"/>
      <c r="AO319" s="271"/>
      <c r="AP319" s="271"/>
      <c r="AQ319" s="271"/>
      <c r="AR319" s="271"/>
      <c r="AS319" s="271"/>
      <c r="AT319" s="271"/>
      <c r="AU319" s="271"/>
      <c r="AV319" s="271"/>
      <c r="AW319" s="271"/>
      <c r="AX319" s="271"/>
      <c r="AY319" s="271"/>
      <c r="AZ319" s="271"/>
      <c r="BA319" s="271">
        <v>1</v>
      </c>
      <c r="BB319" s="271">
        <v>26.99</v>
      </c>
      <c r="BC319" s="271"/>
      <c r="BD319" s="271"/>
      <c r="BE319" s="271">
        <v>1</v>
      </c>
      <c r="BF319" s="271">
        <v>75.989999999999995</v>
      </c>
    </row>
    <row r="320" spans="2:58" ht="16" thickBot="1" x14ac:dyDescent="0.25">
      <c r="B320" s="289"/>
      <c r="C320" s="12">
        <v>349.9</v>
      </c>
      <c r="D320" s="3"/>
      <c r="E320" s="142"/>
      <c r="F320" s="706" t="s">
        <v>14</v>
      </c>
      <c r="G320" s="297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  <c r="AA320" s="271"/>
      <c r="AB320" s="271"/>
      <c r="AC320" s="271"/>
      <c r="AD320" s="271"/>
      <c r="AE320" s="271">
        <v>10</v>
      </c>
      <c r="AF320" s="271">
        <v>349.9</v>
      </c>
      <c r="AG320" s="271"/>
      <c r="AH320" s="271"/>
      <c r="AI320" s="271"/>
      <c r="AJ320" s="271"/>
      <c r="AK320" s="271"/>
      <c r="AL320" s="271"/>
      <c r="AM320" s="271"/>
      <c r="AN320" s="271"/>
      <c r="AO320" s="271"/>
      <c r="AP320" s="271"/>
      <c r="AQ320" s="271"/>
      <c r="AR320" s="271"/>
      <c r="AS320" s="271"/>
      <c r="AT320" s="271"/>
      <c r="AU320" s="271"/>
      <c r="AV320" s="271"/>
      <c r="AW320" s="271"/>
      <c r="AX320" s="271"/>
      <c r="AY320" s="271"/>
      <c r="AZ320" s="271"/>
      <c r="BA320" s="271"/>
      <c r="BB320" s="271"/>
      <c r="BC320" s="271"/>
      <c r="BD320" s="271"/>
      <c r="BE320" s="271"/>
      <c r="BF320" s="271"/>
    </row>
    <row r="321" spans="2:58" ht="16" thickBot="1" x14ac:dyDescent="0.25">
      <c r="B321" s="289"/>
      <c r="C321" s="10">
        <v>184</v>
      </c>
      <c r="D321" s="3"/>
      <c r="E321" s="142" t="s">
        <v>334</v>
      </c>
      <c r="F321" s="706"/>
      <c r="G321" s="297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  <c r="AA321" s="271"/>
      <c r="AB321" s="271"/>
      <c r="AC321" s="271"/>
      <c r="AD321" s="271"/>
      <c r="AE321" s="271"/>
      <c r="AF321" s="271"/>
      <c r="AG321" s="271"/>
      <c r="AH321" s="271"/>
      <c r="AI321" s="271"/>
      <c r="AJ321" s="271"/>
      <c r="AK321" s="271"/>
      <c r="AL321" s="271"/>
      <c r="AM321" s="271"/>
      <c r="AN321" s="271"/>
      <c r="AO321" s="271"/>
      <c r="AP321" s="271"/>
      <c r="AQ321" s="271"/>
      <c r="AR321" s="271"/>
      <c r="AS321" s="271"/>
      <c r="AT321" s="271"/>
      <c r="AU321" s="271"/>
      <c r="AV321" s="271"/>
      <c r="AW321" s="271"/>
      <c r="AX321" s="271"/>
      <c r="AY321" s="271"/>
      <c r="AZ321" s="271"/>
      <c r="BA321" s="271"/>
      <c r="BB321" s="271"/>
      <c r="BC321" s="271"/>
      <c r="BD321" s="271"/>
      <c r="BE321" s="271"/>
      <c r="BF321" s="271"/>
    </row>
    <row r="322" spans="2:58" ht="16" thickBot="1" x14ac:dyDescent="0.25">
      <c r="B322" s="289"/>
      <c r="C322" s="10"/>
      <c r="D322" s="3"/>
      <c r="E322" s="142"/>
      <c r="F322" s="706"/>
      <c r="G322" s="297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  <c r="AA322" s="271"/>
      <c r="AB322" s="271"/>
      <c r="AC322" s="271"/>
      <c r="AD322" s="271"/>
      <c r="AE322" s="271"/>
      <c r="AF322" s="271"/>
      <c r="AG322" s="271"/>
      <c r="AH322" s="271"/>
      <c r="AI322" s="271"/>
      <c r="AJ322" s="271"/>
      <c r="AK322" s="271"/>
      <c r="AL322" s="271"/>
      <c r="AM322" s="271"/>
      <c r="AN322" s="271"/>
      <c r="AO322" s="271"/>
      <c r="AP322" s="271"/>
      <c r="AQ322" s="271"/>
      <c r="AR322" s="271"/>
      <c r="AS322" s="271"/>
      <c r="AT322" s="271"/>
      <c r="AU322" s="271"/>
      <c r="AV322" s="271"/>
      <c r="AW322" s="271"/>
      <c r="AX322" s="271"/>
      <c r="AY322" s="271"/>
      <c r="AZ322" s="271"/>
      <c r="BA322" s="271"/>
      <c r="BB322" s="271"/>
      <c r="BC322" s="271"/>
      <c r="BD322" s="271"/>
      <c r="BE322" s="271"/>
      <c r="BF322" s="271"/>
    </row>
    <row r="323" spans="2:58" ht="16" thickBot="1" x14ac:dyDescent="0.25">
      <c r="B323" s="289"/>
      <c r="C323" s="703"/>
      <c r="D323" s="707"/>
      <c r="E323" s="706"/>
      <c r="F323" s="706"/>
      <c r="G323" s="297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  <c r="AA323" s="271"/>
      <c r="AB323" s="271"/>
      <c r="AC323" s="271"/>
      <c r="AD323" s="271"/>
      <c r="AE323" s="271"/>
      <c r="AF323" s="271"/>
      <c r="AG323" s="271"/>
      <c r="AH323" s="271"/>
      <c r="AI323" s="271"/>
      <c r="AJ323" s="271"/>
      <c r="AK323" s="271"/>
      <c r="AL323" s="271"/>
      <c r="AM323" s="271"/>
      <c r="AN323" s="271"/>
      <c r="AO323" s="271"/>
      <c r="AP323" s="271"/>
      <c r="AQ323" s="271"/>
      <c r="AR323" s="271"/>
      <c r="AS323" s="271"/>
      <c r="AT323" s="271"/>
      <c r="AU323" s="271"/>
      <c r="AV323" s="271"/>
      <c r="AW323" s="271"/>
      <c r="AX323" s="271"/>
      <c r="AY323" s="271"/>
      <c r="AZ323" s="271"/>
      <c r="BA323" s="271"/>
      <c r="BB323" s="271"/>
      <c r="BC323" s="271"/>
      <c r="BD323" s="271"/>
      <c r="BE323" s="271"/>
      <c r="BF323" s="271"/>
    </row>
    <row r="324" spans="2:58" ht="16" thickBot="1" x14ac:dyDescent="0.25">
      <c r="B324" s="289"/>
      <c r="C324" s="275"/>
      <c r="D324" s="277"/>
      <c r="E324" s="279"/>
      <c r="F324" s="279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  <c r="AA324" s="271"/>
      <c r="AB324" s="271"/>
      <c r="AC324" s="271"/>
      <c r="AD324" s="271"/>
      <c r="AE324" s="271"/>
      <c r="AF324" s="271"/>
      <c r="AG324" s="271"/>
      <c r="AH324" s="271"/>
      <c r="AI324" s="271"/>
      <c r="AJ324" s="271"/>
      <c r="AK324" s="271"/>
      <c r="AL324" s="271"/>
      <c r="AM324" s="271"/>
      <c r="AN324" s="271"/>
      <c r="AO324" s="271"/>
      <c r="AP324" s="271"/>
      <c r="AQ324" s="271"/>
      <c r="AR324" s="271"/>
      <c r="AS324" s="271"/>
      <c r="AT324" s="271"/>
      <c r="AU324" s="271"/>
      <c r="AV324" s="271"/>
      <c r="AW324" s="271"/>
      <c r="AX324" s="271"/>
      <c r="AY324" s="271"/>
      <c r="AZ324" s="271"/>
      <c r="BA324" s="271"/>
      <c r="BB324" s="271"/>
      <c r="BC324" s="271"/>
      <c r="BD324" s="271"/>
      <c r="BE324" s="271"/>
      <c r="BF324" s="271"/>
    </row>
    <row r="325" spans="2:58" ht="16" thickBot="1" x14ac:dyDescent="0.25">
      <c r="B325" s="289" t="s">
        <v>90</v>
      </c>
      <c r="C325" s="275"/>
      <c r="D325" s="277"/>
      <c r="E325" s="279"/>
      <c r="F325" s="279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1"/>
      <c r="AH325" s="271"/>
      <c r="AI325" s="271"/>
      <c r="AJ325" s="271"/>
      <c r="AK325" s="271"/>
      <c r="AL325" s="271"/>
      <c r="AM325" s="271"/>
      <c r="AN325" s="271"/>
      <c r="AO325" s="271"/>
      <c r="AP325" s="271"/>
      <c r="AQ325" s="271"/>
      <c r="AR325" s="271"/>
      <c r="AS325" s="271"/>
      <c r="AT325" s="271"/>
      <c r="AU325" s="271"/>
      <c r="AV325" s="271"/>
      <c r="AW325" s="271"/>
      <c r="AX325" s="271"/>
      <c r="AY325" s="271"/>
      <c r="AZ325" s="271"/>
      <c r="BA325" s="271"/>
      <c r="BB325" s="271"/>
      <c r="BC325" s="271"/>
      <c r="BD325" s="271"/>
      <c r="BE325" s="271"/>
      <c r="BF325" s="271"/>
    </row>
    <row r="326" spans="2:58" ht="16" thickBot="1" x14ac:dyDescent="0.25">
      <c r="B326" s="292"/>
      <c r="C326" s="159">
        <f>SUM(C317:C325)</f>
        <v>8633.4</v>
      </c>
      <c r="D326" s="159"/>
      <c r="E326" s="270"/>
      <c r="F326" s="281"/>
      <c r="G326" s="309"/>
      <c r="H326" s="310"/>
      <c r="I326" s="309"/>
      <c r="J326" s="310"/>
      <c r="K326" s="309"/>
      <c r="L326" s="310"/>
      <c r="M326" s="309"/>
      <c r="N326" s="310"/>
      <c r="O326" s="271"/>
      <c r="P326" s="271"/>
      <c r="Q326" s="310"/>
      <c r="R326" s="310"/>
      <c r="S326" s="309"/>
      <c r="T326" s="310"/>
      <c r="U326" s="309"/>
      <c r="V326" s="310"/>
      <c r="W326" s="309"/>
      <c r="X326" s="310"/>
      <c r="Y326" s="309"/>
      <c r="Z326" s="310"/>
      <c r="AA326" s="309"/>
      <c r="AB326" s="310"/>
      <c r="AC326" s="271"/>
      <c r="AD326" s="271"/>
      <c r="AE326" s="309"/>
      <c r="AF326" s="310"/>
      <c r="AG326" s="309"/>
      <c r="AH326" s="310"/>
      <c r="AI326" s="309"/>
      <c r="AJ326" s="310"/>
      <c r="AK326" s="309"/>
      <c r="AL326" s="310"/>
      <c r="AM326" s="309"/>
      <c r="AN326" s="310"/>
      <c r="AO326" s="309"/>
      <c r="AP326" s="310"/>
      <c r="AQ326" s="309"/>
      <c r="AR326" s="310"/>
      <c r="AS326" s="309"/>
      <c r="AT326" s="310"/>
      <c r="AU326" s="309"/>
      <c r="AV326" s="310"/>
      <c r="AW326" s="309"/>
      <c r="AX326" s="310"/>
      <c r="AY326" s="309"/>
      <c r="AZ326" s="310"/>
      <c r="BA326" s="271"/>
      <c r="BB326" s="271"/>
      <c r="BC326" s="271"/>
      <c r="BD326" s="271"/>
      <c r="BE326" s="271"/>
      <c r="BF326" s="271"/>
    </row>
    <row r="327" spans="2:58" ht="16" thickBot="1" x14ac:dyDescent="0.25">
      <c r="B327" s="289">
        <v>45693</v>
      </c>
      <c r="C327" s="275">
        <v>800</v>
      </c>
      <c r="D327" s="277"/>
      <c r="E327" s="279" t="s">
        <v>186</v>
      </c>
      <c r="F327" s="279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  <c r="AA327" s="271"/>
      <c r="AB327" s="271"/>
      <c r="AC327" s="271"/>
      <c r="AD327" s="271"/>
      <c r="AE327" s="271"/>
      <c r="AF327" s="271"/>
      <c r="AG327" s="271"/>
      <c r="AH327" s="271"/>
      <c r="AI327" s="271"/>
      <c r="AJ327" s="271"/>
      <c r="AK327" s="271"/>
      <c r="AL327" s="271"/>
      <c r="AM327" s="271"/>
      <c r="AN327" s="271"/>
      <c r="AO327" s="271"/>
      <c r="AP327" s="271"/>
      <c r="AQ327" s="271"/>
      <c r="AR327" s="271"/>
      <c r="AS327" s="271"/>
      <c r="AT327" s="271"/>
      <c r="AU327" s="271"/>
      <c r="AV327" s="271"/>
      <c r="AW327" s="271"/>
      <c r="AX327" s="271"/>
      <c r="AY327" s="271"/>
      <c r="AZ327" s="271"/>
      <c r="BA327" s="271"/>
      <c r="BB327" s="271"/>
      <c r="BC327" s="271"/>
      <c r="BD327" s="271"/>
      <c r="BE327" s="271"/>
      <c r="BF327" s="271"/>
    </row>
    <row r="328" spans="2:58" ht="16" thickBot="1" x14ac:dyDescent="0.25">
      <c r="B328" s="288" t="s">
        <v>22</v>
      </c>
      <c r="C328" s="287">
        <v>24863</v>
      </c>
      <c r="D328" s="290"/>
      <c r="E328" s="290"/>
      <c r="F328" s="296" t="s">
        <v>6</v>
      </c>
      <c r="G328" s="309"/>
      <c r="H328" s="310"/>
      <c r="I328" s="309"/>
      <c r="J328" s="310"/>
      <c r="K328" s="309"/>
      <c r="L328" s="310"/>
      <c r="M328" s="309"/>
      <c r="N328" s="310"/>
      <c r="O328" s="271"/>
      <c r="P328" s="271"/>
      <c r="Q328" s="309"/>
      <c r="R328" s="310"/>
      <c r="S328" s="309">
        <v>6</v>
      </c>
      <c r="T328" s="310">
        <f>3070.5+2380.5</f>
        <v>5451</v>
      </c>
      <c r="U328" s="309">
        <v>18</v>
      </c>
      <c r="V328" s="310">
        <v>9522</v>
      </c>
      <c r="W328" s="309"/>
      <c r="X328" s="310"/>
      <c r="Y328" s="309"/>
      <c r="Z328" s="310"/>
      <c r="AA328" s="309">
        <v>2</v>
      </c>
      <c r="AB328" s="310">
        <v>8050</v>
      </c>
      <c r="AC328" s="271"/>
      <c r="AD328" s="271"/>
      <c r="AE328" s="309"/>
      <c r="AF328" s="310"/>
      <c r="AG328" s="309"/>
      <c r="AH328" s="310"/>
      <c r="AI328" s="309"/>
      <c r="AJ328" s="310"/>
      <c r="AK328" s="309"/>
      <c r="AL328" s="310"/>
      <c r="AM328" s="309"/>
      <c r="AN328" s="310"/>
      <c r="AO328" s="309"/>
      <c r="AP328" s="310"/>
      <c r="AQ328" s="309"/>
      <c r="AR328" s="310"/>
      <c r="AS328" s="309"/>
      <c r="AT328" s="310"/>
      <c r="AU328" s="309"/>
      <c r="AV328" s="310"/>
      <c r="AW328" s="309"/>
      <c r="AX328" s="310"/>
      <c r="AY328" s="309"/>
      <c r="AZ328" s="310"/>
      <c r="BA328" s="271"/>
      <c r="BB328" s="271"/>
      <c r="BC328" s="271"/>
      <c r="BD328" s="271"/>
      <c r="BE328" s="271"/>
      <c r="BF328" s="271"/>
    </row>
    <row r="329" spans="2:58" ht="16" thickBot="1" x14ac:dyDescent="0.25">
      <c r="B329" s="292"/>
      <c r="C329" s="159">
        <f>SUM(C327:C328)</f>
        <v>25663</v>
      </c>
      <c r="D329" s="159"/>
      <c r="E329" s="270"/>
      <c r="F329" s="297"/>
      <c r="G329" s="309"/>
      <c r="H329" s="310"/>
      <c r="I329" s="309"/>
      <c r="J329" s="310"/>
      <c r="K329" s="309"/>
      <c r="L329" s="310"/>
      <c r="M329" s="309"/>
      <c r="N329" s="310"/>
      <c r="O329" s="271"/>
      <c r="P329" s="271"/>
      <c r="Q329" s="310"/>
      <c r="R329" s="310"/>
      <c r="S329" s="309"/>
      <c r="T329" s="310"/>
      <c r="U329" s="309"/>
      <c r="V329" s="310"/>
      <c r="W329" s="309"/>
      <c r="X329" s="310"/>
      <c r="Y329" s="309"/>
      <c r="Z329" s="310"/>
      <c r="AA329" s="309"/>
      <c r="AB329" s="310"/>
      <c r="AC329" s="271"/>
      <c r="AD329" s="271"/>
      <c r="AE329" s="309"/>
      <c r="AF329" s="310"/>
      <c r="AG329" s="309"/>
      <c r="AH329" s="310"/>
      <c r="AI329" s="309"/>
      <c r="AJ329" s="310"/>
      <c r="AK329" s="309"/>
      <c r="AL329" s="310"/>
      <c r="AM329" s="309"/>
      <c r="AN329" s="310"/>
      <c r="AO329" s="309"/>
      <c r="AP329" s="310"/>
      <c r="AQ329" s="309"/>
      <c r="AR329" s="310"/>
      <c r="AS329" s="309"/>
      <c r="AT329" s="310"/>
      <c r="AU329" s="309"/>
      <c r="AV329" s="310"/>
      <c r="AW329" s="309"/>
      <c r="AX329" s="310"/>
      <c r="AY329" s="309"/>
      <c r="AZ329" s="310"/>
      <c r="BA329" s="271"/>
      <c r="BB329" s="271"/>
      <c r="BC329" s="271"/>
      <c r="BD329" s="271"/>
      <c r="BE329" s="271"/>
      <c r="BF329" s="271"/>
    </row>
    <row r="330" spans="2:58" ht="16" thickBot="1" x14ac:dyDescent="0.25">
      <c r="B330" s="289">
        <v>45694</v>
      </c>
      <c r="C330" s="295">
        <v>800</v>
      </c>
      <c r="D330" s="275"/>
      <c r="E330" s="274" t="s">
        <v>186</v>
      </c>
      <c r="F330" s="301"/>
      <c r="G330" s="309"/>
      <c r="H330" s="310"/>
      <c r="I330" s="309"/>
      <c r="J330" s="310"/>
      <c r="K330" s="309"/>
      <c r="L330" s="310"/>
      <c r="M330" s="309"/>
      <c r="N330" s="310"/>
      <c r="O330" s="271"/>
      <c r="P330" s="271"/>
      <c r="Q330" s="309"/>
      <c r="R330" s="310"/>
      <c r="S330" s="309"/>
      <c r="T330" s="310"/>
      <c r="U330" s="309"/>
      <c r="V330" s="310"/>
      <c r="W330" s="309"/>
      <c r="X330" s="310"/>
      <c r="Y330" s="309"/>
      <c r="Z330" s="310"/>
      <c r="AA330" s="309"/>
      <c r="AB330" s="310"/>
      <c r="AC330" s="271"/>
      <c r="AD330" s="271"/>
      <c r="AE330" s="309"/>
      <c r="AF330" s="310"/>
      <c r="AG330" s="309"/>
      <c r="AH330" s="310"/>
      <c r="AI330" s="309"/>
      <c r="AJ330" s="310"/>
      <c r="AK330" s="309"/>
      <c r="AL330" s="310"/>
      <c r="AM330" s="309"/>
      <c r="AN330" s="310"/>
      <c r="AO330" s="309"/>
      <c r="AP330" s="310"/>
      <c r="AQ330" s="309"/>
      <c r="AR330" s="310"/>
      <c r="AS330" s="309"/>
      <c r="AT330" s="310"/>
      <c r="AU330" s="309"/>
      <c r="AV330" s="310"/>
      <c r="AW330" s="309"/>
      <c r="AX330" s="310"/>
      <c r="AY330" s="309"/>
      <c r="AZ330" s="310"/>
      <c r="BA330" s="271"/>
      <c r="BB330" s="271"/>
      <c r="BC330" s="271"/>
      <c r="BD330" s="271"/>
      <c r="BE330" s="271"/>
      <c r="BF330" s="271"/>
    </row>
    <row r="331" spans="2:58" ht="16" thickBot="1" x14ac:dyDescent="0.25">
      <c r="B331" s="289"/>
      <c r="C331" s="295">
        <v>439.98</v>
      </c>
      <c r="D331" s="275"/>
      <c r="E331" s="275"/>
      <c r="F331" s="302" t="s">
        <v>297</v>
      </c>
      <c r="G331" s="309"/>
      <c r="H331" s="310"/>
      <c r="I331" s="309">
        <v>2</v>
      </c>
      <c r="J331" s="310">
        <v>439.98</v>
      </c>
      <c r="K331" s="309"/>
      <c r="L331" s="310"/>
      <c r="M331" s="309"/>
      <c r="N331" s="310"/>
      <c r="O331" s="271"/>
      <c r="P331" s="271"/>
      <c r="Q331" s="309"/>
      <c r="R331" s="310"/>
      <c r="S331" s="309"/>
      <c r="T331" s="310"/>
      <c r="U331" s="309"/>
      <c r="V331" s="310"/>
      <c r="W331" s="309"/>
      <c r="X331" s="310"/>
      <c r="Y331" s="309"/>
      <c r="Z331" s="310"/>
      <c r="AA331" s="309"/>
      <c r="AB331" s="310"/>
      <c r="AC331" s="271"/>
      <c r="AD331" s="271"/>
      <c r="AE331" s="309"/>
      <c r="AF331" s="310"/>
      <c r="AG331" s="309"/>
      <c r="AH331" s="310"/>
      <c r="AI331" s="309"/>
      <c r="AJ331" s="310"/>
      <c r="AK331" s="309"/>
      <c r="AL331" s="310"/>
      <c r="AM331" s="309"/>
      <c r="AN331" s="310"/>
      <c r="AO331" s="309"/>
      <c r="AP331" s="310"/>
      <c r="AQ331" s="309"/>
      <c r="AR331" s="310"/>
      <c r="AS331" s="309"/>
      <c r="AT331" s="310"/>
      <c r="AU331" s="309"/>
      <c r="AV331" s="310"/>
      <c r="AW331" s="309"/>
      <c r="AX331" s="310"/>
      <c r="AY331" s="309"/>
      <c r="AZ331" s="310"/>
      <c r="BA331" s="271"/>
      <c r="BB331" s="271"/>
      <c r="BC331" s="271"/>
      <c r="BD331" s="271"/>
      <c r="BE331" s="271"/>
      <c r="BF331" s="271"/>
    </row>
    <row r="332" spans="2:58" ht="16" thickBot="1" x14ac:dyDescent="0.25">
      <c r="B332" s="289"/>
      <c r="C332" s="295">
        <v>1200</v>
      </c>
      <c r="D332" s="275"/>
      <c r="E332" s="275"/>
      <c r="F332" s="302" t="s">
        <v>17</v>
      </c>
      <c r="G332" s="309"/>
      <c r="H332" s="310"/>
      <c r="I332" s="309"/>
      <c r="J332" s="310"/>
      <c r="K332" s="309"/>
      <c r="L332" s="310"/>
      <c r="M332" s="309"/>
      <c r="N332" s="310"/>
      <c r="O332" s="271"/>
      <c r="P332" s="271"/>
      <c r="Q332" s="309"/>
      <c r="R332" s="310"/>
      <c r="S332" s="309"/>
      <c r="T332" s="310"/>
      <c r="U332" s="309"/>
      <c r="V332" s="310"/>
      <c r="W332" s="309"/>
      <c r="X332" s="310"/>
      <c r="Y332" s="309"/>
      <c r="Z332" s="310"/>
      <c r="AA332" s="309"/>
      <c r="AB332" s="310"/>
      <c r="AC332" s="271"/>
      <c r="AD332" s="271"/>
      <c r="AE332" s="309"/>
      <c r="AF332" s="310"/>
      <c r="AG332" s="309"/>
      <c r="AH332" s="310"/>
      <c r="AI332" s="309"/>
      <c r="AJ332" s="310"/>
      <c r="AK332" s="309"/>
      <c r="AL332" s="310"/>
      <c r="AM332" s="309"/>
      <c r="AN332" s="310"/>
      <c r="AO332" s="309">
        <v>20</v>
      </c>
      <c r="AP332" s="310">
        <v>600</v>
      </c>
      <c r="AQ332" s="309">
        <v>20</v>
      </c>
      <c r="AR332" s="310">
        <v>600</v>
      </c>
      <c r="AS332" s="309"/>
      <c r="AT332" s="310"/>
      <c r="AU332" s="309"/>
      <c r="AV332" s="310"/>
      <c r="AW332" s="309"/>
      <c r="AX332" s="310"/>
      <c r="AY332" s="309"/>
      <c r="AZ332" s="310"/>
      <c r="BA332" s="271"/>
      <c r="BB332" s="271"/>
      <c r="BC332" s="271"/>
      <c r="BD332" s="271"/>
      <c r="BE332" s="271"/>
      <c r="BF332" s="271"/>
    </row>
    <row r="333" spans="2:58" ht="16" thickBot="1" x14ac:dyDescent="0.25">
      <c r="B333" s="289"/>
      <c r="C333" s="295">
        <v>587.76</v>
      </c>
      <c r="D333" s="275"/>
      <c r="E333" s="275" t="s">
        <v>279</v>
      </c>
      <c r="F333" s="302"/>
      <c r="G333" s="309"/>
      <c r="H333" s="310"/>
      <c r="I333" s="309"/>
      <c r="J333" s="310"/>
      <c r="K333" s="309"/>
      <c r="L333" s="310"/>
      <c r="M333" s="309"/>
      <c r="N333" s="310"/>
      <c r="O333" s="271"/>
      <c r="P333" s="271"/>
      <c r="Q333" s="309"/>
      <c r="R333" s="310"/>
      <c r="S333" s="309"/>
      <c r="T333" s="310"/>
      <c r="U333" s="309"/>
      <c r="V333" s="310"/>
      <c r="W333" s="309"/>
      <c r="X333" s="310"/>
      <c r="Y333" s="309"/>
      <c r="Z333" s="310"/>
      <c r="AA333" s="309"/>
      <c r="AB333" s="310"/>
      <c r="AC333" s="271"/>
      <c r="AD333" s="271"/>
      <c r="AE333" s="309"/>
      <c r="AF333" s="310"/>
      <c r="AG333" s="309"/>
      <c r="AH333" s="310"/>
      <c r="AI333" s="309"/>
      <c r="AJ333" s="310"/>
      <c r="AK333" s="309"/>
      <c r="AL333" s="310"/>
      <c r="AM333" s="309"/>
      <c r="AN333" s="310"/>
      <c r="AO333" s="309"/>
      <c r="AP333" s="310"/>
      <c r="AQ333" s="309"/>
      <c r="AR333" s="310"/>
      <c r="AS333" s="309"/>
      <c r="AT333" s="310"/>
      <c r="AU333" s="309"/>
      <c r="AV333" s="310"/>
      <c r="AW333" s="309"/>
      <c r="AX333" s="310"/>
      <c r="AY333" s="309"/>
      <c r="AZ333" s="310"/>
      <c r="BA333" s="271"/>
      <c r="BB333" s="271"/>
      <c r="BC333" s="271"/>
      <c r="BD333" s="271"/>
      <c r="BE333" s="271"/>
      <c r="BF333" s="271"/>
    </row>
    <row r="334" spans="2:58" ht="16" thickBot="1" x14ac:dyDescent="0.25">
      <c r="B334" s="289"/>
      <c r="C334" s="295">
        <v>279.92</v>
      </c>
      <c r="D334" s="275"/>
      <c r="E334" s="275"/>
      <c r="F334" s="302" t="s">
        <v>14</v>
      </c>
      <c r="G334" s="309"/>
      <c r="H334" s="310"/>
      <c r="I334" s="309"/>
      <c r="J334" s="310"/>
      <c r="K334" s="309"/>
      <c r="L334" s="310"/>
      <c r="M334" s="309"/>
      <c r="N334" s="310"/>
      <c r="O334" s="271"/>
      <c r="P334" s="271"/>
      <c r="Q334" s="309"/>
      <c r="R334" s="310"/>
      <c r="S334" s="309"/>
      <c r="T334" s="310"/>
      <c r="U334" s="309"/>
      <c r="V334" s="310"/>
      <c r="W334" s="309"/>
      <c r="X334" s="310"/>
      <c r="Y334" s="309"/>
      <c r="Z334" s="310"/>
      <c r="AA334" s="309"/>
      <c r="AB334" s="310"/>
      <c r="AC334" s="271"/>
      <c r="AD334" s="271"/>
      <c r="AE334" s="309">
        <v>8</v>
      </c>
      <c r="AF334" s="310">
        <v>279.92</v>
      </c>
      <c r="AG334" s="309"/>
      <c r="AH334" s="310"/>
      <c r="AI334" s="309"/>
      <c r="AJ334" s="310"/>
      <c r="AK334" s="309"/>
      <c r="AL334" s="310"/>
      <c r="AM334" s="309"/>
      <c r="AN334" s="310"/>
      <c r="AO334" s="309"/>
      <c r="AP334" s="310"/>
      <c r="AQ334" s="309"/>
      <c r="AR334" s="310"/>
      <c r="AS334" s="309"/>
      <c r="AT334" s="310"/>
      <c r="AU334" s="309"/>
      <c r="AV334" s="310"/>
      <c r="AW334" s="309"/>
      <c r="AX334" s="310"/>
      <c r="AY334" s="309"/>
      <c r="AZ334" s="310"/>
      <c r="BA334" s="271"/>
      <c r="BB334" s="271"/>
      <c r="BC334" s="271"/>
      <c r="BD334" s="271"/>
      <c r="BE334" s="271"/>
      <c r="BF334" s="271"/>
    </row>
    <row r="335" spans="2:58" ht="16" thickBot="1" x14ac:dyDescent="0.25">
      <c r="B335" s="289"/>
      <c r="C335" s="295">
        <f>24.99+6671.62</f>
        <v>6696.61</v>
      </c>
      <c r="D335" s="275"/>
      <c r="E335" s="275" t="s">
        <v>9</v>
      </c>
      <c r="F335" s="302"/>
      <c r="G335" s="309">
        <v>6</v>
      </c>
      <c r="H335" s="310">
        <v>839.94</v>
      </c>
      <c r="I335" s="309">
        <v>2</v>
      </c>
      <c r="J335" s="310">
        <v>409.98</v>
      </c>
      <c r="K335" s="309">
        <v>4</v>
      </c>
      <c r="L335" s="310">
        <v>727.96</v>
      </c>
      <c r="M335" s="309">
        <v>10</v>
      </c>
      <c r="N335" s="310">
        <v>1669.9</v>
      </c>
      <c r="O335" s="271">
        <v>6</v>
      </c>
      <c r="P335" s="271">
        <v>2130</v>
      </c>
      <c r="Q335" s="309"/>
      <c r="R335" s="310"/>
      <c r="S335" s="309"/>
      <c r="T335" s="310"/>
      <c r="U335" s="309"/>
      <c r="V335" s="310"/>
      <c r="W335" s="309">
        <v>6</v>
      </c>
      <c r="X335" s="310">
        <v>257.94</v>
      </c>
      <c r="Y335" s="309"/>
      <c r="Z335" s="310"/>
      <c r="AA335" s="309"/>
      <c r="AB335" s="310"/>
      <c r="AC335" s="271">
        <v>3</v>
      </c>
      <c r="AD335" s="271">
        <v>296.97000000000003</v>
      </c>
      <c r="AE335" s="309"/>
      <c r="AF335" s="310"/>
      <c r="AG335" s="309"/>
      <c r="AH335" s="310"/>
      <c r="AI335" s="309"/>
      <c r="AJ335" s="310"/>
      <c r="AK335" s="309"/>
      <c r="AL335" s="310"/>
      <c r="AM335" s="309"/>
      <c r="AN335" s="310"/>
      <c r="AO335" s="309"/>
      <c r="AP335" s="310"/>
      <c r="AQ335" s="309"/>
      <c r="AR335" s="310"/>
      <c r="AS335" s="309"/>
      <c r="AT335" s="310"/>
      <c r="AU335" s="309"/>
      <c r="AV335" s="310"/>
      <c r="AW335" s="309"/>
      <c r="AX335" s="310"/>
      <c r="AY335" s="309"/>
      <c r="AZ335" s="310"/>
      <c r="BA335" s="271">
        <v>1</v>
      </c>
      <c r="BB335" s="271">
        <v>26.99</v>
      </c>
      <c r="BC335" s="271"/>
      <c r="BD335" s="271"/>
      <c r="BE335" s="271"/>
      <c r="BF335" s="271"/>
    </row>
    <row r="336" spans="2:58" ht="16" thickBot="1" x14ac:dyDescent="0.25">
      <c r="B336" s="289"/>
      <c r="C336" s="295">
        <v>509.8</v>
      </c>
      <c r="D336" s="275"/>
      <c r="E336" s="275"/>
      <c r="F336" s="302" t="s">
        <v>11</v>
      </c>
      <c r="G336" s="309"/>
      <c r="H336" s="310"/>
      <c r="I336" s="309"/>
      <c r="J336" s="310"/>
      <c r="K336" s="309"/>
      <c r="L336" s="310"/>
      <c r="M336" s="309"/>
      <c r="N336" s="310"/>
      <c r="O336" s="271"/>
      <c r="P336" s="271"/>
      <c r="Q336" s="309"/>
      <c r="R336" s="310"/>
      <c r="S336" s="309"/>
      <c r="T336" s="310"/>
      <c r="U336" s="309"/>
      <c r="V336" s="310"/>
      <c r="W336" s="309"/>
      <c r="X336" s="310"/>
      <c r="Y336" s="309"/>
      <c r="Z336" s="310"/>
      <c r="AA336" s="309"/>
      <c r="AB336" s="310"/>
      <c r="AC336" s="271"/>
      <c r="AD336" s="271"/>
      <c r="AE336" s="309"/>
      <c r="AF336" s="310"/>
      <c r="AG336" s="309"/>
      <c r="AH336" s="310"/>
      <c r="AI336" s="309"/>
      <c r="AJ336" s="310"/>
      <c r="AK336" s="309">
        <v>3</v>
      </c>
      <c r="AL336" s="310">
        <v>509.8</v>
      </c>
      <c r="AM336" s="309"/>
      <c r="AN336" s="310"/>
      <c r="AO336" s="309"/>
      <c r="AP336" s="310"/>
      <c r="AQ336" s="309"/>
      <c r="AR336" s="310"/>
      <c r="AS336" s="309"/>
      <c r="AT336" s="310"/>
      <c r="AU336" s="309"/>
      <c r="AV336" s="310"/>
      <c r="AW336" s="309"/>
      <c r="AX336" s="310"/>
      <c r="AY336" s="309"/>
      <c r="AZ336" s="310"/>
      <c r="BA336" s="271"/>
      <c r="BB336" s="271"/>
      <c r="BC336" s="271"/>
      <c r="BD336" s="271"/>
      <c r="BE336" s="271"/>
      <c r="BF336" s="271"/>
    </row>
    <row r="337" spans="2:58" ht="16" thickBot="1" x14ac:dyDescent="0.25">
      <c r="B337" s="289" t="s">
        <v>23</v>
      </c>
      <c r="C337" s="295">
        <v>7157.54</v>
      </c>
      <c r="D337" s="275"/>
      <c r="E337" s="275"/>
      <c r="F337" s="302" t="s">
        <v>311</v>
      </c>
      <c r="G337" s="309"/>
      <c r="H337" s="310"/>
      <c r="I337" s="309"/>
      <c r="J337" s="310"/>
      <c r="K337" s="309"/>
      <c r="L337" s="310"/>
      <c r="M337" s="309"/>
      <c r="N337" s="310"/>
      <c r="O337" s="271"/>
      <c r="P337" s="271"/>
      <c r="Q337" s="309"/>
      <c r="R337" s="310"/>
      <c r="S337" s="309"/>
      <c r="T337" s="310"/>
      <c r="U337" s="309"/>
      <c r="V337" s="310"/>
      <c r="W337" s="309"/>
      <c r="X337" s="310"/>
      <c r="Y337" s="309"/>
      <c r="Z337" s="310"/>
      <c r="AA337" s="309"/>
      <c r="AB337" s="310"/>
      <c r="AC337" s="271"/>
      <c r="AD337" s="271"/>
      <c r="AE337" s="309"/>
      <c r="AF337" s="310"/>
      <c r="AG337" s="309"/>
      <c r="AH337" s="310"/>
      <c r="AI337" s="309"/>
      <c r="AJ337" s="310"/>
      <c r="AK337" s="309"/>
      <c r="AL337" s="310"/>
      <c r="AM337" s="309"/>
      <c r="AN337" s="310"/>
      <c r="AO337" s="309"/>
      <c r="AP337" s="310"/>
      <c r="AQ337" s="309"/>
      <c r="AR337" s="310"/>
      <c r="AS337" s="309"/>
      <c r="AT337" s="310"/>
      <c r="AU337" s="309"/>
      <c r="AV337" s="310"/>
      <c r="AW337" s="309">
        <v>15</v>
      </c>
      <c r="AX337" s="310">
        <f>7157.54/2</f>
        <v>3578.77</v>
      </c>
      <c r="AY337" s="309">
        <v>15</v>
      </c>
      <c r="AZ337" s="310">
        <v>3578.77</v>
      </c>
      <c r="BA337" s="271"/>
      <c r="BB337" s="271"/>
      <c r="BC337" s="271"/>
      <c r="BD337" s="271"/>
      <c r="BE337" s="271"/>
      <c r="BF337" s="271"/>
    </row>
    <row r="338" spans="2:58" ht="16" thickBot="1" x14ac:dyDescent="0.25">
      <c r="B338" s="298"/>
      <c r="C338" s="656">
        <f>SUM(C330:C337)</f>
        <v>17671.61</v>
      </c>
      <c r="D338" s="656"/>
      <c r="E338" s="578"/>
      <c r="F338" s="553"/>
      <c r="G338" s="309"/>
      <c r="H338" s="310"/>
      <c r="I338" s="309"/>
      <c r="J338" s="310"/>
      <c r="K338" s="309"/>
      <c r="L338" s="310"/>
      <c r="M338" s="309"/>
      <c r="N338" s="310"/>
      <c r="O338" s="271"/>
      <c r="P338" s="271"/>
      <c r="Q338" s="309"/>
      <c r="R338" s="310"/>
      <c r="S338" s="309"/>
      <c r="T338" s="310"/>
      <c r="U338" s="309"/>
      <c r="V338" s="310"/>
      <c r="W338" s="309"/>
      <c r="X338" s="310"/>
      <c r="Y338" s="309"/>
      <c r="Z338" s="310"/>
      <c r="AA338" s="309"/>
      <c r="AB338" s="310"/>
      <c r="AC338" s="271"/>
      <c r="AD338" s="271"/>
      <c r="AE338" s="309"/>
      <c r="AF338" s="310"/>
      <c r="AG338" s="309"/>
      <c r="AH338" s="310"/>
      <c r="AI338" s="309"/>
      <c r="AJ338" s="310"/>
      <c r="AK338" s="309"/>
      <c r="AL338" s="310"/>
      <c r="AM338" s="309"/>
      <c r="AN338" s="310"/>
      <c r="AO338" s="309"/>
      <c r="AP338" s="310"/>
      <c r="AQ338" s="309"/>
      <c r="AR338" s="310"/>
      <c r="AS338" s="309"/>
      <c r="AT338" s="310"/>
      <c r="AU338" s="309"/>
      <c r="AV338" s="310"/>
      <c r="AW338" s="309"/>
      <c r="AX338" s="310"/>
      <c r="AY338" s="309"/>
      <c r="AZ338" s="310"/>
      <c r="BA338" s="271"/>
      <c r="BB338" s="271"/>
      <c r="BC338" s="271"/>
      <c r="BD338" s="271"/>
      <c r="BE338" s="271"/>
      <c r="BF338" s="271"/>
    </row>
    <row r="339" spans="2:58" ht="16" thickBot="1" x14ac:dyDescent="0.25">
      <c r="B339" s="479">
        <v>45695</v>
      </c>
      <c r="C339" s="299">
        <v>800</v>
      </c>
      <c r="D339" s="300"/>
      <c r="E339" s="274" t="s">
        <v>186</v>
      </c>
      <c r="F339" s="301"/>
      <c r="G339" s="309"/>
      <c r="H339" s="310"/>
      <c r="I339" s="309"/>
      <c r="J339" s="310"/>
      <c r="K339" s="309"/>
      <c r="L339" s="310"/>
      <c r="M339" s="309"/>
      <c r="N339" s="310"/>
      <c r="O339" s="271"/>
      <c r="P339" s="271"/>
      <c r="Q339" s="309"/>
      <c r="R339" s="310"/>
      <c r="S339" s="309"/>
      <c r="T339" s="310"/>
      <c r="U339" s="309"/>
      <c r="V339" s="310"/>
      <c r="W339" s="309"/>
      <c r="X339" s="310"/>
      <c r="Y339" s="309"/>
      <c r="Z339" s="310"/>
      <c r="AA339" s="309"/>
      <c r="AB339" s="310"/>
      <c r="AC339" s="271"/>
      <c r="AD339" s="271"/>
      <c r="AE339" s="309"/>
      <c r="AF339" s="310"/>
      <c r="AG339" s="309"/>
      <c r="AH339" s="310"/>
      <c r="AI339" s="309"/>
      <c r="AJ339" s="310"/>
      <c r="AK339" s="309"/>
      <c r="AL339" s="310"/>
      <c r="AM339" s="309"/>
      <c r="AN339" s="310"/>
      <c r="AO339" s="309"/>
      <c r="AP339" s="310"/>
      <c r="AQ339" s="309"/>
      <c r="AR339" s="310"/>
      <c r="AS339" s="309"/>
      <c r="AT339" s="310"/>
      <c r="AU339" s="309"/>
      <c r="AV339" s="310"/>
      <c r="AW339" s="309"/>
      <c r="AX339" s="310"/>
      <c r="AY339" s="309"/>
      <c r="AZ339" s="310"/>
      <c r="BA339" s="271"/>
      <c r="BB339" s="271"/>
      <c r="BC339" s="271"/>
      <c r="BD339" s="271"/>
      <c r="BE339" s="271"/>
      <c r="BF339" s="271"/>
    </row>
    <row r="340" spans="2:58" ht="16" thickBot="1" x14ac:dyDescent="0.25">
      <c r="B340" s="479"/>
      <c r="C340" s="299">
        <v>6000</v>
      </c>
      <c r="D340" s="300"/>
      <c r="E340" s="275"/>
      <c r="F340" s="302" t="s">
        <v>435</v>
      </c>
      <c r="G340" s="309"/>
      <c r="H340" s="310"/>
      <c r="I340" s="309"/>
      <c r="J340" s="310"/>
      <c r="K340" s="309"/>
      <c r="L340" s="310"/>
      <c r="M340" s="309"/>
      <c r="N340" s="310"/>
      <c r="O340" s="271">
        <v>10</v>
      </c>
      <c r="P340" s="271">
        <v>6000</v>
      </c>
      <c r="Q340" s="309"/>
      <c r="R340" s="310"/>
      <c r="S340" s="309"/>
      <c r="T340" s="310"/>
      <c r="U340" s="309"/>
      <c r="V340" s="310"/>
      <c r="W340" s="309"/>
      <c r="X340" s="310"/>
      <c r="Y340" s="309"/>
      <c r="Z340" s="310"/>
      <c r="AA340" s="309"/>
      <c r="AB340" s="310"/>
      <c r="AC340" s="271"/>
      <c r="AD340" s="271"/>
      <c r="AE340" s="309"/>
      <c r="AF340" s="310"/>
      <c r="AG340" s="309"/>
      <c r="AH340" s="310"/>
      <c r="AI340" s="309"/>
      <c r="AJ340" s="310"/>
      <c r="AK340" s="309"/>
      <c r="AL340" s="310"/>
      <c r="AM340" s="309"/>
      <c r="AN340" s="310"/>
      <c r="AO340" s="309"/>
      <c r="AP340" s="310"/>
      <c r="AQ340" s="309"/>
      <c r="AR340" s="310"/>
      <c r="AS340" s="309"/>
      <c r="AT340" s="310"/>
      <c r="AU340" s="309"/>
      <c r="AV340" s="310"/>
      <c r="AW340" s="309"/>
      <c r="AX340" s="310"/>
      <c r="AY340" s="309"/>
      <c r="AZ340" s="310"/>
      <c r="BA340" s="271"/>
      <c r="BB340" s="271"/>
      <c r="BC340" s="271"/>
      <c r="BD340" s="271"/>
      <c r="BE340" s="271"/>
      <c r="BF340" s="271"/>
    </row>
    <row r="341" spans="2:58" ht="16" thickBot="1" x14ac:dyDescent="0.25">
      <c r="B341" s="479" t="s">
        <v>24</v>
      </c>
      <c r="C341" s="299"/>
      <c r="D341" s="300"/>
      <c r="E341" s="275"/>
      <c r="F341" s="302"/>
      <c r="G341" s="309"/>
      <c r="H341" s="310"/>
      <c r="I341" s="309"/>
      <c r="J341" s="310"/>
      <c r="K341" s="309"/>
      <c r="L341" s="310"/>
      <c r="M341" s="309"/>
      <c r="N341" s="310"/>
      <c r="O341" s="271"/>
      <c r="P341" s="271"/>
      <c r="Q341" s="309"/>
      <c r="R341" s="310"/>
      <c r="S341" s="309"/>
      <c r="T341" s="310"/>
      <c r="U341" s="309"/>
      <c r="V341" s="310"/>
      <c r="W341" s="309"/>
      <c r="X341" s="310"/>
      <c r="Y341" s="309"/>
      <c r="Z341" s="310"/>
      <c r="AA341" s="309"/>
      <c r="AB341" s="310"/>
      <c r="AC341" s="271"/>
      <c r="AD341" s="271"/>
      <c r="AE341" s="309"/>
      <c r="AF341" s="310"/>
      <c r="AG341" s="309"/>
      <c r="AH341" s="310"/>
      <c r="AI341" s="309"/>
      <c r="AJ341" s="310"/>
      <c r="AK341" s="309"/>
      <c r="AL341" s="310"/>
      <c r="AM341" s="309"/>
      <c r="AN341" s="310"/>
      <c r="AO341" s="309"/>
      <c r="AP341" s="310"/>
      <c r="AQ341" s="309"/>
      <c r="AR341" s="310"/>
      <c r="AS341" s="309"/>
      <c r="AT341" s="310"/>
      <c r="AU341" s="309"/>
      <c r="AV341" s="310"/>
      <c r="AW341" s="309"/>
      <c r="AX341" s="310"/>
      <c r="AY341" s="309"/>
      <c r="AZ341" s="310"/>
      <c r="BA341" s="271"/>
      <c r="BB341" s="271"/>
      <c r="BC341" s="271"/>
      <c r="BD341" s="271"/>
      <c r="BE341" s="271"/>
      <c r="BF341" s="271"/>
    </row>
    <row r="342" spans="2:58" ht="16" thickBot="1" x14ac:dyDescent="0.25">
      <c r="B342" s="577"/>
      <c r="C342" s="159">
        <f>SUM(C339:C341)</f>
        <v>6800</v>
      </c>
      <c r="D342" s="159"/>
      <c r="E342" s="270"/>
      <c r="F342" s="271"/>
      <c r="G342" s="309"/>
      <c r="H342" s="310"/>
      <c r="I342" s="309"/>
      <c r="J342" s="310"/>
      <c r="K342" s="309"/>
      <c r="L342" s="310"/>
      <c r="M342" s="309"/>
      <c r="N342" s="310"/>
      <c r="O342" s="271"/>
      <c r="P342" s="271"/>
      <c r="Q342" s="309"/>
      <c r="R342" s="310"/>
      <c r="S342" s="309"/>
      <c r="T342" s="310"/>
      <c r="U342" s="309"/>
      <c r="V342" s="310"/>
      <c r="W342" s="309"/>
      <c r="X342" s="310"/>
      <c r="Y342" s="309"/>
      <c r="Z342" s="310"/>
      <c r="AA342" s="309"/>
      <c r="AB342" s="310"/>
      <c r="AC342" s="271"/>
      <c r="AD342" s="271"/>
      <c r="AE342" s="309"/>
      <c r="AF342" s="310"/>
      <c r="AG342" s="309"/>
      <c r="AH342" s="310"/>
      <c r="AI342" s="309"/>
      <c r="AJ342" s="310"/>
      <c r="AK342" s="309"/>
      <c r="AL342" s="310"/>
      <c r="AM342" s="309"/>
      <c r="AN342" s="310"/>
      <c r="AO342" s="309"/>
      <c r="AP342" s="310"/>
      <c r="AQ342" s="309"/>
      <c r="AR342" s="310"/>
      <c r="AS342" s="309"/>
      <c r="AT342" s="310"/>
      <c r="AU342" s="309"/>
      <c r="AV342" s="310"/>
      <c r="AW342" s="309"/>
      <c r="AX342" s="310"/>
      <c r="AY342" s="309"/>
      <c r="AZ342" s="310"/>
      <c r="BA342" s="271"/>
      <c r="BB342" s="271"/>
      <c r="BC342" s="271"/>
      <c r="BD342" s="271"/>
      <c r="BE342" s="271"/>
      <c r="BF342" s="271"/>
    </row>
    <row r="343" spans="2:58" ht="16" thickBot="1" x14ac:dyDescent="0.25">
      <c r="B343" s="289">
        <v>45696</v>
      </c>
      <c r="C343" s="299">
        <v>872.7</v>
      </c>
      <c r="D343" s="300"/>
      <c r="E343" s="274" t="s">
        <v>637</v>
      </c>
      <c r="F343" s="302"/>
      <c r="G343" s="309"/>
      <c r="H343" s="310"/>
      <c r="I343" s="309"/>
      <c r="J343" s="310"/>
      <c r="K343" s="309"/>
      <c r="L343" s="310"/>
      <c r="M343" s="309"/>
      <c r="N343" s="310"/>
      <c r="O343" s="271"/>
      <c r="P343" s="271"/>
      <c r="Q343" s="309"/>
      <c r="R343" s="310"/>
      <c r="S343" s="309"/>
      <c r="T343" s="310"/>
      <c r="U343" s="309"/>
      <c r="V343" s="310"/>
      <c r="W343" s="309"/>
      <c r="X343" s="310"/>
      <c r="Y343" s="309"/>
      <c r="Z343" s="310"/>
      <c r="AA343" s="309"/>
      <c r="AB343" s="310"/>
      <c r="AC343" s="271"/>
      <c r="AD343" s="271"/>
      <c r="AE343" s="309"/>
      <c r="AF343" s="310"/>
      <c r="AG343" s="309"/>
      <c r="AH343" s="310"/>
      <c r="AI343" s="309"/>
      <c r="AJ343" s="310"/>
      <c r="AK343" s="309"/>
      <c r="AL343" s="310"/>
      <c r="AM343" s="309"/>
      <c r="AN343" s="310"/>
      <c r="AO343" s="309"/>
      <c r="AP343" s="310"/>
      <c r="AQ343" s="309"/>
      <c r="AR343" s="310"/>
      <c r="AS343" s="309"/>
      <c r="AT343" s="310"/>
      <c r="AU343" s="309"/>
      <c r="AV343" s="310"/>
      <c r="AW343" s="309"/>
      <c r="AX343" s="310"/>
      <c r="AY343" s="309"/>
      <c r="AZ343" s="310"/>
      <c r="BA343" s="271"/>
      <c r="BB343" s="271"/>
      <c r="BC343" s="271"/>
      <c r="BD343" s="271"/>
      <c r="BE343" s="271"/>
      <c r="BF343" s="271"/>
    </row>
    <row r="344" spans="2:58" ht="16" thickBot="1" x14ac:dyDescent="0.25">
      <c r="B344" s="289"/>
      <c r="C344" s="299">
        <v>18755</v>
      </c>
      <c r="D344" s="300"/>
      <c r="E344" s="275" t="s">
        <v>12</v>
      </c>
      <c r="F344" s="302"/>
      <c r="G344" s="309"/>
      <c r="H344" s="310"/>
      <c r="I344" s="309"/>
      <c r="J344" s="310"/>
      <c r="K344" s="309"/>
      <c r="L344" s="310"/>
      <c r="M344" s="309"/>
      <c r="N344" s="310"/>
      <c r="O344" s="271"/>
      <c r="P344" s="271"/>
      <c r="Q344" s="309"/>
      <c r="R344" s="310"/>
      <c r="S344" s="309"/>
      <c r="T344" s="310"/>
      <c r="U344" s="309"/>
      <c r="V344" s="310"/>
      <c r="W344" s="309"/>
      <c r="X344" s="310"/>
      <c r="Y344" s="309"/>
      <c r="Z344" s="310"/>
      <c r="AA344" s="309"/>
      <c r="AB344" s="310"/>
      <c r="AC344" s="271"/>
      <c r="AD344" s="271"/>
      <c r="AE344" s="309"/>
      <c r="AF344" s="310"/>
      <c r="AG344" s="309"/>
      <c r="AH344" s="310"/>
      <c r="AI344" s="309"/>
      <c r="AJ344" s="310"/>
      <c r="AK344" s="309"/>
      <c r="AL344" s="310"/>
      <c r="AM344" s="309"/>
      <c r="AN344" s="310"/>
      <c r="AO344" s="309"/>
      <c r="AP344" s="310"/>
      <c r="AQ344" s="309"/>
      <c r="AR344" s="310"/>
      <c r="AS344" s="309"/>
      <c r="AT344" s="310"/>
      <c r="AU344" s="309"/>
      <c r="AV344" s="310"/>
      <c r="AW344" s="309"/>
      <c r="AX344" s="310"/>
      <c r="AY344" s="309"/>
      <c r="AZ344" s="310"/>
      <c r="BA344" s="271"/>
      <c r="BB344" s="271"/>
      <c r="BC344" s="271"/>
      <c r="BD344" s="271"/>
      <c r="BE344" s="271"/>
      <c r="BF344" s="271"/>
    </row>
    <row r="345" spans="2:58" ht="16" thickBot="1" x14ac:dyDescent="0.25">
      <c r="B345" s="288" t="s">
        <v>25</v>
      </c>
      <c r="C345" s="284"/>
      <c r="D345" s="291"/>
      <c r="E345" s="290"/>
      <c r="F345" s="293"/>
      <c r="G345" s="309"/>
      <c r="H345" s="310"/>
      <c r="I345" s="309"/>
      <c r="J345" s="310"/>
      <c r="K345" s="309"/>
      <c r="L345" s="310"/>
      <c r="M345" s="309"/>
      <c r="N345" s="310"/>
      <c r="O345" s="271"/>
      <c r="P345" s="271"/>
      <c r="Q345" s="309"/>
      <c r="R345" s="310"/>
      <c r="S345" s="309"/>
      <c r="T345" s="310"/>
      <c r="U345" s="309"/>
      <c r="V345" s="310"/>
      <c r="W345" s="309"/>
      <c r="X345" s="310"/>
      <c r="Y345" s="309"/>
      <c r="Z345" s="310"/>
      <c r="AA345" s="309"/>
      <c r="AB345" s="310"/>
      <c r="AC345" s="271"/>
      <c r="AD345" s="271"/>
      <c r="AE345" s="309"/>
      <c r="AF345" s="310"/>
      <c r="AG345" s="309"/>
      <c r="AH345" s="310"/>
      <c r="AI345" s="309"/>
      <c r="AJ345" s="310"/>
      <c r="AK345" s="309"/>
      <c r="AL345" s="310"/>
      <c r="AM345" s="309"/>
      <c r="AN345" s="310"/>
      <c r="AO345" s="309"/>
      <c r="AP345" s="310"/>
      <c r="AQ345" s="309"/>
      <c r="AR345" s="310"/>
      <c r="AS345" s="309"/>
      <c r="AT345" s="310"/>
      <c r="AU345" s="309"/>
      <c r="AV345" s="310"/>
      <c r="AW345" s="309"/>
      <c r="AX345" s="310"/>
      <c r="AY345" s="309"/>
      <c r="AZ345" s="310"/>
      <c r="BA345" s="271"/>
      <c r="BB345" s="271"/>
      <c r="BC345" s="271"/>
      <c r="BD345" s="271"/>
      <c r="BE345" s="271"/>
      <c r="BF345" s="271"/>
    </row>
    <row r="346" spans="2:58" ht="16" thickBot="1" x14ac:dyDescent="0.25">
      <c r="B346" s="668"/>
      <c r="C346" s="640">
        <f>SUM(C343:C345)</f>
        <v>19627.7</v>
      </c>
      <c r="D346" s="159"/>
      <c r="E346" s="270"/>
      <c r="F346" s="271"/>
      <c r="G346" s="309"/>
      <c r="H346" s="310"/>
      <c r="I346" s="309"/>
      <c r="J346" s="310"/>
      <c r="K346" s="309"/>
      <c r="L346" s="310"/>
      <c r="M346" s="309"/>
      <c r="N346" s="310"/>
      <c r="O346" s="271"/>
      <c r="P346" s="271"/>
      <c r="Q346" s="309"/>
      <c r="R346" s="310"/>
      <c r="S346" s="309"/>
      <c r="T346" s="310"/>
      <c r="U346" s="309"/>
      <c r="V346" s="310"/>
      <c r="W346" s="309"/>
      <c r="X346" s="310"/>
      <c r="Y346" s="309"/>
      <c r="Z346" s="310"/>
      <c r="AA346" s="309"/>
      <c r="AB346" s="310"/>
      <c r="AC346" s="271"/>
      <c r="AD346" s="271"/>
      <c r="AE346" s="309"/>
      <c r="AF346" s="310"/>
      <c r="AG346" s="309"/>
      <c r="AH346" s="310"/>
      <c r="AI346" s="309"/>
      <c r="AJ346" s="310"/>
      <c r="AK346" s="309"/>
      <c r="AL346" s="310"/>
      <c r="AM346" s="309"/>
      <c r="AN346" s="310"/>
      <c r="AO346" s="309"/>
      <c r="AP346" s="310"/>
      <c r="AQ346" s="309"/>
      <c r="AR346" s="310"/>
      <c r="AS346" s="309"/>
      <c r="AT346" s="310"/>
      <c r="AU346" s="309"/>
      <c r="AV346" s="310"/>
      <c r="AW346" s="309"/>
      <c r="AX346" s="310"/>
      <c r="AY346" s="309"/>
      <c r="AZ346" s="310"/>
      <c r="BA346" s="271"/>
      <c r="BB346" s="271"/>
      <c r="BC346" s="271"/>
      <c r="BD346" s="271"/>
      <c r="BE346" s="271"/>
      <c r="BF346" s="271"/>
    </row>
    <row r="347" spans="2:58" ht="16" thickBot="1" x14ac:dyDescent="0.25">
      <c r="B347" s="479">
        <v>45697</v>
      </c>
      <c r="C347" s="657">
        <v>1500</v>
      </c>
      <c r="D347" s="641"/>
      <c r="E347" s="274" t="s">
        <v>3</v>
      </c>
      <c r="F347" s="301"/>
      <c r="G347" s="550"/>
      <c r="H347" s="310"/>
      <c r="I347" s="309"/>
      <c r="J347" s="310"/>
      <c r="K347" s="309"/>
      <c r="L347" s="310"/>
      <c r="M347" s="309"/>
      <c r="N347" s="310"/>
      <c r="O347" s="271"/>
      <c r="P347" s="271"/>
      <c r="Q347" s="309"/>
      <c r="R347" s="310"/>
      <c r="S347" s="309"/>
      <c r="T347" s="310"/>
      <c r="U347" s="309"/>
      <c r="V347" s="310"/>
      <c r="W347" s="309"/>
      <c r="X347" s="310"/>
      <c r="Y347" s="309"/>
      <c r="Z347" s="310"/>
      <c r="AA347" s="309"/>
      <c r="AB347" s="310"/>
      <c r="AC347" s="271"/>
      <c r="AD347" s="271"/>
      <c r="AE347" s="309"/>
      <c r="AF347" s="310"/>
      <c r="AG347" s="309"/>
      <c r="AH347" s="310"/>
      <c r="AI347" s="309"/>
      <c r="AJ347" s="310"/>
      <c r="AK347" s="309"/>
      <c r="AL347" s="310"/>
      <c r="AM347" s="309"/>
      <c r="AN347" s="310"/>
      <c r="AO347" s="309"/>
      <c r="AP347" s="310"/>
      <c r="AQ347" s="309"/>
      <c r="AR347" s="310"/>
      <c r="AS347" s="309"/>
      <c r="AT347" s="310"/>
      <c r="AU347" s="309"/>
      <c r="AV347" s="310"/>
      <c r="AW347" s="309"/>
      <c r="AX347" s="310"/>
      <c r="AY347" s="309"/>
      <c r="AZ347" s="310"/>
      <c r="BA347" s="271"/>
      <c r="BB347" s="271"/>
      <c r="BC347" s="271"/>
      <c r="BD347" s="271"/>
      <c r="BE347" s="271"/>
      <c r="BF347" s="271"/>
    </row>
    <row r="348" spans="2:58" ht="16" thickBot="1" x14ac:dyDescent="0.25">
      <c r="B348" s="479"/>
      <c r="C348" s="657">
        <v>314.91000000000003</v>
      </c>
      <c r="D348" s="657"/>
      <c r="E348" s="285"/>
      <c r="F348" s="302" t="s">
        <v>14</v>
      </c>
      <c r="G348" s="550"/>
      <c r="H348" s="310"/>
      <c r="I348" s="309"/>
      <c r="J348" s="310"/>
      <c r="K348" s="309"/>
      <c r="L348" s="310"/>
      <c r="M348" s="309"/>
      <c r="N348" s="310"/>
      <c r="O348" s="271"/>
      <c r="P348" s="271"/>
      <c r="Q348" s="309"/>
      <c r="R348" s="310"/>
      <c r="S348" s="309"/>
      <c r="T348" s="310"/>
      <c r="U348" s="309"/>
      <c r="V348" s="310"/>
      <c r="W348" s="309"/>
      <c r="X348" s="310"/>
      <c r="Y348" s="309"/>
      <c r="Z348" s="310"/>
      <c r="AA348" s="309"/>
      <c r="AB348" s="310"/>
      <c r="AC348" s="271"/>
      <c r="AD348" s="271"/>
      <c r="AE348" s="309">
        <v>9</v>
      </c>
      <c r="AF348" s="310">
        <v>314.91000000000003</v>
      </c>
      <c r="AG348" s="309"/>
      <c r="AH348" s="310"/>
      <c r="AI348" s="309"/>
      <c r="AJ348" s="310"/>
      <c r="AK348" s="309"/>
      <c r="AL348" s="310"/>
      <c r="AM348" s="309"/>
      <c r="AN348" s="310"/>
      <c r="AO348" s="309"/>
      <c r="AP348" s="310"/>
      <c r="AQ348" s="309"/>
      <c r="AR348" s="310"/>
      <c r="AS348" s="309"/>
      <c r="AT348" s="310"/>
      <c r="AU348" s="309"/>
      <c r="AV348" s="310"/>
      <c r="AW348" s="309"/>
      <c r="AX348" s="310"/>
      <c r="AY348" s="309"/>
      <c r="AZ348" s="310"/>
      <c r="BA348" s="271"/>
      <c r="BB348" s="271"/>
      <c r="BC348" s="271"/>
      <c r="BD348" s="271"/>
      <c r="BE348" s="271"/>
      <c r="BF348" s="271"/>
    </row>
    <row r="349" spans="2:58" ht="16" thickBot="1" x14ac:dyDescent="0.25">
      <c r="B349" s="479"/>
      <c r="C349" s="657">
        <v>7082.37</v>
      </c>
      <c r="D349" s="657"/>
      <c r="E349" s="285"/>
      <c r="F349" s="302" t="s">
        <v>9</v>
      </c>
      <c r="G349" s="550">
        <v>10</v>
      </c>
      <c r="H349" s="310">
        <v>1369.9</v>
      </c>
      <c r="I349" s="309">
        <v>4</v>
      </c>
      <c r="J349" s="310">
        <v>411.96</v>
      </c>
      <c r="K349" s="309">
        <v>9</v>
      </c>
      <c r="L349" s="310">
        <v>1637.91</v>
      </c>
      <c r="M349" s="309">
        <v>12</v>
      </c>
      <c r="N349" s="310">
        <v>2003.88</v>
      </c>
      <c r="O349" s="271"/>
      <c r="P349" s="271"/>
      <c r="Q349" s="309">
        <v>1</v>
      </c>
      <c r="R349" s="310">
        <v>134.99</v>
      </c>
      <c r="S349" s="309"/>
      <c r="T349" s="310"/>
      <c r="U349" s="309"/>
      <c r="V349" s="310"/>
      <c r="W349" s="309">
        <v>6</v>
      </c>
      <c r="X349" s="310">
        <v>257.94</v>
      </c>
      <c r="Y349" s="309"/>
      <c r="Z349" s="310"/>
      <c r="AA349" s="309"/>
      <c r="AB349" s="310"/>
      <c r="AC349" s="271">
        <v>8</v>
      </c>
      <c r="AD349" s="271">
        <v>791.92</v>
      </c>
      <c r="AE349" s="309"/>
      <c r="AF349" s="310"/>
      <c r="AG349" s="309"/>
      <c r="AH349" s="310"/>
      <c r="AI349" s="309">
        <v>4</v>
      </c>
      <c r="AJ349" s="310">
        <v>23.96</v>
      </c>
      <c r="AK349" s="309"/>
      <c r="AL349" s="310"/>
      <c r="AM349" s="309">
        <v>1</v>
      </c>
      <c r="AN349" s="310">
        <v>49.99</v>
      </c>
      <c r="AO349" s="309"/>
      <c r="AP349" s="310"/>
      <c r="AQ349" s="309"/>
      <c r="AR349" s="310"/>
      <c r="AS349" s="309"/>
      <c r="AT349" s="310"/>
      <c r="AU349" s="309"/>
      <c r="AV349" s="310"/>
      <c r="AW349" s="309"/>
      <c r="AX349" s="310"/>
      <c r="AY349" s="309"/>
      <c r="AZ349" s="310"/>
      <c r="BA349" s="271">
        <v>1</v>
      </c>
      <c r="BB349" s="271">
        <v>27.99</v>
      </c>
      <c r="BC349" s="271"/>
      <c r="BD349" s="271"/>
      <c r="BE349" s="271">
        <v>1</v>
      </c>
      <c r="BF349" s="271">
        <v>59.99</v>
      </c>
    </row>
    <row r="350" spans="2:58" ht="16" thickBot="1" x14ac:dyDescent="0.25">
      <c r="B350" s="479"/>
      <c r="C350" s="657"/>
      <c r="D350" s="657"/>
      <c r="E350" s="285"/>
      <c r="F350" s="302"/>
      <c r="G350" s="550"/>
      <c r="H350" s="310"/>
      <c r="I350" s="309"/>
      <c r="J350" s="310"/>
      <c r="K350" s="309"/>
      <c r="L350" s="310"/>
      <c r="M350" s="309"/>
      <c r="N350" s="310"/>
      <c r="O350" s="271"/>
      <c r="P350" s="271"/>
      <c r="Q350" s="309"/>
      <c r="R350" s="310"/>
      <c r="S350" s="309"/>
      <c r="T350" s="310"/>
      <c r="U350" s="309"/>
      <c r="V350" s="310"/>
      <c r="W350" s="309"/>
      <c r="X350" s="310"/>
      <c r="Y350" s="309"/>
      <c r="Z350" s="310"/>
      <c r="AA350" s="309"/>
      <c r="AB350" s="310"/>
      <c r="AC350" s="271"/>
      <c r="AD350" s="271"/>
      <c r="AE350" s="309"/>
      <c r="AF350" s="310"/>
      <c r="AG350" s="309"/>
      <c r="AH350" s="310"/>
      <c r="AI350" s="309"/>
      <c r="AJ350" s="310"/>
      <c r="AK350" s="309"/>
      <c r="AL350" s="310"/>
      <c r="AM350" s="309"/>
      <c r="AN350" s="310"/>
      <c r="AO350" s="309"/>
      <c r="AP350" s="310"/>
      <c r="AQ350" s="309"/>
      <c r="AR350" s="310"/>
      <c r="AS350" s="309"/>
      <c r="AT350" s="310"/>
      <c r="AU350" s="309"/>
      <c r="AV350" s="310"/>
      <c r="AW350" s="309"/>
      <c r="AX350" s="310"/>
      <c r="AY350" s="309"/>
      <c r="AZ350" s="310"/>
      <c r="BA350" s="271"/>
      <c r="BB350" s="271"/>
      <c r="BC350" s="271"/>
      <c r="BD350" s="271"/>
      <c r="BE350" s="271"/>
      <c r="BF350" s="271"/>
    </row>
    <row r="351" spans="2:58" ht="16" thickBot="1" x14ac:dyDescent="0.25">
      <c r="B351" s="479"/>
      <c r="C351" s="657"/>
      <c r="D351" s="657"/>
      <c r="E351" s="285"/>
      <c r="F351" s="302"/>
      <c r="G351" s="550"/>
      <c r="H351" s="310"/>
      <c r="I351" s="309"/>
      <c r="J351" s="310"/>
      <c r="K351" s="309"/>
      <c r="L351" s="310"/>
      <c r="M351" s="309"/>
      <c r="N351" s="310"/>
      <c r="O351" s="271"/>
      <c r="P351" s="271"/>
      <c r="Q351" s="309"/>
      <c r="R351" s="310"/>
      <c r="S351" s="309"/>
      <c r="T351" s="310"/>
      <c r="U351" s="309"/>
      <c r="V351" s="310"/>
      <c r="W351" s="309"/>
      <c r="X351" s="310"/>
      <c r="Y351" s="309"/>
      <c r="Z351" s="310"/>
      <c r="AA351" s="309"/>
      <c r="AB351" s="310"/>
      <c r="AC351" s="271"/>
      <c r="AD351" s="271"/>
      <c r="AE351" s="309"/>
      <c r="AF351" s="310"/>
      <c r="AG351" s="309"/>
      <c r="AH351" s="310"/>
      <c r="AI351" s="309"/>
      <c r="AJ351" s="310"/>
      <c r="AK351" s="309"/>
      <c r="AL351" s="310"/>
      <c r="AM351" s="309"/>
      <c r="AN351" s="310"/>
      <c r="AO351" s="309"/>
      <c r="AP351" s="310"/>
      <c r="AQ351" s="309"/>
      <c r="AR351" s="310"/>
      <c r="AS351" s="309"/>
      <c r="AT351" s="310"/>
      <c r="AU351" s="309"/>
      <c r="AV351" s="310"/>
      <c r="AW351" s="309"/>
      <c r="AX351" s="310"/>
      <c r="AY351" s="309"/>
      <c r="AZ351" s="310"/>
      <c r="BA351" s="271"/>
      <c r="BB351" s="271"/>
      <c r="BC351" s="271"/>
      <c r="BD351" s="271"/>
      <c r="BE351" s="271"/>
      <c r="BF351" s="271"/>
    </row>
    <row r="352" spans="2:58" ht="16" thickBot="1" x14ac:dyDescent="0.25">
      <c r="B352" s="479"/>
      <c r="C352" s="657"/>
      <c r="D352" s="657"/>
      <c r="E352" s="285"/>
      <c r="F352" s="302"/>
      <c r="G352" s="550"/>
      <c r="H352" s="310"/>
      <c r="I352" s="309"/>
      <c r="J352" s="310"/>
      <c r="K352" s="309"/>
      <c r="L352" s="310"/>
      <c r="M352" s="309"/>
      <c r="N352" s="310"/>
      <c r="O352" s="271"/>
      <c r="P352" s="271"/>
      <c r="Q352" s="309"/>
      <c r="R352" s="310"/>
      <c r="S352" s="309"/>
      <c r="T352" s="310"/>
      <c r="U352" s="309"/>
      <c r="V352" s="310"/>
      <c r="W352" s="309"/>
      <c r="X352" s="310"/>
      <c r="Y352" s="309"/>
      <c r="Z352" s="310"/>
      <c r="AA352" s="309"/>
      <c r="AB352" s="310"/>
      <c r="AC352" s="271"/>
      <c r="AD352" s="271"/>
      <c r="AE352" s="309"/>
      <c r="AF352" s="310"/>
      <c r="AG352" s="309"/>
      <c r="AH352" s="310"/>
      <c r="AI352" s="309"/>
      <c r="AJ352" s="310"/>
      <c r="AK352" s="309"/>
      <c r="AL352" s="310"/>
      <c r="AM352" s="309"/>
      <c r="AN352" s="310"/>
      <c r="AO352" s="309"/>
      <c r="AP352" s="310"/>
      <c r="AQ352" s="309"/>
      <c r="AR352" s="310"/>
      <c r="AS352" s="309"/>
      <c r="AT352" s="310"/>
      <c r="AU352" s="309"/>
      <c r="AV352" s="310"/>
      <c r="AW352" s="309"/>
      <c r="AX352" s="310"/>
      <c r="AY352" s="309"/>
      <c r="AZ352" s="310"/>
      <c r="BA352" s="271"/>
      <c r="BB352" s="271"/>
      <c r="BC352" s="271"/>
      <c r="BD352" s="271"/>
      <c r="BE352" s="271"/>
      <c r="BF352" s="271"/>
    </row>
    <row r="353" spans="2:58" ht="16" thickBot="1" x14ac:dyDescent="0.25">
      <c r="B353" s="549" t="s">
        <v>26</v>
      </c>
      <c r="C353" s="554"/>
      <c r="D353" s="291"/>
      <c r="E353" s="290"/>
      <c r="F353" s="293"/>
      <c r="G353" s="550"/>
      <c r="H353" s="310"/>
      <c r="I353" s="309"/>
      <c r="J353" s="310"/>
      <c r="K353" s="309"/>
      <c r="L353" s="310"/>
      <c r="M353" s="309"/>
      <c r="N353" s="310"/>
      <c r="O353" s="271"/>
      <c r="P353" s="271"/>
      <c r="Q353" s="309"/>
      <c r="R353" s="310"/>
      <c r="S353" s="309"/>
      <c r="T353" s="310"/>
      <c r="U353" s="309"/>
      <c r="V353" s="310"/>
      <c r="W353" s="309"/>
      <c r="X353" s="310"/>
      <c r="Y353" s="309"/>
      <c r="Z353" s="310"/>
      <c r="AA353" s="309"/>
      <c r="AB353" s="310"/>
      <c r="AC353" s="271"/>
      <c r="AD353" s="271"/>
      <c r="AE353" s="309"/>
      <c r="AF353" s="310"/>
      <c r="AG353" s="309"/>
      <c r="AH353" s="310"/>
      <c r="AI353" s="309"/>
      <c r="AJ353" s="310"/>
      <c r="AK353" s="309"/>
      <c r="AL353" s="310"/>
      <c r="AM353" s="309"/>
      <c r="AN353" s="310"/>
      <c r="AO353" s="309"/>
      <c r="AP353" s="310"/>
      <c r="AQ353" s="309"/>
      <c r="AR353" s="310"/>
      <c r="AS353" s="309"/>
      <c r="AT353" s="310"/>
      <c r="AU353" s="309"/>
      <c r="AV353" s="310"/>
      <c r="AW353" s="309"/>
      <c r="AX353" s="310"/>
      <c r="AY353" s="309"/>
      <c r="AZ353" s="310"/>
      <c r="BA353" s="271"/>
      <c r="BB353" s="271"/>
      <c r="BC353" s="271"/>
      <c r="BD353" s="271"/>
      <c r="BE353" s="271"/>
      <c r="BF353" s="271"/>
    </row>
    <row r="354" spans="2:58" ht="16" thickBot="1" x14ac:dyDescent="0.25">
      <c r="B354" s="292"/>
      <c r="C354" s="551">
        <f>SUM(C347:C353)</f>
        <v>8897.2800000000007</v>
      </c>
      <c r="D354" s="551"/>
      <c r="E354" s="552"/>
      <c r="F354" s="553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  <c r="AA354" s="271"/>
      <c r="AB354" s="271"/>
      <c r="AC354" s="271"/>
      <c r="AD354" s="271"/>
      <c r="AE354" s="309"/>
      <c r="AF354" s="310"/>
      <c r="AG354" s="309"/>
      <c r="AH354" s="310"/>
      <c r="AI354" s="309"/>
      <c r="AJ354" s="310"/>
      <c r="AK354" s="309"/>
      <c r="AL354" s="310"/>
      <c r="AM354" s="309"/>
      <c r="AN354" s="310"/>
      <c r="AO354" s="309"/>
      <c r="AP354" s="310"/>
      <c r="AQ354" s="309"/>
      <c r="AR354" s="310"/>
      <c r="AS354" s="309"/>
      <c r="AT354" s="310"/>
      <c r="AU354" s="309"/>
      <c r="AV354" s="310"/>
      <c r="AW354" s="309"/>
      <c r="AX354" s="310"/>
      <c r="AY354" s="309"/>
      <c r="AZ354" s="310"/>
      <c r="BA354" s="271"/>
      <c r="BB354" s="271"/>
      <c r="BC354" s="271"/>
      <c r="BD354" s="271"/>
      <c r="BE354" s="271"/>
      <c r="BF354" s="271"/>
    </row>
    <row r="355" spans="2:58" ht="16" thickBot="1" x14ac:dyDescent="0.25">
      <c r="B355" s="761" t="s">
        <v>329</v>
      </c>
      <c r="C355" s="311"/>
      <c r="D355" s="312"/>
      <c r="E355" s="285"/>
      <c r="F355" s="302"/>
      <c r="G355" s="306">
        <f t="shared" ref="G355:AD355" si="10">SUM(G316:G353)</f>
        <v>26</v>
      </c>
      <c r="H355" s="307">
        <f t="shared" si="10"/>
        <v>3579.7400000000002</v>
      </c>
      <c r="I355" s="306">
        <f t="shared" si="10"/>
        <v>11</v>
      </c>
      <c r="J355" s="307">
        <f t="shared" si="10"/>
        <v>1876.89</v>
      </c>
      <c r="K355" s="306">
        <f t="shared" si="10"/>
        <v>23</v>
      </c>
      <c r="L355" s="307">
        <f t="shared" si="10"/>
        <v>4185.7700000000004</v>
      </c>
      <c r="M355" s="306">
        <f t="shared" si="10"/>
        <v>34</v>
      </c>
      <c r="N355" s="307">
        <f t="shared" si="10"/>
        <v>5557.66</v>
      </c>
      <c r="O355" s="308">
        <f t="shared" si="10"/>
        <v>16</v>
      </c>
      <c r="P355" s="308">
        <f t="shared" si="10"/>
        <v>8130</v>
      </c>
      <c r="Q355" s="306">
        <f t="shared" si="10"/>
        <v>2</v>
      </c>
      <c r="R355" s="307">
        <f t="shared" si="10"/>
        <v>269.98</v>
      </c>
      <c r="S355" s="306">
        <f t="shared" si="10"/>
        <v>6</v>
      </c>
      <c r="T355" s="307">
        <f t="shared" si="10"/>
        <v>5451</v>
      </c>
      <c r="U355" s="306">
        <f t="shared" si="10"/>
        <v>18</v>
      </c>
      <c r="V355" s="307">
        <f t="shared" si="10"/>
        <v>9522</v>
      </c>
      <c r="W355" s="306">
        <f t="shared" si="10"/>
        <v>16</v>
      </c>
      <c r="X355" s="307">
        <f t="shared" si="10"/>
        <v>687.83999999999992</v>
      </c>
      <c r="Y355" s="306">
        <f t="shared" si="10"/>
        <v>0</v>
      </c>
      <c r="Z355" s="307">
        <f t="shared" si="10"/>
        <v>0</v>
      </c>
      <c r="AA355" s="306">
        <f t="shared" si="10"/>
        <v>2</v>
      </c>
      <c r="AB355" s="307">
        <f t="shared" si="10"/>
        <v>8050</v>
      </c>
      <c r="AC355" s="308">
        <f t="shared" si="10"/>
        <v>18</v>
      </c>
      <c r="AD355" s="308">
        <f t="shared" si="10"/>
        <v>1781.82</v>
      </c>
      <c r="AE355" s="306">
        <f t="shared" ref="AE355:BF355" si="11">SUM(AE316:AE354)</f>
        <v>27</v>
      </c>
      <c r="AF355" s="307">
        <f t="shared" si="11"/>
        <v>944.73</v>
      </c>
      <c r="AG355" s="306">
        <f t="shared" si="11"/>
        <v>0</v>
      </c>
      <c r="AH355" s="307">
        <f t="shared" si="11"/>
        <v>0</v>
      </c>
      <c r="AI355" s="306">
        <f t="shared" si="11"/>
        <v>4</v>
      </c>
      <c r="AJ355" s="307">
        <f t="shared" si="11"/>
        <v>23.96</v>
      </c>
      <c r="AK355" s="306">
        <f t="shared" si="11"/>
        <v>3</v>
      </c>
      <c r="AL355" s="307">
        <f t="shared" si="11"/>
        <v>509.8</v>
      </c>
      <c r="AM355" s="306">
        <f t="shared" si="11"/>
        <v>1</v>
      </c>
      <c r="AN355" s="307">
        <f t="shared" si="11"/>
        <v>49.99</v>
      </c>
      <c r="AO355" s="306">
        <f t="shared" si="11"/>
        <v>20</v>
      </c>
      <c r="AP355" s="307">
        <f t="shared" si="11"/>
        <v>600</v>
      </c>
      <c r="AQ355" s="306">
        <f t="shared" si="11"/>
        <v>20</v>
      </c>
      <c r="AR355" s="307">
        <f t="shared" si="11"/>
        <v>600</v>
      </c>
      <c r="AS355" s="306">
        <f t="shared" si="11"/>
        <v>0</v>
      </c>
      <c r="AT355" s="307">
        <f t="shared" si="11"/>
        <v>0</v>
      </c>
      <c r="AU355" s="306">
        <f t="shared" si="11"/>
        <v>0</v>
      </c>
      <c r="AV355" s="307">
        <f t="shared" si="11"/>
        <v>0</v>
      </c>
      <c r="AW355" s="306">
        <f t="shared" si="11"/>
        <v>15</v>
      </c>
      <c r="AX355" s="307">
        <f t="shared" si="11"/>
        <v>3578.77</v>
      </c>
      <c r="AY355" s="306">
        <f t="shared" si="11"/>
        <v>15</v>
      </c>
      <c r="AZ355" s="307">
        <f t="shared" si="11"/>
        <v>3578.77</v>
      </c>
      <c r="BA355" s="306">
        <f t="shared" si="11"/>
        <v>3</v>
      </c>
      <c r="BB355" s="307">
        <f t="shared" si="11"/>
        <v>81.97</v>
      </c>
      <c r="BC355" s="306">
        <f t="shared" si="11"/>
        <v>0</v>
      </c>
      <c r="BD355" s="307">
        <f t="shared" si="11"/>
        <v>0</v>
      </c>
      <c r="BE355" s="306">
        <f t="shared" si="11"/>
        <v>2</v>
      </c>
      <c r="BF355" s="307">
        <f t="shared" si="11"/>
        <v>135.97999999999999</v>
      </c>
    </row>
    <row r="356" spans="2:58" ht="16" thickBot="1" x14ac:dyDescent="0.25">
      <c r="B356" s="762"/>
      <c r="C356" s="160">
        <f>SUM(C354,C346,C342,C338,C329,C326,C316)</f>
        <v>97318.84</v>
      </c>
      <c r="D356" s="160"/>
      <c r="E356" s="304"/>
      <c r="F356" s="294"/>
      <c r="G356" s="752" t="s">
        <v>29</v>
      </c>
      <c r="H356" s="752"/>
      <c r="I356" s="752" t="s">
        <v>30</v>
      </c>
      <c r="J356" s="752"/>
      <c r="K356" s="752" t="s">
        <v>31</v>
      </c>
      <c r="L356" s="752"/>
      <c r="M356" s="752" t="s">
        <v>32</v>
      </c>
      <c r="N356" s="752"/>
      <c r="O356" s="752" t="s">
        <v>33</v>
      </c>
      <c r="P356" s="752"/>
      <c r="Q356" s="752" t="s">
        <v>247</v>
      </c>
      <c r="R356" s="752"/>
      <c r="S356" s="752" t="s">
        <v>34</v>
      </c>
      <c r="T356" s="752"/>
      <c r="U356" s="752" t="s">
        <v>35</v>
      </c>
      <c r="V356" s="752"/>
      <c r="W356" s="752" t="s">
        <v>36</v>
      </c>
      <c r="X356" s="752"/>
      <c r="Y356" s="752" t="s">
        <v>37</v>
      </c>
      <c r="Z356" s="752"/>
      <c r="AA356" s="752" t="s">
        <v>38</v>
      </c>
      <c r="AB356" s="752"/>
      <c r="AC356" s="752" t="s">
        <v>39</v>
      </c>
      <c r="AD356" s="752"/>
      <c r="AE356" s="752" t="s">
        <v>40</v>
      </c>
      <c r="AF356" s="752"/>
      <c r="AG356" s="752" t="s">
        <v>41</v>
      </c>
      <c r="AH356" s="752"/>
      <c r="AI356" s="752" t="s">
        <v>42</v>
      </c>
      <c r="AJ356" s="752"/>
      <c r="AK356" s="752" t="s">
        <v>43</v>
      </c>
      <c r="AL356" s="752"/>
      <c r="AM356" s="752" t="s">
        <v>157</v>
      </c>
      <c r="AN356" s="752"/>
      <c r="AO356" s="752" t="s">
        <v>248</v>
      </c>
      <c r="AP356" s="752"/>
      <c r="AQ356" s="752" t="s">
        <v>249</v>
      </c>
      <c r="AR356" s="752"/>
      <c r="AS356" s="752" t="s">
        <v>150</v>
      </c>
      <c r="AT356" s="752"/>
      <c r="AU356" s="752" t="s">
        <v>151</v>
      </c>
      <c r="AV356" s="752"/>
      <c r="AW356" s="752" t="s">
        <v>44</v>
      </c>
      <c r="AX356" s="752"/>
      <c r="AY356" s="752" t="s">
        <v>250</v>
      </c>
      <c r="AZ356" s="752"/>
      <c r="BA356" s="752" t="s">
        <v>45</v>
      </c>
      <c r="BB356" s="752"/>
      <c r="BC356" s="752" t="s">
        <v>46</v>
      </c>
      <c r="BD356" s="752"/>
      <c r="BE356" s="752" t="s">
        <v>92</v>
      </c>
      <c r="BF356" s="752"/>
    </row>
    <row r="357" spans="2:58" ht="16" thickBot="1" x14ac:dyDescent="0.25">
      <c r="B357" s="282"/>
      <c r="C357" s="285"/>
      <c r="D357" s="275"/>
      <c r="E357" s="284"/>
      <c r="F357" s="293"/>
      <c r="G357" s="752" t="s">
        <v>50</v>
      </c>
      <c r="H357" s="752"/>
      <c r="I357" s="752" t="s">
        <v>51</v>
      </c>
      <c r="J357" s="752"/>
      <c r="K357" s="752" t="s">
        <v>51</v>
      </c>
      <c r="L357" s="752"/>
      <c r="M357" s="752" t="s">
        <v>52</v>
      </c>
      <c r="N357" s="752"/>
      <c r="O357" s="752">
        <v>180</v>
      </c>
      <c r="P357" s="752"/>
      <c r="Q357" s="752" t="s">
        <v>53</v>
      </c>
      <c r="R357" s="752"/>
      <c r="S357" s="752" t="s">
        <v>54</v>
      </c>
      <c r="T357" s="752"/>
      <c r="U357" s="752" t="s">
        <v>54</v>
      </c>
      <c r="V357" s="752"/>
      <c r="W357" s="752" t="s">
        <v>55</v>
      </c>
      <c r="X357" s="752"/>
      <c r="Y357" s="752" t="s">
        <v>54</v>
      </c>
      <c r="Z357" s="752"/>
      <c r="AA357" s="752" t="s">
        <v>54</v>
      </c>
      <c r="AB357" s="752"/>
      <c r="AC357" s="752" t="s">
        <v>56</v>
      </c>
      <c r="AD357" s="752"/>
      <c r="AE357" s="752" t="s">
        <v>57</v>
      </c>
      <c r="AF357" s="752"/>
      <c r="AG357" s="752" t="s">
        <v>57</v>
      </c>
      <c r="AH357" s="752"/>
      <c r="AI357" s="752" t="s">
        <v>58</v>
      </c>
      <c r="AJ357" s="752"/>
      <c r="AK357" s="752" t="s">
        <v>300</v>
      </c>
      <c r="AL357" s="752"/>
      <c r="AM357" s="752" t="s">
        <v>301</v>
      </c>
      <c r="AN357" s="752"/>
      <c r="AO357" s="752">
        <v>20</v>
      </c>
      <c r="AP357" s="752"/>
      <c r="AQ357" s="752">
        <v>20</v>
      </c>
      <c r="AR357" s="752"/>
      <c r="AS357" s="752" t="s">
        <v>57</v>
      </c>
      <c r="AT357" s="752"/>
      <c r="AU357" s="752" t="s">
        <v>302</v>
      </c>
      <c r="AV357" s="752"/>
      <c r="AW357" s="752">
        <v>100</v>
      </c>
      <c r="AX357" s="752"/>
      <c r="AY357" s="752">
        <v>100</v>
      </c>
      <c r="AZ357" s="752"/>
      <c r="BA357" s="752" t="s">
        <v>59</v>
      </c>
      <c r="BB357" s="752"/>
      <c r="BC357" s="752" t="s">
        <v>51</v>
      </c>
      <c r="BD357" s="752"/>
      <c r="BE357" s="752" t="s">
        <v>53</v>
      </c>
      <c r="BF357" s="752"/>
    </row>
    <row r="358" spans="2:58" ht="16" thickBot="1" x14ac:dyDescent="0.25">
      <c r="B358" s="162"/>
      <c r="C358" s="286"/>
      <c r="D358" s="273"/>
      <c r="E358" s="280"/>
      <c r="F358" s="305"/>
      <c r="G358" s="752">
        <v>151</v>
      </c>
      <c r="H358" s="752"/>
      <c r="I358" s="752">
        <v>167.99</v>
      </c>
      <c r="J358" s="752"/>
      <c r="K358" s="752">
        <v>144.99</v>
      </c>
      <c r="L358" s="752"/>
      <c r="M358" s="760">
        <v>169.99</v>
      </c>
      <c r="N358" s="760"/>
      <c r="O358" s="760">
        <v>274.99</v>
      </c>
      <c r="P358" s="760"/>
      <c r="Q358" s="760">
        <v>102.99</v>
      </c>
      <c r="R358" s="760"/>
      <c r="S358" s="752">
        <v>910.5</v>
      </c>
      <c r="T358" s="752"/>
      <c r="U358" s="752">
        <v>460.75</v>
      </c>
      <c r="V358" s="752"/>
      <c r="W358" s="752">
        <v>1048.95</v>
      </c>
      <c r="X358" s="752"/>
      <c r="Y358" s="752">
        <v>772.8</v>
      </c>
      <c r="Z358" s="752"/>
      <c r="AA358" s="752">
        <v>3450</v>
      </c>
      <c r="AB358" s="752"/>
      <c r="AC358" s="760">
        <v>89.99</v>
      </c>
      <c r="AD358" s="760"/>
      <c r="AE358" s="752">
        <v>39.99</v>
      </c>
      <c r="AF358" s="752"/>
      <c r="AG358" s="752">
        <v>498</v>
      </c>
      <c r="AH358" s="752"/>
      <c r="AI358" s="752">
        <v>4.99</v>
      </c>
      <c r="AJ358" s="752"/>
      <c r="AK358" s="752">
        <v>132.25</v>
      </c>
      <c r="AL358" s="752"/>
      <c r="AM358" s="752">
        <v>47.99</v>
      </c>
      <c r="AN358" s="752"/>
      <c r="AO358" s="752">
        <v>560</v>
      </c>
      <c r="AP358" s="752"/>
      <c r="AQ358" s="752">
        <v>560</v>
      </c>
      <c r="AR358" s="752"/>
      <c r="AS358" s="752">
        <v>613.5</v>
      </c>
      <c r="AT358" s="752"/>
      <c r="AU358" s="752">
        <v>313.89999999999998</v>
      </c>
      <c r="AV358" s="752"/>
      <c r="AW358" s="752">
        <v>405.8</v>
      </c>
      <c r="AX358" s="752"/>
      <c r="AY358" s="752">
        <v>218.99</v>
      </c>
      <c r="AZ358" s="752"/>
      <c r="BA358" s="752">
        <v>24.99</v>
      </c>
      <c r="BB358" s="752"/>
      <c r="BC358" s="752">
        <v>1425</v>
      </c>
      <c r="BD358" s="752"/>
      <c r="BE358" s="752">
        <v>54.99</v>
      </c>
      <c r="BF358" s="752"/>
    </row>
    <row r="359" spans="2:58" ht="16" thickBot="1" x14ac:dyDescent="0.25">
      <c r="B359" s="162"/>
      <c r="C359" s="753" t="str">
        <f>L359</f>
        <v>3 - 9 FEBRUARY 2025</v>
      </c>
      <c r="D359" s="754"/>
      <c r="E359" s="754"/>
      <c r="F359" s="754"/>
      <c r="G359" s="755"/>
      <c r="H359" s="756"/>
      <c r="I359" s="163"/>
      <c r="J359" s="157"/>
      <c r="K359" s="157"/>
      <c r="L359" s="757" t="str">
        <f>AL359</f>
        <v>3 - 9 FEBRUARY 2025</v>
      </c>
      <c r="M359" s="755"/>
      <c r="N359" s="755"/>
      <c r="O359" s="755"/>
      <c r="P359" s="755"/>
      <c r="Q359" s="755"/>
      <c r="R359" s="755"/>
      <c r="S359" s="755"/>
      <c r="T359" s="756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758"/>
      <c r="AH359" s="758"/>
      <c r="AI359" s="164"/>
      <c r="AJ359" s="157"/>
      <c r="AK359" s="157"/>
      <c r="AL359" s="759" t="str">
        <f>AW359</f>
        <v>3 - 9 FEBRUARY 2025</v>
      </c>
      <c r="AM359" s="759"/>
      <c r="AN359" s="759"/>
      <c r="AO359" s="759"/>
      <c r="AP359" s="157"/>
      <c r="AQ359" s="157"/>
      <c r="AR359" s="157"/>
      <c r="AS359" s="157"/>
      <c r="AT359" s="157"/>
      <c r="AU359" s="157"/>
      <c r="AV359" s="157"/>
      <c r="AW359" s="757" t="str">
        <f>AW306</f>
        <v>3 - 9 FEBRUARY 2025</v>
      </c>
      <c r="AX359" s="755" t="s">
        <v>28</v>
      </c>
      <c r="AY359" s="755"/>
      <c r="AZ359" s="755"/>
      <c r="BA359" s="755"/>
      <c r="BB359" s="755"/>
      <c r="BC359" s="755"/>
      <c r="BD359" s="756"/>
      <c r="BE359" s="157"/>
      <c r="BF359" s="157"/>
    </row>
    <row r="360" spans="2:58" ht="16" thickBot="1" x14ac:dyDescent="0.25"/>
    <row r="361" spans="2:58" ht="16" thickBot="1" x14ac:dyDescent="0.25">
      <c r="B361" s="156" t="s">
        <v>27</v>
      </c>
      <c r="C361" s="753" t="s">
        <v>689</v>
      </c>
      <c r="D361" s="754"/>
      <c r="E361" s="754"/>
      <c r="F361" s="754"/>
      <c r="G361" s="763"/>
      <c r="H361" s="764"/>
      <c r="I361" s="163"/>
      <c r="J361" s="157"/>
      <c r="K361" s="157"/>
      <c r="L361" s="765" t="str">
        <f>C361</f>
        <v>10 - 16 FEBRUARY 2025</v>
      </c>
      <c r="M361" s="763"/>
      <c r="N361" s="763"/>
      <c r="O361" s="763"/>
      <c r="P361" s="763"/>
      <c r="Q361" s="763"/>
      <c r="R361" s="763"/>
      <c r="S361" s="763"/>
      <c r="T361" s="764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766"/>
      <c r="AH361" s="766"/>
      <c r="AI361" s="753" t="str">
        <f>L361</f>
        <v>10 - 16 FEBRUARY 2025</v>
      </c>
      <c r="AJ361" s="754"/>
      <c r="AK361" s="754"/>
      <c r="AL361" s="754"/>
      <c r="AM361" s="754"/>
      <c r="AN361" s="754"/>
      <c r="AO361" s="767"/>
      <c r="AP361" s="157"/>
      <c r="AQ361" s="157"/>
      <c r="AR361" s="157"/>
      <c r="AS361" s="157"/>
      <c r="AT361" s="157"/>
      <c r="AU361" s="157"/>
      <c r="AV361" s="157"/>
      <c r="AW361" s="765" t="str">
        <f>AI361</f>
        <v>10 - 16 FEBRUARY 2025</v>
      </c>
      <c r="AX361" s="763" t="s">
        <v>28</v>
      </c>
      <c r="AY361" s="763"/>
      <c r="AZ361" s="763"/>
      <c r="BA361" s="763"/>
      <c r="BB361" s="763"/>
      <c r="BC361" s="763"/>
      <c r="BD361" s="764"/>
      <c r="BE361" s="157"/>
      <c r="BF361" s="157"/>
    </row>
    <row r="362" spans="2:58" ht="16" thickBot="1" x14ac:dyDescent="0.25">
      <c r="B362" s="158"/>
      <c r="C362" s="161"/>
      <c r="D362" s="161"/>
      <c r="E362" s="157"/>
      <c r="F362" s="157"/>
      <c r="G362" s="752" t="s">
        <v>29</v>
      </c>
      <c r="H362" s="752"/>
      <c r="I362" s="752" t="s">
        <v>30</v>
      </c>
      <c r="J362" s="752"/>
      <c r="K362" s="752" t="s">
        <v>31</v>
      </c>
      <c r="L362" s="752"/>
      <c r="M362" s="752" t="s">
        <v>32</v>
      </c>
      <c r="N362" s="752"/>
      <c r="O362" s="752" t="s">
        <v>33</v>
      </c>
      <c r="P362" s="752"/>
      <c r="Q362" s="752" t="s">
        <v>247</v>
      </c>
      <c r="R362" s="752"/>
      <c r="S362" s="752" t="s">
        <v>34</v>
      </c>
      <c r="T362" s="752"/>
      <c r="U362" s="752" t="s">
        <v>35</v>
      </c>
      <c r="V362" s="752"/>
      <c r="W362" s="752" t="s">
        <v>36</v>
      </c>
      <c r="X362" s="752"/>
      <c r="Y362" s="752" t="s">
        <v>37</v>
      </c>
      <c r="Z362" s="752"/>
      <c r="AA362" s="752" t="s">
        <v>38</v>
      </c>
      <c r="AB362" s="752"/>
      <c r="AC362" s="752" t="s">
        <v>39</v>
      </c>
      <c r="AD362" s="752"/>
      <c r="AE362" s="752" t="s">
        <v>40</v>
      </c>
      <c r="AF362" s="752"/>
      <c r="AG362" s="752" t="s">
        <v>41</v>
      </c>
      <c r="AH362" s="752"/>
      <c r="AI362" s="752" t="s">
        <v>42</v>
      </c>
      <c r="AJ362" s="752"/>
      <c r="AK362" s="752" t="s">
        <v>43</v>
      </c>
      <c r="AL362" s="752"/>
      <c r="AM362" s="752" t="s">
        <v>157</v>
      </c>
      <c r="AN362" s="752"/>
      <c r="AO362" s="752" t="s">
        <v>248</v>
      </c>
      <c r="AP362" s="752"/>
      <c r="AQ362" s="752" t="s">
        <v>249</v>
      </c>
      <c r="AR362" s="752"/>
      <c r="AS362" s="752" t="s">
        <v>150</v>
      </c>
      <c r="AT362" s="752"/>
      <c r="AU362" s="752" t="s">
        <v>151</v>
      </c>
      <c r="AV362" s="752"/>
      <c r="AW362" s="752" t="s">
        <v>44</v>
      </c>
      <c r="AX362" s="752"/>
      <c r="AY362" s="752" t="s">
        <v>250</v>
      </c>
      <c r="AZ362" s="752"/>
      <c r="BA362" s="752" t="s">
        <v>45</v>
      </c>
      <c r="BB362" s="752"/>
      <c r="BC362" s="752" t="s">
        <v>46</v>
      </c>
      <c r="BD362" s="752"/>
      <c r="BE362" s="752" t="s">
        <v>92</v>
      </c>
      <c r="BF362" s="752"/>
    </row>
    <row r="363" spans="2:58" ht="16" thickBot="1" x14ac:dyDescent="0.25">
      <c r="B363" s="156" t="s">
        <v>47</v>
      </c>
      <c r="C363" s="156" t="s">
        <v>48</v>
      </c>
      <c r="D363" s="283"/>
      <c r="E363" s="271"/>
      <c r="F363" s="271" t="s">
        <v>49</v>
      </c>
      <c r="G363" s="752" t="s">
        <v>50</v>
      </c>
      <c r="H363" s="752"/>
      <c r="I363" s="752" t="s">
        <v>51</v>
      </c>
      <c r="J363" s="752"/>
      <c r="K363" s="752" t="s">
        <v>51</v>
      </c>
      <c r="L363" s="752"/>
      <c r="M363" s="752" t="s">
        <v>52</v>
      </c>
      <c r="N363" s="752"/>
      <c r="O363" s="752">
        <v>180</v>
      </c>
      <c r="P363" s="752"/>
      <c r="Q363" s="752" t="s">
        <v>53</v>
      </c>
      <c r="R363" s="752"/>
      <c r="S363" s="752" t="s">
        <v>54</v>
      </c>
      <c r="T363" s="752"/>
      <c r="U363" s="752" t="s">
        <v>54</v>
      </c>
      <c r="V363" s="752"/>
      <c r="W363" s="752" t="s">
        <v>55</v>
      </c>
      <c r="X363" s="752"/>
      <c r="Y363" s="752" t="s">
        <v>54</v>
      </c>
      <c r="Z363" s="752"/>
      <c r="AA363" s="752" t="s">
        <v>54</v>
      </c>
      <c r="AB363" s="752"/>
      <c r="AC363" s="752" t="s">
        <v>56</v>
      </c>
      <c r="AD363" s="752"/>
      <c r="AE363" s="752" t="s">
        <v>57</v>
      </c>
      <c r="AF363" s="752"/>
      <c r="AG363" s="752" t="s">
        <v>57</v>
      </c>
      <c r="AH363" s="752"/>
      <c r="AI363" s="752" t="s">
        <v>58</v>
      </c>
      <c r="AJ363" s="752"/>
      <c r="AK363" s="752" t="s">
        <v>300</v>
      </c>
      <c r="AL363" s="752"/>
      <c r="AM363" s="752" t="s">
        <v>301</v>
      </c>
      <c r="AN363" s="752"/>
      <c r="AO363" s="752">
        <v>20</v>
      </c>
      <c r="AP363" s="752"/>
      <c r="AQ363" s="752">
        <v>20</v>
      </c>
      <c r="AR363" s="752"/>
      <c r="AS363" s="752" t="s">
        <v>57</v>
      </c>
      <c r="AT363" s="752"/>
      <c r="AU363" s="752" t="s">
        <v>302</v>
      </c>
      <c r="AV363" s="752"/>
      <c r="AW363" s="752">
        <v>100</v>
      </c>
      <c r="AX363" s="752"/>
      <c r="AY363" s="752">
        <v>100</v>
      </c>
      <c r="AZ363" s="752"/>
      <c r="BA363" s="752" t="s">
        <v>59</v>
      </c>
      <c r="BB363" s="752"/>
      <c r="BC363" s="752" t="s">
        <v>51</v>
      </c>
      <c r="BD363" s="752"/>
      <c r="BE363" s="752" t="s">
        <v>53</v>
      </c>
      <c r="BF363" s="752"/>
    </row>
    <row r="364" spans="2:58" ht="16" thickBot="1" x14ac:dyDescent="0.25">
      <c r="B364" s="156"/>
      <c r="C364" s="156" t="s">
        <v>60</v>
      </c>
      <c r="D364" s="283"/>
      <c r="E364" s="271" t="s">
        <v>61</v>
      </c>
      <c r="F364" s="271" t="s">
        <v>62</v>
      </c>
      <c r="G364" s="752">
        <v>151</v>
      </c>
      <c r="H364" s="752"/>
      <c r="I364" s="752">
        <v>167.99</v>
      </c>
      <c r="J364" s="752"/>
      <c r="K364" s="752">
        <v>144.99</v>
      </c>
      <c r="L364" s="752"/>
      <c r="M364" s="760">
        <v>169.99</v>
      </c>
      <c r="N364" s="760"/>
      <c r="O364" s="760">
        <v>274.99</v>
      </c>
      <c r="P364" s="760"/>
      <c r="Q364" s="760">
        <v>135</v>
      </c>
      <c r="R364" s="760"/>
      <c r="S364" s="752">
        <v>910.5</v>
      </c>
      <c r="T364" s="752"/>
      <c r="U364" s="752">
        <v>460.75</v>
      </c>
      <c r="V364" s="752"/>
      <c r="W364" s="752">
        <v>1048.95</v>
      </c>
      <c r="X364" s="752"/>
      <c r="Y364" s="752">
        <v>772.8</v>
      </c>
      <c r="Z364" s="752"/>
      <c r="AA364" s="752">
        <v>3450</v>
      </c>
      <c r="AB364" s="752"/>
      <c r="AC364" s="760">
        <v>99.99</v>
      </c>
      <c r="AD364" s="760"/>
      <c r="AE364" s="752">
        <v>29.99</v>
      </c>
      <c r="AF364" s="752"/>
      <c r="AG364" s="752">
        <v>548</v>
      </c>
      <c r="AH364" s="752"/>
      <c r="AI364" s="752">
        <v>4.99</v>
      </c>
      <c r="AJ364" s="752"/>
      <c r="AK364" s="752">
        <v>132.25</v>
      </c>
      <c r="AL364" s="752"/>
      <c r="AM364" s="752">
        <v>47.99</v>
      </c>
      <c r="AN364" s="752"/>
      <c r="AO364" s="752">
        <v>560</v>
      </c>
      <c r="AP364" s="752"/>
      <c r="AQ364" s="752">
        <v>560</v>
      </c>
      <c r="AR364" s="752"/>
      <c r="AS364" s="752">
        <v>613.5</v>
      </c>
      <c r="AT364" s="752"/>
      <c r="AU364" s="752">
        <v>313.89999999999998</v>
      </c>
      <c r="AV364" s="752"/>
      <c r="AW364" s="752">
        <v>405.8</v>
      </c>
      <c r="AX364" s="752"/>
      <c r="AY364" s="752">
        <v>218.99</v>
      </c>
      <c r="AZ364" s="752"/>
      <c r="BA364" s="752">
        <v>24.99</v>
      </c>
      <c r="BB364" s="752"/>
      <c r="BC364" s="752">
        <v>1425</v>
      </c>
      <c r="BD364" s="752"/>
      <c r="BE364" s="752">
        <v>54.99</v>
      </c>
      <c r="BF364" s="752"/>
    </row>
    <row r="365" spans="2:58" ht="16" thickBot="1" x14ac:dyDescent="0.25">
      <c r="B365" s="272">
        <v>45698</v>
      </c>
      <c r="C365" s="274">
        <f>1627.15+775.29</f>
        <v>2402.44</v>
      </c>
      <c r="D365" s="276"/>
      <c r="E365" s="278" t="s">
        <v>186</v>
      </c>
      <c r="F365" s="278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  <c r="AA365" s="271"/>
      <c r="AB365" s="271"/>
      <c r="AC365" s="271"/>
      <c r="AD365" s="271"/>
      <c r="AE365" s="271"/>
      <c r="AF365" s="271"/>
      <c r="AG365" s="271"/>
      <c r="AH365" s="271"/>
      <c r="AI365" s="271"/>
      <c r="AJ365" s="271"/>
      <c r="AK365" s="271"/>
      <c r="AL365" s="271"/>
      <c r="AM365" s="271"/>
      <c r="AN365" s="271"/>
      <c r="AO365" s="271"/>
      <c r="AP365" s="271"/>
      <c r="AQ365" s="271"/>
      <c r="AR365" s="271"/>
      <c r="AS365" s="271"/>
      <c r="AT365" s="271"/>
      <c r="AU365" s="271"/>
      <c r="AV365" s="271"/>
      <c r="AW365" s="271"/>
      <c r="AX365" s="271"/>
      <c r="AY365" s="271"/>
      <c r="AZ365" s="271"/>
      <c r="BA365" s="271"/>
      <c r="BB365" s="271"/>
      <c r="BC365" s="271"/>
      <c r="BD365" s="271"/>
      <c r="BE365" s="271"/>
      <c r="BF365" s="271"/>
    </row>
    <row r="366" spans="2:58" ht="16" thickBot="1" x14ac:dyDescent="0.25">
      <c r="B366" s="660"/>
      <c r="C366" s="275">
        <v>517.98</v>
      </c>
      <c r="D366" s="661"/>
      <c r="E366" s="303"/>
      <c r="F366" s="303" t="s">
        <v>297</v>
      </c>
      <c r="G366" s="271"/>
      <c r="H366" s="271"/>
      <c r="I366" s="271">
        <v>2</v>
      </c>
      <c r="J366" s="271">
        <v>439.98</v>
      </c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  <c r="AA366" s="271"/>
      <c r="AB366" s="271"/>
      <c r="AC366" s="271"/>
      <c r="AD366" s="271"/>
      <c r="AE366" s="271"/>
      <c r="AF366" s="271"/>
      <c r="AG366" s="271"/>
      <c r="AH366" s="271"/>
      <c r="AI366" s="271"/>
      <c r="AJ366" s="271"/>
      <c r="AK366" s="271"/>
      <c r="AL366" s="271"/>
      <c r="AM366" s="271"/>
      <c r="AN366" s="271"/>
      <c r="AO366" s="271"/>
      <c r="AP366" s="271"/>
      <c r="AQ366" s="271"/>
      <c r="AR366" s="271"/>
      <c r="AS366" s="271"/>
      <c r="AT366" s="271"/>
      <c r="AU366" s="271"/>
      <c r="AV366" s="271"/>
      <c r="AW366" s="271"/>
      <c r="AX366" s="271"/>
      <c r="AY366" s="271"/>
      <c r="AZ366" s="271"/>
      <c r="BA366" s="271"/>
      <c r="BB366" s="271"/>
      <c r="BC366" s="271"/>
      <c r="BD366" s="271"/>
      <c r="BE366" s="271"/>
      <c r="BF366" s="271"/>
    </row>
    <row r="367" spans="2:58" ht="16" thickBot="1" x14ac:dyDescent="0.25">
      <c r="B367" s="660"/>
      <c r="C367" s="275">
        <v>5966.55</v>
      </c>
      <c r="D367" s="661"/>
      <c r="E367" s="303"/>
      <c r="F367" s="303" t="s">
        <v>9</v>
      </c>
      <c r="G367" s="271">
        <v>10</v>
      </c>
      <c r="H367" s="271">
        <v>1369.9</v>
      </c>
      <c r="I367" s="271"/>
      <c r="J367" s="271"/>
      <c r="K367" s="271">
        <v>8</v>
      </c>
      <c r="L367" s="271">
        <v>1455.92</v>
      </c>
      <c r="M367" s="271">
        <v>12</v>
      </c>
      <c r="N367" s="271">
        <v>2003.88</v>
      </c>
      <c r="O367" s="271"/>
      <c r="P367" s="271"/>
      <c r="Q367" s="271"/>
      <c r="R367" s="271"/>
      <c r="S367" s="271"/>
      <c r="T367" s="271"/>
      <c r="U367" s="271"/>
      <c r="V367" s="271"/>
      <c r="W367" s="271">
        <v>6</v>
      </c>
      <c r="X367" s="271">
        <v>257.94</v>
      </c>
      <c r="Y367" s="271"/>
      <c r="Z367" s="271"/>
      <c r="AA367" s="271"/>
      <c r="AB367" s="271"/>
      <c r="AC367" s="271">
        <v>8</v>
      </c>
      <c r="AD367" s="271">
        <v>791.92</v>
      </c>
      <c r="AE367" s="271"/>
      <c r="AF367" s="271"/>
      <c r="AG367" s="271"/>
      <c r="AH367" s="271"/>
      <c r="AI367" s="271"/>
      <c r="AJ367" s="271"/>
      <c r="AK367" s="271"/>
      <c r="AL367" s="271"/>
      <c r="AM367" s="271"/>
      <c r="AN367" s="271"/>
      <c r="AO367" s="271"/>
      <c r="AP367" s="271"/>
      <c r="AQ367" s="271"/>
      <c r="AR367" s="271"/>
      <c r="AS367" s="271"/>
      <c r="AT367" s="271"/>
      <c r="AU367" s="271"/>
      <c r="AV367" s="271"/>
      <c r="AW367" s="271"/>
      <c r="AX367" s="271"/>
      <c r="AY367" s="271"/>
      <c r="AZ367" s="271"/>
      <c r="BA367" s="271">
        <v>1</v>
      </c>
      <c r="BB367" s="271">
        <v>26.99</v>
      </c>
      <c r="BC367" s="271"/>
      <c r="BD367" s="271"/>
      <c r="BE367" s="271"/>
      <c r="BF367" s="271"/>
    </row>
    <row r="368" spans="2:58" ht="16" thickBot="1" x14ac:dyDescent="0.25">
      <c r="B368" s="660"/>
      <c r="C368" s="275">
        <v>806.19</v>
      </c>
      <c r="D368" s="661"/>
      <c r="E368" s="303" t="s">
        <v>279</v>
      </c>
      <c r="F368" s="303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  <c r="AA368" s="271"/>
      <c r="AB368" s="271"/>
      <c r="AC368" s="271"/>
      <c r="AD368" s="271"/>
      <c r="AE368" s="271"/>
      <c r="AF368" s="271"/>
      <c r="AG368" s="271"/>
      <c r="AH368" s="271"/>
      <c r="AI368" s="271"/>
      <c r="AJ368" s="271"/>
      <c r="AK368" s="271"/>
      <c r="AL368" s="271"/>
      <c r="AM368" s="271"/>
      <c r="AN368" s="271"/>
      <c r="AO368" s="271"/>
      <c r="AP368" s="271"/>
      <c r="AQ368" s="271"/>
      <c r="AR368" s="271"/>
      <c r="AS368" s="271"/>
      <c r="AT368" s="271"/>
      <c r="AU368" s="271"/>
      <c r="AV368" s="271"/>
      <c r="AW368" s="271"/>
      <c r="AX368" s="271"/>
      <c r="AY368" s="271"/>
      <c r="AZ368" s="271"/>
      <c r="BA368" s="271"/>
      <c r="BB368" s="271"/>
      <c r="BC368" s="271"/>
      <c r="BD368" s="271"/>
      <c r="BE368" s="271"/>
      <c r="BF368" s="271"/>
    </row>
    <row r="369" spans="2:58" ht="16" thickBot="1" x14ac:dyDescent="0.25">
      <c r="B369" s="660"/>
      <c r="C369" s="275">
        <v>349.9</v>
      </c>
      <c r="D369" s="661"/>
      <c r="E369" s="303"/>
      <c r="F369" s="303" t="s">
        <v>14</v>
      </c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  <c r="AA369" s="271"/>
      <c r="AB369" s="271"/>
      <c r="AC369" s="271"/>
      <c r="AD369" s="271"/>
      <c r="AE369" s="271">
        <v>10</v>
      </c>
      <c r="AF369" s="271">
        <v>349.9</v>
      </c>
      <c r="AG369" s="271"/>
      <c r="AH369" s="271"/>
      <c r="AI369" s="271"/>
      <c r="AJ369" s="271"/>
      <c r="AK369" s="271"/>
      <c r="AL369" s="271"/>
      <c r="AM369" s="271"/>
      <c r="AN369" s="271"/>
      <c r="AO369" s="271"/>
      <c r="AP369" s="271"/>
      <c r="AQ369" s="271"/>
      <c r="AR369" s="271"/>
      <c r="AS369" s="271"/>
      <c r="AT369" s="271"/>
      <c r="AU369" s="271"/>
      <c r="AV369" s="271"/>
      <c r="AW369" s="271"/>
      <c r="AX369" s="271"/>
      <c r="AY369" s="271"/>
      <c r="AZ369" s="271"/>
      <c r="BA369" s="271"/>
      <c r="BB369" s="271"/>
      <c r="BC369" s="271"/>
      <c r="BD369" s="271"/>
      <c r="BE369" s="271"/>
      <c r="BF369" s="271"/>
    </row>
    <row r="370" spans="2:58" ht="16" thickBot="1" x14ac:dyDescent="0.25">
      <c r="B370" s="681" t="s">
        <v>20</v>
      </c>
      <c r="C370" s="275"/>
      <c r="D370" s="277"/>
      <c r="E370" s="279"/>
      <c r="F370" s="279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  <c r="AA370" s="271"/>
      <c r="AB370" s="271"/>
      <c r="AC370" s="271"/>
      <c r="AD370" s="271"/>
      <c r="AE370" s="271"/>
      <c r="AF370" s="271"/>
      <c r="AG370" s="271"/>
      <c r="AH370" s="271"/>
      <c r="AI370" s="271"/>
      <c r="AJ370" s="271"/>
      <c r="AK370" s="271"/>
      <c r="AL370" s="271"/>
      <c r="AM370" s="271"/>
      <c r="AN370" s="271"/>
      <c r="AO370" s="271"/>
      <c r="AP370" s="271"/>
      <c r="AQ370" s="271"/>
      <c r="AR370" s="271"/>
      <c r="AS370" s="271"/>
      <c r="AT370" s="271"/>
      <c r="AU370" s="271"/>
      <c r="AV370" s="271"/>
      <c r="AW370" s="271"/>
      <c r="AX370" s="271"/>
      <c r="AY370" s="271"/>
      <c r="AZ370" s="271"/>
      <c r="BA370" s="271"/>
      <c r="BB370" s="271"/>
      <c r="BC370" s="271"/>
      <c r="BD370" s="271"/>
      <c r="BE370" s="271"/>
      <c r="BF370" s="271"/>
    </row>
    <row r="371" spans="2:58" ht="16" thickBot="1" x14ac:dyDescent="0.25">
      <c r="B371" s="479"/>
      <c r="C371" s="680">
        <f>SUM(C365:C370)</f>
        <v>10043.060000000001</v>
      </c>
      <c r="D371" s="159"/>
      <c r="E371" s="270"/>
      <c r="F371" s="281"/>
      <c r="G371" s="309"/>
      <c r="H371" s="310"/>
      <c r="I371" s="309"/>
      <c r="J371" s="310"/>
      <c r="K371" s="309"/>
      <c r="L371" s="310"/>
      <c r="M371" s="309"/>
      <c r="N371" s="310"/>
      <c r="O371" s="271"/>
      <c r="P371" s="271"/>
      <c r="Q371" s="310"/>
      <c r="R371" s="310"/>
      <c r="S371" s="309"/>
      <c r="T371" s="310"/>
      <c r="U371" s="309"/>
      <c r="V371" s="310"/>
      <c r="W371" s="309"/>
      <c r="X371" s="310"/>
      <c r="Y371" s="309"/>
      <c r="Z371" s="310"/>
      <c r="AA371" s="309"/>
      <c r="AB371" s="310"/>
      <c r="AC371" s="271"/>
      <c r="AD371" s="271"/>
      <c r="AE371" s="309"/>
      <c r="AF371" s="310"/>
      <c r="AG371" s="309"/>
      <c r="AH371" s="310"/>
      <c r="AI371" s="309"/>
      <c r="AJ371" s="310"/>
      <c r="AK371" s="309"/>
      <c r="AL371" s="310"/>
      <c r="AM371" s="309"/>
      <c r="AN371" s="310"/>
      <c r="AO371" s="309"/>
      <c r="AP371" s="310"/>
      <c r="AQ371" s="309"/>
      <c r="AR371" s="310"/>
      <c r="AS371" s="309"/>
      <c r="AT371" s="310"/>
      <c r="AU371" s="309"/>
      <c r="AV371" s="310"/>
      <c r="AW371" s="309"/>
      <c r="AX371" s="310"/>
      <c r="AY371" s="309"/>
      <c r="AZ371" s="310"/>
      <c r="BA371" s="271"/>
      <c r="BB371" s="271"/>
      <c r="BC371" s="271"/>
      <c r="BD371" s="271"/>
      <c r="BE371" s="271"/>
      <c r="BF371" s="271"/>
    </row>
    <row r="372" spans="2:58" ht="16" thickBot="1" x14ac:dyDescent="0.25">
      <c r="B372" s="289">
        <v>45699</v>
      </c>
      <c r="C372" s="275">
        <f>662.99+1077.28+79+79</f>
        <v>1898.27</v>
      </c>
      <c r="D372" s="277"/>
      <c r="E372" s="279" t="s">
        <v>296</v>
      </c>
      <c r="F372" s="279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  <c r="AA372" s="271"/>
      <c r="AB372" s="271"/>
      <c r="AC372" s="271"/>
      <c r="AD372" s="271"/>
      <c r="AE372" s="271"/>
      <c r="AF372" s="271"/>
      <c r="AG372" s="271"/>
      <c r="AH372" s="271"/>
      <c r="AI372" s="271"/>
      <c r="AJ372" s="271"/>
      <c r="AK372" s="271"/>
      <c r="AL372" s="271"/>
      <c r="AM372" s="271"/>
      <c r="AN372" s="271"/>
      <c r="AO372" s="271"/>
      <c r="AP372" s="271"/>
      <c r="AQ372" s="271"/>
      <c r="AR372" s="271"/>
      <c r="AS372" s="271"/>
      <c r="AT372" s="271"/>
      <c r="AU372" s="271"/>
      <c r="AV372" s="271"/>
      <c r="AW372" s="271"/>
      <c r="AX372" s="271"/>
      <c r="AY372" s="271"/>
      <c r="AZ372" s="271"/>
      <c r="BA372" s="271"/>
      <c r="BB372" s="271"/>
      <c r="BC372" s="271"/>
      <c r="BD372" s="271"/>
      <c r="BE372" s="271"/>
      <c r="BF372" s="271"/>
    </row>
    <row r="373" spans="2:58" ht="16" thickBot="1" x14ac:dyDescent="0.25">
      <c r="B373" s="289"/>
      <c r="C373" s="139">
        <v>650</v>
      </c>
      <c r="E373" s="575" t="s">
        <v>670</v>
      </c>
      <c r="F373" s="279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1"/>
      <c r="AJ373" s="271"/>
      <c r="AK373" s="271"/>
      <c r="AL373" s="271"/>
      <c r="AM373" s="271"/>
      <c r="AN373" s="271"/>
      <c r="AO373" s="271"/>
      <c r="AP373" s="271"/>
      <c r="AQ373" s="271"/>
      <c r="AR373" s="271"/>
      <c r="AS373" s="271"/>
      <c r="AT373" s="271"/>
      <c r="AU373" s="271"/>
      <c r="AV373" s="271"/>
      <c r="AW373" s="271"/>
      <c r="AX373" s="271"/>
      <c r="AY373" s="271"/>
      <c r="AZ373" s="271"/>
      <c r="BA373" s="271"/>
      <c r="BB373" s="271"/>
      <c r="BC373" s="271"/>
      <c r="BD373" s="271"/>
      <c r="BE373" s="271"/>
      <c r="BF373" s="271"/>
    </row>
    <row r="374" spans="2:58" ht="16" thickBot="1" x14ac:dyDescent="0.25">
      <c r="B374" s="289"/>
      <c r="C374" s="4">
        <v>90</v>
      </c>
      <c r="E374" s="142" t="s">
        <v>334</v>
      </c>
      <c r="F374" s="279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  <c r="AA374" s="271"/>
      <c r="AB374" s="271"/>
      <c r="AC374" s="271"/>
      <c r="AD374" s="271"/>
      <c r="AE374" s="271"/>
      <c r="AF374" s="271"/>
      <c r="AG374" s="271"/>
      <c r="AH374" s="271"/>
      <c r="AI374" s="271"/>
      <c r="AJ374" s="271"/>
      <c r="AK374" s="271"/>
      <c r="AL374" s="271"/>
      <c r="AM374" s="271"/>
      <c r="AN374" s="271"/>
      <c r="AO374" s="271"/>
      <c r="AP374" s="271"/>
      <c r="AQ374" s="271"/>
      <c r="AR374" s="271"/>
      <c r="AS374" s="271"/>
      <c r="AT374" s="271"/>
      <c r="AU374" s="271"/>
      <c r="AV374" s="271"/>
      <c r="AW374" s="271"/>
      <c r="AX374" s="271"/>
      <c r="AY374" s="271"/>
      <c r="AZ374" s="271"/>
      <c r="BA374" s="271"/>
      <c r="BB374" s="271"/>
      <c r="BC374" s="271"/>
      <c r="BD374" s="271"/>
      <c r="BE374" s="271"/>
      <c r="BF374" s="271"/>
    </row>
    <row r="375" spans="2:58" ht="16" thickBot="1" x14ac:dyDescent="0.25">
      <c r="B375" s="289"/>
      <c r="C375" s="146">
        <v>549</v>
      </c>
      <c r="E375" s="147" t="s">
        <v>11</v>
      </c>
      <c r="F375" s="279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  <c r="AA375" s="271"/>
      <c r="AB375" s="271"/>
      <c r="AC375" s="271"/>
      <c r="AD375" s="271"/>
      <c r="AE375" s="271"/>
      <c r="AF375" s="271"/>
      <c r="AG375" s="271"/>
      <c r="AH375" s="271"/>
      <c r="AI375" s="271"/>
      <c r="AJ375" s="271"/>
      <c r="AK375" s="271"/>
      <c r="AL375" s="271"/>
      <c r="AM375" s="271"/>
      <c r="AN375" s="271"/>
      <c r="AO375" s="271"/>
      <c r="AP375" s="271"/>
      <c r="AQ375" s="271"/>
      <c r="AR375" s="271"/>
      <c r="AS375" s="271"/>
      <c r="AT375" s="271"/>
      <c r="AU375" s="271"/>
      <c r="AV375" s="271"/>
      <c r="AW375" s="271"/>
      <c r="AX375" s="271"/>
      <c r="AY375" s="271"/>
      <c r="AZ375" s="271"/>
      <c r="BA375" s="271"/>
      <c r="BB375" s="271"/>
      <c r="BC375" s="271"/>
      <c r="BD375" s="271"/>
      <c r="BE375" s="271"/>
      <c r="BF375" s="271"/>
    </row>
    <row r="376" spans="2:58" ht="16" thickBot="1" x14ac:dyDescent="0.25">
      <c r="B376" s="289"/>
      <c r="C376" s="4">
        <v>575</v>
      </c>
      <c r="E376" s="142"/>
      <c r="F376" s="279" t="s">
        <v>8</v>
      </c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  <c r="AA376" s="271"/>
      <c r="AB376" s="271"/>
      <c r="AC376" s="271"/>
      <c r="AD376" s="271"/>
      <c r="AE376" s="271"/>
      <c r="AF376" s="271"/>
      <c r="AG376" s="271">
        <v>1</v>
      </c>
      <c r="AH376" s="271">
        <v>575</v>
      </c>
      <c r="AI376" s="271"/>
      <c r="AJ376" s="271"/>
      <c r="AK376" s="271"/>
      <c r="AL376" s="271"/>
      <c r="AM376" s="271"/>
      <c r="AN376" s="271"/>
      <c r="AO376" s="271"/>
      <c r="AP376" s="271"/>
      <c r="AQ376" s="271"/>
      <c r="AR376" s="271"/>
      <c r="AS376" s="271"/>
      <c r="AT376" s="271"/>
      <c r="AU376" s="271"/>
      <c r="AV376" s="271"/>
      <c r="AW376" s="271"/>
      <c r="AX376" s="271"/>
      <c r="AY376" s="271"/>
      <c r="AZ376" s="271"/>
      <c r="BA376" s="271"/>
      <c r="BB376" s="271"/>
      <c r="BC376" s="271"/>
      <c r="BD376" s="271"/>
      <c r="BE376" s="271"/>
      <c r="BF376" s="271"/>
    </row>
    <row r="377" spans="2:58" ht="16" thickBot="1" x14ac:dyDescent="0.25">
      <c r="B377" s="289"/>
      <c r="C377" s="4">
        <v>449.89</v>
      </c>
      <c r="E377" s="142"/>
      <c r="F377" s="279" t="s">
        <v>14</v>
      </c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>
        <v>10</v>
      </c>
      <c r="AF377" s="271">
        <v>349.9</v>
      </c>
      <c r="AG377" s="271"/>
      <c r="AH377" s="271"/>
      <c r="AI377" s="271"/>
      <c r="AJ377" s="271"/>
      <c r="AK377" s="271"/>
      <c r="AL377" s="271"/>
      <c r="AM377" s="271"/>
      <c r="AN377" s="271"/>
      <c r="AO377" s="271"/>
      <c r="AP377" s="271"/>
      <c r="AQ377" s="271"/>
      <c r="AR377" s="271"/>
      <c r="AS377" s="271"/>
      <c r="AT377" s="271"/>
      <c r="AU377" s="271"/>
      <c r="AV377" s="271"/>
      <c r="AW377" s="271"/>
      <c r="AX377" s="271"/>
      <c r="AY377" s="271"/>
      <c r="AZ377" s="271"/>
      <c r="BA377" s="271"/>
      <c r="BB377" s="271"/>
      <c r="BC377" s="271"/>
      <c r="BD377" s="271"/>
      <c r="BE377" s="271"/>
      <c r="BF377" s="271"/>
    </row>
    <row r="378" spans="2:58" ht="16" thickBot="1" x14ac:dyDescent="0.25">
      <c r="B378" s="289"/>
      <c r="C378" s="275">
        <v>8105.45</v>
      </c>
      <c r="D378" s="277"/>
      <c r="E378" s="279"/>
      <c r="F378" s="279" t="s">
        <v>9</v>
      </c>
      <c r="G378" s="271">
        <v>10</v>
      </c>
      <c r="H378" s="271">
        <v>1399.9</v>
      </c>
      <c r="I378" s="271">
        <v>4</v>
      </c>
      <c r="J378" s="271">
        <f>I378*109.99</f>
        <v>439.96</v>
      </c>
      <c r="K378" s="271">
        <v>8</v>
      </c>
      <c r="L378" s="271">
        <v>1455.92</v>
      </c>
      <c r="M378" s="271">
        <v>12</v>
      </c>
      <c r="N378" s="271">
        <v>2003.88</v>
      </c>
      <c r="O378" s="271">
        <v>4</v>
      </c>
      <c r="P378" s="271">
        <v>1420</v>
      </c>
      <c r="Q378" s="271">
        <v>1</v>
      </c>
      <c r="R378" s="271">
        <v>134.99</v>
      </c>
      <c r="S378" s="271"/>
      <c r="T378" s="271"/>
      <c r="U378" s="271"/>
      <c r="V378" s="271"/>
      <c r="W378" s="271">
        <v>6</v>
      </c>
      <c r="X378" s="271">
        <v>257.94</v>
      </c>
      <c r="Y378" s="271"/>
      <c r="Z378" s="271"/>
      <c r="AA378" s="271"/>
      <c r="AB378" s="271"/>
      <c r="AC378" s="271">
        <v>6</v>
      </c>
      <c r="AD378" s="271">
        <v>593.94000000000005</v>
      </c>
      <c r="AE378" s="271"/>
      <c r="AF378" s="271"/>
      <c r="AG378" s="271"/>
      <c r="AH378" s="271"/>
      <c r="AI378" s="271"/>
      <c r="AJ378" s="271"/>
      <c r="AK378" s="271"/>
      <c r="AL378" s="271"/>
      <c r="AM378" s="271"/>
      <c r="AN378" s="271"/>
      <c r="AO378" s="271"/>
      <c r="AP378" s="271"/>
      <c r="AQ378" s="271"/>
      <c r="AR378" s="271"/>
      <c r="AS378" s="271"/>
      <c r="AT378" s="271"/>
      <c r="AU378" s="271"/>
      <c r="AV378" s="271"/>
      <c r="AW378" s="271"/>
      <c r="AX378" s="271"/>
      <c r="AY378" s="271"/>
      <c r="AZ378" s="271"/>
      <c r="BA378" s="271">
        <v>1</v>
      </c>
      <c r="BB378" s="271">
        <v>26.99</v>
      </c>
      <c r="BC378" s="271"/>
      <c r="BD378" s="271"/>
      <c r="BE378" s="271">
        <v>1</v>
      </c>
      <c r="BF378" s="271">
        <v>59.99</v>
      </c>
    </row>
    <row r="379" spans="2:58" ht="16" thickBot="1" x14ac:dyDescent="0.25">
      <c r="B379" s="289"/>
      <c r="C379" s="275"/>
      <c r="D379" s="277"/>
      <c r="E379" s="279"/>
      <c r="F379" s="279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  <c r="AA379" s="271"/>
      <c r="AB379" s="271"/>
      <c r="AC379" s="271"/>
      <c r="AD379" s="271"/>
      <c r="AE379" s="271"/>
      <c r="AF379" s="271"/>
      <c r="AG379" s="271"/>
      <c r="AH379" s="271"/>
      <c r="AI379" s="271"/>
      <c r="AJ379" s="271"/>
      <c r="AK379" s="271"/>
      <c r="AL379" s="271"/>
      <c r="AM379" s="271"/>
      <c r="AN379" s="271"/>
      <c r="AO379" s="271"/>
      <c r="AP379" s="271"/>
      <c r="AQ379" s="271"/>
      <c r="AR379" s="271"/>
      <c r="AS379" s="271"/>
      <c r="AT379" s="271"/>
      <c r="AU379" s="271"/>
      <c r="AV379" s="271"/>
      <c r="AW379" s="271"/>
      <c r="AX379" s="271"/>
      <c r="AY379" s="271"/>
      <c r="AZ379" s="271"/>
      <c r="BA379" s="271"/>
      <c r="BB379" s="271"/>
      <c r="BC379" s="271"/>
      <c r="BD379" s="271"/>
      <c r="BE379" s="271"/>
      <c r="BF379" s="271"/>
    </row>
    <row r="380" spans="2:58" ht="16" thickBot="1" x14ac:dyDescent="0.25">
      <c r="B380" s="289" t="s">
        <v>90</v>
      </c>
      <c r="C380" s="275"/>
      <c r="D380" s="277"/>
      <c r="E380" s="279"/>
      <c r="F380" s="279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  <c r="AA380" s="271"/>
      <c r="AB380" s="271"/>
      <c r="AC380" s="271"/>
      <c r="AD380" s="271"/>
      <c r="AE380" s="271"/>
      <c r="AF380" s="271"/>
      <c r="AG380" s="271"/>
      <c r="AH380" s="271"/>
      <c r="AI380" s="271"/>
      <c r="AJ380" s="271"/>
      <c r="AK380" s="271"/>
      <c r="AL380" s="271"/>
      <c r="AM380" s="271"/>
      <c r="AN380" s="271"/>
      <c r="AO380" s="271"/>
      <c r="AP380" s="271"/>
      <c r="AQ380" s="271"/>
      <c r="AR380" s="271"/>
      <c r="AS380" s="271"/>
      <c r="AT380" s="271"/>
      <c r="AU380" s="271"/>
      <c r="AV380" s="271"/>
      <c r="AW380" s="271"/>
      <c r="AX380" s="271"/>
      <c r="AY380" s="271"/>
      <c r="AZ380" s="271"/>
      <c r="BA380" s="271"/>
      <c r="BB380" s="271"/>
      <c r="BC380" s="271"/>
      <c r="BD380" s="271"/>
      <c r="BE380" s="271"/>
      <c r="BF380" s="271"/>
    </row>
    <row r="381" spans="2:58" ht="16" thickBot="1" x14ac:dyDescent="0.25">
      <c r="B381" s="292"/>
      <c r="C381" s="159">
        <f>SUM(C372:C380)</f>
        <v>12317.61</v>
      </c>
      <c r="D381" s="159"/>
      <c r="E381" s="270"/>
      <c r="F381" s="281"/>
      <c r="G381" s="309"/>
      <c r="H381" s="310"/>
      <c r="I381" s="309"/>
      <c r="J381" s="310"/>
      <c r="K381" s="309"/>
      <c r="L381" s="310"/>
      <c r="M381" s="309"/>
      <c r="N381" s="310"/>
      <c r="O381" s="271"/>
      <c r="P381" s="271"/>
      <c r="Q381" s="310"/>
      <c r="R381" s="310"/>
      <c r="S381" s="309"/>
      <c r="T381" s="310"/>
      <c r="U381" s="309"/>
      <c r="V381" s="310"/>
      <c r="W381" s="309"/>
      <c r="X381" s="310"/>
      <c r="Y381" s="309"/>
      <c r="Z381" s="310"/>
      <c r="AA381" s="309"/>
      <c r="AB381" s="310"/>
      <c r="AC381" s="271"/>
      <c r="AD381" s="271"/>
      <c r="AE381" s="309"/>
      <c r="AF381" s="310"/>
      <c r="AG381" s="309"/>
      <c r="AH381" s="310"/>
      <c r="AI381" s="309"/>
      <c r="AJ381" s="310"/>
      <c r="AK381" s="309"/>
      <c r="AL381" s="310"/>
      <c r="AM381" s="309"/>
      <c r="AN381" s="310"/>
      <c r="AO381" s="309"/>
      <c r="AP381" s="310"/>
      <c r="AQ381" s="309"/>
      <c r="AR381" s="310"/>
      <c r="AS381" s="309"/>
      <c r="AT381" s="310"/>
      <c r="AU381" s="309"/>
      <c r="AV381" s="310"/>
      <c r="AW381" s="309"/>
      <c r="AX381" s="310"/>
      <c r="AY381" s="309"/>
      <c r="AZ381" s="310"/>
      <c r="BA381" s="271"/>
      <c r="BB381" s="271"/>
      <c r="BC381" s="271"/>
      <c r="BD381" s="271"/>
      <c r="BE381" s="271"/>
      <c r="BF381" s="271"/>
    </row>
    <row r="382" spans="2:58" ht="16" thickBot="1" x14ac:dyDescent="0.25">
      <c r="B382" s="289">
        <v>45700</v>
      </c>
      <c r="C382" s="275">
        <v>800</v>
      </c>
      <c r="D382" s="277"/>
      <c r="E382" s="279" t="s">
        <v>186</v>
      </c>
      <c r="F382" s="279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  <c r="AA382" s="271"/>
      <c r="AB382" s="271"/>
      <c r="AC382" s="271"/>
      <c r="AD382" s="271"/>
      <c r="AE382" s="271"/>
      <c r="AF382" s="271"/>
      <c r="AG382" s="271"/>
      <c r="AH382" s="271"/>
      <c r="AI382" s="271"/>
      <c r="AJ382" s="271"/>
      <c r="AK382" s="271"/>
      <c r="AL382" s="271"/>
      <c r="AM382" s="271"/>
      <c r="AN382" s="271"/>
      <c r="AO382" s="271"/>
      <c r="AP382" s="271"/>
      <c r="AQ382" s="271"/>
      <c r="AR382" s="271"/>
      <c r="AS382" s="271"/>
      <c r="AT382" s="271"/>
      <c r="AU382" s="271"/>
      <c r="AV382" s="271"/>
      <c r="AW382" s="271"/>
      <c r="AX382" s="271"/>
      <c r="AY382" s="271"/>
      <c r="AZ382" s="271"/>
      <c r="BA382" s="271"/>
      <c r="BB382" s="271"/>
      <c r="BC382" s="271"/>
      <c r="BD382" s="271"/>
      <c r="BE382" s="271"/>
      <c r="BF382" s="271"/>
    </row>
    <row r="383" spans="2:58" ht="16" thickBot="1" x14ac:dyDescent="0.25">
      <c r="B383" s="289"/>
      <c r="C383" s="285">
        <v>2280.61</v>
      </c>
      <c r="D383" s="277"/>
      <c r="E383" s="279" t="s">
        <v>694</v>
      </c>
      <c r="F383" s="279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  <c r="AA383" s="271"/>
      <c r="AB383" s="271"/>
      <c r="AC383" s="271"/>
      <c r="AD383" s="271"/>
      <c r="AE383" s="271"/>
      <c r="AF383" s="271"/>
      <c r="AG383" s="271"/>
      <c r="AH383" s="271"/>
      <c r="AI383" s="271"/>
      <c r="AJ383" s="271"/>
      <c r="AK383" s="271"/>
      <c r="AL383" s="271"/>
      <c r="AM383" s="271"/>
      <c r="AN383" s="271"/>
      <c r="AO383" s="271"/>
      <c r="AP383" s="271"/>
      <c r="AQ383" s="271"/>
      <c r="AR383" s="271"/>
      <c r="AS383" s="271"/>
      <c r="AT383" s="271"/>
      <c r="AU383" s="271"/>
      <c r="AV383" s="271"/>
      <c r="AW383" s="271"/>
      <c r="AX383" s="271"/>
      <c r="AY383" s="271"/>
      <c r="AZ383" s="271"/>
      <c r="BA383" s="271"/>
      <c r="BB383" s="271"/>
      <c r="BC383" s="271"/>
      <c r="BD383" s="271"/>
      <c r="BE383" s="271"/>
      <c r="BF383" s="271"/>
    </row>
    <row r="384" spans="2:58" ht="16" thickBot="1" x14ac:dyDescent="0.25">
      <c r="B384" s="288" t="s">
        <v>22</v>
      </c>
      <c r="C384" s="287">
        <v>1510</v>
      </c>
      <c r="D384" s="290"/>
      <c r="E384" s="290" t="s">
        <v>695</v>
      </c>
      <c r="F384" s="296"/>
      <c r="G384" s="309"/>
      <c r="H384" s="310"/>
      <c r="I384" s="309"/>
      <c r="J384" s="310"/>
      <c r="K384" s="309"/>
      <c r="L384" s="310"/>
      <c r="M384" s="309"/>
      <c r="N384" s="310"/>
      <c r="O384" s="271"/>
      <c r="P384" s="271"/>
      <c r="Q384" s="309"/>
      <c r="R384" s="310"/>
      <c r="S384" s="309"/>
      <c r="T384" s="310"/>
      <c r="U384" s="309"/>
      <c r="V384" s="310"/>
      <c r="W384" s="309"/>
      <c r="X384" s="310"/>
      <c r="Y384" s="309"/>
      <c r="Z384" s="310"/>
      <c r="AA384" s="309"/>
      <c r="AB384" s="310"/>
      <c r="AC384" s="271"/>
      <c r="AD384" s="271"/>
      <c r="AE384" s="309"/>
      <c r="AF384" s="310"/>
      <c r="AG384" s="309"/>
      <c r="AH384" s="310"/>
      <c r="AI384" s="309"/>
      <c r="AJ384" s="310"/>
      <c r="AK384" s="309"/>
      <c r="AL384" s="310"/>
      <c r="AM384" s="309"/>
      <c r="AN384" s="310"/>
      <c r="AO384" s="309"/>
      <c r="AP384" s="310"/>
      <c r="AQ384" s="309"/>
      <c r="AR384" s="310"/>
      <c r="AS384" s="309"/>
      <c r="AT384" s="310"/>
      <c r="AU384" s="309"/>
      <c r="AV384" s="310"/>
      <c r="AW384" s="309"/>
      <c r="AX384" s="310"/>
      <c r="AY384" s="309"/>
      <c r="AZ384" s="310"/>
      <c r="BA384" s="271"/>
      <c r="BB384" s="271"/>
      <c r="BC384" s="271"/>
      <c r="BD384" s="271"/>
      <c r="BE384" s="271"/>
      <c r="BF384" s="271"/>
    </row>
    <row r="385" spans="2:58" ht="16" thickBot="1" x14ac:dyDescent="0.25">
      <c r="B385" s="292"/>
      <c r="C385" s="159">
        <f>SUM(C382:C384)</f>
        <v>4590.6100000000006</v>
      </c>
      <c r="D385" s="159"/>
      <c r="E385" s="270"/>
      <c r="F385" s="297"/>
      <c r="G385" s="309"/>
      <c r="H385" s="310"/>
      <c r="I385" s="309"/>
      <c r="J385" s="310"/>
      <c r="K385" s="309"/>
      <c r="L385" s="310"/>
      <c r="M385" s="309"/>
      <c r="N385" s="310"/>
      <c r="O385" s="271"/>
      <c r="P385" s="271"/>
      <c r="Q385" s="310"/>
      <c r="R385" s="310"/>
      <c r="S385" s="309"/>
      <c r="T385" s="310"/>
      <c r="U385" s="309"/>
      <c r="V385" s="310"/>
      <c r="W385" s="309"/>
      <c r="X385" s="310"/>
      <c r="Y385" s="309"/>
      <c r="Z385" s="310"/>
      <c r="AA385" s="309"/>
      <c r="AB385" s="310"/>
      <c r="AC385" s="271"/>
      <c r="AD385" s="271"/>
      <c r="AE385" s="309"/>
      <c r="AF385" s="310"/>
      <c r="AG385" s="309"/>
      <c r="AH385" s="310"/>
      <c r="AI385" s="309"/>
      <c r="AJ385" s="310"/>
      <c r="AK385" s="309"/>
      <c r="AL385" s="310"/>
      <c r="AM385" s="309"/>
      <c r="AN385" s="310"/>
      <c r="AO385" s="309"/>
      <c r="AP385" s="310"/>
      <c r="AQ385" s="309"/>
      <c r="AR385" s="310"/>
      <c r="AS385" s="309"/>
      <c r="AT385" s="310"/>
      <c r="AU385" s="309"/>
      <c r="AV385" s="310"/>
      <c r="AW385" s="309"/>
      <c r="AX385" s="310"/>
      <c r="AY385" s="309"/>
      <c r="AZ385" s="310"/>
      <c r="BA385" s="271"/>
      <c r="BB385" s="271"/>
      <c r="BC385" s="271"/>
      <c r="BD385" s="271"/>
      <c r="BE385" s="271"/>
      <c r="BF385" s="271"/>
    </row>
    <row r="386" spans="2:58" ht="16" thickBot="1" x14ac:dyDescent="0.25">
      <c r="B386" s="289">
        <v>45701</v>
      </c>
      <c r="C386" s="295">
        <v>800</v>
      </c>
      <c r="D386" s="275"/>
      <c r="E386" s="274" t="s">
        <v>186</v>
      </c>
      <c r="F386" s="301"/>
      <c r="G386" s="309"/>
      <c r="H386" s="310"/>
      <c r="I386" s="309"/>
      <c r="J386" s="310"/>
      <c r="K386" s="309"/>
      <c r="L386" s="310"/>
      <c r="M386" s="309"/>
      <c r="N386" s="310"/>
      <c r="O386" s="271"/>
      <c r="P386" s="271"/>
      <c r="Q386" s="309"/>
      <c r="R386" s="310"/>
      <c r="S386" s="309"/>
      <c r="T386" s="310"/>
      <c r="U386" s="309"/>
      <c r="V386" s="310"/>
      <c r="W386" s="309"/>
      <c r="X386" s="310"/>
      <c r="Y386" s="309"/>
      <c r="Z386" s="310"/>
      <c r="AA386" s="309"/>
      <c r="AB386" s="310"/>
      <c r="AC386" s="271"/>
      <c r="AD386" s="271"/>
      <c r="AE386" s="309"/>
      <c r="AF386" s="310"/>
      <c r="AG386" s="309"/>
      <c r="AH386" s="310"/>
      <c r="AI386" s="309"/>
      <c r="AJ386" s="310"/>
      <c r="AK386" s="309"/>
      <c r="AL386" s="310"/>
      <c r="AM386" s="309"/>
      <c r="AN386" s="310"/>
      <c r="AO386" s="309"/>
      <c r="AP386" s="310"/>
      <c r="AQ386" s="309"/>
      <c r="AR386" s="310"/>
      <c r="AS386" s="309"/>
      <c r="AT386" s="310"/>
      <c r="AU386" s="309"/>
      <c r="AV386" s="310"/>
      <c r="AW386" s="309"/>
      <c r="AX386" s="310"/>
      <c r="AY386" s="309"/>
      <c r="AZ386" s="310"/>
      <c r="BA386" s="271"/>
      <c r="BB386" s="271"/>
      <c r="BC386" s="271"/>
      <c r="BD386" s="271"/>
      <c r="BE386" s="271"/>
      <c r="BF386" s="271"/>
    </row>
    <row r="387" spans="2:58" ht="16" thickBot="1" x14ac:dyDescent="0.25">
      <c r="B387" s="289"/>
      <c r="C387" s="295">
        <f>395.96+7187.63</f>
        <v>7583.59</v>
      </c>
      <c r="D387" s="275"/>
      <c r="E387" s="275"/>
      <c r="F387" s="302" t="s">
        <v>9</v>
      </c>
      <c r="G387" s="309">
        <v>10</v>
      </c>
      <c r="H387" s="310">
        <v>1369.9</v>
      </c>
      <c r="I387" s="309">
        <v>3</v>
      </c>
      <c r="J387" s="310">
        <v>629.97</v>
      </c>
      <c r="K387" s="309">
        <v>8</v>
      </c>
      <c r="L387" s="310">
        <v>1455.92</v>
      </c>
      <c r="M387" s="309">
        <v>9</v>
      </c>
      <c r="N387" s="310">
        <v>1502.91</v>
      </c>
      <c r="O387" s="271">
        <v>5</v>
      </c>
      <c r="P387" s="271">
        <v>1775</v>
      </c>
      <c r="Q387" s="309">
        <v>1</v>
      </c>
      <c r="R387" s="310">
        <v>134.99</v>
      </c>
      <c r="S387" s="309"/>
      <c r="T387" s="310"/>
      <c r="U387" s="309"/>
      <c r="V387" s="310"/>
      <c r="W387" s="309">
        <v>4</v>
      </c>
      <c r="X387" s="310">
        <v>171.96</v>
      </c>
      <c r="Y387" s="309"/>
      <c r="Z387" s="310"/>
      <c r="AA387" s="309"/>
      <c r="AB387" s="310"/>
      <c r="AC387" s="271">
        <v>4</v>
      </c>
      <c r="AD387" s="271">
        <v>395.96</v>
      </c>
      <c r="AE387" s="309"/>
      <c r="AF387" s="310"/>
      <c r="AG387" s="309"/>
      <c r="AH387" s="310"/>
      <c r="AI387" s="309"/>
      <c r="AJ387" s="310"/>
      <c r="AK387" s="309"/>
      <c r="AL387" s="310"/>
      <c r="AM387" s="309"/>
      <c r="AN387" s="310"/>
      <c r="AO387" s="309"/>
      <c r="AP387" s="310"/>
      <c r="AQ387" s="309"/>
      <c r="AR387" s="310"/>
      <c r="AS387" s="309"/>
      <c r="AT387" s="310"/>
      <c r="AU387" s="309"/>
      <c r="AV387" s="310"/>
      <c r="AW387" s="309"/>
      <c r="AX387" s="310"/>
      <c r="AY387" s="309"/>
      <c r="AZ387" s="310"/>
      <c r="BA387" s="271">
        <v>1</v>
      </c>
      <c r="BB387" s="271">
        <v>26.99</v>
      </c>
      <c r="BC387" s="271"/>
      <c r="BD387" s="271"/>
      <c r="BE387" s="271">
        <v>1</v>
      </c>
      <c r="BF387" s="271">
        <v>59.99</v>
      </c>
    </row>
    <row r="388" spans="2:58" ht="16" thickBot="1" x14ac:dyDescent="0.25">
      <c r="B388" s="289"/>
      <c r="C388" s="295">
        <v>756.18</v>
      </c>
      <c r="D388" s="275"/>
      <c r="E388" s="275"/>
      <c r="F388" s="302" t="s">
        <v>14</v>
      </c>
      <c r="G388" s="309"/>
      <c r="H388" s="310"/>
      <c r="I388" s="309"/>
      <c r="J388" s="310"/>
      <c r="K388" s="309"/>
      <c r="L388" s="310"/>
      <c r="M388" s="309"/>
      <c r="N388" s="310"/>
      <c r="O388" s="271"/>
      <c r="P388" s="271"/>
      <c r="Q388" s="309"/>
      <c r="R388" s="310"/>
      <c r="S388" s="309"/>
      <c r="T388" s="310"/>
      <c r="U388" s="309"/>
      <c r="V388" s="310"/>
      <c r="W388" s="309"/>
      <c r="X388" s="310"/>
      <c r="Y388" s="309"/>
      <c r="Z388" s="310"/>
      <c r="AA388" s="309"/>
      <c r="AB388" s="310"/>
      <c r="AC388" s="271"/>
      <c r="AD388" s="271"/>
      <c r="AE388" s="309">
        <v>8</v>
      </c>
      <c r="AF388" s="310">
        <v>279.92</v>
      </c>
      <c r="AG388" s="309"/>
      <c r="AH388" s="310"/>
      <c r="AI388" s="309"/>
      <c r="AJ388" s="310"/>
      <c r="AK388" s="309"/>
      <c r="AL388" s="310"/>
      <c r="AM388" s="309"/>
      <c r="AN388" s="310"/>
      <c r="AO388" s="309"/>
      <c r="AP388" s="310"/>
      <c r="AQ388" s="309"/>
      <c r="AR388" s="310"/>
      <c r="AS388" s="309"/>
      <c r="AT388" s="310"/>
      <c r="AU388" s="309"/>
      <c r="AV388" s="310"/>
      <c r="AW388" s="309"/>
      <c r="AX388" s="310"/>
      <c r="AY388" s="309"/>
      <c r="AZ388" s="310"/>
      <c r="BA388" s="271"/>
      <c r="BB388" s="271"/>
      <c r="BC388" s="271"/>
      <c r="BD388" s="271"/>
      <c r="BE388" s="271"/>
      <c r="BF388" s="271"/>
    </row>
    <row r="389" spans="2:58" ht="16" thickBot="1" x14ac:dyDescent="0.25">
      <c r="B389" s="289"/>
      <c r="C389" s="295">
        <v>7157.54</v>
      </c>
      <c r="D389" s="275"/>
      <c r="E389" s="275"/>
      <c r="F389" s="302" t="s">
        <v>311</v>
      </c>
      <c r="G389" s="309"/>
      <c r="H389" s="310"/>
      <c r="I389" s="309"/>
      <c r="J389" s="310"/>
      <c r="K389" s="309"/>
      <c r="L389" s="310"/>
      <c r="M389" s="309"/>
      <c r="N389" s="310"/>
      <c r="O389" s="271"/>
      <c r="P389" s="271"/>
      <c r="Q389" s="309"/>
      <c r="R389" s="310"/>
      <c r="S389" s="309"/>
      <c r="T389" s="310"/>
      <c r="U389" s="309"/>
      <c r="V389" s="310"/>
      <c r="W389" s="309"/>
      <c r="X389" s="310"/>
      <c r="Y389" s="309"/>
      <c r="Z389" s="310"/>
      <c r="AA389" s="309"/>
      <c r="AB389" s="310"/>
      <c r="AC389" s="271"/>
      <c r="AD389" s="271"/>
      <c r="AE389" s="309"/>
      <c r="AF389" s="310"/>
      <c r="AG389" s="309"/>
      <c r="AH389" s="310"/>
      <c r="AI389" s="309"/>
      <c r="AJ389" s="310"/>
      <c r="AK389" s="309"/>
      <c r="AL389" s="310"/>
      <c r="AM389" s="309"/>
      <c r="AN389" s="310"/>
      <c r="AO389" s="309"/>
      <c r="AP389" s="310"/>
      <c r="AQ389" s="309"/>
      <c r="AR389" s="310"/>
      <c r="AS389" s="309"/>
      <c r="AT389" s="310"/>
      <c r="AU389" s="309"/>
      <c r="AV389" s="310"/>
      <c r="AW389" s="309">
        <v>15</v>
      </c>
      <c r="AX389" s="310">
        <f>7157.54/2</f>
        <v>3578.77</v>
      </c>
      <c r="AY389" s="309">
        <v>15</v>
      </c>
      <c r="AZ389" s="310">
        <v>3578.77</v>
      </c>
      <c r="BA389" s="271"/>
      <c r="BB389" s="271"/>
      <c r="BC389" s="271"/>
      <c r="BD389" s="271"/>
      <c r="BE389" s="271"/>
      <c r="BF389" s="271"/>
    </row>
    <row r="390" spans="2:58" ht="16" thickBot="1" x14ac:dyDescent="0.25">
      <c r="B390" s="289" t="s">
        <v>23</v>
      </c>
      <c r="C390" s="295">
        <v>1840</v>
      </c>
      <c r="D390" s="275"/>
      <c r="E390" s="275" t="s">
        <v>6</v>
      </c>
      <c r="F390" s="302"/>
      <c r="G390" s="309"/>
      <c r="H390" s="310"/>
      <c r="I390" s="309"/>
      <c r="J390" s="310"/>
      <c r="K390" s="309"/>
      <c r="L390" s="310"/>
      <c r="M390" s="309"/>
      <c r="N390" s="310"/>
      <c r="O390" s="271"/>
      <c r="P390" s="271"/>
      <c r="Q390" s="309"/>
      <c r="R390" s="310"/>
      <c r="S390" s="309"/>
      <c r="T390" s="310"/>
      <c r="U390" s="309"/>
      <c r="V390" s="310"/>
      <c r="W390" s="309"/>
      <c r="X390" s="310"/>
      <c r="Y390" s="309"/>
      <c r="Z390" s="310"/>
      <c r="AA390" s="309"/>
      <c r="AB390" s="310"/>
      <c r="AC390" s="271"/>
      <c r="AD390" s="271"/>
      <c r="AE390" s="309"/>
      <c r="AF390" s="310"/>
      <c r="AG390" s="309"/>
      <c r="AH390" s="310"/>
      <c r="AI390" s="309"/>
      <c r="AJ390" s="310"/>
      <c r="AK390" s="309"/>
      <c r="AL390" s="310"/>
      <c r="AM390" s="309"/>
      <c r="AN390" s="310"/>
      <c r="AO390" s="309"/>
      <c r="AP390" s="310"/>
      <c r="AQ390" s="309"/>
      <c r="AR390" s="310"/>
      <c r="AS390" s="309"/>
      <c r="AT390" s="310"/>
      <c r="AU390" s="309"/>
      <c r="AV390" s="310"/>
      <c r="AW390" s="309"/>
      <c r="AX390" s="310"/>
      <c r="AY390" s="309"/>
      <c r="AZ390" s="310"/>
      <c r="BA390" s="271"/>
      <c r="BB390" s="271"/>
      <c r="BC390" s="271"/>
      <c r="BD390" s="271"/>
      <c r="BE390" s="271"/>
      <c r="BF390" s="271"/>
    </row>
    <row r="391" spans="2:58" ht="16" thickBot="1" x14ac:dyDescent="0.25">
      <c r="B391" s="298"/>
      <c r="C391" s="656">
        <f>SUM(C386:C390)</f>
        <v>18137.310000000001</v>
      </c>
      <c r="D391" s="656"/>
      <c r="E391" s="578"/>
      <c r="F391" s="553"/>
      <c r="G391" s="309"/>
      <c r="H391" s="310"/>
      <c r="I391" s="309"/>
      <c r="J391" s="310"/>
      <c r="K391" s="309"/>
      <c r="L391" s="310"/>
      <c r="M391" s="309"/>
      <c r="N391" s="310"/>
      <c r="O391" s="271"/>
      <c r="P391" s="271"/>
      <c r="Q391" s="309"/>
      <c r="R391" s="310"/>
      <c r="S391" s="309"/>
      <c r="T391" s="310"/>
      <c r="U391" s="309"/>
      <c r="V391" s="310"/>
      <c r="W391" s="309"/>
      <c r="X391" s="310"/>
      <c r="Y391" s="309"/>
      <c r="Z391" s="310"/>
      <c r="AA391" s="309"/>
      <c r="AB391" s="310"/>
      <c r="AC391" s="271"/>
      <c r="AD391" s="271"/>
      <c r="AE391" s="309"/>
      <c r="AF391" s="310"/>
      <c r="AG391" s="309"/>
      <c r="AH391" s="310"/>
      <c r="AI391" s="309"/>
      <c r="AJ391" s="310"/>
      <c r="AK391" s="309"/>
      <c r="AL391" s="310"/>
      <c r="AM391" s="309"/>
      <c r="AN391" s="310"/>
      <c r="AO391" s="309"/>
      <c r="AP391" s="310"/>
      <c r="AQ391" s="309"/>
      <c r="AR391" s="310"/>
      <c r="AS391" s="309"/>
      <c r="AT391" s="310"/>
      <c r="AU391" s="309"/>
      <c r="AV391" s="310"/>
      <c r="AW391" s="309"/>
      <c r="AX391" s="310"/>
      <c r="AY391" s="309"/>
      <c r="AZ391" s="310"/>
      <c r="BA391" s="271"/>
      <c r="BB391" s="271"/>
      <c r="BC391" s="271"/>
      <c r="BD391" s="271"/>
      <c r="BE391" s="271"/>
      <c r="BF391" s="271"/>
    </row>
    <row r="392" spans="2:58" ht="16" thickBot="1" x14ac:dyDescent="0.25">
      <c r="B392" s="479">
        <v>45702</v>
      </c>
      <c r="C392" s="299">
        <v>1600</v>
      </c>
      <c r="D392" s="300"/>
      <c r="E392" s="274" t="s">
        <v>186</v>
      </c>
      <c r="F392" s="301"/>
      <c r="G392" s="309"/>
      <c r="H392" s="310"/>
      <c r="I392" s="309"/>
      <c r="J392" s="310"/>
      <c r="K392" s="309"/>
      <c r="L392" s="310"/>
      <c r="M392" s="309"/>
      <c r="N392" s="310"/>
      <c r="O392" s="271"/>
      <c r="P392" s="271"/>
      <c r="Q392" s="309"/>
      <c r="R392" s="310"/>
      <c r="S392" s="309"/>
      <c r="T392" s="310"/>
      <c r="U392" s="309"/>
      <c r="V392" s="310"/>
      <c r="W392" s="309"/>
      <c r="X392" s="310"/>
      <c r="Y392" s="309"/>
      <c r="Z392" s="310"/>
      <c r="AA392" s="309"/>
      <c r="AB392" s="310"/>
      <c r="AC392" s="271"/>
      <c r="AD392" s="271"/>
      <c r="AE392" s="309"/>
      <c r="AF392" s="310"/>
      <c r="AG392" s="309"/>
      <c r="AH392" s="310"/>
      <c r="AI392" s="309"/>
      <c r="AJ392" s="310"/>
      <c r="AK392" s="309"/>
      <c r="AL392" s="310"/>
      <c r="AM392" s="309"/>
      <c r="AN392" s="310"/>
      <c r="AO392" s="309"/>
      <c r="AP392" s="310"/>
      <c r="AQ392" s="309"/>
      <c r="AR392" s="310"/>
      <c r="AS392" s="309"/>
      <c r="AT392" s="310"/>
      <c r="AU392" s="309"/>
      <c r="AV392" s="310"/>
      <c r="AW392" s="309"/>
      <c r="AX392" s="310"/>
      <c r="AY392" s="309"/>
      <c r="AZ392" s="310"/>
      <c r="BA392" s="271"/>
      <c r="BB392" s="271"/>
      <c r="BC392" s="271"/>
      <c r="BD392" s="271"/>
      <c r="BE392" s="271"/>
      <c r="BF392" s="271"/>
    </row>
    <row r="393" spans="2:58" ht="16" thickBot="1" x14ac:dyDescent="0.25">
      <c r="B393" s="479"/>
      <c r="C393" s="299">
        <v>70</v>
      </c>
      <c r="D393" s="300"/>
      <c r="E393" s="275" t="s">
        <v>710</v>
      </c>
      <c r="F393" s="302"/>
      <c r="G393" s="309"/>
      <c r="H393" s="310"/>
      <c r="I393" s="309"/>
      <c r="J393" s="310"/>
      <c r="K393" s="309"/>
      <c r="L393" s="310"/>
      <c r="M393" s="309"/>
      <c r="N393" s="310"/>
      <c r="O393" s="271"/>
      <c r="P393" s="271"/>
      <c r="Q393" s="309"/>
      <c r="R393" s="310"/>
      <c r="S393" s="309"/>
      <c r="T393" s="310"/>
      <c r="U393" s="309"/>
      <c r="V393" s="310"/>
      <c r="W393" s="309"/>
      <c r="X393" s="310"/>
      <c r="Y393" s="309"/>
      <c r="Z393" s="310"/>
      <c r="AA393" s="309"/>
      <c r="AB393" s="310"/>
      <c r="AC393" s="271"/>
      <c r="AD393" s="271"/>
      <c r="AE393" s="309"/>
      <c r="AF393" s="310"/>
      <c r="AG393" s="309"/>
      <c r="AH393" s="310"/>
      <c r="AI393" s="309"/>
      <c r="AJ393" s="310"/>
      <c r="AK393" s="309"/>
      <c r="AL393" s="310"/>
      <c r="AM393" s="309"/>
      <c r="AN393" s="310"/>
      <c r="AO393" s="309"/>
      <c r="AP393" s="310"/>
      <c r="AQ393" s="309"/>
      <c r="AR393" s="310"/>
      <c r="AS393" s="309"/>
      <c r="AT393" s="310"/>
      <c r="AU393" s="309"/>
      <c r="AV393" s="310"/>
      <c r="AW393" s="309"/>
      <c r="AX393" s="310"/>
      <c r="AY393" s="309"/>
      <c r="AZ393" s="310"/>
      <c r="BA393" s="271"/>
      <c r="BB393" s="271"/>
      <c r="BC393" s="271"/>
      <c r="BD393" s="271"/>
      <c r="BE393" s="271"/>
      <c r="BF393" s="271"/>
    </row>
    <row r="394" spans="2:58" ht="16" thickBot="1" x14ac:dyDescent="0.25">
      <c r="B394" s="479"/>
      <c r="C394" s="299">
        <v>679.8</v>
      </c>
      <c r="D394" s="300"/>
      <c r="E394" s="275"/>
      <c r="F394" s="302" t="s">
        <v>11</v>
      </c>
      <c r="G394" s="309"/>
      <c r="H394" s="310"/>
      <c r="I394" s="309"/>
      <c r="J394" s="310"/>
      <c r="K394" s="309"/>
      <c r="L394" s="310"/>
      <c r="M394" s="309"/>
      <c r="N394" s="310"/>
      <c r="O394" s="271"/>
      <c r="P394" s="271"/>
      <c r="Q394" s="309"/>
      <c r="R394" s="310"/>
      <c r="S394" s="309"/>
      <c r="T394" s="310"/>
      <c r="U394" s="309"/>
      <c r="V394" s="310"/>
      <c r="W394" s="309"/>
      <c r="X394" s="310"/>
      <c r="Y394" s="309"/>
      <c r="Z394" s="310"/>
      <c r="AA394" s="309"/>
      <c r="AB394" s="310"/>
      <c r="AC394" s="271"/>
      <c r="AD394" s="271"/>
      <c r="AE394" s="309"/>
      <c r="AF394" s="310"/>
      <c r="AG394" s="309"/>
      <c r="AH394" s="310"/>
      <c r="AI394" s="309"/>
      <c r="AJ394" s="310"/>
      <c r="AK394" s="309">
        <v>4</v>
      </c>
      <c r="AL394" s="310">
        <v>679.8</v>
      </c>
      <c r="AM394" s="309"/>
      <c r="AN394" s="310"/>
      <c r="AO394" s="309"/>
      <c r="AP394" s="310"/>
      <c r="AQ394" s="309"/>
      <c r="AR394" s="310"/>
      <c r="AS394" s="309"/>
      <c r="AT394" s="310"/>
      <c r="AU394" s="309"/>
      <c r="AV394" s="310"/>
      <c r="AW394" s="309"/>
      <c r="AX394" s="310"/>
      <c r="AY394" s="309"/>
      <c r="AZ394" s="310"/>
      <c r="BA394" s="271"/>
      <c r="BB394" s="271"/>
      <c r="BC394" s="271"/>
      <c r="BD394" s="271"/>
      <c r="BE394" s="271"/>
      <c r="BF394" s="271"/>
    </row>
    <row r="395" spans="2:58" ht="16" thickBot="1" x14ac:dyDescent="0.25">
      <c r="B395" s="479"/>
      <c r="C395" s="299">
        <v>828.39</v>
      </c>
      <c r="D395" s="300"/>
      <c r="E395" s="275" t="s">
        <v>279</v>
      </c>
      <c r="F395" s="302"/>
      <c r="G395" s="309"/>
      <c r="H395" s="310"/>
      <c r="I395" s="309"/>
      <c r="J395" s="310"/>
      <c r="K395" s="309"/>
      <c r="L395" s="310"/>
      <c r="M395" s="309"/>
      <c r="N395" s="310"/>
      <c r="O395" s="271"/>
      <c r="P395" s="271"/>
      <c r="Q395" s="309"/>
      <c r="R395" s="310"/>
      <c r="S395" s="309"/>
      <c r="T395" s="310"/>
      <c r="U395" s="309"/>
      <c r="V395" s="310"/>
      <c r="W395" s="309"/>
      <c r="X395" s="310"/>
      <c r="Y395" s="309"/>
      <c r="Z395" s="310"/>
      <c r="AA395" s="309"/>
      <c r="AB395" s="310"/>
      <c r="AC395" s="271"/>
      <c r="AD395" s="271"/>
      <c r="AE395" s="309"/>
      <c r="AF395" s="310"/>
      <c r="AG395" s="309"/>
      <c r="AH395" s="310"/>
      <c r="AI395" s="309"/>
      <c r="AJ395" s="310"/>
      <c r="AK395" s="309"/>
      <c r="AL395" s="310"/>
      <c r="AM395" s="309"/>
      <c r="AN395" s="310"/>
      <c r="AO395" s="309"/>
      <c r="AP395" s="310"/>
      <c r="AQ395" s="309"/>
      <c r="AR395" s="310"/>
      <c r="AS395" s="309"/>
      <c r="AT395" s="310"/>
      <c r="AU395" s="309"/>
      <c r="AV395" s="310"/>
      <c r="AW395" s="309"/>
      <c r="AX395" s="310"/>
      <c r="AY395" s="309"/>
      <c r="AZ395" s="310"/>
      <c r="BA395" s="271"/>
      <c r="BB395" s="271"/>
      <c r="BC395" s="271"/>
      <c r="BD395" s="271"/>
      <c r="BE395" s="271"/>
      <c r="BF395" s="271"/>
    </row>
    <row r="396" spans="2:58" ht="16" thickBot="1" x14ac:dyDescent="0.25">
      <c r="B396" s="479" t="s">
        <v>24</v>
      </c>
      <c r="C396" s="299"/>
      <c r="D396" s="300"/>
      <c r="E396" s="275"/>
      <c r="F396" s="302"/>
      <c r="G396" s="309"/>
      <c r="H396" s="310"/>
      <c r="I396" s="309"/>
      <c r="J396" s="310"/>
      <c r="K396" s="309"/>
      <c r="L396" s="310"/>
      <c r="M396" s="309"/>
      <c r="N396" s="310"/>
      <c r="O396" s="271"/>
      <c r="P396" s="271"/>
      <c r="Q396" s="309"/>
      <c r="R396" s="310"/>
      <c r="S396" s="309"/>
      <c r="T396" s="310"/>
      <c r="U396" s="309"/>
      <c r="V396" s="310"/>
      <c r="W396" s="309"/>
      <c r="X396" s="310"/>
      <c r="Y396" s="309"/>
      <c r="Z396" s="310"/>
      <c r="AA396" s="309"/>
      <c r="AB396" s="310"/>
      <c r="AC396" s="271"/>
      <c r="AD396" s="271"/>
      <c r="AE396" s="309"/>
      <c r="AF396" s="310"/>
      <c r="AG396" s="309"/>
      <c r="AH396" s="310"/>
      <c r="AI396" s="309"/>
      <c r="AJ396" s="310"/>
      <c r="AK396" s="309"/>
      <c r="AL396" s="310"/>
      <c r="AM396" s="309"/>
      <c r="AN396" s="310"/>
      <c r="AO396" s="309"/>
      <c r="AP396" s="310"/>
      <c r="AQ396" s="309"/>
      <c r="AR396" s="310"/>
      <c r="AS396" s="309"/>
      <c r="AT396" s="310"/>
      <c r="AU396" s="309"/>
      <c r="AV396" s="310"/>
      <c r="AW396" s="309"/>
      <c r="AX396" s="310"/>
      <c r="AY396" s="309"/>
      <c r="AZ396" s="310"/>
      <c r="BA396" s="271"/>
      <c r="BB396" s="271"/>
      <c r="BC396" s="271"/>
      <c r="BD396" s="271"/>
      <c r="BE396" s="271"/>
      <c r="BF396" s="271"/>
    </row>
    <row r="397" spans="2:58" ht="16" thickBot="1" x14ac:dyDescent="0.25">
      <c r="B397" s="577"/>
      <c r="C397" s="159">
        <f>SUM(C392:C396)</f>
        <v>3178.19</v>
      </c>
      <c r="D397" s="159"/>
      <c r="E397" s="270"/>
      <c r="F397" s="271"/>
      <c r="G397" s="309"/>
      <c r="H397" s="310"/>
      <c r="I397" s="309"/>
      <c r="J397" s="310"/>
      <c r="K397" s="309"/>
      <c r="L397" s="310"/>
      <c r="M397" s="309"/>
      <c r="N397" s="310"/>
      <c r="O397" s="271"/>
      <c r="P397" s="271"/>
      <c r="Q397" s="309"/>
      <c r="R397" s="310"/>
      <c r="S397" s="309"/>
      <c r="T397" s="310"/>
      <c r="U397" s="309"/>
      <c r="V397" s="310"/>
      <c r="W397" s="309"/>
      <c r="X397" s="310"/>
      <c r="Y397" s="309"/>
      <c r="Z397" s="310"/>
      <c r="AA397" s="309"/>
      <c r="AB397" s="310"/>
      <c r="AC397" s="271"/>
      <c r="AD397" s="271"/>
      <c r="AE397" s="309"/>
      <c r="AF397" s="310"/>
      <c r="AG397" s="309"/>
      <c r="AH397" s="310"/>
      <c r="AI397" s="309"/>
      <c r="AJ397" s="310"/>
      <c r="AK397" s="309"/>
      <c r="AL397" s="310"/>
      <c r="AM397" s="309"/>
      <c r="AN397" s="310"/>
      <c r="AO397" s="309"/>
      <c r="AP397" s="310"/>
      <c r="AQ397" s="309"/>
      <c r="AR397" s="310"/>
      <c r="AS397" s="309"/>
      <c r="AT397" s="310"/>
      <c r="AU397" s="309"/>
      <c r="AV397" s="310"/>
      <c r="AW397" s="309"/>
      <c r="AX397" s="310"/>
      <c r="AY397" s="309"/>
      <c r="AZ397" s="310"/>
      <c r="BA397" s="271"/>
      <c r="BB397" s="271"/>
      <c r="BC397" s="271"/>
      <c r="BD397" s="271"/>
      <c r="BE397" s="271"/>
      <c r="BF397" s="271"/>
    </row>
    <row r="398" spans="2:58" ht="16" thickBot="1" x14ac:dyDescent="0.25">
      <c r="B398" s="289">
        <v>45703</v>
      </c>
      <c r="C398" s="299">
        <v>800</v>
      </c>
      <c r="D398" s="300"/>
      <c r="E398" s="274" t="s">
        <v>186</v>
      </c>
      <c r="F398" s="302"/>
      <c r="G398" s="309"/>
      <c r="H398" s="310"/>
      <c r="I398" s="309"/>
      <c r="J398" s="310"/>
      <c r="K398" s="309"/>
      <c r="L398" s="310"/>
      <c r="M398" s="309"/>
      <c r="N398" s="310"/>
      <c r="O398" s="271"/>
      <c r="P398" s="271"/>
      <c r="Q398" s="309"/>
      <c r="R398" s="310"/>
      <c r="S398" s="309"/>
      <c r="T398" s="310"/>
      <c r="U398" s="309"/>
      <c r="V398" s="310"/>
      <c r="W398" s="309"/>
      <c r="X398" s="310"/>
      <c r="Y398" s="309"/>
      <c r="Z398" s="310"/>
      <c r="AA398" s="309"/>
      <c r="AB398" s="310"/>
      <c r="AC398" s="271"/>
      <c r="AD398" s="271"/>
      <c r="AE398" s="309"/>
      <c r="AF398" s="310"/>
      <c r="AG398" s="309"/>
      <c r="AH398" s="310"/>
      <c r="AI398" s="309"/>
      <c r="AJ398" s="310"/>
      <c r="AK398" s="309"/>
      <c r="AL398" s="310"/>
      <c r="AM398" s="309"/>
      <c r="AN398" s="310"/>
      <c r="AO398" s="309"/>
      <c r="AP398" s="310"/>
      <c r="AQ398" s="309"/>
      <c r="AR398" s="310"/>
      <c r="AS398" s="309"/>
      <c r="AT398" s="310"/>
      <c r="AU398" s="309"/>
      <c r="AV398" s="310"/>
      <c r="AW398" s="309"/>
      <c r="AX398" s="310"/>
      <c r="AY398" s="309"/>
      <c r="AZ398" s="310"/>
      <c r="BA398" s="271"/>
      <c r="BB398" s="271"/>
      <c r="BC398" s="271"/>
      <c r="BD398" s="271"/>
      <c r="BE398" s="271"/>
      <c r="BF398" s="271"/>
    </row>
    <row r="399" spans="2:58" ht="16" thickBot="1" x14ac:dyDescent="0.25">
      <c r="B399" s="289"/>
      <c r="C399" s="299">
        <v>8739.4599999999991</v>
      </c>
      <c r="D399" s="300"/>
      <c r="E399" s="275"/>
      <c r="F399" s="302" t="s">
        <v>9</v>
      </c>
      <c r="G399" s="309">
        <v>10</v>
      </c>
      <c r="H399" s="310">
        <v>1369.9</v>
      </c>
      <c r="I399" s="309">
        <v>3</v>
      </c>
      <c r="J399" s="310">
        <v>629.97</v>
      </c>
      <c r="K399" s="309">
        <v>8</v>
      </c>
      <c r="L399" s="310">
        <v>1455.92</v>
      </c>
      <c r="M399" s="309">
        <v>12</v>
      </c>
      <c r="N399" s="310">
        <v>2003.88</v>
      </c>
      <c r="O399" s="271">
        <v>6</v>
      </c>
      <c r="P399" s="271">
        <v>2129.94</v>
      </c>
      <c r="Q399" s="309">
        <v>1</v>
      </c>
      <c r="R399" s="310">
        <v>134.99</v>
      </c>
      <c r="S399" s="309"/>
      <c r="T399" s="310"/>
      <c r="U399" s="309"/>
      <c r="V399" s="310"/>
      <c r="W399" s="309">
        <v>6</v>
      </c>
      <c r="X399" s="310">
        <v>257.94</v>
      </c>
      <c r="Y399" s="309"/>
      <c r="Z399" s="310"/>
      <c r="AA399" s="309"/>
      <c r="AB399" s="310"/>
      <c r="AC399" s="271">
        <v>6</v>
      </c>
      <c r="AD399" s="271">
        <v>593.94000000000005</v>
      </c>
      <c r="AE399" s="309"/>
      <c r="AF399" s="310"/>
      <c r="AG399" s="309"/>
      <c r="AH399" s="310"/>
      <c r="AI399" s="309"/>
      <c r="AJ399" s="310"/>
      <c r="AK399" s="309"/>
      <c r="AL399" s="310"/>
      <c r="AM399" s="309"/>
      <c r="AN399" s="310"/>
      <c r="AO399" s="309"/>
      <c r="AP399" s="310"/>
      <c r="AQ399" s="309"/>
      <c r="AR399" s="310"/>
      <c r="AS399" s="309"/>
      <c r="AT399" s="310"/>
      <c r="AU399" s="309"/>
      <c r="AV399" s="310"/>
      <c r="AW399" s="309"/>
      <c r="AX399" s="310"/>
      <c r="AY399" s="309"/>
      <c r="AZ399" s="310"/>
      <c r="BA399" s="271">
        <v>1</v>
      </c>
      <c r="BB399" s="271">
        <v>26.99</v>
      </c>
      <c r="BC399" s="271"/>
      <c r="BD399" s="271"/>
      <c r="BE399" s="271">
        <v>1</v>
      </c>
      <c r="BF399" s="271">
        <v>75.989999999999995</v>
      </c>
    </row>
    <row r="400" spans="2:58" ht="16" thickBot="1" x14ac:dyDescent="0.25">
      <c r="B400" s="288" t="s">
        <v>25</v>
      </c>
      <c r="C400" s="284"/>
      <c r="D400" s="291"/>
      <c r="E400" s="290"/>
      <c r="F400" s="293"/>
      <c r="G400" s="309"/>
      <c r="H400" s="310"/>
      <c r="I400" s="309"/>
      <c r="J400" s="310"/>
      <c r="K400" s="309"/>
      <c r="L400" s="310"/>
      <c r="M400" s="309"/>
      <c r="N400" s="310"/>
      <c r="O400" s="271"/>
      <c r="P400" s="271"/>
      <c r="Q400" s="309"/>
      <c r="R400" s="310"/>
      <c r="S400" s="309"/>
      <c r="T400" s="310"/>
      <c r="U400" s="309"/>
      <c r="V400" s="310"/>
      <c r="W400" s="309"/>
      <c r="X400" s="310"/>
      <c r="Y400" s="309"/>
      <c r="Z400" s="310"/>
      <c r="AA400" s="309"/>
      <c r="AB400" s="310"/>
      <c r="AC400" s="271"/>
      <c r="AD400" s="271"/>
      <c r="AE400" s="309"/>
      <c r="AF400" s="310"/>
      <c r="AG400" s="309"/>
      <c r="AH400" s="310"/>
      <c r="AI400" s="309"/>
      <c r="AJ400" s="310"/>
      <c r="AK400" s="309"/>
      <c r="AL400" s="310"/>
      <c r="AM400" s="309"/>
      <c r="AN400" s="310"/>
      <c r="AO400" s="309"/>
      <c r="AP400" s="310"/>
      <c r="AQ400" s="309"/>
      <c r="AR400" s="310"/>
      <c r="AS400" s="309"/>
      <c r="AT400" s="310"/>
      <c r="AU400" s="309"/>
      <c r="AV400" s="310"/>
      <c r="AW400" s="309"/>
      <c r="AX400" s="310"/>
      <c r="AY400" s="309"/>
      <c r="AZ400" s="310"/>
      <c r="BA400" s="271"/>
      <c r="BB400" s="271"/>
      <c r="BC400" s="271"/>
      <c r="BD400" s="271"/>
      <c r="BE400" s="271"/>
      <c r="BF400" s="271"/>
    </row>
    <row r="401" spans="2:58" ht="16" thickBot="1" x14ac:dyDescent="0.25">
      <c r="B401" s="668"/>
      <c r="C401" s="640">
        <f>SUM(C398:C400)</f>
        <v>9539.4599999999991</v>
      </c>
      <c r="D401" s="159"/>
      <c r="E401" s="270"/>
      <c r="F401" s="271"/>
      <c r="G401" s="309"/>
      <c r="H401" s="310"/>
      <c r="I401" s="309"/>
      <c r="J401" s="310"/>
      <c r="K401" s="309"/>
      <c r="L401" s="310"/>
      <c r="M401" s="309"/>
      <c r="N401" s="310"/>
      <c r="O401" s="271"/>
      <c r="P401" s="271"/>
      <c r="Q401" s="309"/>
      <c r="R401" s="310"/>
      <c r="S401" s="309"/>
      <c r="T401" s="310"/>
      <c r="U401" s="309"/>
      <c r="V401" s="310"/>
      <c r="W401" s="309"/>
      <c r="X401" s="310"/>
      <c r="Y401" s="309"/>
      <c r="Z401" s="310"/>
      <c r="AA401" s="309"/>
      <c r="AB401" s="310"/>
      <c r="AC401" s="271"/>
      <c r="AD401" s="271"/>
      <c r="AE401" s="309"/>
      <c r="AF401" s="310"/>
      <c r="AG401" s="309"/>
      <c r="AH401" s="310"/>
      <c r="AI401" s="309"/>
      <c r="AJ401" s="310"/>
      <c r="AK401" s="309"/>
      <c r="AL401" s="310"/>
      <c r="AM401" s="309"/>
      <c r="AN401" s="310"/>
      <c r="AO401" s="309"/>
      <c r="AP401" s="310"/>
      <c r="AQ401" s="309"/>
      <c r="AR401" s="310"/>
      <c r="AS401" s="309"/>
      <c r="AT401" s="310"/>
      <c r="AU401" s="309"/>
      <c r="AV401" s="310"/>
      <c r="AW401" s="309"/>
      <c r="AX401" s="310"/>
      <c r="AY401" s="309"/>
      <c r="AZ401" s="310"/>
      <c r="BA401" s="271"/>
      <c r="BB401" s="271"/>
      <c r="BC401" s="271"/>
      <c r="BD401" s="271"/>
      <c r="BE401" s="271"/>
      <c r="BF401" s="271"/>
    </row>
    <row r="402" spans="2:58" ht="16" thickBot="1" x14ac:dyDescent="0.25">
      <c r="B402" s="479">
        <v>45704</v>
      </c>
      <c r="C402" s="657">
        <f>1124.4+25.5+79</f>
        <v>1228.9000000000001</v>
      </c>
      <c r="D402" s="641"/>
      <c r="E402" s="274" t="s">
        <v>296</v>
      </c>
      <c r="F402" s="301"/>
      <c r="G402" s="550"/>
      <c r="H402" s="310"/>
      <c r="I402" s="309"/>
      <c r="J402" s="310"/>
      <c r="K402" s="309"/>
      <c r="L402" s="310"/>
      <c r="M402" s="309"/>
      <c r="N402" s="310"/>
      <c r="O402" s="271"/>
      <c r="P402" s="271"/>
      <c r="Q402" s="309"/>
      <c r="R402" s="310"/>
      <c r="S402" s="309"/>
      <c r="T402" s="310"/>
      <c r="U402" s="309"/>
      <c r="V402" s="310"/>
      <c r="W402" s="309"/>
      <c r="X402" s="310"/>
      <c r="Y402" s="309"/>
      <c r="Z402" s="310"/>
      <c r="AA402" s="309"/>
      <c r="AB402" s="310"/>
      <c r="AC402" s="271"/>
      <c r="AD402" s="271"/>
      <c r="AE402" s="309"/>
      <c r="AF402" s="310"/>
      <c r="AG402" s="309"/>
      <c r="AH402" s="310"/>
      <c r="AI402" s="309"/>
      <c r="AJ402" s="310"/>
      <c r="AK402" s="309"/>
      <c r="AL402" s="310"/>
      <c r="AM402" s="309"/>
      <c r="AN402" s="310"/>
      <c r="AO402" s="309"/>
      <c r="AP402" s="310"/>
      <c r="AQ402" s="309"/>
      <c r="AR402" s="310"/>
      <c r="AS402" s="309"/>
      <c r="AT402" s="310"/>
      <c r="AU402" s="309"/>
      <c r="AV402" s="310"/>
      <c r="AW402" s="309"/>
      <c r="AX402" s="310"/>
      <c r="AY402" s="309"/>
      <c r="AZ402" s="310"/>
      <c r="BA402" s="271"/>
      <c r="BB402" s="271"/>
      <c r="BC402" s="271"/>
      <c r="BD402" s="271"/>
      <c r="BE402" s="271"/>
      <c r="BF402" s="271"/>
    </row>
    <row r="403" spans="2:58" ht="16" thickBot="1" x14ac:dyDescent="0.25">
      <c r="B403" s="479"/>
      <c r="C403" s="657">
        <v>1500</v>
      </c>
      <c r="D403" s="657"/>
      <c r="E403" s="285" t="s">
        <v>3</v>
      </c>
      <c r="F403" s="302"/>
      <c r="G403" s="550"/>
      <c r="H403" s="310"/>
      <c r="I403" s="309"/>
      <c r="J403" s="310"/>
      <c r="K403" s="309"/>
      <c r="L403" s="310"/>
      <c r="M403" s="309"/>
      <c r="N403" s="310"/>
      <c r="O403" s="271"/>
      <c r="P403" s="271"/>
      <c r="Q403" s="309"/>
      <c r="R403" s="310"/>
      <c r="S403" s="309"/>
      <c r="T403" s="310"/>
      <c r="U403" s="309"/>
      <c r="V403" s="310"/>
      <c r="W403" s="309"/>
      <c r="X403" s="310"/>
      <c r="Y403" s="309"/>
      <c r="Z403" s="310"/>
      <c r="AA403" s="309"/>
      <c r="AB403" s="310"/>
      <c r="AC403" s="271"/>
      <c r="AD403" s="271"/>
      <c r="AE403" s="309"/>
      <c r="AF403" s="310"/>
      <c r="AG403" s="309"/>
      <c r="AH403" s="310"/>
      <c r="AI403" s="309"/>
      <c r="AJ403" s="310"/>
      <c r="AK403" s="309"/>
      <c r="AL403" s="310"/>
      <c r="AM403" s="309"/>
      <c r="AN403" s="310"/>
      <c r="AO403" s="309"/>
      <c r="AP403" s="310"/>
      <c r="AQ403" s="309"/>
      <c r="AR403" s="310"/>
      <c r="AS403" s="309"/>
      <c r="AT403" s="310"/>
      <c r="AU403" s="309"/>
      <c r="AV403" s="310"/>
      <c r="AW403" s="309"/>
      <c r="AX403" s="310"/>
      <c r="AY403" s="309"/>
      <c r="AZ403" s="310"/>
      <c r="BA403" s="271"/>
      <c r="BB403" s="271"/>
      <c r="BC403" s="271"/>
      <c r="BD403" s="271"/>
      <c r="BE403" s="271"/>
      <c r="BF403" s="271"/>
    </row>
    <row r="404" spans="2:58" ht="16" thickBot="1" x14ac:dyDescent="0.25">
      <c r="B404" s="479"/>
      <c r="C404" s="657">
        <v>97.98</v>
      </c>
      <c r="D404" s="657"/>
      <c r="E404" s="285" t="s">
        <v>279</v>
      </c>
      <c r="F404" s="302"/>
      <c r="G404" s="550"/>
      <c r="H404" s="310"/>
      <c r="I404" s="309"/>
      <c r="J404" s="310"/>
      <c r="K404" s="309"/>
      <c r="L404" s="310"/>
      <c r="M404" s="309"/>
      <c r="N404" s="310"/>
      <c r="O404" s="271"/>
      <c r="P404" s="271"/>
      <c r="Q404" s="309"/>
      <c r="R404" s="310"/>
      <c r="S404" s="309"/>
      <c r="T404" s="310"/>
      <c r="U404" s="309"/>
      <c r="V404" s="310"/>
      <c r="W404" s="309"/>
      <c r="X404" s="310"/>
      <c r="Y404" s="309"/>
      <c r="Z404" s="310"/>
      <c r="AA404" s="309"/>
      <c r="AB404" s="310"/>
      <c r="AC404" s="271"/>
      <c r="AD404" s="271"/>
      <c r="AE404" s="309"/>
      <c r="AF404" s="310"/>
      <c r="AG404" s="309"/>
      <c r="AH404" s="310"/>
      <c r="AI404" s="309"/>
      <c r="AJ404" s="310"/>
      <c r="AK404" s="309"/>
      <c r="AL404" s="310"/>
      <c r="AM404" s="309"/>
      <c r="AN404" s="310"/>
      <c r="AO404" s="309"/>
      <c r="AP404" s="310"/>
      <c r="AQ404" s="309"/>
      <c r="AR404" s="310"/>
      <c r="AS404" s="309"/>
      <c r="AT404" s="310"/>
      <c r="AU404" s="309"/>
      <c r="AV404" s="310"/>
      <c r="AW404" s="309"/>
      <c r="AX404" s="310"/>
      <c r="AY404" s="309"/>
      <c r="AZ404" s="310"/>
      <c r="BA404" s="271"/>
      <c r="BB404" s="271"/>
      <c r="BC404" s="271"/>
      <c r="BD404" s="271"/>
      <c r="BE404" s="271"/>
      <c r="BF404" s="271"/>
    </row>
    <row r="405" spans="2:58" ht="16" thickBot="1" x14ac:dyDescent="0.25">
      <c r="B405" s="479"/>
      <c r="C405" s="657">
        <v>189.94</v>
      </c>
      <c r="D405" s="657"/>
      <c r="E405" s="285"/>
      <c r="F405" s="302" t="s">
        <v>14</v>
      </c>
      <c r="G405" s="550"/>
      <c r="H405" s="310"/>
      <c r="I405" s="309"/>
      <c r="J405" s="310"/>
      <c r="K405" s="309"/>
      <c r="L405" s="310"/>
      <c r="M405" s="309"/>
      <c r="N405" s="310"/>
      <c r="O405" s="271"/>
      <c r="P405" s="271"/>
      <c r="Q405" s="309"/>
      <c r="R405" s="310"/>
      <c r="S405" s="309"/>
      <c r="T405" s="310"/>
      <c r="U405" s="309"/>
      <c r="V405" s="310"/>
      <c r="W405" s="309"/>
      <c r="X405" s="310"/>
      <c r="Y405" s="309"/>
      <c r="Z405" s="310"/>
      <c r="AA405" s="309"/>
      <c r="AB405" s="310"/>
      <c r="AC405" s="271"/>
      <c r="AD405" s="271"/>
      <c r="AE405" s="309">
        <v>6</v>
      </c>
      <c r="AF405" s="310">
        <v>189.94</v>
      </c>
      <c r="AG405" s="309"/>
      <c r="AH405" s="310"/>
      <c r="AI405" s="309"/>
      <c r="AJ405" s="310"/>
      <c r="AK405" s="309"/>
      <c r="AL405" s="310"/>
      <c r="AM405" s="309"/>
      <c r="AN405" s="310"/>
      <c r="AO405" s="309"/>
      <c r="AP405" s="310"/>
      <c r="AQ405" s="309"/>
      <c r="AR405" s="310"/>
      <c r="AS405" s="309"/>
      <c r="AT405" s="310"/>
      <c r="AU405" s="309"/>
      <c r="AV405" s="310"/>
      <c r="AW405" s="309"/>
      <c r="AX405" s="310"/>
      <c r="AY405" s="309"/>
      <c r="AZ405" s="310"/>
      <c r="BA405" s="271"/>
      <c r="BB405" s="271"/>
      <c r="BC405" s="271"/>
      <c r="BD405" s="271"/>
      <c r="BE405" s="271"/>
      <c r="BF405" s="271"/>
    </row>
    <row r="406" spans="2:58" ht="16" thickBot="1" x14ac:dyDescent="0.25">
      <c r="B406" s="479"/>
      <c r="C406" s="657"/>
      <c r="D406" s="657"/>
      <c r="E406" s="285"/>
      <c r="F406" s="302"/>
      <c r="G406" s="550"/>
      <c r="H406" s="310"/>
      <c r="I406" s="309"/>
      <c r="J406" s="310"/>
      <c r="K406" s="309"/>
      <c r="L406" s="310"/>
      <c r="M406" s="309"/>
      <c r="N406" s="310"/>
      <c r="O406" s="271"/>
      <c r="P406" s="271"/>
      <c r="Q406" s="309"/>
      <c r="R406" s="310"/>
      <c r="S406" s="309"/>
      <c r="T406" s="310"/>
      <c r="U406" s="309"/>
      <c r="V406" s="310"/>
      <c r="W406" s="309"/>
      <c r="X406" s="310"/>
      <c r="Y406" s="309"/>
      <c r="Z406" s="310"/>
      <c r="AA406" s="309"/>
      <c r="AB406" s="310"/>
      <c r="AC406" s="271"/>
      <c r="AD406" s="271"/>
      <c r="AE406" s="309"/>
      <c r="AF406" s="310"/>
      <c r="AG406" s="309"/>
      <c r="AH406" s="310"/>
      <c r="AI406" s="309"/>
      <c r="AJ406" s="310"/>
      <c r="AK406" s="309"/>
      <c r="AL406" s="310"/>
      <c r="AM406" s="309"/>
      <c r="AN406" s="310"/>
      <c r="AO406" s="309"/>
      <c r="AP406" s="310"/>
      <c r="AQ406" s="309"/>
      <c r="AR406" s="310"/>
      <c r="AS406" s="309"/>
      <c r="AT406" s="310"/>
      <c r="AU406" s="309"/>
      <c r="AV406" s="310"/>
      <c r="AW406" s="309"/>
      <c r="AX406" s="310"/>
      <c r="AY406" s="309"/>
      <c r="AZ406" s="310"/>
      <c r="BA406" s="271"/>
      <c r="BB406" s="271"/>
      <c r="BC406" s="271"/>
      <c r="BD406" s="271"/>
      <c r="BE406" s="271"/>
      <c r="BF406" s="271"/>
    </row>
    <row r="407" spans="2:58" ht="16" thickBot="1" x14ac:dyDescent="0.25">
      <c r="B407" s="479"/>
      <c r="C407" s="657"/>
      <c r="D407" s="657"/>
      <c r="E407" s="285"/>
      <c r="F407" s="302"/>
      <c r="G407" s="550"/>
      <c r="H407" s="310"/>
      <c r="I407" s="309"/>
      <c r="J407" s="310"/>
      <c r="K407" s="309"/>
      <c r="L407" s="310"/>
      <c r="M407" s="309"/>
      <c r="N407" s="310"/>
      <c r="O407" s="271"/>
      <c r="P407" s="271"/>
      <c r="Q407" s="309"/>
      <c r="R407" s="310"/>
      <c r="S407" s="309"/>
      <c r="T407" s="310"/>
      <c r="U407" s="309"/>
      <c r="V407" s="310"/>
      <c r="W407" s="309"/>
      <c r="X407" s="310"/>
      <c r="Y407" s="309"/>
      <c r="Z407" s="310"/>
      <c r="AA407" s="309"/>
      <c r="AB407" s="310"/>
      <c r="AC407" s="271"/>
      <c r="AD407" s="271"/>
      <c r="AE407" s="309"/>
      <c r="AF407" s="310"/>
      <c r="AG407" s="309"/>
      <c r="AH407" s="310"/>
      <c r="AI407" s="309"/>
      <c r="AJ407" s="310"/>
      <c r="AK407" s="309"/>
      <c r="AL407" s="310"/>
      <c r="AM407" s="309"/>
      <c r="AN407" s="310"/>
      <c r="AO407" s="309"/>
      <c r="AP407" s="310"/>
      <c r="AQ407" s="309"/>
      <c r="AR407" s="310"/>
      <c r="AS407" s="309"/>
      <c r="AT407" s="310"/>
      <c r="AU407" s="309"/>
      <c r="AV407" s="310"/>
      <c r="AW407" s="309"/>
      <c r="AX407" s="310"/>
      <c r="AY407" s="309"/>
      <c r="AZ407" s="310"/>
      <c r="BA407" s="271"/>
      <c r="BB407" s="271"/>
      <c r="BC407" s="271"/>
      <c r="BD407" s="271"/>
      <c r="BE407" s="271"/>
      <c r="BF407" s="271"/>
    </row>
    <row r="408" spans="2:58" ht="16" thickBot="1" x14ac:dyDescent="0.25">
      <c r="B408" s="549" t="s">
        <v>26</v>
      </c>
      <c r="C408" s="554"/>
      <c r="D408" s="291"/>
      <c r="E408" s="290"/>
      <c r="F408" s="293"/>
      <c r="G408" s="550"/>
      <c r="H408" s="310"/>
      <c r="I408" s="309"/>
      <c r="J408" s="310"/>
      <c r="K408" s="309"/>
      <c r="L408" s="310"/>
      <c r="M408" s="309"/>
      <c r="N408" s="310"/>
      <c r="O408" s="271"/>
      <c r="P408" s="271"/>
      <c r="Q408" s="309"/>
      <c r="R408" s="310"/>
      <c r="S408" s="309"/>
      <c r="T408" s="310"/>
      <c r="U408" s="309"/>
      <c r="V408" s="310"/>
      <c r="W408" s="309"/>
      <c r="X408" s="310"/>
      <c r="Y408" s="309"/>
      <c r="Z408" s="310"/>
      <c r="AA408" s="309"/>
      <c r="AB408" s="310"/>
      <c r="AC408" s="271"/>
      <c r="AD408" s="271"/>
      <c r="AE408" s="309"/>
      <c r="AF408" s="310"/>
      <c r="AG408" s="309"/>
      <c r="AH408" s="310"/>
      <c r="AI408" s="309"/>
      <c r="AJ408" s="310"/>
      <c r="AK408" s="309"/>
      <c r="AL408" s="310"/>
      <c r="AM408" s="309"/>
      <c r="AN408" s="310"/>
      <c r="AO408" s="309"/>
      <c r="AP408" s="310"/>
      <c r="AQ408" s="309"/>
      <c r="AR408" s="310"/>
      <c r="AS408" s="309"/>
      <c r="AT408" s="310"/>
      <c r="AU408" s="309"/>
      <c r="AV408" s="310"/>
      <c r="AW408" s="309"/>
      <c r="AX408" s="310"/>
      <c r="AY408" s="309"/>
      <c r="AZ408" s="310"/>
      <c r="BA408" s="271"/>
      <c r="BB408" s="271"/>
      <c r="BC408" s="271"/>
      <c r="BD408" s="271"/>
      <c r="BE408" s="271"/>
      <c r="BF408" s="271"/>
    </row>
    <row r="409" spans="2:58" ht="16" thickBot="1" x14ac:dyDescent="0.25">
      <c r="B409" s="292"/>
      <c r="C409" s="551">
        <f>SUM(C402:C408)</f>
        <v>3016.82</v>
      </c>
      <c r="D409" s="551"/>
      <c r="E409" s="552"/>
      <c r="F409" s="553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  <c r="AA409" s="271"/>
      <c r="AB409" s="271"/>
      <c r="AC409" s="271"/>
      <c r="AD409" s="271"/>
      <c r="AE409" s="309"/>
      <c r="AF409" s="310"/>
      <c r="AG409" s="309"/>
      <c r="AH409" s="310"/>
      <c r="AI409" s="309"/>
      <c r="AJ409" s="310"/>
      <c r="AK409" s="309"/>
      <c r="AL409" s="310"/>
      <c r="AM409" s="309"/>
      <c r="AN409" s="310"/>
      <c r="AO409" s="309"/>
      <c r="AP409" s="310"/>
      <c r="AQ409" s="309"/>
      <c r="AR409" s="310"/>
      <c r="AS409" s="309"/>
      <c r="AT409" s="310"/>
      <c r="AU409" s="309"/>
      <c r="AV409" s="310"/>
      <c r="AW409" s="309"/>
      <c r="AX409" s="310"/>
      <c r="AY409" s="309"/>
      <c r="AZ409" s="310"/>
      <c r="BA409" s="271"/>
      <c r="BB409" s="271"/>
      <c r="BC409" s="271"/>
      <c r="BD409" s="271"/>
      <c r="BE409" s="271"/>
      <c r="BF409" s="271"/>
    </row>
    <row r="410" spans="2:58" ht="16" thickBot="1" x14ac:dyDescent="0.25">
      <c r="B410" s="761" t="s">
        <v>329</v>
      </c>
      <c r="C410" s="311"/>
      <c r="D410" s="312"/>
      <c r="E410" s="285"/>
      <c r="F410" s="302"/>
      <c r="G410" s="306">
        <f t="shared" ref="G410:AD410" si="12">SUM(G371:G408)</f>
        <v>30</v>
      </c>
      <c r="H410" s="307">
        <f t="shared" si="12"/>
        <v>4139.7000000000007</v>
      </c>
      <c r="I410" s="306">
        <f t="shared" si="12"/>
        <v>10</v>
      </c>
      <c r="J410" s="307">
        <f t="shared" si="12"/>
        <v>1699.9</v>
      </c>
      <c r="K410" s="306">
        <f t="shared" si="12"/>
        <v>24</v>
      </c>
      <c r="L410" s="307">
        <f t="shared" si="12"/>
        <v>4367.76</v>
      </c>
      <c r="M410" s="306">
        <f t="shared" si="12"/>
        <v>33</v>
      </c>
      <c r="N410" s="307">
        <f t="shared" si="12"/>
        <v>5510.67</v>
      </c>
      <c r="O410" s="308">
        <f t="shared" si="12"/>
        <v>15</v>
      </c>
      <c r="P410" s="308">
        <f t="shared" si="12"/>
        <v>5324.9400000000005</v>
      </c>
      <c r="Q410" s="306">
        <f t="shared" si="12"/>
        <v>3</v>
      </c>
      <c r="R410" s="307">
        <f t="shared" si="12"/>
        <v>404.97</v>
      </c>
      <c r="S410" s="306">
        <f t="shared" si="12"/>
        <v>0</v>
      </c>
      <c r="T410" s="307">
        <f t="shared" si="12"/>
        <v>0</v>
      </c>
      <c r="U410" s="306">
        <f t="shared" si="12"/>
        <v>0</v>
      </c>
      <c r="V410" s="307">
        <f t="shared" si="12"/>
        <v>0</v>
      </c>
      <c r="W410" s="306">
        <f t="shared" si="12"/>
        <v>16</v>
      </c>
      <c r="X410" s="307">
        <f t="shared" si="12"/>
        <v>687.83999999999992</v>
      </c>
      <c r="Y410" s="306">
        <f t="shared" si="12"/>
        <v>0</v>
      </c>
      <c r="Z410" s="307">
        <f t="shared" si="12"/>
        <v>0</v>
      </c>
      <c r="AA410" s="306">
        <f t="shared" si="12"/>
        <v>0</v>
      </c>
      <c r="AB410" s="307">
        <f t="shared" si="12"/>
        <v>0</v>
      </c>
      <c r="AC410" s="308">
        <f t="shared" si="12"/>
        <v>16</v>
      </c>
      <c r="AD410" s="308">
        <f t="shared" si="12"/>
        <v>1583.8400000000001</v>
      </c>
      <c r="AE410" s="306">
        <f t="shared" ref="AE410:BF410" si="13">SUM(AE371:AE409)</f>
        <v>24</v>
      </c>
      <c r="AF410" s="307">
        <f t="shared" si="13"/>
        <v>819.76</v>
      </c>
      <c r="AG410" s="306">
        <f t="shared" si="13"/>
        <v>1</v>
      </c>
      <c r="AH410" s="307">
        <f t="shared" si="13"/>
        <v>575</v>
      </c>
      <c r="AI410" s="306">
        <f t="shared" si="13"/>
        <v>0</v>
      </c>
      <c r="AJ410" s="307">
        <f t="shared" si="13"/>
        <v>0</v>
      </c>
      <c r="AK410" s="306">
        <f t="shared" si="13"/>
        <v>4</v>
      </c>
      <c r="AL410" s="307">
        <f t="shared" si="13"/>
        <v>679.8</v>
      </c>
      <c r="AM410" s="306">
        <f t="shared" si="13"/>
        <v>0</v>
      </c>
      <c r="AN410" s="307">
        <f t="shared" si="13"/>
        <v>0</v>
      </c>
      <c r="AO410" s="306">
        <f t="shared" si="13"/>
        <v>0</v>
      </c>
      <c r="AP410" s="307">
        <f t="shared" si="13"/>
        <v>0</v>
      </c>
      <c r="AQ410" s="306">
        <f t="shared" si="13"/>
        <v>0</v>
      </c>
      <c r="AR410" s="307">
        <f t="shared" si="13"/>
        <v>0</v>
      </c>
      <c r="AS410" s="306">
        <f t="shared" si="13"/>
        <v>0</v>
      </c>
      <c r="AT410" s="307">
        <f t="shared" si="13"/>
        <v>0</v>
      </c>
      <c r="AU410" s="306">
        <f t="shared" si="13"/>
        <v>0</v>
      </c>
      <c r="AV410" s="307">
        <f t="shared" si="13"/>
        <v>0</v>
      </c>
      <c r="AW410" s="306">
        <f t="shared" si="13"/>
        <v>15</v>
      </c>
      <c r="AX410" s="307">
        <f t="shared" si="13"/>
        <v>3578.77</v>
      </c>
      <c r="AY410" s="306">
        <f t="shared" si="13"/>
        <v>15</v>
      </c>
      <c r="AZ410" s="307">
        <f t="shared" si="13"/>
        <v>3578.77</v>
      </c>
      <c r="BA410" s="306">
        <f t="shared" si="13"/>
        <v>3</v>
      </c>
      <c r="BB410" s="307">
        <f t="shared" si="13"/>
        <v>80.97</v>
      </c>
      <c r="BC410" s="306">
        <f t="shared" si="13"/>
        <v>0</v>
      </c>
      <c r="BD410" s="307">
        <f t="shared" si="13"/>
        <v>0</v>
      </c>
      <c r="BE410" s="306">
        <f t="shared" si="13"/>
        <v>3</v>
      </c>
      <c r="BF410" s="307">
        <f t="shared" si="13"/>
        <v>195.97</v>
      </c>
    </row>
    <row r="411" spans="2:58" ht="16" thickBot="1" x14ac:dyDescent="0.25">
      <c r="B411" s="762"/>
      <c r="C411" s="160">
        <f>SUM(C409,C401,C397,C391,C385,C381,C371)</f>
        <v>60823.06</v>
      </c>
      <c r="D411" s="160"/>
      <c r="E411" s="304"/>
      <c r="F411" s="294"/>
      <c r="G411" s="752" t="s">
        <v>29</v>
      </c>
      <c r="H411" s="752"/>
      <c r="I411" s="752" t="s">
        <v>30</v>
      </c>
      <c r="J411" s="752"/>
      <c r="K411" s="752" t="s">
        <v>31</v>
      </c>
      <c r="L411" s="752"/>
      <c r="M411" s="752" t="s">
        <v>32</v>
      </c>
      <c r="N411" s="752"/>
      <c r="O411" s="752" t="s">
        <v>33</v>
      </c>
      <c r="P411" s="752"/>
      <c r="Q411" s="752" t="s">
        <v>247</v>
      </c>
      <c r="R411" s="752"/>
      <c r="S411" s="752" t="s">
        <v>34</v>
      </c>
      <c r="T411" s="752"/>
      <c r="U411" s="752" t="s">
        <v>35</v>
      </c>
      <c r="V411" s="752"/>
      <c r="W411" s="752" t="s">
        <v>36</v>
      </c>
      <c r="X411" s="752"/>
      <c r="Y411" s="752" t="s">
        <v>37</v>
      </c>
      <c r="Z411" s="752"/>
      <c r="AA411" s="752" t="s">
        <v>38</v>
      </c>
      <c r="AB411" s="752"/>
      <c r="AC411" s="752" t="s">
        <v>39</v>
      </c>
      <c r="AD411" s="752"/>
      <c r="AE411" s="752" t="s">
        <v>40</v>
      </c>
      <c r="AF411" s="752"/>
      <c r="AG411" s="752" t="s">
        <v>41</v>
      </c>
      <c r="AH411" s="752"/>
      <c r="AI411" s="752" t="s">
        <v>42</v>
      </c>
      <c r="AJ411" s="752"/>
      <c r="AK411" s="752" t="s">
        <v>43</v>
      </c>
      <c r="AL411" s="752"/>
      <c r="AM411" s="752" t="s">
        <v>157</v>
      </c>
      <c r="AN411" s="752"/>
      <c r="AO411" s="752" t="s">
        <v>248</v>
      </c>
      <c r="AP411" s="752"/>
      <c r="AQ411" s="752" t="s">
        <v>249</v>
      </c>
      <c r="AR411" s="752"/>
      <c r="AS411" s="752" t="s">
        <v>150</v>
      </c>
      <c r="AT411" s="752"/>
      <c r="AU411" s="752" t="s">
        <v>151</v>
      </c>
      <c r="AV411" s="752"/>
      <c r="AW411" s="752" t="s">
        <v>44</v>
      </c>
      <c r="AX411" s="752"/>
      <c r="AY411" s="752" t="s">
        <v>250</v>
      </c>
      <c r="AZ411" s="752"/>
      <c r="BA411" s="752" t="s">
        <v>45</v>
      </c>
      <c r="BB411" s="752"/>
      <c r="BC411" s="752" t="s">
        <v>46</v>
      </c>
      <c r="BD411" s="752"/>
      <c r="BE411" s="752" t="s">
        <v>92</v>
      </c>
      <c r="BF411" s="752"/>
    </row>
    <row r="412" spans="2:58" ht="16" thickBot="1" x14ac:dyDescent="0.25">
      <c r="B412" s="282"/>
      <c r="C412" s="285"/>
      <c r="D412" s="275"/>
      <c r="E412" s="284"/>
      <c r="F412" s="293"/>
      <c r="G412" s="752" t="s">
        <v>50</v>
      </c>
      <c r="H412" s="752"/>
      <c r="I412" s="752" t="s">
        <v>51</v>
      </c>
      <c r="J412" s="752"/>
      <c r="K412" s="752" t="s">
        <v>51</v>
      </c>
      <c r="L412" s="752"/>
      <c r="M412" s="752" t="s">
        <v>52</v>
      </c>
      <c r="N412" s="752"/>
      <c r="O412" s="752">
        <v>180</v>
      </c>
      <c r="P412" s="752"/>
      <c r="Q412" s="752" t="s">
        <v>53</v>
      </c>
      <c r="R412" s="752"/>
      <c r="S412" s="752" t="s">
        <v>54</v>
      </c>
      <c r="T412" s="752"/>
      <c r="U412" s="752" t="s">
        <v>54</v>
      </c>
      <c r="V412" s="752"/>
      <c r="W412" s="752" t="s">
        <v>55</v>
      </c>
      <c r="X412" s="752"/>
      <c r="Y412" s="752" t="s">
        <v>54</v>
      </c>
      <c r="Z412" s="752"/>
      <c r="AA412" s="752" t="s">
        <v>54</v>
      </c>
      <c r="AB412" s="752"/>
      <c r="AC412" s="752" t="s">
        <v>56</v>
      </c>
      <c r="AD412" s="752"/>
      <c r="AE412" s="752" t="s">
        <v>57</v>
      </c>
      <c r="AF412" s="752"/>
      <c r="AG412" s="752" t="s">
        <v>57</v>
      </c>
      <c r="AH412" s="752"/>
      <c r="AI412" s="752" t="s">
        <v>58</v>
      </c>
      <c r="AJ412" s="752"/>
      <c r="AK412" s="752" t="s">
        <v>300</v>
      </c>
      <c r="AL412" s="752"/>
      <c r="AM412" s="752" t="s">
        <v>301</v>
      </c>
      <c r="AN412" s="752"/>
      <c r="AO412" s="752">
        <v>20</v>
      </c>
      <c r="AP412" s="752"/>
      <c r="AQ412" s="752">
        <v>20</v>
      </c>
      <c r="AR412" s="752"/>
      <c r="AS412" s="752" t="s">
        <v>57</v>
      </c>
      <c r="AT412" s="752"/>
      <c r="AU412" s="752" t="s">
        <v>302</v>
      </c>
      <c r="AV412" s="752"/>
      <c r="AW412" s="752">
        <v>100</v>
      </c>
      <c r="AX412" s="752"/>
      <c r="AY412" s="752">
        <v>100</v>
      </c>
      <c r="AZ412" s="752"/>
      <c r="BA412" s="752" t="s">
        <v>59</v>
      </c>
      <c r="BB412" s="752"/>
      <c r="BC412" s="752" t="s">
        <v>51</v>
      </c>
      <c r="BD412" s="752"/>
      <c r="BE412" s="752" t="s">
        <v>53</v>
      </c>
      <c r="BF412" s="752"/>
    </row>
    <row r="413" spans="2:58" ht="16" thickBot="1" x14ac:dyDescent="0.25">
      <c r="B413" s="162"/>
      <c r="C413" s="286"/>
      <c r="D413" s="273"/>
      <c r="E413" s="280"/>
      <c r="F413" s="305"/>
      <c r="G413" s="752">
        <v>151</v>
      </c>
      <c r="H413" s="752"/>
      <c r="I413" s="752">
        <v>167.99</v>
      </c>
      <c r="J413" s="752"/>
      <c r="K413" s="752">
        <v>144.99</v>
      </c>
      <c r="L413" s="752"/>
      <c r="M413" s="760">
        <v>169.99</v>
      </c>
      <c r="N413" s="760"/>
      <c r="O413" s="760">
        <v>274.99</v>
      </c>
      <c r="P413" s="760"/>
      <c r="Q413" s="760">
        <v>102.99</v>
      </c>
      <c r="R413" s="760"/>
      <c r="S413" s="752">
        <v>910.5</v>
      </c>
      <c r="T413" s="752"/>
      <c r="U413" s="752">
        <v>460.75</v>
      </c>
      <c r="V413" s="752"/>
      <c r="W413" s="752">
        <v>1048.95</v>
      </c>
      <c r="X413" s="752"/>
      <c r="Y413" s="752">
        <v>772.8</v>
      </c>
      <c r="Z413" s="752"/>
      <c r="AA413" s="752">
        <v>3450</v>
      </c>
      <c r="AB413" s="752"/>
      <c r="AC413" s="760">
        <v>89.99</v>
      </c>
      <c r="AD413" s="760"/>
      <c r="AE413" s="752">
        <v>39.99</v>
      </c>
      <c r="AF413" s="752"/>
      <c r="AG413" s="752">
        <v>498</v>
      </c>
      <c r="AH413" s="752"/>
      <c r="AI413" s="752">
        <v>4.99</v>
      </c>
      <c r="AJ413" s="752"/>
      <c r="AK413" s="752">
        <v>132.25</v>
      </c>
      <c r="AL413" s="752"/>
      <c r="AM413" s="752">
        <v>47.99</v>
      </c>
      <c r="AN413" s="752"/>
      <c r="AO413" s="752">
        <v>560</v>
      </c>
      <c r="AP413" s="752"/>
      <c r="AQ413" s="752">
        <v>560</v>
      </c>
      <c r="AR413" s="752"/>
      <c r="AS413" s="752">
        <v>613.5</v>
      </c>
      <c r="AT413" s="752"/>
      <c r="AU413" s="752">
        <v>313.89999999999998</v>
      </c>
      <c r="AV413" s="752"/>
      <c r="AW413" s="752">
        <v>405.8</v>
      </c>
      <c r="AX413" s="752"/>
      <c r="AY413" s="752">
        <v>218.99</v>
      </c>
      <c r="AZ413" s="752"/>
      <c r="BA413" s="752">
        <v>24.99</v>
      </c>
      <c r="BB413" s="752"/>
      <c r="BC413" s="752">
        <v>1425</v>
      </c>
      <c r="BD413" s="752"/>
      <c r="BE413" s="752">
        <v>54.99</v>
      </c>
      <c r="BF413" s="752"/>
    </row>
    <row r="414" spans="2:58" ht="16" thickBot="1" x14ac:dyDescent="0.25">
      <c r="B414" s="162"/>
      <c r="C414" s="753" t="str">
        <f>L414</f>
        <v>10 - 16 FEBRUARY 2025</v>
      </c>
      <c r="D414" s="754"/>
      <c r="E414" s="754"/>
      <c r="F414" s="754"/>
      <c r="G414" s="755"/>
      <c r="H414" s="756"/>
      <c r="I414" s="163"/>
      <c r="J414" s="157"/>
      <c r="K414" s="157"/>
      <c r="L414" s="757" t="str">
        <f>AL414</f>
        <v>10 - 16 FEBRUARY 2025</v>
      </c>
      <c r="M414" s="755"/>
      <c r="N414" s="755"/>
      <c r="O414" s="755"/>
      <c r="P414" s="755"/>
      <c r="Q414" s="755"/>
      <c r="R414" s="755"/>
      <c r="S414" s="755"/>
      <c r="T414" s="756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758"/>
      <c r="AH414" s="758"/>
      <c r="AI414" s="164"/>
      <c r="AJ414" s="157"/>
      <c r="AK414" s="157"/>
      <c r="AL414" s="759" t="str">
        <f>AW414</f>
        <v>10 - 16 FEBRUARY 2025</v>
      </c>
      <c r="AM414" s="759"/>
      <c r="AN414" s="759"/>
      <c r="AO414" s="759"/>
      <c r="AP414" s="157"/>
      <c r="AQ414" s="157"/>
      <c r="AR414" s="157"/>
      <c r="AS414" s="157"/>
      <c r="AT414" s="157"/>
      <c r="AU414" s="157"/>
      <c r="AV414" s="157"/>
      <c r="AW414" s="757" t="str">
        <f>AW361</f>
        <v>10 - 16 FEBRUARY 2025</v>
      </c>
      <c r="AX414" s="755" t="s">
        <v>28</v>
      </c>
      <c r="AY414" s="755"/>
      <c r="AZ414" s="755"/>
      <c r="BA414" s="755"/>
      <c r="BB414" s="755"/>
      <c r="BC414" s="755"/>
      <c r="BD414" s="756"/>
      <c r="BE414" s="157"/>
      <c r="BF414" s="157"/>
    </row>
    <row r="415" spans="2:58" ht="16" thickBot="1" x14ac:dyDescent="0.25"/>
    <row r="416" spans="2:58" ht="16" thickBot="1" x14ac:dyDescent="0.25">
      <c r="B416" s="156" t="s">
        <v>27</v>
      </c>
      <c r="C416" s="753" t="s">
        <v>727</v>
      </c>
      <c r="D416" s="754"/>
      <c r="E416" s="754"/>
      <c r="F416" s="754"/>
      <c r="G416" s="763"/>
      <c r="H416" s="764"/>
      <c r="I416" s="163"/>
      <c r="J416" s="157"/>
      <c r="K416" s="157"/>
      <c r="L416" s="765" t="str">
        <f>C416</f>
        <v>17 - 23 FEBRUARY 2025</v>
      </c>
      <c r="M416" s="763"/>
      <c r="N416" s="763"/>
      <c r="O416" s="763"/>
      <c r="P416" s="763"/>
      <c r="Q416" s="763"/>
      <c r="R416" s="763"/>
      <c r="S416" s="763"/>
      <c r="T416" s="764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766"/>
      <c r="AH416" s="766"/>
      <c r="AI416" s="753" t="str">
        <f>L416</f>
        <v>17 - 23 FEBRUARY 2025</v>
      </c>
      <c r="AJ416" s="754"/>
      <c r="AK416" s="754"/>
      <c r="AL416" s="754"/>
      <c r="AM416" s="754"/>
      <c r="AN416" s="754"/>
      <c r="AO416" s="767"/>
      <c r="AP416" s="157"/>
      <c r="AQ416" s="157"/>
      <c r="AR416" s="157"/>
      <c r="AS416" s="157"/>
      <c r="AT416" s="157"/>
      <c r="AU416" s="157"/>
      <c r="AV416" s="157"/>
      <c r="AW416" s="765" t="str">
        <f>AI416</f>
        <v>17 - 23 FEBRUARY 2025</v>
      </c>
      <c r="AX416" s="763" t="s">
        <v>28</v>
      </c>
      <c r="AY416" s="763"/>
      <c r="AZ416" s="763"/>
      <c r="BA416" s="763"/>
      <c r="BB416" s="763"/>
      <c r="BC416" s="763"/>
      <c r="BD416" s="764"/>
      <c r="BE416" s="157"/>
      <c r="BF416" s="157"/>
    </row>
    <row r="417" spans="2:58" ht="16" thickBot="1" x14ac:dyDescent="0.25">
      <c r="B417" s="158"/>
      <c r="C417" s="161"/>
      <c r="D417" s="161"/>
      <c r="E417" s="157"/>
      <c r="F417" s="157"/>
      <c r="G417" s="752" t="s">
        <v>29</v>
      </c>
      <c r="H417" s="752"/>
      <c r="I417" s="752" t="s">
        <v>30</v>
      </c>
      <c r="J417" s="752"/>
      <c r="K417" s="752" t="s">
        <v>31</v>
      </c>
      <c r="L417" s="752"/>
      <c r="M417" s="752" t="s">
        <v>32</v>
      </c>
      <c r="N417" s="752"/>
      <c r="O417" s="752" t="s">
        <v>33</v>
      </c>
      <c r="P417" s="752"/>
      <c r="Q417" s="752" t="s">
        <v>247</v>
      </c>
      <c r="R417" s="752"/>
      <c r="S417" s="752" t="s">
        <v>34</v>
      </c>
      <c r="T417" s="752"/>
      <c r="U417" s="752" t="s">
        <v>35</v>
      </c>
      <c r="V417" s="752"/>
      <c r="W417" s="752" t="s">
        <v>36</v>
      </c>
      <c r="X417" s="752"/>
      <c r="Y417" s="752" t="s">
        <v>37</v>
      </c>
      <c r="Z417" s="752"/>
      <c r="AA417" s="752" t="s">
        <v>38</v>
      </c>
      <c r="AB417" s="752"/>
      <c r="AC417" s="752" t="s">
        <v>39</v>
      </c>
      <c r="AD417" s="752"/>
      <c r="AE417" s="752" t="s">
        <v>40</v>
      </c>
      <c r="AF417" s="752"/>
      <c r="AG417" s="752" t="s">
        <v>41</v>
      </c>
      <c r="AH417" s="752"/>
      <c r="AI417" s="752" t="s">
        <v>42</v>
      </c>
      <c r="AJ417" s="752"/>
      <c r="AK417" s="752" t="s">
        <v>43</v>
      </c>
      <c r="AL417" s="752"/>
      <c r="AM417" s="752" t="s">
        <v>157</v>
      </c>
      <c r="AN417" s="752"/>
      <c r="AO417" s="752" t="s">
        <v>248</v>
      </c>
      <c r="AP417" s="752"/>
      <c r="AQ417" s="752" t="s">
        <v>249</v>
      </c>
      <c r="AR417" s="752"/>
      <c r="AS417" s="752" t="s">
        <v>150</v>
      </c>
      <c r="AT417" s="752"/>
      <c r="AU417" s="752" t="s">
        <v>151</v>
      </c>
      <c r="AV417" s="752"/>
      <c r="AW417" s="752" t="s">
        <v>44</v>
      </c>
      <c r="AX417" s="752"/>
      <c r="AY417" s="752" t="s">
        <v>250</v>
      </c>
      <c r="AZ417" s="752"/>
      <c r="BA417" s="752" t="s">
        <v>45</v>
      </c>
      <c r="BB417" s="752"/>
      <c r="BC417" s="752" t="s">
        <v>46</v>
      </c>
      <c r="BD417" s="752"/>
      <c r="BE417" s="752" t="s">
        <v>92</v>
      </c>
      <c r="BF417" s="752"/>
    </row>
    <row r="418" spans="2:58" ht="16" thickBot="1" x14ac:dyDescent="0.25">
      <c r="B418" s="156" t="s">
        <v>47</v>
      </c>
      <c r="C418" s="156" t="s">
        <v>48</v>
      </c>
      <c r="D418" s="283"/>
      <c r="E418" s="271"/>
      <c r="F418" s="271" t="s">
        <v>49</v>
      </c>
      <c r="G418" s="752" t="s">
        <v>50</v>
      </c>
      <c r="H418" s="752"/>
      <c r="I418" s="752" t="s">
        <v>51</v>
      </c>
      <c r="J418" s="752"/>
      <c r="K418" s="752" t="s">
        <v>51</v>
      </c>
      <c r="L418" s="752"/>
      <c r="M418" s="752" t="s">
        <v>52</v>
      </c>
      <c r="N418" s="752"/>
      <c r="O418" s="752">
        <v>180</v>
      </c>
      <c r="P418" s="752"/>
      <c r="Q418" s="752" t="s">
        <v>53</v>
      </c>
      <c r="R418" s="752"/>
      <c r="S418" s="752" t="s">
        <v>54</v>
      </c>
      <c r="T418" s="752"/>
      <c r="U418" s="752" t="s">
        <v>54</v>
      </c>
      <c r="V418" s="752"/>
      <c r="W418" s="752" t="s">
        <v>55</v>
      </c>
      <c r="X418" s="752"/>
      <c r="Y418" s="752" t="s">
        <v>54</v>
      </c>
      <c r="Z418" s="752"/>
      <c r="AA418" s="752" t="s">
        <v>54</v>
      </c>
      <c r="AB418" s="752"/>
      <c r="AC418" s="752" t="s">
        <v>56</v>
      </c>
      <c r="AD418" s="752"/>
      <c r="AE418" s="752" t="s">
        <v>57</v>
      </c>
      <c r="AF418" s="752"/>
      <c r="AG418" s="752" t="s">
        <v>57</v>
      </c>
      <c r="AH418" s="752"/>
      <c r="AI418" s="752" t="s">
        <v>58</v>
      </c>
      <c r="AJ418" s="752"/>
      <c r="AK418" s="752" t="s">
        <v>300</v>
      </c>
      <c r="AL418" s="752"/>
      <c r="AM418" s="752" t="s">
        <v>301</v>
      </c>
      <c r="AN418" s="752"/>
      <c r="AO418" s="752">
        <v>20</v>
      </c>
      <c r="AP418" s="752"/>
      <c r="AQ418" s="752">
        <v>20</v>
      </c>
      <c r="AR418" s="752"/>
      <c r="AS418" s="752" t="s">
        <v>57</v>
      </c>
      <c r="AT418" s="752"/>
      <c r="AU418" s="752" t="s">
        <v>302</v>
      </c>
      <c r="AV418" s="752"/>
      <c r="AW418" s="752">
        <v>100</v>
      </c>
      <c r="AX418" s="752"/>
      <c r="AY418" s="752">
        <v>100</v>
      </c>
      <c r="AZ418" s="752"/>
      <c r="BA418" s="752" t="s">
        <v>59</v>
      </c>
      <c r="BB418" s="752"/>
      <c r="BC418" s="752" t="s">
        <v>51</v>
      </c>
      <c r="BD418" s="752"/>
      <c r="BE418" s="752" t="s">
        <v>53</v>
      </c>
      <c r="BF418" s="752"/>
    </row>
    <row r="419" spans="2:58" ht="16" thickBot="1" x14ac:dyDescent="0.25">
      <c r="B419" s="156"/>
      <c r="C419" s="156" t="s">
        <v>60</v>
      </c>
      <c r="D419" s="283"/>
      <c r="E419" s="271" t="s">
        <v>61</v>
      </c>
      <c r="F419" s="271" t="s">
        <v>62</v>
      </c>
      <c r="G419" s="752">
        <v>151</v>
      </c>
      <c r="H419" s="752"/>
      <c r="I419" s="752">
        <v>167.99</v>
      </c>
      <c r="J419" s="752"/>
      <c r="K419" s="752">
        <v>144.99</v>
      </c>
      <c r="L419" s="752"/>
      <c r="M419" s="760">
        <v>169.99</v>
      </c>
      <c r="N419" s="760"/>
      <c r="O419" s="760">
        <v>274.99</v>
      </c>
      <c r="P419" s="760"/>
      <c r="Q419" s="760">
        <v>135</v>
      </c>
      <c r="R419" s="760"/>
      <c r="S419" s="752">
        <v>910.5</v>
      </c>
      <c r="T419" s="752"/>
      <c r="U419" s="752">
        <v>460.75</v>
      </c>
      <c r="V419" s="752"/>
      <c r="W419" s="752">
        <v>1048.95</v>
      </c>
      <c r="X419" s="752"/>
      <c r="Y419" s="752">
        <v>772.8</v>
      </c>
      <c r="Z419" s="752"/>
      <c r="AA419" s="752">
        <v>3450</v>
      </c>
      <c r="AB419" s="752"/>
      <c r="AC419" s="760">
        <v>99.99</v>
      </c>
      <c r="AD419" s="760"/>
      <c r="AE419" s="752">
        <v>29.99</v>
      </c>
      <c r="AF419" s="752"/>
      <c r="AG419" s="752">
        <v>548</v>
      </c>
      <c r="AH419" s="752"/>
      <c r="AI419" s="752">
        <v>4.99</v>
      </c>
      <c r="AJ419" s="752"/>
      <c r="AK419" s="752">
        <v>132.25</v>
      </c>
      <c r="AL419" s="752"/>
      <c r="AM419" s="752">
        <v>47.99</v>
      </c>
      <c r="AN419" s="752"/>
      <c r="AO419" s="752">
        <v>560</v>
      </c>
      <c r="AP419" s="752"/>
      <c r="AQ419" s="752">
        <v>560</v>
      </c>
      <c r="AR419" s="752"/>
      <c r="AS419" s="752">
        <v>613.5</v>
      </c>
      <c r="AT419" s="752"/>
      <c r="AU419" s="752">
        <v>313.89999999999998</v>
      </c>
      <c r="AV419" s="752"/>
      <c r="AW419" s="752">
        <v>405.8</v>
      </c>
      <c r="AX419" s="752"/>
      <c r="AY419" s="752">
        <v>218.99</v>
      </c>
      <c r="AZ419" s="752"/>
      <c r="BA419" s="752">
        <v>24.99</v>
      </c>
      <c r="BB419" s="752"/>
      <c r="BC419" s="752">
        <v>1425</v>
      </c>
      <c r="BD419" s="752"/>
      <c r="BE419" s="752">
        <v>54.99</v>
      </c>
      <c r="BF419" s="752"/>
    </row>
    <row r="420" spans="2:58" ht="16" thickBot="1" x14ac:dyDescent="0.25">
      <c r="B420" s="272">
        <v>45705</v>
      </c>
      <c r="C420" s="274">
        <f>800+950.63</f>
        <v>1750.63</v>
      </c>
      <c r="D420" s="276"/>
      <c r="E420" s="278" t="s">
        <v>186</v>
      </c>
      <c r="F420" s="278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  <c r="AA420" s="271"/>
      <c r="AB420" s="271"/>
      <c r="AC420" s="271"/>
      <c r="AD420" s="271"/>
      <c r="AE420" s="271"/>
      <c r="AF420" s="271"/>
      <c r="AG420" s="271"/>
      <c r="AH420" s="271"/>
      <c r="AI420" s="271"/>
      <c r="AJ420" s="271"/>
      <c r="AK420" s="271"/>
      <c r="AL420" s="271"/>
      <c r="AM420" s="271"/>
      <c r="AN420" s="271"/>
      <c r="AO420" s="271"/>
      <c r="AP420" s="271"/>
      <c r="AQ420" s="271"/>
      <c r="AR420" s="271"/>
      <c r="AS420" s="271"/>
      <c r="AT420" s="271"/>
      <c r="AU420" s="271"/>
      <c r="AV420" s="271"/>
      <c r="AW420" s="271"/>
      <c r="AX420" s="271"/>
      <c r="AY420" s="271"/>
      <c r="AZ420" s="271"/>
      <c r="BA420" s="271"/>
      <c r="BB420" s="271"/>
      <c r="BC420" s="271"/>
      <c r="BD420" s="271"/>
      <c r="BE420" s="271"/>
      <c r="BF420" s="271"/>
    </row>
    <row r="421" spans="2:58" ht="16" thickBot="1" x14ac:dyDescent="0.25">
      <c r="B421" s="660"/>
      <c r="C421" s="275">
        <v>256</v>
      </c>
      <c r="D421" s="661"/>
      <c r="E421" s="303"/>
      <c r="F421" s="303" t="s">
        <v>730</v>
      </c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  <c r="AA421" s="271"/>
      <c r="AB421" s="271"/>
      <c r="AC421" s="271"/>
      <c r="AD421" s="271"/>
      <c r="AE421" s="271"/>
      <c r="AF421" s="271"/>
      <c r="AG421" s="271"/>
      <c r="AH421" s="271"/>
      <c r="AI421" s="271"/>
      <c r="AJ421" s="271"/>
      <c r="AK421" s="271"/>
      <c r="AL421" s="271"/>
      <c r="AM421" s="271"/>
      <c r="AN421" s="271"/>
      <c r="AO421" s="271"/>
      <c r="AP421" s="271"/>
      <c r="AQ421" s="271"/>
      <c r="AR421" s="271"/>
      <c r="AS421" s="271"/>
      <c r="AT421" s="271"/>
      <c r="AU421" s="271"/>
      <c r="AV421" s="271"/>
      <c r="AW421" s="271"/>
      <c r="AX421" s="271"/>
      <c r="AY421" s="271"/>
      <c r="AZ421" s="271"/>
      <c r="BA421" s="271"/>
      <c r="BB421" s="271"/>
      <c r="BC421" s="271"/>
      <c r="BD421" s="271"/>
      <c r="BE421" s="271"/>
      <c r="BF421" s="271"/>
    </row>
    <row r="422" spans="2:58" ht="16" thickBot="1" x14ac:dyDescent="0.25">
      <c r="B422" s="660"/>
      <c r="C422" s="275">
        <v>13.99</v>
      </c>
      <c r="D422" s="661"/>
      <c r="E422" s="303" t="s">
        <v>279</v>
      </c>
      <c r="F422" s="303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  <c r="AA422" s="271"/>
      <c r="AB422" s="271"/>
      <c r="AC422" s="271"/>
      <c r="AD422" s="271"/>
      <c r="AE422" s="271"/>
      <c r="AF422" s="271"/>
      <c r="AG422" s="271"/>
      <c r="AH422" s="271"/>
      <c r="AI422" s="271"/>
      <c r="AJ422" s="271"/>
      <c r="AK422" s="271"/>
      <c r="AL422" s="271"/>
      <c r="AM422" s="271"/>
      <c r="AN422" s="271"/>
      <c r="AO422" s="271"/>
      <c r="AP422" s="271"/>
      <c r="AQ422" s="271"/>
      <c r="AR422" s="271"/>
      <c r="AS422" s="271"/>
      <c r="AT422" s="271"/>
      <c r="AU422" s="271"/>
      <c r="AV422" s="271"/>
      <c r="AW422" s="271"/>
      <c r="AX422" s="271"/>
      <c r="AY422" s="271"/>
      <c r="AZ422" s="271"/>
      <c r="BA422" s="271"/>
      <c r="BB422" s="271"/>
      <c r="BC422" s="271"/>
      <c r="BD422" s="271"/>
      <c r="BE422" s="271"/>
      <c r="BF422" s="271"/>
    </row>
    <row r="423" spans="2:58" ht="16" thickBot="1" x14ac:dyDescent="0.25">
      <c r="B423" s="660"/>
      <c r="C423" s="275">
        <v>90</v>
      </c>
      <c r="D423" s="661"/>
      <c r="E423" s="303" t="s">
        <v>334</v>
      </c>
      <c r="F423" s="303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  <c r="AA423" s="271"/>
      <c r="AB423" s="271"/>
      <c r="AC423" s="271"/>
      <c r="AD423" s="271"/>
      <c r="AE423" s="271"/>
      <c r="AF423" s="271"/>
      <c r="AG423" s="271"/>
      <c r="AH423" s="271"/>
      <c r="AI423" s="271"/>
      <c r="AJ423" s="271"/>
      <c r="AK423" s="271"/>
      <c r="AL423" s="271"/>
      <c r="AM423" s="271"/>
      <c r="AN423" s="271"/>
      <c r="AO423" s="271"/>
      <c r="AP423" s="271"/>
      <c r="AQ423" s="271"/>
      <c r="AR423" s="271"/>
      <c r="AS423" s="271"/>
      <c r="AT423" s="271"/>
      <c r="AU423" s="271"/>
      <c r="AV423" s="271"/>
      <c r="AW423" s="271"/>
      <c r="AX423" s="271"/>
      <c r="AY423" s="271"/>
      <c r="AZ423" s="271"/>
      <c r="BA423" s="271"/>
      <c r="BB423" s="271"/>
      <c r="BC423" s="271"/>
      <c r="BD423" s="271"/>
      <c r="BE423" s="271"/>
      <c r="BF423" s="271"/>
    </row>
    <row r="424" spans="2:58" ht="16" thickBot="1" x14ac:dyDescent="0.25">
      <c r="B424" s="660"/>
      <c r="C424" s="275">
        <v>610</v>
      </c>
      <c r="D424" s="661"/>
      <c r="E424" s="303" t="s">
        <v>396</v>
      </c>
      <c r="F424" s="303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  <c r="AA424" s="271"/>
      <c r="AB424" s="271"/>
      <c r="AC424" s="271"/>
      <c r="AD424" s="271"/>
      <c r="AE424" s="271"/>
      <c r="AF424" s="271"/>
      <c r="AG424" s="271"/>
      <c r="AH424" s="271"/>
      <c r="AI424" s="271"/>
      <c r="AJ424" s="271"/>
      <c r="AK424" s="271"/>
      <c r="AL424" s="271"/>
      <c r="AM424" s="271"/>
      <c r="AN424" s="271"/>
      <c r="AO424" s="271"/>
      <c r="AP424" s="271"/>
      <c r="AQ424" s="271"/>
      <c r="AR424" s="271"/>
      <c r="AS424" s="271"/>
      <c r="AT424" s="271"/>
      <c r="AU424" s="271"/>
      <c r="AV424" s="271"/>
      <c r="AW424" s="271"/>
      <c r="AX424" s="271"/>
      <c r="AY424" s="271"/>
      <c r="AZ424" s="271"/>
      <c r="BA424" s="271"/>
      <c r="BB424" s="271"/>
      <c r="BC424" s="271"/>
      <c r="BD424" s="271"/>
      <c r="BE424" s="271"/>
      <c r="BF424" s="271"/>
    </row>
    <row r="425" spans="2:58" ht="16" thickBot="1" x14ac:dyDescent="0.25">
      <c r="B425" s="660"/>
      <c r="C425" s="275">
        <v>600.99</v>
      </c>
      <c r="D425" s="661"/>
      <c r="E425" s="303"/>
      <c r="F425" s="303" t="s">
        <v>14</v>
      </c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  <c r="AA425" s="271"/>
      <c r="AB425" s="271"/>
      <c r="AC425" s="271"/>
      <c r="AD425" s="271"/>
      <c r="AE425" s="271">
        <v>10</v>
      </c>
      <c r="AF425" s="271">
        <v>349.9</v>
      </c>
      <c r="AG425" s="271"/>
      <c r="AH425" s="271"/>
      <c r="AI425" s="271"/>
      <c r="AJ425" s="271"/>
      <c r="AK425" s="271"/>
      <c r="AL425" s="271"/>
      <c r="AM425" s="271"/>
      <c r="AN425" s="271"/>
      <c r="AO425" s="271"/>
      <c r="AP425" s="271"/>
      <c r="AQ425" s="271"/>
      <c r="AR425" s="271"/>
      <c r="AS425" s="271"/>
      <c r="AT425" s="271"/>
      <c r="AU425" s="271"/>
      <c r="AV425" s="271"/>
      <c r="AW425" s="271"/>
      <c r="AX425" s="271"/>
      <c r="AY425" s="271"/>
      <c r="AZ425" s="271"/>
      <c r="BA425" s="271"/>
      <c r="BB425" s="271"/>
      <c r="BC425" s="271"/>
      <c r="BD425" s="271"/>
      <c r="BE425" s="271"/>
      <c r="BF425" s="271"/>
    </row>
    <row r="426" spans="2:58" ht="16" thickBot="1" x14ac:dyDescent="0.25">
      <c r="B426" s="681" t="s">
        <v>20</v>
      </c>
      <c r="C426" s="275">
        <v>8418.52</v>
      </c>
      <c r="D426" s="277"/>
      <c r="E426" s="279"/>
      <c r="F426" s="279" t="s">
        <v>9</v>
      </c>
      <c r="G426" s="271">
        <v>10</v>
      </c>
      <c r="H426" s="271">
        <v>1369.9</v>
      </c>
      <c r="I426" s="271">
        <v>2</v>
      </c>
      <c r="J426" s="271">
        <v>409.98</v>
      </c>
      <c r="K426" s="271">
        <v>8</v>
      </c>
      <c r="L426" s="271">
        <v>1455.92</v>
      </c>
      <c r="M426" s="271">
        <v>12</v>
      </c>
      <c r="N426" s="271">
        <v>2003.88</v>
      </c>
      <c r="O426" s="271">
        <v>6</v>
      </c>
      <c r="P426" s="271">
        <v>2040</v>
      </c>
      <c r="Q426" s="271"/>
      <c r="R426" s="271"/>
      <c r="S426" s="271"/>
      <c r="T426" s="271"/>
      <c r="U426" s="271"/>
      <c r="V426" s="271"/>
      <c r="W426" s="271">
        <v>6</v>
      </c>
      <c r="X426" s="271">
        <v>257.94</v>
      </c>
      <c r="Y426" s="271"/>
      <c r="Z426" s="271"/>
      <c r="AA426" s="271"/>
      <c r="AB426" s="271"/>
      <c r="AC426" s="271">
        <v>7</v>
      </c>
      <c r="AD426" s="271">
        <v>692.93</v>
      </c>
      <c r="AE426" s="271"/>
      <c r="AF426" s="271"/>
      <c r="AG426" s="271"/>
      <c r="AH426" s="271"/>
      <c r="AI426" s="271"/>
      <c r="AJ426" s="271"/>
      <c r="AK426" s="271"/>
      <c r="AL426" s="271"/>
      <c r="AM426" s="271"/>
      <c r="AN426" s="271"/>
      <c r="AO426" s="271"/>
      <c r="AP426" s="271"/>
      <c r="AQ426" s="271"/>
      <c r="AR426" s="271"/>
      <c r="AS426" s="271"/>
      <c r="AT426" s="271"/>
      <c r="AU426" s="271"/>
      <c r="AV426" s="271"/>
      <c r="AW426" s="271"/>
      <c r="AX426" s="271"/>
      <c r="AY426" s="271"/>
      <c r="AZ426" s="271"/>
      <c r="BA426" s="271">
        <v>1</v>
      </c>
      <c r="BB426" s="271">
        <v>26.99</v>
      </c>
      <c r="BC426" s="271"/>
      <c r="BD426" s="271"/>
      <c r="BE426" s="271">
        <v>1</v>
      </c>
      <c r="BF426" s="271">
        <v>75.989999999999995</v>
      </c>
    </row>
    <row r="427" spans="2:58" ht="16" thickBot="1" x14ac:dyDescent="0.25">
      <c r="B427" s="479"/>
      <c r="C427" s="680">
        <f>SUM(C420:C426)</f>
        <v>11740.130000000001</v>
      </c>
      <c r="D427" s="159"/>
      <c r="E427" s="270"/>
      <c r="F427" s="281"/>
      <c r="G427" s="309"/>
      <c r="H427" s="310"/>
      <c r="I427" s="309"/>
      <c r="J427" s="310"/>
      <c r="K427" s="309"/>
      <c r="L427" s="310"/>
      <c r="M427" s="309"/>
      <c r="N427" s="310"/>
      <c r="O427" s="271"/>
      <c r="P427" s="271"/>
      <c r="Q427" s="310"/>
      <c r="R427" s="310"/>
      <c r="S427" s="309"/>
      <c r="T427" s="310"/>
      <c r="U427" s="309"/>
      <c r="V427" s="310"/>
      <c r="W427" s="309"/>
      <c r="X427" s="310"/>
      <c r="Y427" s="309"/>
      <c r="Z427" s="310"/>
      <c r="AA427" s="309"/>
      <c r="AB427" s="310"/>
      <c r="AC427" s="271"/>
      <c r="AD427" s="271"/>
      <c r="AE427" s="309"/>
      <c r="AF427" s="310"/>
      <c r="AG427" s="309"/>
      <c r="AH427" s="310"/>
      <c r="AI427" s="309"/>
      <c r="AJ427" s="310"/>
      <c r="AK427" s="309"/>
      <c r="AL427" s="310"/>
      <c r="AM427" s="309"/>
      <c r="AN427" s="310"/>
      <c r="AO427" s="309"/>
      <c r="AP427" s="310"/>
      <c r="AQ427" s="309"/>
      <c r="AR427" s="310"/>
      <c r="AS427" s="309"/>
      <c r="AT427" s="310"/>
      <c r="AU427" s="309"/>
      <c r="AV427" s="310"/>
      <c r="AW427" s="309"/>
      <c r="AX427" s="310"/>
      <c r="AY427" s="309"/>
      <c r="AZ427" s="310"/>
      <c r="BA427" s="271"/>
      <c r="BB427" s="271"/>
      <c r="BC427" s="271"/>
      <c r="BD427" s="271"/>
      <c r="BE427" s="271"/>
      <c r="BF427" s="271"/>
    </row>
    <row r="428" spans="2:58" ht="16" thickBot="1" x14ac:dyDescent="0.25">
      <c r="B428" s="289">
        <v>45706</v>
      </c>
      <c r="C428" s="275">
        <v>205.96</v>
      </c>
      <c r="D428" s="277"/>
      <c r="E428" s="279" t="s">
        <v>426</v>
      </c>
      <c r="F428" s="279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  <c r="AA428" s="271"/>
      <c r="AB428" s="271"/>
      <c r="AC428" s="271"/>
      <c r="AD428" s="271"/>
      <c r="AE428" s="271"/>
      <c r="AF428" s="271"/>
      <c r="AG428" s="271"/>
      <c r="AH428" s="271"/>
      <c r="AI428" s="271"/>
      <c r="AJ428" s="271"/>
      <c r="AK428" s="271"/>
      <c r="AL428" s="271"/>
      <c r="AM428" s="271"/>
      <c r="AN428" s="271"/>
      <c r="AO428" s="271"/>
      <c r="AP428" s="271"/>
      <c r="AQ428" s="271"/>
      <c r="AR428" s="271"/>
      <c r="AS428" s="271"/>
      <c r="AT428" s="271"/>
      <c r="AU428" s="271"/>
      <c r="AV428" s="271"/>
      <c r="AW428" s="271"/>
      <c r="AX428" s="271"/>
      <c r="AY428" s="271"/>
      <c r="AZ428" s="271"/>
      <c r="BA428" s="271"/>
      <c r="BB428" s="271"/>
      <c r="BC428" s="271"/>
      <c r="BD428" s="271"/>
      <c r="BE428" s="271"/>
      <c r="BF428" s="271"/>
    </row>
    <row r="429" spans="2:58" ht="16" thickBot="1" x14ac:dyDescent="0.25">
      <c r="B429" s="289" t="s">
        <v>90</v>
      </c>
      <c r="C429" s="275"/>
      <c r="D429" s="277"/>
      <c r="E429" s="279"/>
      <c r="F429" s="279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1"/>
      <c r="AH429" s="271"/>
      <c r="AI429" s="271"/>
      <c r="AJ429" s="271"/>
      <c r="AK429" s="271"/>
      <c r="AL429" s="271"/>
      <c r="AM429" s="271"/>
      <c r="AN429" s="271"/>
      <c r="AO429" s="271"/>
      <c r="AP429" s="271"/>
      <c r="AQ429" s="271"/>
      <c r="AR429" s="271"/>
      <c r="AS429" s="271"/>
      <c r="AT429" s="271"/>
      <c r="AU429" s="271"/>
      <c r="AV429" s="271"/>
      <c r="AW429" s="271"/>
      <c r="AX429" s="271"/>
      <c r="AY429" s="271"/>
      <c r="AZ429" s="271"/>
      <c r="BA429" s="271"/>
      <c r="BB429" s="271"/>
      <c r="BC429" s="271"/>
      <c r="BD429" s="271"/>
      <c r="BE429" s="271"/>
      <c r="BF429" s="271"/>
    </row>
    <row r="430" spans="2:58" ht="16" thickBot="1" x14ac:dyDescent="0.25">
      <c r="B430" s="292"/>
      <c r="C430" s="159">
        <f>SUM(C428:C429)</f>
        <v>205.96</v>
      </c>
      <c r="D430" s="159"/>
      <c r="E430" s="270"/>
      <c r="F430" s="281"/>
      <c r="G430" s="309"/>
      <c r="H430" s="310"/>
      <c r="I430" s="309"/>
      <c r="J430" s="310"/>
      <c r="K430" s="309"/>
      <c r="L430" s="310"/>
      <c r="M430" s="309"/>
      <c r="N430" s="310"/>
      <c r="O430" s="271"/>
      <c r="P430" s="271"/>
      <c r="Q430" s="310"/>
      <c r="R430" s="310"/>
      <c r="S430" s="309"/>
      <c r="T430" s="310"/>
      <c r="U430" s="309"/>
      <c r="V430" s="310"/>
      <c r="W430" s="309"/>
      <c r="X430" s="310"/>
      <c r="Y430" s="309"/>
      <c r="Z430" s="310"/>
      <c r="AA430" s="309"/>
      <c r="AB430" s="310"/>
      <c r="AC430" s="271"/>
      <c r="AD430" s="271"/>
      <c r="AE430" s="309"/>
      <c r="AF430" s="310"/>
      <c r="AG430" s="309"/>
      <c r="AH430" s="310"/>
      <c r="AI430" s="309"/>
      <c r="AJ430" s="310"/>
      <c r="AK430" s="309"/>
      <c r="AL430" s="310"/>
      <c r="AM430" s="309"/>
      <c r="AN430" s="310"/>
      <c r="AO430" s="309"/>
      <c r="AP430" s="310"/>
      <c r="AQ430" s="309"/>
      <c r="AR430" s="310"/>
      <c r="AS430" s="309"/>
      <c r="AT430" s="310"/>
      <c r="AU430" s="309"/>
      <c r="AV430" s="310"/>
      <c r="AW430" s="309"/>
      <c r="AX430" s="310"/>
      <c r="AY430" s="309"/>
      <c r="AZ430" s="310"/>
      <c r="BA430" s="271"/>
      <c r="BB430" s="271"/>
      <c r="BC430" s="271"/>
      <c r="BD430" s="271"/>
      <c r="BE430" s="271"/>
      <c r="BF430" s="271"/>
    </row>
    <row r="431" spans="2:58" ht="16" thickBot="1" x14ac:dyDescent="0.25">
      <c r="B431" s="289">
        <v>45707</v>
      </c>
      <c r="C431" s="275">
        <v>29</v>
      </c>
      <c r="D431" s="277"/>
      <c r="E431" s="279" t="s">
        <v>615</v>
      </c>
      <c r="F431" s="279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  <c r="AA431" s="271"/>
      <c r="AB431" s="271"/>
      <c r="AC431" s="271"/>
      <c r="AD431" s="271"/>
      <c r="AE431" s="271"/>
      <c r="AF431" s="271"/>
      <c r="AG431" s="271"/>
      <c r="AH431" s="271"/>
      <c r="AI431" s="271"/>
      <c r="AJ431" s="271"/>
      <c r="AK431" s="271"/>
      <c r="AL431" s="271"/>
      <c r="AM431" s="271"/>
      <c r="AN431" s="271"/>
      <c r="AO431" s="271"/>
      <c r="AP431" s="271"/>
      <c r="AQ431" s="271"/>
      <c r="AR431" s="271"/>
      <c r="AS431" s="271"/>
      <c r="AT431" s="271"/>
      <c r="AU431" s="271"/>
      <c r="AV431" s="271"/>
      <c r="AW431" s="271"/>
      <c r="AX431" s="271"/>
      <c r="AY431" s="271"/>
      <c r="AZ431" s="271"/>
      <c r="BA431" s="271"/>
      <c r="BB431" s="271"/>
      <c r="BC431" s="271"/>
      <c r="BD431" s="271"/>
      <c r="BE431" s="271"/>
      <c r="BF431" s="271"/>
    </row>
    <row r="432" spans="2:58" ht="16" thickBot="1" x14ac:dyDescent="0.25">
      <c r="B432" s="289"/>
      <c r="C432" s="285">
        <v>700</v>
      </c>
      <c r="D432" s="277"/>
      <c r="E432" s="279" t="s">
        <v>186</v>
      </c>
      <c r="F432" s="279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  <c r="AA432" s="271"/>
      <c r="AB432" s="271"/>
      <c r="AC432" s="271"/>
      <c r="AD432" s="271"/>
      <c r="AE432" s="271"/>
      <c r="AF432" s="271"/>
      <c r="AG432" s="271"/>
      <c r="AH432" s="271"/>
      <c r="AI432" s="271"/>
      <c r="AJ432" s="271"/>
      <c r="AK432" s="271"/>
      <c r="AL432" s="271"/>
      <c r="AM432" s="271"/>
      <c r="AN432" s="271"/>
      <c r="AO432" s="271"/>
      <c r="AP432" s="271"/>
      <c r="AQ432" s="271"/>
      <c r="AR432" s="271"/>
      <c r="AS432" s="271"/>
      <c r="AT432" s="271"/>
      <c r="AU432" s="271"/>
      <c r="AV432" s="271"/>
      <c r="AW432" s="271"/>
      <c r="AX432" s="271"/>
      <c r="AY432" s="271"/>
      <c r="AZ432" s="271"/>
      <c r="BA432" s="271"/>
      <c r="BB432" s="271"/>
      <c r="BC432" s="271"/>
      <c r="BD432" s="271"/>
      <c r="BE432" s="271"/>
      <c r="BF432" s="271"/>
    </row>
    <row r="433" spans="2:58" ht="16" thickBot="1" x14ac:dyDescent="0.25">
      <c r="B433" s="289"/>
      <c r="C433" s="285">
        <f>17.5+6789.56</f>
        <v>6807.06</v>
      </c>
      <c r="D433" s="277"/>
      <c r="E433" s="279"/>
      <c r="F433" s="279" t="s">
        <v>9</v>
      </c>
      <c r="G433" s="271">
        <v>8</v>
      </c>
      <c r="H433" s="271">
        <v>1095.92</v>
      </c>
      <c r="I433" s="271">
        <v>2</v>
      </c>
      <c r="J433" s="271">
        <v>409.98</v>
      </c>
      <c r="K433" s="271">
        <v>8</v>
      </c>
      <c r="L433" s="271">
        <v>1455.92</v>
      </c>
      <c r="M433" s="271">
        <v>8</v>
      </c>
      <c r="N433" s="271">
        <v>1335.92</v>
      </c>
      <c r="O433" s="271">
        <v>4</v>
      </c>
      <c r="P433" s="271">
        <v>1360</v>
      </c>
      <c r="Q433" s="271"/>
      <c r="R433" s="271"/>
      <c r="S433" s="271"/>
      <c r="T433" s="271"/>
      <c r="U433" s="271"/>
      <c r="V433" s="271"/>
      <c r="W433" s="271">
        <v>4</v>
      </c>
      <c r="X433" s="271">
        <v>171.96</v>
      </c>
      <c r="Y433" s="271"/>
      <c r="Z433" s="271"/>
      <c r="AA433" s="271"/>
      <c r="AB433" s="271"/>
      <c r="AC433" s="271">
        <v>5</v>
      </c>
      <c r="AD433" s="271">
        <v>494.95</v>
      </c>
      <c r="AE433" s="271"/>
      <c r="AF433" s="271"/>
      <c r="AG433" s="271"/>
      <c r="AH433" s="271"/>
      <c r="AI433" s="271"/>
      <c r="AJ433" s="271"/>
      <c r="AK433" s="271"/>
      <c r="AL433" s="271"/>
      <c r="AM433" s="271">
        <v>1</v>
      </c>
      <c r="AN433" s="271">
        <v>49.99</v>
      </c>
      <c r="AO433" s="271"/>
      <c r="AP433" s="271"/>
      <c r="AQ433" s="271"/>
      <c r="AR433" s="271"/>
      <c r="AS433" s="271"/>
      <c r="AT433" s="271"/>
      <c r="AU433" s="271"/>
      <c r="AV433" s="271"/>
      <c r="AW433" s="271"/>
      <c r="AX433" s="271"/>
      <c r="AY433" s="271"/>
      <c r="AZ433" s="271"/>
      <c r="BA433" s="271">
        <v>1</v>
      </c>
      <c r="BB433" s="271">
        <v>26.99</v>
      </c>
      <c r="BC433" s="271"/>
      <c r="BD433" s="271"/>
      <c r="BE433" s="271">
        <v>1</v>
      </c>
      <c r="BF433" s="271">
        <v>75.989999999999995</v>
      </c>
    </row>
    <row r="434" spans="2:58" ht="16" thickBot="1" x14ac:dyDescent="0.25">
      <c r="B434" s="289"/>
      <c r="C434" s="285">
        <v>26460</v>
      </c>
      <c r="D434" s="277"/>
      <c r="E434" s="279"/>
      <c r="F434" s="279" t="s">
        <v>6</v>
      </c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>
        <v>6</v>
      </c>
      <c r="T434" s="271">
        <f>3070.5+2380.5</f>
        <v>5451</v>
      </c>
      <c r="U434" s="271">
        <v>18</v>
      </c>
      <c r="V434" s="271">
        <v>9522</v>
      </c>
      <c r="W434" s="271"/>
      <c r="X434" s="271"/>
      <c r="Y434" s="271">
        <v>1</v>
      </c>
      <c r="Z434" s="271">
        <v>772.8</v>
      </c>
      <c r="AA434" s="271">
        <v>2</v>
      </c>
      <c r="AB434" s="271">
        <v>8050</v>
      </c>
      <c r="AC434" s="271"/>
      <c r="AD434" s="271"/>
      <c r="AE434" s="271"/>
      <c r="AF434" s="271"/>
      <c r="AG434" s="271"/>
      <c r="AH434" s="271"/>
      <c r="AI434" s="271"/>
      <c r="AJ434" s="271"/>
      <c r="AK434" s="271"/>
      <c r="AL434" s="271"/>
      <c r="AM434" s="271"/>
      <c r="AN434" s="271"/>
      <c r="AO434" s="271"/>
      <c r="AP434" s="271"/>
      <c r="AQ434" s="271"/>
      <c r="AR434" s="271"/>
      <c r="AS434" s="271"/>
      <c r="AT434" s="271"/>
      <c r="AU434" s="271">
        <v>2</v>
      </c>
      <c r="AV434" s="271">
        <f>408.14+416.19</f>
        <v>824.32999999999993</v>
      </c>
      <c r="AW434" s="271"/>
      <c r="AX434" s="271"/>
      <c r="AY434" s="271"/>
      <c r="AZ434" s="271"/>
      <c r="BA434" s="271"/>
      <c r="BB434" s="271"/>
      <c r="BC434" s="271"/>
      <c r="BD434" s="271"/>
      <c r="BE434" s="271"/>
      <c r="BF434" s="271"/>
    </row>
    <row r="435" spans="2:58" ht="16" thickBot="1" x14ac:dyDescent="0.25">
      <c r="B435" s="289"/>
      <c r="C435" s="285">
        <v>279.92</v>
      </c>
      <c r="D435" s="277"/>
      <c r="E435" s="279"/>
      <c r="F435" s="279" t="s">
        <v>14</v>
      </c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  <c r="AA435" s="271"/>
      <c r="AB435" s="271"/>
      <c r="AC435" s="271"/>
      <c r="AD435" s="271"/>
      <c r="AE435" s="271">
        <v>8</v>
      </c>
      <c r="AF435" s="271">
        <v>279.92</v>
      </c>
      <c r="AG435" s="271"/>
      <c r="AH435" s="271"/>
      <c r="AI435" s="271"/>
      <c r="AJ435" s="271"/>
      <c r="AK435" s="271"/>
      <c r="AL435" s="271"/>
      <c r="AM435" s="271"/>
      <c r="AN435" s="271"/>
      <c r="AO435" s="271"/>
      <c r="AP435" s="271"/>
      <c r="AQ435" s="271"/>
      <c r="AR435" s="271"/>
      <c r="AS435" s="271"/>
      <c r="AT435" s="271"/>
      <c r="AU435" s="271"/>
      <c r="AV435" s="271"/>
      <c r="AW435" s="271"/>
      <c r="AX435" s="271"/>
      <c r="AY435" s="271"/>
      <c r="AZ435" s="271"/>
      <c r="BA435" s="271"/>
      <c r="BB435" s="271"/>
      <c r="BC435" s="271"/>
      <c r="BD435" s="271"/>
      <c r="BE435" s="271"/>
      <c r="BF435" s="271"/>
    </row>
    <row r="436" spans="2:58" ht="16" thickBot="1" x14ac:dyDescent="0.25">
      <c r="B436" s="289"/>
      <c r="C436" s="285">
        <v>764.8</v>
      </c>
      <c r="D436" s="277"/>
      <c r="E436" s="279" t="s">
        <v>740</v>
      </c>
      <c r="F436" s="279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  <c r="AA436" s="271"/>
      <c r="AB436" s="271"/>
      <c r="AC436" s="271"/>
      <c r="AD436" s="271"/>
      <c r="AE436" s="271"/>
      <c r="AF436" s="271"/>
      <c r="AG436" s="271"/>
      <c r="AH436" s="271"/>
      <c r="AI436" s="271"/>
      <c r="AJ436" s="271"/>
      <c r="AK436" s="271"/>
      <c r="AL436" s="271"/>
      <c r="AM436" s="271"/>
      <c r="AN436" s="271"/>
      <c r="AO436" s="271"/>
      <c r="AP436" s="271"/>
      <c r="AQ436" s="271"/>
      <c r="AR436" s="271"/>
      <c r="AS436" s="271"/>
      <c r="AT436" s="271"/>
      <c r="AU436" s="271"/>
      <c r="AV436" s="271"/>
      <c r="AW436" s="271"/>
      <c r="AX436" s="271"/>
      <c r="AY436" s="271"/>
      <c r="AZ436" s="271"/>
      <c r="BA436" s="271"/>
      <c r="BB436" s="271"/>
      <c r="BC436" s="271"/>
      <c r="BD436" s="271"/>
      <c r="BE436" s="271"/>
      <c r="BF436" s="271"/>
    </row>
    <row r="437" spans="2:58" ht="16" thickBot="1" x14ac:dyDescent="0.25">
      <c r="B437" s="289"/>
      <c r="C437" s="285"/>
      <c r="D437" s="277"/>
      <c r="E437" s="279"/>
      <c r="F437" s="279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  <c r="AA437" s="271"/>
      <c r="AB437" s="271"/>
      <c r="AC437" s="271"/>
      <c r="AD437" s="271"/>
      <c r="AE437" s="271"/>
      <c r="AF437" s="271"/>
      <c r="AG437" s="271"/>
      <c r="AH437" s="271"/>
      <c r="AI437" s="271"/>
      <c r="AJ437" s="271"/>
      <c r="AK437" s="271"/>
      <c r="AL437" s="271"/>
      <c r="AM437" s="271"/>
      <c r="AN437" s="271"/>
      <c r="AO437" s="271"/>
      <c r="AP437" s="271"/>
      <c r="AQ437" s="271"/>
      <c r="AR437" s="271"/>
      <c r="AS437" s="271"/>
      <c r="AT437" s="271"/>
      <c r="AU437" s="271"/>
      <c r="AV437" s="271"/>
      <c r="AW437" s="271"/>
      <c r="AX437" s="271"/>
      <c r="AY437" s="271"/>
      <c r="AZ437" s="271"/>
      <c r="BA437" s="271"/>
      <c r="BB437" s="271"/>
      <c r="BC437" s="271"/>
      <c r="BD437" s="271"/>
      <c r="BE437" s="271"/>
      <c r="BF437" s="271"/>
    </row>
    <row r="438" spans="2:58" ht="16" thickBot="1" x14ac:dyDescent="0.25">
      <c r="B438" s="288" t="s">
        <v>22</v>
      </c>
      <c r="C438" s="287"/>
      <c r="D438" s="290"/>
      <c r="E438" s="290"/>
      <c r="F438" s="296"/>
      <c r="G438" s="309"/>
      <c r="H438" s="310"/>
      <c r="I438" s="309"/>
      <c r="J438" s="310"/>
      <c r="K438" s="309"/>
      <c r="L438" s="310"/>
      <c r="M438" s="309"/>
      <c r="N438" s="310"/>
      <c r="O438" s="271"/>
      <c r="P438" s="271"/>
      <c r="Q438" s="309"/>
      <c r="R438" s="310"/>
      <c r="S438" s="309"/>
      <c r="T438" s="310"/>
      <c r="U438" s="309"/>
      <c r="V438" s="310"/>
      <c r="W438" s="309"/>
      <c r="X438" s="310"/>
      <c r="Y438" s="309"/>
      <c r="Z438" s="310"/>
      <c r="AA438" s="309"/>
      <c r="AB438" s="310"/>
      <c r="AC438" s="271"/>
      <c r="AD438" s="271"/>
      <c r="AE438" s="309"/>
      <c r="AF438" s="310"/>
      <c r="AG438" s="309"/>
      <c r="AH438" s="310"/>
      <c r="AI438" s="309"/>
      <c r="AJ438" s="310"/>
      <c r="AK438" s="309"/>
      <c r="AL438" s="310"/>
      <c r="AM438" s="309"/>
      <c r="AN438" s="310"/>
      <c r="AO438" s="309"/>
      <c r="AP438" s="310"/>
      <c r="AQ438" s="309"/>
      <c r="AR438" s="310"/>
      <c r="AS438" s="309"/>
      <c r="AT438" s="310"/>
      <c r="AU438" s="309"/>
      <c r="AV438" s="310"/>
      <c r="AW438" s="309"/>
      <c r="AX438" s="310"/>
      <c r="AY438" s="309"/>
      <c r="AZ438" s="310"/>
      <c r="BA438" s="271"/>
      <c r="BB438" s="271"/>
      <c r="BC438" s="271"/>
      <c r="BD438" s="271"/>
      <c r="BE438" s="271"/>
      <c r="BF438" s="271"/>
    </row>
    <row r="439" spans="2:58" ht="16" thickBot="1" x14ac:dyDescent="0.25">
      <c r="B439" s="292"/>
      <c r="C439" s="159">
        <f>SUM(C431:C438)</f>
        <v>35040.78</v>
      </c>
      <c r="D439" s="159"/>
      <c r="E439" s="270"/>
      <c r="F439" s="297"/>
      <c r="G439" s="309"/>
      <c r="H439" s="310"/>
      <c r="I439" s="309"/>
      <c r="J439" s="310"/>
      <c r="K439" s="309"/>
      <c r="L439" s="310"/>
      <c r="M439" s="309"/>
      <c r="N439" s="310"/>
      <c r="O439" s="271"/>
      <c r="P439" s="271"/>
      <c r="Q439" s="310"/>
      <c r="R439" s="310"/>
      <c r="S439" s="309"/>
      <c r="T439" s="310"/>
      <c r="U439" s="309"/>
      <c r="V439" s="310"/>
      <c r="W439" s="309"/>
      <c r="X439" s="310"/>
      <c r="Y439" s="309"/>
      <c r="Z439" s="310"/>
      <c r="AA439" s="309"/>
      <c r="AB439" s="310"/>
      <c r="AC439" s="271"/>
      <c r="AD439" s="271"/>
      <c r="AE439" s="309"/>
      <c r="AF439" s="310"/>
      <c r="AG439" s="309"/>
      <c r="AH439" s="310"/>
      <c r="AI439" s="309"/>
      <c r="AJ439" s="310"/>
      <c r="AK439" s="309"/>
      <c r="AL439" s="310"/>
      <c r="AM439" s="309"/>
      <c r="AN439" s="310"/>
      <c r="AO439" s="309"/>
      <c r="AP439" s="310"/>
      <c r="AQ439" s="309"/>
      <c r="AR439" s="310"/>
      <c r="AS439" s="309"/>
      <c r="AT439" s="310"/>
      <c r="AU439" s="309"/>
      <c r="AV439" s="310"/>
      <c r="AW439" s="309"/>
      <c r="AX439" s="310"/>
      <c r="AY439" s="309"/>
      <c r="AZ439" s="310"/>
      <c r="BA439" s="271"/>
      <c r="BB439" s="271"/>
      <c r="BC439" s="271"/>
      <c r="BD439" s="271"/>
      <c r="BE439" s="271"/>
      <c r="BF439" s="271"/>
    </row>
    <row r="440" spans="2:58" ht="16" thickBot="1" x14ac:dyDescent="0.25">
      <c r="B440" s="289">
        <v>45708</v>
      </c>
      <c r="C440" s="295">
        <f>948.3+79+79</f>
        <v>1106.3</v>
      </c>
      <c r="D440" s="275"/>
      <c r="E440" s="274" t="s">
        <v>296</v>
      </c>
      <c r="F440" s="301"/>
      <c r="G440" s="309"/>
      <c r="H440" s="310"/>
      <c r="I440" s="309"/>
      <c r="J440" s="310"/>
      <c r="K440" s="309"/>
      <c r="L440" s="310"/>
      <c r="M440" s="309"/>
      <c r="N440" s="310"/>
      <c r="O440" s="271"/>
      <c r="P440" s="271"/>
      <c r="Q440" s="309"/>
      <c r="R440" s="310"/>
      <c r="S440" s="309"/>
      <c r="T440" s="310"/>
      <c r="U440" s="309"/>
      <c r="V440" s="310"/>
      <c r="W440" s="309"/>
      <c r="X440" s="310"/>
      <c r="Y440" s="309"/>
      <c r="Z440" s="310"/>
      <c r="AA440" s="309"/>
      <c r="AB440" s="310"/>
      <c r="AC440" s="271"/>
      <c r="AD440" s="271"/>
      <c r="AE440" s="309"/>
      <c r="AF440" s="310"/>
      <c r="AG440" s="309"/>
      <c r="AH440" s="310"/>
      <c r="AI440" s="309"/>
      <c r="AJ440" s="310"/>
      <c r="AK440" s="309"/>
      <c r="AL440" s="310"/>
      <c r="AM440" s="309"/>
      <c r="AN440" s="310"/>
      <c r="AO440" s="309"/>
      <c r="AP440" s="310"/>
      <c r="AQ440" s="309"/>
      <c r="AR440" s="310"/>
      <c r="AS440" s="309"/>
      <c r="AT440" s="310"/>
      <c r="AU440" s="309"/>
      <c r="AV440" s="310"/>
      <c r="AW440" s="309"/>
      <c r="AX440" s="310"/>
      <c r="AY440" s="309"/>
      <c r="AZ440" s="310"/>
      <c r="BA440" s="271"/>
      <c r="BB440" s="271"/>
      <c r="BC440" s="271"/>
      <c r="BD440" s="271"/>
      <c r="BE440" s="271"/>
      <c r="BF440" s="271"/>
    </row>
    <row r="441" spans="2:58" ht="16" thickBot="1" x14ac:dyDescent="0.25">
      <c r="B441" s="289"/>
      <c r="C441" s="295">
        <v>388</v>
      </c>
      <c r="D441" s="275"/>
      <c r="E441" s="275" t="s">
        <v>748</v>
      </c>
      <c r="F441" s="302"/>
      <c r="G441" s="309"/>
      <c r="H441" s="310"/>
      <c r="I441" s="309"/>
      <c r="J441" s="310"/>
      <c r="K441" s="309"/>
      <c r="L441" s="310"/>
      <c r="M441" s="309"/>
      <c r="N441" s="310"/>
      <c r="O441" s="271"/>
      <c r="P441" s="271"/>
      <c r="Q441" s="309"/>
      <c r="R441" s="310"/>
      <c r="S441" s="309"/>
      <c r="T441" s="310"/>
      <c r="U441" s="309"/>
      <c r="V441" s="310"/>
      <c r="W441" s="309"/>
      <c r="X441" s="310"/>
      <c r="Y441" s="309"/>
      <c r="Z441" s="310"/>
      <c r="AA441" s="309"/>
      <c r="AB441" s="310"/>
      <c r="AC441" s="271"/>
      <c r="AD441" s="271"/>
      <c r="AE441" s="309"/>
      <c r="AF441" s="310"/>
      <c r="AG441" s="309"/>
      <c r="AH441" s="310"/>
      <c r="AI441" s="309"/>
      <c r="AJ441" s="310"/>
      <c r="AK441" s="309"/>
      <c r="AL441" s="310"/>
      <c r="AM441" s="309"/>
      <c r="AN441" s="310"/>
      <c r="AO441" s="309"/>
      <c r="AP441" s="310"/>
      <c r="AQ441" s="309"/>
      <c r="AR441" s="310"/>
      <c r="AS441" s="309"/>
      <c r="AT441" s="310"/>
      <c r="AU441" s="309"/>
      <c r="AV441" s="310"/>
      <c r="AW441" s="309"/>
      <c r="AX441" s="310"/>
      <c r="AY441" s="309"/>
      <c r="AZ441" s="310"/>
      <c r="BA441" s="271"/>
      <c r="BB441" s="271"/>
      <c r="BC441" s="271"/>
      <c r="BD441" s="271"/>
      <c r="BE441" s="271"/>
      <c r="BF441" s="271"/>
    </row>
    <row r="442" spans="2:58" ht="16" thickBot="1" x14ac:dyDescent="0.25">
      <c r="B442" s="289"/>
      <c r="C442" s="295">
        <f>102.94+44.99+1500</f>
        <v>1647.93</v>
      </c>
      <c r="D442" s="275"/>
      <c r="E442" s="275" t="s">
        <v>749</v>
      </c>
      <c r="F442" s="302"/>
      <c r="G442" s="309"/>
      <c r="H442" s="310"/>
      <c r="I442" s="309"/>
      <c r="J442" s="310"/>
      <c r="K442" s="309"/>
      <c r="L442" s="310"/>
      <c r="M442" s="309"/>
      <c r="N442" s="310"/>
      <c r="O442" s="271"/>
      <c r="P442" s="271"/>
      <c r="Q442" s="309"/>
      <c r="R442" s="310"/>
      <c r="S442" s="309"/>
      <c r="T442" s="310"/>
      <c r="U442" s="309"/>
      <c r="V442" s="310"/>
      <c r="W442" s="309"/>
      <c r="X442" s="310"/>
      <c r="Y442" s="309"/>
      <c r="Z442" s="310"/>
      <c r="AA442" s="309"/>
      <c r="AB442" s="310"/>
      <c r="AC442" s="271"/>
      <c r="AD442" s="271"/>
      <c r="AE442" s="309"/>
      <c r="AF442" s="310"/>
      <c r="AG442" s="309"/>
      <c r="AH442" s="310"/>
      <c r="AI442" s="309"/>
      <c r="AJ442" s="310"/>
      <c r="AK442" s="309"/>
      <c r="AL442" s="310"/>
      <c r="AM442" s="309"/>
      <c r="AN442" s="310"/>
      <c r="AO442" s="309"/>
      <c r="AP442" s="310"/>
      <c r="AQ442" s="309"/>
      <c r="AR442" s="310"/>
      <c r="AS442" s="309"/>
      <c r="AT442" s="310"/>
      <c r="AU442" s="309"/>
      <c r="AV442" s="310"/>
      <c r="AW442" s="309"/>
      <c r="AX442" s="310"/>
      <c r="AY442" s="309"/>
      <c r="AZ442" s="310"/>
      <c r="BA442" s="271"/>
      <c r="BB442" s="271"/>
      <c r="BC442" s="271"/>
      <c r="BD442" s="271"/>
      <c r="BE442" s="271"/>
      <c r="BF442" s="271"/>
    </row>
    <row r="443" spans="2:58" ht="16" thickBot="1" x14ac:dyDescent="0.25">
      <c r="B443" s="289"/>
      <c r="C443" s="295">
        <v>69.98</v>
      </c>
      <c r="D443" s="275"/>
      <c r="E443" s="275"/>
      <c r="F443" s="302" t="s">
        <v>14</v>
      </c>
      <c r="G443" s="309"/>
      <c r="H443" s="310"/>
      <c r="I443" s="309"/>
      <c r="J443" s="310"/>
      <c r="K443" s="309"/>
      <c r="L443" s="310"/>
      <c r="M443" s="309"/>
      <c r="N443" s="310"/>
      <c r="O443" s="271"/>
      <c r="P443" s="271"/>
      <c r="Q443" s="309"/>
      <c r="R443" s="310"/>
      <c r="S443" s="309"/>
      <c r="T443" s="310"/>
      <c r="U443" s="309"/>
      <c r="V443" s="310"/>
      <c r="W443" s="309"/>
      <c r="X443" s="310"/>
      <c r="Y443" s="309"/>
      <c r="Z443" s="310"/>
      <c r="AA443" s="309"/>
      <c r="AB443" s="310"/>
      <c r="AC443" s="271"/>
      <c r="AD443" s="271"/>
      <c r="AE443" s="309">
        <v>2</v>
      </c>
      <c r="AF443" s="310">
        <v>69.98</v>
      </c>
      <c r="AG443" s="309"/>
      <c r="AH443" s="310"/>
      <c r="AI443" s="309"/>
      <c r="AJ443" s="310"/>
      <c r="AK443" s="309"/>
      <c r="AL443" s="310"/>
      <c r="AM443" s="309"/>
      <c r="AN443" s="310"/>
      <c r="AO443" s="309"/>
      <c r="AP443" s="310"/>
      <c r="AQ443" s="309"/>
      <c r="AR443" s="310"/>
      <c r="AS443" s="309"/>
      <c r="AT443" s="310"/>
      <c r="AU443" s="309"/>
      <c r="AV443" s="310"/>
      <c r="AW443" s="309"/>
      <c r="AX443" s="310"/>
      <c r="AY443" s="309"/>
      <c r="AZ443" s="310"/>
      <c r="BA443" s="271"/>
      <c r="BB443" s="271"/>
      <c r="BC443" s="271"/>
      <c r="BD443" s="271"/>
      <c r="BE443" s="271"/>
      <c r="BF443" s="271"/>
    </row>
    <row r="444" spans="2:58" ht="16" thickBot="1" x14ac:dyDescent="0.25">
      <c r="B444" s="289" t="s">
        <v>23</v>
      </c>
      <c r="C444" s="295">
        <f>960.25+4771.7</f>
        <v>5731.95</v>
      </c>
      <c r="D444" s="275"/>
      <c r="E444" s="275"/>
      <c r="F444" s="302" t="s">
        <v>311</v>
      </c>
      <c r="G444" s="309"/>
      <c r="H444" s="310"/>
      <c r="I444" s="309"/>
      <c r="J444" s="310"/>
      <c r="K444" s="309"/>
      <c r="L444" s="310"/>
      <c r="M444" s="309"/>
      <c r="N444" s="310"/>
      <c r="O444" s="271"/>
      <c r="P444" s="271"/>
      <c r="Q444" s="309"/>
      <c r="R444" s="310"/>
      <c r="S444" s="309"/>
      <c r="T444" s="310"/>
      <c r="U444" s="309"/>
      <c r="V444" s="310"/>
      <c r="W444" s="309"/>
      <c r="X444" s="310"/>
      <c r="Y444" s="309"/>
      <c r="Z444" s="310"/>
      <c r="AA444" s="309"/>
      <c r="AB444" s="310"/>
      <c r="AC444" s="271"/>
      <c r="AD444" s="271"/>
      <c r="AE444" s="309"/>
      <c r="AF444" s="310"/>
      <c r="AG444" s="309"/>
      <c r="AH444" s="310"/>
      <c r="AI444" s="309"/>
      <c r="AJ444" s="310"/>
      <c r="AK444" s="309"/>
      <c r="AL444" s="310"/>
      <c r="AM444" s="309"/>
      <c r="AN444" s="310"/>
      <c r="AO444" s="309"/>
      <c r="AP444" s="310"/>
      <c r="AQ444" s="309"/>
      <c r="AR444" s="310"/>
      <c r="AS444" s="309"/>
      <c r="AT444" s="310"/>
      <c r="AU444" s="309"/>
      <c r="AV444" s="310"/>
      <c r="AW444" s="309">
        <v>10</v>
      </c>
      <c r="AX444" s="310">
        <f>4771.7/2</f>
        <v>2385.85</v>
      </c>
      <c r="AY444" s="309">
        <v>10</v>
      </c>
      <c r="AZ444" s="310">
        <v>2385.85</v>
      </c>
      <c r="BA444" s="271"/>
      <c r="BB444" s="271"/>
      <c r="BC444" s="271"/>
      <c r="BD444" s="271"/>
      <c r="BE444" s="271"/>
      <c r="BF444" s="271"/>
    </row>
    <row r="445" spans="2:58" ht="16" thickBot="1" x14ac:dyDescent="0.25">
      <c r="B445" s="298"/>
      <c r="C445" s="656">
        <f>SUM(C440:C444)</f>
        <v>8944.16</v>
      </c>
      <c r="D445" s="656"/>
      <c r="E445" s="578"/>
      <c r="F445" s="553"/>
      <c r="G445" s="309"/>
      <c r="H445" s="310"/>
      <c r="I445" s="309"/>
      <c r="J445" s="310"/>
      <c r="K445" s="309"/>
      <c r="L445" s="310"/>
      <c r="M445" s="309"/>
      <c r="N445" s="310"/>
      <c r="O445" s="271"/>
      <c r="P445" s="271"/>
      <c r="Q445" s="309"/>
      <c r="R445" s="310"/>
      <c r="S445" s="309"/>
      <c r="T445" s="310"/>
      <c r="U445" s="309"/>
      <c r="V445" s="310"/>
      <c r="W445" s="309"/>
      <c r="X445" s="310"/>
      <c r="Y445" s="309"/>
      <c r="Z445" s="310"/>
      <c r="AA445" s="309"/>
      <c r="AB445" s="310"/>
      <c r="AC445" s="271"/>
      <c r="AD445" s="271"/>
      <c r="AE445" s="309"/>
      <c r="AF445" s="310"/>
      <c r="AG445" s="309"/>
      <c r="AH445" s="310"/>
      <c r="AI445" s="309"/>
      <c r="AJ445" s="310"/>
      <c r="AK445" s="309"/>
      <c r="AL445" s="310"/>
      <c r="AM445" s="309"/>
      <c r="AN445" s="310"/>
      <c r="AO445" s="309"/>
      <c r="AP445" s="310"/>
      <c r="AQ445" s="309"/>
      <c r="AR445" s="310"/>
      <c r="AS445" s="309"/>
      <c r="AT445" s="310"/>
      <c r="AU445" s="309"/>
      <c r="AV445" s="310"/>
      <c r="AW445" s="309"/>
      <c r="AX445" s="310"/>
      <c r="AY445" s="309"/>
      <c r="AZ445" s="310"/>
      <c r="BA445" s="271"/>
      <c r="BB445" s="271"/>
      <c r="BC445" s="271"/>
      <c r="BD445" s="271"/>
      <c r="BE445" s="271"/>
      <c r="BF445" s="271"/>
    </row>
    <row r="446" spans="2:58" ht="16" thickBot="1" x14ac:dyDescent="0.25">
      <c r="B446" s="479">
        <v>45709</v>
      </c>
      <c r="C446" s="299">
        <v>800</v>
      </c>
      <c r="D446" s="300"/>
      <c r="E446" s="274" t="s">
        <v>186</v>
      </c>
      <c r="F446" s="301"/>
      <c r="G446" s="309"/>
      <c r="H446" s="310"/>
      <c r="I446" s="309"/>
      <c r="J446" s="310"/>
      <c r="K446" s="309"/>
      <c r="L446" s="310"/>
      <c r="M446" s="309"/>
      <c r="N446" s="310"/>
      <c r="O446" s="271"/>
      <c r="P446" s="271"/>
      <c r="Q446" s="309"/>
      <c r="R446" s="310"/>
      <c r="S446" s="309"/>
      <c r="T446" s="310"/>
      <c r="U446" s="309"/>
      <c r="V446" s="310"/>
      <c r="W446" s="309"/>
      <c r="X446" s="310"/>
      <c r="Y446" s="309"/>
      <c r="Z446" s="310"/>
      <c r="AA446" s="309"/>
      <c r="AB446" s="310"/>
      <c r="AC446" s="271"/>
      <c r="AD446" s="271"/>
      <c r="AE446" s="309"/>
      <c r="AF446" s="310"/>
      <c r="AG446" s="309"/>
      <c r="AH446" s="310"/>
      <c r="AI446" s="309"/>
      <c r="AJ446" s="310"/>
      <c r="AK446" s="309"/>
      <c r="AL446" s="310"/>
      <c r="AM446" s="309"/>
      <c r="AN446" s="310"/>
      <c r="AO446" s="309"/>
      <c r="AP446" s="310"/>
      <c r="AQ446" s="309"/>
      <c r="AR446" s="310"/>
      <c r="AS446" s="309"/>
      <c r="AT446" s="310"/>
      <c r="AU446" s="309"/>
      <c r="AV446" s="310"/>
      <c r="AW446" s="309"/>
      <c r="AX446" s="310"/>
      <c r="AY446" s="309"/>
      <c r="AZ446" s="310"/>
      <c r="BA446" s="271"/>
      <c r="BB446" s="271"/>
      <c r="BC446" s="271"/>
      <c r="BD446" s="271"/>
      <c r="BE446" s="271"/>
      <c r="BF446" s="271"/>
    </row>
    <row r="447" spans="2:58" ht="16" thickBot="1" x14ac:dyDescent="0.25">
      <c r="B447" s="479"/>
      <c r="C447" s="299">
        <v>184.99</v>
      </c>
      <c r="D447" s="300"/>
      <c r="E447" s="275" t="s">
        <v>411</v>
      </c>
      <c r="F447" s="302"/>
      <c r="G447" s="309"/>
      <c r="H447" s="310"/>
      <c r="I447" s="309"/>
      <c r="J447" s="310"/>
      <c r="K447" s="309"/>
      <c r="L447" s="310"/>
      <c r="M447" s="309"/>
      <c r="N447" s="310"/>
      <c r="O447" s="271"/>
      <c r="P447" s="271"/>
      <c r="Q447" s="309"/>
      <c r="R447" s="310"/>
      <c r="S447" s="309"/>
      <c r="T447" s="310"/>
      <c r="U447" s="309"/>
      <c r="V447" s="310"/>
      <c r="W447" s="309"/>
      <c r="X447" s="310"/>
      <c r="Y447" s="309"/>
      <c r="Z447" s="310"/>
      <c r="AA447" s="309"/>
      <c r="AB447" s="310"/>
      <c r="AC447" s="271"/>
      <c r="AD447" s="271"/>
      <c r="AE447" s="309"/>
      <c r="AF447" s="310"/>
      <c r="AG447" s="309"/>
      <c r="AH447" s="310"/>
      <c r="AI447" s="309"/>
      <c r="AJ447" s="310"/>
      <c r="AK447" s="309"/>
      <c r="AL447" s="310"/>
      <c r="AM447" s="309"/>
      <c r="AN447" s="310"/>
      <c r="AO447" s="309"/>
      <c r="AP447" s="310"/>
      <c r="AQ447" s="309"/>
      <c r="AR447" s="310"/>
      <c r="AS447" s="309"/>
      <c r="AT447" s="310"/>
      <c r="AU447" s="309"/>
      <c r="AV447" s="310"/>
      <c r="AW447" s="309"/>
      <c r="AX447" s="310"/>
      <c r="AY447" s="309"/>
      <c r="AZ447" s="310"/>
      <c r="BA447" s="271"/>
      <c r="BB447" s="271"/>
      <c r="BC447" s="271"/>
      <c r="BD447" s="271"/>
      <c r="BE447" s="271"/>
      <c r="BF447" s="271"/>
    </row>
    <row r="448" spans="2:58" ht="16" thickBot="1" x14ac:dyDescent="0.25">
      <c r="B448" s="479"/>
      <c r="C448" s="299">
        <v>6900</v>
      </c>
      <c r="D448" s="300"/>
      <c r="E448" s="275" t="s">
        <v>12</v>
      </c>
      <c r="F448" s="302"/>
      <c r="G448" s="309"/>
      <c r="H448" s="310"/>
      <c r="I448" s="309"/>
      <c r="J448" s="310"/>
      <c r="K448" s="309"/>
      <c r="L448" s="310"/>
      <c r="M448" s="309"/>
      <c r="N448" s="310"/>
      <c r="O448" s="271"/>
      <c r="P448" s="271"/>
      <c r="Q448" s="309"/>
      <c r="R448" s="310"/>
      <c r="S448" s="309"/>
      <c r="T448" s="310"/>
      <c r="U448" s="309"/>
      <c r="V448" s="310"/>
      <c r="W448" s="309"/>
      <c r="X448" s="310"/>
      <c r="Y448" s="309"/>
      <c r="Z448" s="310"/>
      <c r="AA448" s="309"/>
      <c r="AB448" s="310"/>
      <c r="AC448" s="271"/>
      <c r="AD448" s="271"/>
      <c r="AE448" s="309"/>
      <c r="AF448" s="310"/>
      <c r="AG448" s="309"/>
      <c r="AH448" s="310"/>
      <c r="AI448" s="309"/>
      <c r="AJ448" s="310"/>
      <c r="AK448" s="309"/>
      <c r="AL448" s="310"/>
      <c r="AM448" s="309"/>
      <c r="AN448" s="310"/>
      <c r="AO448" s="309"/>
      <c r="AP448" s="310"/>
      <c r="AQ448" s="309"/>
      <c r="AR448" s="310"/>
      <c r="AS448" s="309"/>
      <c r="AT448" s="310"/>
      <c r="AU448" s="309"/>
      <c r="AV448" s="310"/>
      <c r="AW448" s="309"/>
      <c r="AX448" s="310"/>
      <c r="AY448" s="309"/>
      <c r="AZ448" s="310"/>
      <c r="BA448" s="271"/>
      <c r="BB448" s="271"/>
      <c r="BC448" s="271"/>
      <c r="BD448" s="271"/>
      <c r="BE448" s="271"/>
      <c r="BF448" s="271"/>
    </row>
    <row r="449" spans="2:58" ht="16" thickBot="1" x14ac:dyDescent="0.25">
      <c r="B449" s="479"/>
      <c r="C449" s="299"/>
      <c r="D449" s="300"/>
      <c r="E449" s="275"/>
      <c r="F449" s="302"/>
      <c r="G449" s="309"/>
      <c r="H449" s="310"/>
      <c r="I449" s="309"/>
      <c r="J449" s="310"/>
      <c r="K449" s="309"/>
      <c r="L449" s="310"/>
      <c r="M449" s="309"/>
      <c r="N449" s="310"/>
      <c r="O449" s="271"/>
      <c r="P449" s="271"/>
      <c r="Q449" s="309"/>
      <c r="R449" s="310"/>
      <c r="S449" s="309"/>
      <c r="T449" s="310"/>
      <c r="U449" s="309"/>
      <c r="V449" s="310"/>
      <c r="W449" s="309"/>
      <c r="X449" s="310"/>
      <c r="Y449" s="309"/>
      <c r="Z449" s="310"/>
      <c r="AA449" s="309"/>
      <c r="AB449" s="310"/>
      <c r="AC449" s="271"/>
      <c r="AD449" s="271"/>
      <c r="AE449" s="309"/>
      <c r="AF449" s="310"/>
      <c r="AG449" s="309"/>
      <c r="AH449" s="310"/>
      <c r="AI449" s="309"/>
      <c r="AJ449" s="310"/>
      <c r="AK449" s="309"/>
      <c r="AL449" s="310"/>
      <c r="AM449" s="309"/>
      <c r="AN449" s="310"/>
      <c r="AO449" s="309"/>
      <c r="AP449" s="310"/>
      <c r="AQ449" s="309"/>
      <c r="AR449" s="310"/>
      <c r="AS449" s="309"/>
      <c r="AT449" s="310"/>
      <c r="AU449" s="309"/>
      <c r="AV449" s="310"/>
      <c r="AW449" s="309"/>
      <c r="AX449" s="310"/>
      <c r="AY449" s="309"/>
      <c r="AZ449" s="310"/>
      <c r="BA449" s="271"/>
      <c r="BB449" s="271"/>
      <c r="BC449" s="271"/>
      <c r="BD449" s="271"/>
      <c r="BE449" s="271"/>
      <c r="BF449" s="271"/>
    </row>
    <row r="450" spans="2:58" ht="16" thickBot="1" x14ac:dyDescent="0.25">
      <c r="B450" s="479"/>
      <c r="C450" s="657"/>
      <c r="D450" s="657"/>
      <c r="E450" s="285"/>
      <c r="F450" s="302"/>
      <c r="G450" s="309"/>
      <c r="H450" s="310"/>
      <c r="I450" s="309"/>
      <c r="J450" s="310"/>
      <c r="K450" s="309"/>
      <c r="L450" s="310"/>
      <c r="M450" s="309"/>
      <c r="N450" s="310"/>
      <c r="O450" s="271"/>
      <c r="P450" s="271"/>
      <c r="Q450" s="309"/>
      <c r="R450" s="310"/>
      <c r="S450" s="309"/>
      <c r="T450" s="310"/>
      <c r="U450" s="309"/>
      <c r="V450" s="310"/>
      <c r="W450" s="309"/>
      <c r="X450" s="310"/>
      <c r="Y450" s="309"/>
      <c r="Z450" s="310"/>
      <c r="AA450" s="309"/>
      <c r="AB450" s="310"/>
      <c r="AC450" s="271"/>
      <c r="AD450" s="271"/>
      <c r="AE450" s="309"/>
      <c r="AF450" s="310"/>
      <c r="AG450" s="309"/>
      <c r="AH450" s="310"/>
      <c r="AI450" s="309"/>
      <c r="AJ450" s="310"/>
      <c r="AK450" s="309"/>
      <c r="AL450" s="310"/>
      <c r="AM450" s="309"/>
      <c r="AN450" s="310"/>
      <c r="AO450" s="309"/>
      <c r="AP450" s="310"/>
      <c r="AQ450" s="309"/>
      <c r="AR450" s="310"/>
      <c r="AS450" s="309"/>
      <c r="AT450" s="310"/>
      <c r="AU450" s="309"/>
      <c r="AV450" s="310"/>
      <c r="AW450" s="309"/>
      <c r="AX450" s="310"/>
      <c r="AY450" s="309"/>
      <c r="AZ450" s="310"/>
      <c r="BA450" s="271"/>
      <c r="BB450" s="271"/>
      <c r="BC450" s="271"/>
      <c r="BD450" s="271"/>
      <c r="BE450" s="271"/>
      <c r="BF450" s="271"/>
    </row>
    <row r="451" spans="2:58" ht="16" thickBot="1" x14ac:dyDescent="0.25">
      <c r="B451" s="479" t="s">
        <v>24</v>
      </c>
      <c r="C451" s="299"/>
      <c r="D451" s="300"/>
      <c r="E451" s="275"/>
      <c r="F451" s="302"/>
      <c r="G451" s="309"/>
      <c r="H451" s="310"/>
      <c r="I451" s="309"/>
      <c r="J451" s="310"/>
      <c r="K451" s="309"/>
      <c r="L451" s="310"/>
      <c r="M451" s="309"/>
      <c r="N451" s="310"/>
      <c r="O451" s="271"/>
      <c r="P451" s="271"/>
      <c r="Q451" s="309"/>
      <c r="R451" s="310"/>
      <c r="S451" s="309"/>
      <c r="T451" s="310"/>
      <c r="U451" s="309"/>
      <c r="V451" s="310"/>
      <c r="W451" s="309"/>
      <c r="X451" s="310"/>
      <c r="Y451" s="309"/>
      <c r="Z451" s="310"/>
      <c r="AA451" s="309"/>
      <c r="AB451" s="310"/>
      <c r="AC451" s="271"/>
      <c r="AD451" s="271"/>
      <c r="AE451" s="309"/>
      <c r="AF451" s="310"/>
      <c r="AG451" s="309"/>
      <c r="AH451" s="310"/>
      <c r="AI451" s="309"/>
      <c r="AJ451" s="310"/>
      <c r="AK451" s="309"/>
      <c r="AL451" s="310"/>
      <c r="AM451" s="309"/>
      <c r="AN451" s="310"/>
      <c r="AO451" s="309"/>
      <c r="AP451" s="310"/>
      <c r="AQ451" s="309"/>
      <c r="AR451" s="310"/>
      <c r="AS451" s="309"/>
      <c r="AT451" s="310"/>
      <c r="AU451" s="309"/>
      <c r="AV451" s="310"/>
      <c r="AW451" s="309"/>
      <c r="AX451" s="310"/>
      <c r="AY451" s="309"/>
      <c r="AZ451" s="310"/>
      <c r="BA451" s="271"/>
      <c r="BB451" s="271"/>
      <c r="BC451" s="271"/>
      <c r="BD451" s="271"/>
      <c r="BE451" s="271"/>
      <c r="BF451" s="271"/>
    </row>
    <row r="452" spans="2:58" ht="16" thickBot="1" x14ac:dyDescent="0.25">
      <c r="B452" s="577"/>
      <c r="C452" s="159">
        <f>SUM(C446:C451)</f>
        <v>7884.99</v>
      </c>
      <c r="D452" s="159"/>
      <c r="E452" s="270"/>
      <c r="F452" s="271"/>
      <c r="G452" s="309"/>
      <c r="H452" s="310"/>
      <c r="I452" s="309"/>
      <c r="J452" s="310"/>
      <c r="K452" s="309"/>
      <c r="L452" s="310"/>
      <c r="M452" s="309"/>
      <c r="N452" s="310"/>
      <c r="O452" s="271"/>
      <c r="P452" s="271"/>
      <c r="Q452" s="309"/>
      <c r="R452" s="310"/>
      <c r="S452" s="309"/>
      <c r="T452" s="310"/>
      <c r="U452" s="309"/>
      <c r="V452" s="310"/>
      <c r="W452" s="309"/>
      <c r="X452" s="310"/>
      <c r="Y452" s="309"/>
      <c r="Z452" s="310"/>
      <c r="AA452" s="309"/>
      <c r="AB452" s="310"/>
      <c r="AC452" s="271"/>
      <c r="AD452" s="271"/>
      <c r="AE452" s="309"/>
      <c r="AF452" s="310"/>
      <c r="AG452" s="309"/>
      <c r="AH452" s="310"/>
      <c r="AI452" s="309"/>
      <c r="AJ452" s="310"/>
      <c r="AK452" s="309"/>
      <c r="AL452" s="310"/>
      <c r="AM452" s="309"/>
      <c r="AN452" s="310"/>
      <c r="AO452" s="309"/>
      <c r="AP452" s="310"/>
      <c r="AQ452" s="309"/>
      <c r="AR452" s="310"/>
      <c r="AS452" s="309"/>
      <c r="AT452" s="310"/>
      <c r="AU452" s="309"/>
      <c r="AV452" s="310"/>
      <c r="AW452" s="309"/>
      <c r="AX452" s="310"/>
      <c r="AY452" s="309"/>
      <c r="AZ452" s="310"/>
      <c r="BA452" s="271"/>
      <c r="BB452" s="271"/>
      <c r="BC452" s="271"/>
      <c r="BD452" s="271"/>
      <c r="BE452" s="271"/>
      <c r="BF452" s="271"/>
    </row>
    <row r="453" spans="2:58" ht="16" thickBot="1" x14ac:dyDescent="0.25">
      <c r="B453" s="289">
        <v>45710</v>
      </c>
      <c r="C453" s="299">
        <v>800</v>
      </c>
      <c r="D453" s="300"/>
      <c r="E453" s="274" t="s">
        <v>186</v>
      </c>
      <c r="F453" s="302"/>
      <c r="G453" s="309"/>
      <c r="H453" s="310"/>
      <c r="I453" s="309"/>
      <c r="J453" s="310"/>
      <c r="K453" s="309"/>
      <c r="L453" s="310"/>
      <c r="M453" s="309"/>
      <c r="N453" s="310"/>
      <c r="O453" s="271"/>
      <c r="P453" s="271"/>
      <c r="Q453" s="309"/>
      <c r="R453" s="310"/>
      <c r="S453" s="309"/>
      <c r="T453" s="310"/>
      <c r="U453" s="309"/>
      <c r="V453" s="310"/>
      <c r="W453" s="309"/>
      <c r="X453" s="310"/>
      <c r="Y453" s="309"/>
      <c r="Z453" s="310"/>
      <c r="AA453" s="309"/>
      <c r="AB453" s="310"/>
      <c r="AC453" s="271"/>
      <c r="AD453" s="271"/>
      <c r="AE453" s="309"/>
      <c r="AF453" s="310"/>
      <c r="AG453" s="309"/>
      <c r="AH453" s="310"/>
      <c r="AI453" s="309"/>
      <c r="AJ453" s="310"/>
      <c r="AK453" s="309"/>
      <c r="AL453" s="310"/>
      <c r="AM453" s="309"/>
      <c r="AN453" s="310"/>
      <c r="AO453" s="309"/>
      <c r="AP453" s="310"/>
      <c r="AQ453" s="309"/>
      <c r="AR453" s="310"/>
      <c r="AS453" s="309"/>
      <c r="AT453" s="310"/>
      <c r="AU453" s="309"/>
      <c r="AV453" s="310"/>
      <c r="AW453" s="309"/>
      <c r="AX453" s="310"/>
      <c r="AY453" s="309"/>
      <c r="AZ453" s="310"/>
      <c r="BA453" s="271"/>
      <c r="BB453" s="271"/>
      <c r="BC453" s="271"/>
      <c r="BD453" s="271"/>
      <c r="BE453" s="271"/>
      <c r="BF453" s="271"/>
    </row>
    <row r="454" spans="2:58" ht="16" thickBot="1" x14ac:dyDescent="0.25">
      <c r="B454" s="289"/>
      <c r="C454" s="299"/>
      <c r="D454" s="300"/>
      <c r="E454" s="275"/>
      <c r="F454" s="302"/>
      <c r="G454" s="309"/>
      <c r="H454" s="310"/>
      <c r="I454" s="309"/>
      <c r="J454" s="310"/>
      <c r="K454" s="309"/>
      <c r="L454" s="310"/>
      <c r="M454" s="309"/>
      <c r="N454" s="310"/>
      <c r="O454" s="271"/>
      <c r="P454" s="271"/>
      <c r="Q454" s="309"/>
      <c r="R454" s="310"/>
      <c r="S454" s="309"/>
      <c r="T454" s="310"/>
      <c r="U454" s="309"/>
      <c r="V454" s="310"/>
      <c r="W454" s="309"/>
      <c r="X454" s="310"/>
      <c r="Y454" s="309"/>
      <c r="Z454" s="310"/>
      <c r="AA454" s="309"/>
      <c r="AB454" s="310"/>
      <c r="AC454" s="271"/>
      <c r="AD454" s="271"/>
      <c r="AE454" s="309"/>
      <c r="AF454" s="310"/>
      <c r="AG454" s="309"/>
      <c r="AH454" s="310"/>
      <c r="AI454" s="309"/>
      <c r="AJ454" s="310"/>
      <c r="AK454" s="309"/>
      <c r="AL454" s="310"/>
      <c r="AM454" s="309"/>
      <c r="AN454" s="310"/>
      <c r="AO454" s="309"/>
      <c r="AP454" s="310"/>
      <c r="AQ454" s="309"/>
      <c r="AR454" s="310"/>
      <c r="AS454" s="309"/>
      <c r="AT454" s="310"/>
      <c r="AU454" s="309"/>
      <c r="AV454" s="310"/>
      <c r="AW454" s="309"/>
      <c r="AX454" s="310"/>
      <c r="AY454" s="309"/>
      <c r="AZ454" s="310"/>
      <c r="BA454" s="271"/>
      <c r="BB454" s="271"/>
      <c r="BC454" s="271"/>
      <c r="BD454" s="271"/>
      <c r="BE454" s="271"/>
      <c r="BF454" s="271"/>
    </row>
    <row r="455" spans="2:58" ht="16" thickBot="1" x14ac:dyDescent="0.25">
      <c r="B455" s="289"/>
      <c r="C455" s="299"/>
      <c r="D455" s="300"/>
      <c r="E455" s="275"/>
      <c r="F455" s="302"/>
      <c r="G455" s="309"/>
      <c r="H455" s="310"/>
      <c r="I455" s="309"/>
      <c r="J455" s="310"/>
      <c r="K455" s="309"/>
      <c r="L455" s="310"/>
      <c r="M455" s="309"/>
      <c r="N455" s="310"/>
      <c r="O455" s="271"/>
      <c r="P455" s="271"/>
      <c r="Q455" s="309"/>
      <c r="R455" s="310"/>
      <c r="S455" s="309"/>
      <c r="T455" s="310"/>
      <c r="U455" s="309"/>
      <c r="V455" s="310"/>
      <c r="W455" s="309"/>
      <c r="X455" s="310"/>
      <c r="Y455" s="309"/>
      <c r="Z455" s="310"/>
      <c r="AA455" s="309"/>
      <c r="AB455" s="310"/>
      <c r="AC455" s="271"/>
      <c r="AD455" s="271"/>
      <c r="AE455" s="309"/>
      <c r="AF455" s="310"/>
      <c r="AG455" s="309"/>
      <c r="AH455" s="310"/>
      <c r="AI455" s="309"/>
      <c r="AJ455" s="310"/>
      <c r="AK455" s="309"/>
      <c r="AL455" s="310"/>
      <c r="AM455" s="309"/>
      <c r="AN455" s="310"/>
      <c r="AO455" s="309"/>
      <c r="AP455" s="310"/>
      <c r="AQ455" s="309"/>
      <c r="AR455" s="310"/>
      <c r="AS455" s="309"/>
      <c r="AT455" s="310"/>
      <c r="AU455" s="309"/>
      <c r="AV455" s="310"/>
      <c r="AW455" s="309"/>
      <c r="AX455" s="310"/>
      <c r="AY455" s="309"/>
      <c r="AZ455" s="310"/>
      <c r="BA455" s="271"/>
      <c r="BB455" s="271"/>
      <c r="BC455" s="271"/>
      <c r="BD455" s="271"/>
      <c r="BE455" s="271"/>
      <c r="BF455" s="271"/>
    </row>
    <row r="456" spans="2:58" ht="16" thickBot="1" x14ac:dyDescent="0.25">
      <c r="B456" s="289"/>
      <c r="C456" s="299"/>
      <c r="D456" s="300"/>
      <c r="E456" s="275"/>
      <c r="F456" s="302"/>
      <c r="G456" s="309"/>
      <c r="H456" s="310"/>
      <c r="I456" s="309"/>
      <c r="J456" s="310"/>
      <c r="K456" s="309"/>
      <c r="L456" s="310"/>
      <c r="M456" s="309"/>
      <c r="N456" s="310"/>
      <c r="O456" s="271"/>
      <c r="P456" s="271"/>
      <c r="Q456" s="309"/>
      <c r="R456" s="310"/>
      <c r="S456" s="309"/>
      <c r="T456" s="310"/>
      <c r="U456" s="309"/>
      <c r="V456" s="310"/>
      <c r="W456" s="309"/>
      <c r="X456" s="310"/>
      <c r="Y456" s="309"/>
      <c r="Z456" s="310"/>
      <c r="AA456" s="309"/>
      <c r="AB456" s="310"/>
      <c r="AC456" s="271"/>
      <c r="AD456" s="271"/>
      <c r="AE456" s="309"/>
      <c r="AF456" s="310"/>
      <c r="AG456" s="309"/>
      <c r="AH456" s="310"/>
      <c r="AI456" s="309"/>
      <c r="AJ456" s="310"/>
      <c r="AK456" s="309"/>
      <c r="AL456" s="310"/>
      <c r="AM456" s="309"/>
      <c r="AN456" s="310"/>
      <c r="AO456" s="309"/>
      <c r="AP456" s="310"/>
      <c r="AQ456" s="309"/>
      <c r="AR456" s="310"/>
      <c r="AS456" s="309"/>
      <c r="AT456" s="310"/>
      <c r="AU456" s="309"/>
      <c r="AV456" s="310"/>
      <c r="AW456" s="309"/>
      <c r="AX456" s="310"/>
      <c r="AY456" s="309"/>
      <c r="AZ456" s="310"/>
      <c r="BA456" s="271"/>
      <c r="BB456" s="271"/>
      <c r="BC456" s="271"/>
      <c r="BD456" s="271"/>
      <c r="BE456" s="271"/>
      <c r="BF456" s="271"/>
    </row>
    <row r="457" spans="2:58" ht="16" thickBot="1" x14ac:dyDescent="0.25">
      <c r="B457" s="289"/>
      <c r="C457" s="299"/>
      <c r="D457" s="300"/>
      <c r="E457" s="275"/>
      <c r="F457" s="302"/>
      <c r="G457" s="309"/>
      <c r="H457" s="310"/>
      <c r="I457" s="309"/>
      <c r="J457" s="310"/>
      <c r="K457" s="309"/>
      <c r="L457" s="310"/>
      <c r="M457" s="309"/>
      <c r="N457" s="310"/>
      <c r="O457" s="271"/>
      <c r="P457" s="271"/>
      <c r="Q457" s="309"/>
      <c r="R457" s="310"/>
      <c r="S457" s="309"/>
      <c r="T457" s="310"/>
      <c r="U457" s="309"/>
      <c r="V457" s="310"/>
      <c r="W457" s="309"/>
      <c r="X457" s="310"/>
      <c r="Y457" s="309"/>
      <c r="Z457" s="310"/>
      <c r="AA457" s="309"/>
      <c r="AB457" s="310"/>
      <c r="AC457" s="271"/>
      <c r="AD457" s="271"/>
      <c r="AE457" s="309"/>
      <c r="AF457" s="310"/>
      <c r="AG457" s="309"/>
      <c r="AH457" s="310"/>
      <c r="AI457" s="309"/>
      <c r="AJ457" s="310"/>
      <c r="AK457" s="309"/>
      <c r="AL457" s="310"/>
      <c r="AM457" s="309"/>
      <c r="AN457" s="310"/>
      <c r="AO457" s="309"/>
      <c r="AP457" s="310"/>
      <c r="AQ457" s="309"/>
      <c r="AR457" s="310"/>
      <c r="AS457" s="309"/>
      <c r="AT457" s="310"/>
      <c r="AU457" s="309"/>
      <c r="AV457" s="310"/>
      <c r="AW457" s="309"/>
      <c r="AX457" s="310"/>
      <c r="AY457" s="309"/>
      <c r="AZ457" s="310"/>
      <c r="BA457" s="271"/>
      <c r="BB457" s="271"/>
      <c r="BC457" s="271"/>
      <c r="BD457" s="271"/>
      <c r="BE457" s="271"/>
      <c r="BF457" s="271"/>
    </row>
    <row r="458" spans="2:58" ht="16" thickBot="1" x14ac:dyDescent="0.25">
      <c r="B458" s="289"/>
      <c r="C458" s="299"/>
      <c r="D458" s="300"/>
      <c r="E458" s="275"/>
      <c r="F458" s="302"/>
      <c r="G458" s="309"/>
      <c r="H458" s="310"/>
      <c r="I458" s="309"/>
      <c r="J458" s="310"/>
      <c r="K458" s="309"/>
      <c r="L458" s="310"/>
      <c r="M458" s="309"/>
      <c r="N458" s="310"/>
      <c r="O458" s="271"/>
      <c r="P458" s="271"/>
      <c r="Q458" s="309"/>
      <c r="R458" s="310"/>
      <c r="S458" s="309"/>
      <c r="T458" s="310"/>
      <c r="U458" s="309"/>
      <c r="V458" s="310"/>
      <c r="W458" s="309"/>
      <c r="X458" s="310"/>
      <c r="Y458" s="309"/>
      <c r="Z458" s="310"/>
      <c r="AA458" s="309"/>
      <c r="AB458" s="310"/>
      <c r="AC458" s="271"/>
      <c r="AD458" s="271"/>
      <c r="AE458" s="309"/>
      <c r="AF458" s="310"/>
      <c r="AG458" s="309"/>
      <c r="AH458" s="310"/>
      <c r="AI458" s="309"/>
      <c r="AJ458" s="310"/>
      <c r="AK458" s="309"/>
      <c r="AL458" s="310"/>
      <c r="AM458" s="309"/>
      <c r="AN458" s="310"/>
      <c r="AO458" s="309"/>
      <c r="AP458" s="310"/>
      <c r="AQ458" s="309"/>
      <c r="AR458" s="310"/>
      <c r="AS458" s="309"/>
      <c r="AT458" s="310"/>
      <c r="AU458" s="309"/>
      <c r="AV458" s="310"/>
      <c r="AW458" s="309"/>
      <c r="AX458" s="310"/>
      <c r="AY458" s="309"/>
      <c r="AZ458" s="310"/>
      <c r="BA458" s="271"/>
      <c r="BB458" s="271"/>
      <c r="BC458" s="271"/>
      <c r="BD458" s="271"/>
      <c r="BE458" s="271"/>
      <c r="BF458" s="271"/>
    </row>
    <row r="459" spans="2:58" ht="16" thickBot="1" x14ac:dyDescent="0.25">
      <c r="B459" s="289"/>
      <c r="C459" s="299"/>
      <c r="D459" s="300"/>
      <c r="E459" s="275"/>
      <c r="F459" s="302"/>
      <c r="G459" s="309"/>
      <c r="H459" s="310"/>
      <c r="I459" s="309"/>
      <c r="J459" s="310"/>
      <c r="K459" s="309"/>
      <c r="L459" s="310"/>
      <c r="M459" s="309"/>
      <c r="N459" s="310"/>
      <c r="O459" s="271"/>
      <c r="P459" s="271"/>
      <c r="Q459" s="309"/>
      <c r="R459" s="310"/>
      <c r="S459" s="309"/>
      <c r="T459" s="310"/>
      <c r="U459" s="309"/>
      <c r="V459" s="310"/>
      <c r="W459" s="309"/>
      <c r="X459" s="310"/>
      <c r="Y459" s="309"/>
      <c r="Z459" s="310"/>
      <c r="AA459" s="309"/>
      <c r="AB459" s="310"/>
      <c r="AC459" s="271"/>
      <c r="AD459" s="271"/>
      <c r="AE459" s="309"/>
      <c r="AF459" s="310"/>
      <c r="AG459" s="309"/>
      <c r="AH459" s="310"/>
      <c r="AI459" s="309"/>
      <c r="AJ459" s="310"/>
      <c r="AK459" s="309"/>
      <c r="AL459" s="310"/>
      <c r="AM459" s="309"/>
      <c r="AN459" s="310"/>
      <c r="AO459" s="309"/>
      <c r="AP459" s="310"/>
      <c r="AQ459" s="309"/>
      <c r="AR459" s="310"/>
      <c r="AS459" s="309"/>
      <c r="AT459" s="310"/>
      <c r="AU459" s="309"/>
      <c r="AV459" s="310"/>
      <c r="AW459" s="309"/>
      <c r="AX459" s="310"/>
      <c r="AY459" s="309"/>
      <c r="AZ459" s="310"/>
      <c r="BA459" s="271"/>
      <c r="BB459" s="271"/>
      <c r="BC459" s="271"/>
      <c r="BD459" s="271"/>
      <c r="BE459" s="271"/>
      <c r="BF459" s="271"/>
    </row>
    <row r="460" spans="2:58" ht="16" thickBot="1" x14ac:dyDescent="0.25">
      <c r="B460" s="288" t="s">
        <v>25</v>
      </c>
      <c r="C460" s="284"/>
      <c r="D460" s="291"/>
      <c r="E460" s="290"/>
      <c r="F460" s="293"/>
      <c r="G460" s="309"/>
      <c r="H460" s="310"/>
      <c r="I460" s="309"/>
      <c r="J460" s="310"/>
      <c r="K460" s="309"/>
      <c r="L460" s="310"/>
      <c r="M460" s="309"/>
      <c r="N460" s="310"/>
      <c r="O460" s="271"/>
      <c r="P460" s="271"/>
      <c r="Q460" s="309"/>
      <c r="R460" s="310"/>
      <c r="S460" s="309"/>
      <c r="T460" s="310"/>
      <c r="U460" s="309"/>
      <c r="V460" s="310"/>
      <c r="W460" s="309"/>
      <c r="X460" s="310"/>
      <c r="Y460" s="309"/>
      <c r="Z460" s="310"/>
      <c r="AA460" s="309"/>
      <c r="AB460" s="310"/>
      <c r="AC460" s="271"/>
      <c r="AD460" s="271"/>
      <c r="AE460" s="309"/>
      <c r="AF460" s="310"/>
      <c r="AG460" s="309"/>
      <c r="AH460" s="310"/>
      <c r="AI460" s="309"/>
      <c r="AJ460" s="310"/>
      <c r="AK460" s="309"/>
      <c r="AL460" s="310"/>
      <c r="AM460" s="309"/>
      <c r="AN460" s="310"/>
      <c r="AO460" s="309"/>
      <c r="AP460" s="310"/>
      <c r="AQ460" s="309"/>
      <c r="AR460" s="310"/>
      <c r="AS460" s="309"/>
      <c r="AT460" s="310"/>
      <c r="AU460" s="309"/>
      <c r="AV460" s="310"/>
      <c r="AW460" s="309"/>
      <c r="AX460" s="310"/>
      <c r="AY460" s="309"/>
      <c r="AZ460" s="310"/>
      <c r="BA460" s="271"/>
      <c r="BB460" s="271"/>
      <c r="BC460" s="271"/>
      <c r="BD460" s="271"/>
      <c r="BE460" s="271"/>
      <c r="BF460" s="271"/>
    </row>
    <row r="461" spans="2:58" ht="16" thickBot="1" x14ac:dyDescent="0.25">
      <c r="B461" s="668"/>
      <c r="C461" s="640">
        <f>SUM(C453:C460)</f>
        <v>800</v>
      </c>
      <c r="D461" s="159"/>
      <c r="E461" s="270"/>
      <c r="F461" s="271"/>
      <c r="G461" s="309"/>
      <c r="H461" s="310"/>
      <c r="I461" s="309"/>
      <c r="J461" s="310"/>
      <c r="K461" s="309"/>
      <c r="L461" s="310"/>
      <c r="M461" s="309"/>
      <c r="N461" s="310"/>
      <c r="O461" s="271"/>
      <c r="P461" s="271"/>
      <c r="Q461" s="309"/>
      <c r="R461" s="310"/>
      <c r="S461" s="309"/>
      <c r="T461" s="310"/>
      <c r="U461" s="309"/>
      <c r="V461" s="310"/>
      <c r="W461" s="309"/>
      <c r="X461" s="310"/>
      <c r="Y461" s="309"/>
      <c r="Z461" s="310"/>
      <c r="AA461" s="309"/>
      <c r="AB461" s="310"/>
      <c r="AC461" s="271"/>
      <c r="AD461" s="271"/>
      <c r="AE461" s="309"/>
      <c r="AF461" s="310"/>
      <c r="AG461" s="309"/>
      <c r="AH461" s="310"/>
      <c r="AI461" s="309"/>
      <c r="AJ461" s="310"/>
      <c r="AK461" s="309"/>
      <c r="AL461" s="310"/>
      <c r="AM461" s="309"/>
      <c r="AN461" s="310"/>
      <c r="AO461" s="309"/>
      <c r="AP461" s="310"/>
      <c r="AQ461" s="309"/>
      <c r="AR461" s="310"/>
      <c r="AS461" s="309"/>
      <c r="AT461" s="310"/>
      <c r="AU461" s="309"/>
      <c r="AV461" s="310"/>
      <c r="AW461" s="309"/>
      <c r="AX461" s="310"/>
      <c r="AY461" s="309"/>
      <c r="AZ461" s="310"/>
      <c r="BA461" s="271"/>
      <c r="BB461" s="271"/>
      <c r="BC461" s="271"/>
      <c r="BD461" s="271"/>
      <c r="BE461" s="271"/>
      <c r="BF461" s="271"/>
    </row>
    <row r="462" spans="2:58" ht="16" thickBot="1" x14ac:dyDescent="0.25">
      <c r="B462" s="479">
        <v>45680</v>
      </c>
      <c r="C462" s="657">
        <f>239.95+1557.98</f>
        <v>1797.93</v>
      </c>
      <c r="D462" s="641"/>
      <c r="E462" s="274" t="s">
        <v>757</v>
      </c>
      <c r="F462" s="301"/>
      <c r="G462" s="550"/>
      <c r="H462" s="310"/>
      <c r="I462" s="309"/>
      <c r="J462" s="310"/>
      <c r="K462" s="309"/>
      <c r="L462" s="310"/>
      <c r="M462" s="309"/>
      <c r="N462" s="310"/>
      <c r="O462" s="271"/>
      <c r="P462" s="271"/>
      <c r="Q462" s="309"/>
      <c r="R462" s="310"/>
      <c r="S462" s="309"/>
      <c r="T462" s="310"/>
      <c r="U462" s="309"/>
      <c r="V462" s="310"/>
      <c r="W462" s="309"/>
      <c r="X462" s="310"/>
      <c r="Y462" s="309"/>
      <c r="Z462" s="310"/>
      <c r="AA462" s="309"/>
      <c r="AB462" s="310"/>
      <c r="AC462" s="271"/>
      <c r="AD462" s="271"/>
      <c r="AE462" s="309"/>
      <c r="AF462" s="310"/>
      <c r="AG462" s="309"/>
      <c r="AH462" s="310"/>
      <c r="AI462" s="309"/>
      <c r="AJ462" s="310"/>
      <c r="AK462" s="309"/>
      <c r="AL462" s="310"/>
      <c r="AM462" s="309"/>
      <c r="AN462" s="310"/>
      <c r="AO462" s="309"/>
      <c r="AP462" s="310"/>
      <c r="AQ462" s="309"/>
      <c r="AR462" s="310"/>
      <c r="AS462" s="309"/>
      <c r="AT462" s="310"/>
      <c r="AU462" s="309"/>
      <c r="AV462" s="310"/>
      <c r="AW462" s="309"/>
      <c r="AX462" s="310"/>
      <c r="AY462" s="309"/>
      <c r="AZ462" s="310"/>
      <c r="BA462" s="271"/>
      <c r="BB462" s="271"/>
      <c r="BC462" s="271"/>
      <c r="BD462" s="271"/>
      <c r="BE462" s="271"/>
      <c r="BF462" s="271"/>
    </row>
    <row r="463" spans="2:58" ht="16" thickBot="1" x14ac:dyDescent="0.25">
      <c r="B463" s="479"/>
      <c r="C463" s="657">
        <v>295.94</v>
      </c>
      <c r="D463" s="657"/>
      <c r="E463" s="285"/>
      <c r="F463" s="302" t="s">
        <v>279</v>
      </c>
      <c r="G463" s="550"/>
      <c r="H463" s="310"/>
      <c r="I463" s="309"/>
      <c r="J463" s="310"/>
      <c r="K463" s="309"/>
      <c r="L463" s="310"/>
      <c r="M463" s="309"/>
      <c r="N463" s="310"/>
      <c r="O463" s="271"/>
      <c r="P463" s="271"/>
      <c r="Q463" s="309"/>
      <c r="R463" s="310"/>
      <c r="S463" s="309"/>
      <c r="T463" s="310"/>
      <c r="U463" s="309"/>
      <c r="V463" s="310"/>
      <c r="W463" s="309"/>
      <c r="X463" s="310"/>
      <c r="Y463" s="309"/>
      <c r="Z463" s="310"/>
      <c r="AA463" s="309"/>
      <c r="AB463" s="310"/>
      <c r="AC463" s="271">
        <v>6</v>
      </c>
      <c r="AD463" s="271">
        <v>295.94</v>
      </c>
      <c r="AE463" s="309"/>
      <c r="AF463" s="310"/>
      <c r="AG463" s="309"/>
      <c r="AH463" s="310"/>
      <c r="AI463" s="309"/>
      <c r="AJ463" s="310"/>
      <c r="AK463" s="309"/>
      <c r="AL463" s="310"/>
      <c r="AM463" s="309"/>
      <c r="AN463" s="310"/>
      <c r="AO463" s="309"/>
      <c r="AP463" s="310"/>
      <c r="AQ463" s="309"/>
      <c r="AR463" s="310"/>
      <c r="AS463" s="309"/>
      <c r="AT463" s="310"/>
      <c r="AU463" s="309"/>
      <c r="AV463" s="310"/>
      <c r="AW463" s="309"/>
      <c r="AX463" s="310"/>
      <c r="AY463" s="309"/>
      <c r="AZ463" s="310"/>
      <c r="BA463" s="271"/>
      <c r="BB463" s="271"/>
      <c r="BC463" s="271"/>
      <c r="BD463" s="271"/>
      <c r="BE463" s="271"/>
      <c r="BF463" s="271"/>
    </row>
    <row r="464" spans="2:58" ht="16" thickBot="1" x14ac:dyDescent="0.25">
      <c r="B464" s="479"/>
      <c r="C464" s="657">
        <v>279.92</v>
      </c>
      <c r="D464" s="657"/>
      <c r="E464" s="285"/>
      <c r="F464" s="302" t="s">
        <v>14</v>
      </c>
      <c r="G464" s="550"/>
      <c r="H464" s="310"/>
      <c r="I464" s="309"/>
      <c r="J464" s="310"/>
      <c r="K464" s="309"/>
      <c r="L464" s="310"/>
      <c r="M464" s="309"/>
      <c r="N464" s="310"/>
      <c r="O464" s="271"/>
      <c r="P464" s="271"/>
      <c r="Q464" s="309"/>
      <c r="R464" s="310"/>
      <c r="S464" s="309"/>
      <c r="T464" s="310"/>
      <c r="U464" s="309"/>
      <c r="V464" s="310"/>
      <c r="W464" s="309"/>
      <c r="X464" s="310"/>
      <c r="Y464" s="309"/>
      <c r="Z464" s="310"/>
      <c r="AA464" s="309"/>
      <c r="AB464" s="310"/>
      <c r="AC464" s="271"/>
      <c r="AD464" s="271"/>
      <c r="AE464" s="309">
        <v>8</v>
      </c>
      <c r="AF464" s="310">
        <v>279.92</v>
      </c>
      <c r="AG464" s="309"/>
      <c r="AH464" s="310"/>
      <c r="AI464" s="309"/>
      <c r="AJ464" s="310"/>
      <c r="AK464" s="309"/>
      <c r="AL464" s="310"/>
      <c r="AM464" s="309"/>
      <c r="AN464" s="310"/>
      <c r="AO464" s="309"/>
      <c r="AP464" s="310"/>
      <c r="AQ464" s="309"/>
      <c r="AR464" s="310"/>
      <c r="AS464" s="309"/>
      <c r="AT464" s="310"/>
      <c r="AU464" s="309"/>
      <c r="AV464" s="310"/>
      <c r="AW464" s="309"/>
      <c r="AX464" s="310"/>
      <c r="AY464" s="309"/>
      <c r="AZ464" s="310"/>
      <c r="BA464" s="271"/>
      <c r="BB464" s="271"/>
      <c r="BC464" s="271"/>
      <c r="BD464" s="271"/>
      <c r="BE464" s="271"/>
      <c r="BF464" s="271"/>
    </row>
    <row r="465" spans="2:58" ht="16" thickBot="1" x14ac:dyDescent="0.25">
      <c r="B465" s="479"/>
      <c r="C465" s="657">
        <v>7087.48</v>
      </c>
      <c r="D465" s="657"/>
      <c r="E465" s="285"/>
      <c r="F465" s="302" t="s">
        <v>9</v>
      </c>
      <c r="G465" s="550">
        <v>9</v>
      </c>
      <c r="H465" s="310">
        <v>1232.9100000000001</v>
      </c>
      <c r="I465" s="309">
        <v>2</v>
      </c>
      <c r="J465" s="310">
        <v>409.98</v>
      </c>
      <c r="K465" s="309">
        <v>6</v>
      </c>
      <c r="L465" s="310">
        <v>1091.94</v>
      </c>
      <c r="M465" s="309">
        <v>8</v>
      </c>
      <c r="N465" s="310">
        <v>1335.92</v>
      </c>
      <c r="O465" s="271">
        <v>5</v>
      </c>
      <c r="P465" s="271">
        <v>1824.95</v>
      </c>
      <c r="Q465" s="309">
        <v>1</v>
      </c>
      <c r="R465" s="310">
        <v>134.99</v>
      </c>
      <c r="S465" s="309"/>
      <c r="T465" s="310"/>
      <c r="U465" s="309"/>
      <c r="V465" s="310"/>
      <c r="W465" s="309">
        <v>4</v>
      </c>
      <c r="X465" s="310">
        <v>171.96</v>
      </c>
      <c r="Y465" s="309"/>
      <c r="Z465" s="310"/>
      <c r="AA465" s="309"/>
      <c r="AB465" s="310"/>
      <c r="AC465" s="271">
        <v>5</v>
      </c>
      <c r="AD465" s="271">
        <v>494.95</v>
      </c>
      <c r="AE465" s="309"/>
      <c r="AF465" s="310"/>
      <c r="AG465" s="309"/>
      <c r="AH465" s="310"/>
      <c r="AI465" s="309"/>
      <c r="AJ465" s="310"/>
      <c r="AK465" s="309"/>
      <c r="AL465" s="310"/>
      <c r="AM465" s="309"/>
      <c r="AN465" s="310"/>
      <c r="AO465" s="309"/>
      <c r="AP465" s="310"/>
      <c r="AQ465" s="309"/>
      <c r="AR465" s="310"/>
      <c r="AS465" s="309"/>
      <c r="AT465" s="310"/>
      <c r="AU465" s="309"/>
      <c r="AV465" s="310"/>
      <c r="AW465" s="309"/>
      <c r="AX465" s="310"/>
      <c r="AY465" s="309"/>
      <c r="AZ465" s="310"/>
      <c r="BA465" s="271">
        <v>1</v>
      </c>
      <c r="BB465" s="271">
        <v>26.99</v>
      </c>
      <c r="BC465" s="271"/>
      <c r="BD465" s="271"/>
      <c r="BE465" s="271">
        <v>1</v>
      </c>
      <c r="BF465" s="271">
        <v>75.989999999999995</v>
      </c>
    </row>
    <row r="466" spans="2:58" ht="16" thickBot="1" x14ac:dyDescent="0.25">
      <c r="B466" s="479"/>
      <c r="C466" s="657"/>
      <c r="D466" s="657"/>
      <c r="E466" s="285"/>
      <c r="F466" s="302"/>
      <c r="G466" s="550"/>
      <c r="H466" s="310"/>
      <c r="I466" s="309"/>
      <c r="J466" s="310"/>
      <c r="K466" s="309"/>
      <c r="L466" s="310"/>
      <c r="M466" s="309"/>
      <c r="N466" s="310"/>
      <c r="O466" s="271"/>
      <c r="P466" s="271"/>
      <c r="Q466" s="309"/>
      <c r="R466" s="310"/>
      <c r="S466" s="309"/>
      <c r="T466" s="310"/>
      <c r="U466" s="309"/>
      <c r="V466" s="310"/>
      <c r="W466" s="309"/>
      <c r="X466" s="310"/>
      <c r="Y466" s="309"/>
      <c r="Z466" s="310"/>
      <c r="AA466" s="309"/>
      <c r="AB466" s="310"/>
      <c r="AC466" s="271"/>
      <c r="AD466" s="271"/>
      <c r="AE466" s="309"/>
      <c r="AF466" s="310"/>
      <c r="AG466" s="309"/>
      <c r="AH466" s="310"/>
      <c r="AI466" s="309"/>
      <c r="AJ466" s="310"/>
      <c r="AK466" s="309"/>
      <c r="AL466" s="310"/>
      <c r="AM466" s="309"/>
      <c r="AN466" s="310"/>
      <c r="AO466" s="309"/>
      <c r="AP466" s="310"/>
      <c r="AQ466" s="309"/>
      <c r="AR466" s="310"/>
      <c r="AS466" s="309"/>
      <c r="AT466" s="310"/>
      <c r="AU466" s="309"/>
      <c r="AV466" s="310"/>
      <c r="AW466" s="309"/>
      <c r="AX466" s="310"/>
      <c r="AY466" s="309"/>
      <c r="AZ466" s="310"/>
      <c r="BA466" s="271"/>
      <c r="BB466" s="271"/>
      <c r="BC466" s="271"/>
      <c r="BD466" s="271"/>
      <c r="BE466" s="271"/>
      <c r="BF466" s="271"/>
    </row>
    <row r="467" spans="2:58" ht="16" thickBot="1" x14ac:dyDescent="0.25">
      <c r="B467" s="479"/>
      <c r="C467" s="657"/>
      <c r="D467" s="657"/>
      <c r="E467" s="285"/>
      <c r="F467" s="302"/>
      <c r="G467" s="550"/>
      <c r="H467" s="310"/>
      <c r="I467" s="309"/>
      <c r="J467" s="310"/>
      <c r="K467" s="309"/>
      <c r="L467" s="310"/>
      <c r="M467" s="309"/>
      <c r="N467" s="310"/>
      <c r="O467" s="271"/>
      <c r="P467" s="271"/>
      <c r="Q467" s="309"/>
      <c r="R467" s="310"/>
      <c r="S467" s="309"/>
      <c r="T467" s="310"/>
      <c r="U467" s="309"/>
      <c r="V467" s="310"/>
      <c r="W467" s="309"/>
      <c r="X467" s="310"/>
      <c r="Y467" s="309"/>
      <c r="Z467" s="310"/>
      <c r="AA467" s="309"/>
      <c r="AB467" s="310"/>
      <c r="AC467" s="271"/>
      <c r="AD467" s="271"/>
      <c r="AE467" s="309"/>
      <c r="AF467" s="310"/>
      <c r="AG467" s="309"/>
      <c r="AH467" s="310"/>
      <c r="AI467" s="309"/>
      <c r="AJ467" s="310"/>
      <c r="AK467" s="309"/>
      <c r="AL467" s="310"/>
      <c r="AM467" s="309"/>
      <c r="AN467" s="310"/>
      <c r="AO467" s="309"/>
      <c r="AP467" s="310"/>
      <c r="AQ467" s="309"/>
      <c r="AR467" s="310"/>
      <c r="AS467" s="309"/>
      <c r="AT467" s="310"/>
      <c r="AU467" s="309"/>
      <c r="AV467" s="310"/>
      <c r="AW467" s="309"/>
      <c r="AX467" s="310"/>
      <c r="AY467" s="309"/>
      <c r="AZ467" s="310"/>
      <c r="BA467" s="271"/>
      <c r="BB467" s="271"/>
      <c r="BC467" s="271"/>
      <c r="BD467" s="271"/>
      <c r="BE467" s="271"/>
      <c r="BF467" s="271"/>
    </row>
    <row r="468" spans="2:58" ht="16" thickBot="1" x14ac:dyDescent="0.25">
      <c r="B468" s="549" t="s">
        <v>26</v>
      </c>
      <c r="C468" s="554"/>
      <c r="D468" s="291"/>
      <c r="E468" s="290"/>
      <c r="F468" s="293"/>
      <c r="G468" s="550"/>
      <c r="H468" s="310"/>
      <c r="I468" s="309"/>
      <c r="J468" s="310"/>
      <c r="K468" s="309"/>
      <c r="L468" s="310"/>
      <c r="M468" s="309"/>
      <c r="N468" s="310"/>
      <c r="O468" s="271"/>
      <c r="P468" s="271"/>
      <c r="Q468" s="309"/>
      <c r="R468" s="310"/>
      <c r="S468" s="309"/>
      <c r="T468" s="310"/>
      <c r="U468" s="309"/>
      <c r="V468" s="310"/>
      <c r="W468" s="309"/>
      <c r="X468" s="310"/>
      <c r="Y468" s="309"/>
      <c r="Z468" s="310"/>
      <c r="AA468" s="309"/>
      <c r="AB468" s="310"/>
      <c r="AC468" s="271"/>
      <c r="AD468" s="271"/>
      <c r="AE468" s="309"/>
      <c r="AF468" s="310"/>
      <c r="AG468" s="309"/>
      <c r="AH468" s="310"/>
      <c r="AI468" s="309"/>
      <c r="AJ468" s="310"/>
      <c r="AK468" s="309"/>
      <c r="AL468" s="310"/>
      <c r="AM468" s="309"/>
      <c r="AN468" s="310"/>
      <c r="AO468" s="309"/>
      <c r="AP468" s="310"/>
      <c r="AQ468" s="309"/>
      <c r="AR468" s="310"/>
      <c r="AS468" s="309"/>
      <c r="AT468" s="310"/>
      <c r="AU468" s="309"/>
      <c r="AV468" s="310"/>
      <c r="AW468" s="309"/>
      <c r="AX468" s="310"/>
      <c r="AY468" s="309"/>
      <c r="AZ468" s="310"/>
      <c r="BA468" s="271"/>
      <c r="BB468" s="271"/>
      <c r="BC468" s="271"/>
      <c r="BD468" s="271"/>
      <c r="BE468" s="271"/>
      <c r="BF468" s="271"/>
    </row>
    <row r="469" spans="2:58" ht="16" thickBot="1" x14ac:dyDescent="0.25">
      <c r="B469" s="292"/>
      <c r="C469" s="551">
        <f>SUM(C462:C468)</f>
        <v>9461.27</v>
      </c>
      <c r="D469" s="551"/>
      <c r="E469" s="552"/>
      <c r="F469" s="553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  <c r="AA469" s="271"/>
      <c r="AB469" s="271"/>
      <c r="AC469" s="271"/>
      <c r="AD469" s="271"/>
      <c r="AE469" s="309"/>
      <c r="AF469" s="310"/>
      <c r="AG469" s="309"/>
      <c r="AH469" s="310"/>
      <c r="AI469" s="309"/>
      <c r="AJ469" s="310"/>
      <c r="AK469" s="309"/>
      <c r="AL469" s="310"/>
      <c r="AM469" s="309"/>
      <c r="AN469" s="310"/>
      <c r="AO469" s="309"/>
      <c r="AP469" s="310"/>
      <c r="AQ469" s="309"/>
      <c r="AR469" s="310"/>
      <c r="AS469" s="309"/>
      <c r="AT469" s="310"/>
      <c r="AU469" s="309"/>
      <c r="AV469" s="310"/>
      <c r="AW469" s="309"/>
      <c r="AX469" s="310"/>
      <c r="AY469" s="309"/>
      <c r="AZ469" s="310"/>
      <c r="BA469" s="271"/>
      <c r="BB469" s="271"/>
      <c r="BC469" s="271"/>
      <c r="BD469" s="271"/>
      <c r="BE469" s="271"/>
      <c r="BF469" s="271"/>
    </row>
    <row r="470" spans="2:58" ht="16" thickBot="1" x14ac:dyDescent="0.25">
      <c r="B470" s="761" t="s">
        <v>329</v>
      </c>
      <c r="C470" s="311"/>
      <c r="D470" s="312"/>
      <c r="E470" s="285"/>
      <c r="F470" s="302"/>
      <c r="G470" s="306">
        <f t="shared" ref="G470:AD470" si="14">SUM(G427:G468)</f>
        <v>17</v>
      </c>
      <c r="H470" s="307">
        <f t="shared" si="14"/>
        <v>2328.83</v>
      </c>
      <c r="I470" s="306">
        <f t="shared" si="14"/>
        <v>4</v>
      </c>
      <c r="J470" s="307">
        <f t="shared" si="14"/>
        <v>819.96</v>
      </c>
      <c r="K470" s="306">
        <f t="shared" si="14"/>
        <v>14</v>
      </c>
      <c r="L470" s="307">
        <f t="shared" si="14"/>
        <v>2547.86</v>
      </c>
      <c r="M470" s="306">
        <f t="shared" si="14"/>
        <v>16</v>
      </c>
      <c r="N470" s="307">
        <f t="shared" si="14"/>
        <v>2671.84</v>
      </c>
      <c r="O470" s="308">
        <f t="shared" si="14"/>
        <v>9</v>
      </c>
      <c r="P470" s="308">
        <f t="shared" si="14"/>
        <v>3184.95</v>
      </c>
      <c r="Q470" s="306">
        <f t="shared" si="14"/>
        <v>1</v>
      </c>
      <c r="R470" s="307">
        <f t="shared" si="14"/>
        <v>134.99</v>
      </c>
      <c r="S470" s="306">
        <f t="shared" si="14"/>
        <v>6</v>
      </c>
      <c r="T470" s="307">
        <f t="shared" si="14"/>
        <v>5451</v>
      </c>
      <c r="U470" s="306">
        <f t="shared" si="14"/>
        <v>18</v>
      </c>
      <c r="V470" s="307">
        <f t="shared" si="14"/>
        <v>9522</v>
      </c>
      <c r="W470" s="306">
        <f t="shared" si="14"/>
        <v>8</v>
      </c>
      <c r="X470" s="307">
        <f t="shared" si="14"/>
        <v>343.92</v>
      </c>
      <c r="Y470" s="306">
        <f t="shared" si="14"/>
        <v>1</v>
      </c>
      <c r="Z470" s="307">
        <f t="shared" si="14"/>
        <v>772.8</v>
      </c>
      <c r="AA470" s="306">
        <f t="shared" si="14"/>
        <v>2</v>
      </c>
      <c r="AB470" s="307">
        <f t="shared" si="14"/>
        <v>8050</v>
      </c>
      <c r="AC470" s="308">
        <f t="shared" si="14"/>
        <v>16</v>
      </c>
      <c r="AD470" s="308">
        <f t="shared" si="14"/>
        <v>1285.8399999999999</v>
      </c>
      <c r="AE470" s="306">
        <f t="shared" ref="AE470:BF470" si="15">SUM(AE427:AE469)</f>
        <v>18</v>
      </c>
      <c r="AF470" s="307">
        <f t="shared" si="15"/>
        <v>629.82000000000005</v>
      </c>
      <c r="AG470" s="306">
        <f t="shared" si="15"/>
        <v>0</v>
      </c>
      <c r="AH470" s="307">
        <f t="shared" si="15"/>
        <v>0</v>
      </c>
      <c r="AI470" s="306">
        <f t="shared" si="15"/>
        <v>0</v>
      </c>
      <c r="AJ470" s="307">
        <f t="shared" si="15"/>
        <v>0</v>
      </c>
      <c r="AK470" s="306">
        <f t="shared" si="15"/>
        <v>0</v>
      </c>
      <c r="AL470" s="307">
        <f t="shared" si="15"/>
        <v>0</v>
      </c>
      <c r="AM470" s="306">
        <f t="shared" si="15"/>
        <v>1</v>
      </c>
      <c r="AN470" s="307">
        <f t="shared" si="15"/>
        <v>49.99</v>
      </c>
      <c r="AO470" s="306">
        <f t="shared" si="15"/>
        <v>0</v>
      </c>
      <c r="AP470" s="307">
        <f t="shared" si="15"/>
        <v>0</v>
      </c>
      <c r="AQ470" s="306">
        <f t="shared" si="15"/>
        <v>0</v>
      </c>
      <c r="AR470" s="307">
        <f t="shared" si="15"/>
        <v>0</v>
      </c>
      <c r="AS470" s="306">
        <f t="shared" si="15"/>
        <v>0</v>
      </c>
      <c r="AT470" s="307">
        <f t="shared" si="15"/>
        <v>0</v>
      </c>
      <c r="AU470" s="306">
        <f t="shared" si="15"/>
        <v>2</v>
      </c>
      <c r="AV470" s="307">
        <f t="shared" si="15"/>
        <v>824.32999999999993</v>
      </c>
      <c r="AW470" s="306">
        <f t="shared" si="15"/>
        <v>10</v>
      </c>
      <c r="AX470" s="307">
        <f t="shared" si="15"/>
        <v>2385.85</v>
      </c>
      <c r="AY470" s="306">
        <f t="shared" si="15"/>
        <v>10</v>
      </c>
      <c r="AZ470" s="307">
        <f t="shared" si="15"/>
        <v>2385.85</v>
      </c>
      <c r="BA470" s="306">
        <f t="shared" si="15"/>
        <v>2</v>
      </c>
      <c r="BB470" s="307">
        <f t="shared" si="15"/>
        <v>53.98</v>
      </c>
      <c r="BC470" s="306">
        <f t="shared" si="15"/>
        <v>0</v>
      </c>
      <c r="BD470" s="307">
        <f t="shared" si="15"/>
        <v>0</v>
      </c>
      <c r="BE470" s="306">
        <f t="shared" si="15"/>
        <v>2</v>
      </c>
      <c r="BF470" s="307">
        <f t="shared" si="15"/>
        <v>151.97999999999999</v>
      </c>
    </row>
    <row r="471" spans="2:58" ht="16" thickBot="1" x14ac:dyDescent="0.25">
      <c r="B471" s="762"/>
      <c r="C471" s="160">
        <f>SUM(C469,C461,C452,C445,C439,C430,C427)</f>
        <v>74077.289999999994</v>
      </c>
      <c r="D471" s="160"/>
      <c r="E471" s="304"/>
      <c r="F471" s="294"/>
      <c r="G471" s="752" t="s">
        <v>29</v>
      </c>
      <c r="H471" s="752"/>
      <c r="I471" s="752" t="s">
        <v>30</v>
      </c>
      <c r="J471" s="752"/>
      <c r="K471" s="752" t="s">
        <v>31</v>
      </c>
      <c r="L471" s="752"/>
      <c r="M471" s="752" t="s">
        <v>32</v>
      </c>
      <c r="N471" s="752"/>
      <c r="O471" s="752" t="s">
        <v>33</v>
      </c>
      <c r="P471" s="752"/>
      <c r="Q471" s="752" t="s">
        <v>247</v>
      </c>
      <c r="R471" s="752"/>
      <c r="S471" s="752" t="s">
        <v>34</v>
      </c>
      <c r="T471" s="752"/>
      <c r="U471" s="752" t="s">
        <v>35</v>
      </c>
      <c r="V471" s="752"/>
      <c r="W471" s="752" t="s">
        <v>36</v>
      </c>
      <c r="X471" s="752"/>
      <c r="Y471" s="752" t="s">
        <v>37</v>
      </c>
      <c r="Z471" s="752"/>
      <c r="AA471" s="752" t="s">
        <v>38</v>
      </c>
      <c r="AB471" s="752"/>
      <c r="AC471" s="752" t="s">
        <v>39</v>
      </c>
      <c r="AD471" s="752"/>
      <c r="AE471" s="752" t="s">
        <v>40</v>
      </c>
      <c r="AF471" s="752"/>
      <c r="AG471" s="752" t="s">
        <v>41</v>
      </c>
      <c r="AH471" s="752"/>
      <c r="AI471" s="752" t="s">
        <v>42</v>
      </c>
      <c r="AJ471" s="752"/>
      <c r="AK471" s="752" t="s">
        <v>43</v>
      </c>
      <c r="AL471" s="752"/>
      <c r="AM471" s="752" t="s">
        <v>157</v>
      </c>
      <c r="AN471" s="752"/>
      <c r="AO471" s="752" t="s">
        <v>248</v>
      </c>
      <c r="AP471" s="752"/>
      <c r="AQ471" s="752" t="s">
        <v>249</v>
      </c>
      <c r="AR471" s="752"/>
      <c r="AS471" s="752" t="s">
        <v>150</v>
      </c>
      <c r="AT471" s="752"/>
      <c r="AU471" s="752" t="s">
        <v>151</v>
      </c>
      <c r="AV471" s="752"/>
      <c r="AW471" s="752" t="s">
        <v>44</v>
      </c>
      <c r="AX471" s="752"/>
      <c r="AY471" s="752" t="s">
        <v>250</v>
      </c>
      <c r="AZ471" s="752"/>
      <c r="BA471" s="752" t="s">
        <v>45</v>
      </c>
      <c r="BB471" s="752"/>
      <c r="BC471" s="752" t="s">
        <v>46</v>
      </c>
      <c r="BD471" s="752"/>
      <c r="BE471" s="752" t="s">
        <v>92</v>
      </c>
      <c r="BF471" s="752"/>
    </row>
    <row r="472" spans="2:58" ht="16" thickBot="1" x14ac:dyDescent="0.25">
      <c r="B472" s="282"/>
      <c r="C472" s="285"/>
      <c r="D472" s="275"/>
      <c r="E472" s="284"/>
      <c r="F472" s="293"/>
      <c r="G472" s="752" t="s">
        <v>50</v>
      </c>
      <c r="H472" s="752"/>
      <c r="I472" s="752" t="s">
        <v>51</v>
      </c>
      <c r="J472" s="752"/>
      <c r="K472" s="752" t="s">
        <v>51</v>
      </c>
      <c r="L472" s="752"/>
      <c r="M472" s="752" t="s">
        <v>52</v>
      </c>
      <c r="N472" s="752"/>
      <c r="O472" s="752">
        <v>180</v>
      </c>
      <c r="P472" s="752"/>
      <c r="Q472" s="752" t="s">
        <v>53</v>
      </c>
      <c r="R472" s="752"/>
      <c r="S472" s="752" t="s">
        <v>54</v>
      </c>
      <c r="T472" s="752"/>
      <c r="U472" s="752" t="s">
        <v>54</v>
      </c>
      <c r="V472" s="752"/>
      <c r="W472" s="752" t="s">
        <v>55</v>
      </c>
      <c r="X472" s="752"/>
      <c r="Y472" s="752" t="s">
        <v>54</v>
      </c>
      <c r="Z472" s="752"/>
      <c r="AA472" s="752" t="s">
        <v>54</v>
      </c>
      <c r="AB472" s="752"/>
      <c r="AC472" s="752" t="s">
        <v>56</v>
      </c>
      <c r="AD472" s="752"/>
      <c r="AE472" s="752" t="s">
        <v>57</v>
      </c>
      <c r="AF472" s="752"/>
      <c r="AG472" s="752" t="s">
        <v>57</v>
      </c>
      <c r="AH472" s="752"/>
      <c r="AI472" s="752" t="s">
        <v>58</v>
      </c>
      <c r="AJ472" s="752"/>
      <c r="AK472" s="752" t="s">
        <v>300</v>
      </c>
      <c r="AL472" s="752"/>
      <c r="AM472" s="752" t="s">
        <v>301</v>
      </c>
      <c r="AN472" s="752"/>
      <c r="AO472" s="752">
        <v>20</v>
      </c>
      <c r="AP472" s="752"/>
      <c r="AQ472" s="752">
        <v>20</v>
      </c>
      <c r="AR472" s="752"/>
      <c r="AS472" s="752" t="s">
        <v>57</v>
      </c>
      <c r="AT472" s="752"/>
      <c r="AU472" s="752" t="s">
        <v>302</v>
      </c>
      <c r="AV472" s="752"/>
      <c r="AW472" s="752">
        <v>100</v>
      </c>
      <c r="AX472" s="752"/>
      <c r="AY472" s="752">
        <v>100</v>
      </c>
      <c r="AZ472" s="752"/>
      <c r="BA472" s="752" t="s">
        <v>59</v>
      </c>
      <c r="BB472" s="752"/>
      <c r="BC472" s="752" t="s">
        <v>51</v>
      </c>
      <c r="BD472" s="752"/>
      <c r="BE472" s="752" t="s">
        <v>53</v>
      </c>
      <c r="BF472" s="752"/>
    </row>
    <row r="473" spans="2:58" ht="16" thickBot="1" x14ac:dyDescent="0.25">
      <c r="B473" s="162"/>
      <c r="C473" s="286"/>
      <c r="D473" s="273"/>
      <c r="E473" s="280"/>
      <c r="F473" s="305"/>
      <c r="G473" s="752">
        <v>151</v>
      </c>
      <c r="H473" s="752"/>
      <c r="I473" s="752">
        <v>167.99</v>
      </c>
      <c r="J473" s="752"/>
      <c r="K473" s="752">
        <v>144.99</v>
      </c>
      <c r="L473" s="752"/>
      <c r="M473" s="760">
        <v>169.99</v>
      </c>
      <c r="N473" s="760"/>
      <c r="O473" s="760">
        <v>274.99</v>
      </c>
      <c r="P473" s="760"/>
      <c r="Q473" s="760">
        <v>102.99</v>
      </c>
      <c r="R473" s="760"/>
      <c r="S473" s="752">
        <v>910.5</v>
      </c>
      <c r="T473" s="752"/>
      <c r="U473" s="752">
        <v>460.75</v>
      </c>
      <c r="V473" s="752"/>
      <c r="W473" s="752">
        <v>1048.95</v>
      </c>
      <c r="X473" s="752"/>
      <c r="Y473" s="752">
        <v>772.8</v>
      </c>
      <c r="Z473" s="752"/>
      <c r="AA473" s="752">
        <v>3450</v>
      </c>
      <c r="AB473" s="752"/>
      <c r="AC473" s="760">
        <v>89.99</v>
      </c>
      <c r="AD473" s="760"/>
      <c r="AE473" s="752">
        <v>39.99</v>
      </c>
      <c r="AF473" s="752"/>
      <c r="AG473" s="752">
        <v>498</v>
      </c>
      <c r="AH473" s="752"/>
      <c r="AI473" s="752">
        <v>4.99</v>
      </c>
      <c r="AJ473" s="752"/>
      <c r="AK473" s="752">
        <v>132.25</v>
      </c>
      <c r="AL473" s="752"/>
      <c r="AM473" s="752">
        <v>47.99</v>
      </c>
      <c r="AN473" s="752"/>
      <c r="AO473" s="752">
        <v>560</v>
      </c>
      <c r="AP473" s="752"/>
      <c r="AQ473" s="752">
        <v>560</v>
      </c>
      <c r="AR473" s="752"/>
      <c r="AS473" s="752">
        <v>613.5</v>
      </c>
      <c r="AT473" s="752"/>
      <c r="AU473" s="752">
        <v>313.89999999999998</v>
      </c>
      <c r="AV473" s="752"/>
      <c r="AW473" s="752">
        <v>405.8</v>
      </c>
      <c r="AX473" s="752"/>
      <c r="AY473" s="752">
        <v>218.99</v>
      </c>
      <c r="AZ473" s="752"/>
      <c r="BA473" s="752">
        <v>24.99</v>
      </c>
      <c r="BB473" s="752"/>
      <c r="BC473" s="752">
        <v>1425</v>
      </c>
      <c r="BD473" s="752"/>
      <c r="BE473" s="752">
        <v>54.99</v>
      </c>
      <c r="BF473" s="752"/>
    </row>
    <row r="474" spans="2:58" ht="16" thickBot="1" x14ac:dyDescent="0.25">
      <c r="B474" s="162"/>
      <c r="C474" s="753" t="str">
        <f>L474</f>
        <v>17 - 23 FEBRUARY 2025</v>
      </c>
      <c r="D474" s="754"/>
      <c r="E474" s="754"/>
      <c r="F474" s="754"/>
      <c r="G474" s="755"/>
      <c r="H474" s="756"/>
      <c r="I474" s="163"/>
      <c r="J474" s="157"/>
      <c r="K474" s="157"/>
      <c r="L474" s="757" t="str">
        <f>AL474</f>
        <v>17 - 23 FEBRUARY 2025</v>
      </c>
      <c r="M474" s="755"/>
      <c r="N474" s="755"/>
      <c r="O474" s="755"/>
      <c r="P474" s="755"/>
      <c r="Q474" s="755"/>
      <c r="R474" s="755"/>
      <c r="S474" s="755"/>
      <c r="T474" s="756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758"/>
      <c r="AH474" s="758"/>
      <c r="AI474" s="164"/>
      <c r="AJ474" s="157"/>
      <c r="AK474" s="157"/>
      <c r="AL474" s="759" t="str">
        <f>AW474</f>
        <v>17 - 23 FEBRUARY 2025</v>
      </c>
      <c r="AM474" s="759"/>
      <c r="AN474" s="759"/>
      <c r="AO474" s="759"/>
      <c r="AP474" s="157"/>
      <c r="AQ474" s="157"/>
      <c r="AR474" s="157"/>
      <c r="AS474" s="157"/>
      <c r="AT474" s="157"/>
      <c r="AU474" s="157"/>
      <c r="AV474" s="157"/>
      <c r="AW474" s="757" t="str">
        <f>AW416</f>
        <v>17 - 23 FEBRUARY 2025</v>
      </c>
      <c r="AX474" s="755" t="s">
        <v>28</v>
      </c>
      <c r="AY474" s="755"/>
      <c r="AZ474" s="755"/>
      <c r="BA474" s="755"/>
      <c r="BB474" s="755"/>
      <c r="BC474" s="755"/>
      <c r="BD474" s="756"/>
      <c r="BE474" s="157"/>
      <c r="BF474" s="157"/>
    </row>
    <row r="475" spans="2:58" ht="16" thickBot="1" x14ac:dyDescent="0.25"/>
    <row r="476" spans="2:58" ht="16" thickBot="1" x14ac:dyDescent="0.25">
      <c r="B476" s="156" t="s">
        <v>27</v>
      </c>
      <c r="C476" s="753" t="s">
        <v>762</v>
      </c>
      <c r="D476" s="754"/>
      <c r="E476" s="754"/>
      <c r="F476" s="754"/>
      <c r="G476" s="763"/>
      <c r="H476" s="764"/>
      <c r="I476" s="163"/>
      <c r="J476" s="157"/>
      <c r="K476" s="157"/>
      <c r="L476" s="765" t="str">
        <f>C476</f>
        <v>24 FEBRUARY - 2 MARCH 2025</v>
      </c>
      <c r="M476" s="763"/>
      <c r="N476" s="763"/>
      <c r="O476" s="763"/>
      <c r="P476" s="763"/>
      <c r="Q476" s="763"/>
      <c r="R476" s="763"/>
      <c r="S476" s="763"/>
      <c r="T476" s="764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766"/>
      <c r="AH476" s="766"/>
      <c r="AI476" s="753" t="str">
        <f>L476</f>
        <v>24 FEBRUARY - 2 MARCH 2025</v>
      </c>
      <c r="AJ476" s="754"/>
      <c r="AK476" s="754"/>
      <c r="AL476" s="754"/>
      <c r="AM476" s="754"/>
      <c r="AN476" s="754"/>
      <c r="AO476" s="767"/>
      <c r="AP476" s="157"/>
      <c r="AQ476" s="157"/>
      <c r="AR476" s="157"/>
      <c r="AS476" s="157"/>
      <c r="AT476" s="157"/>
      <c r="AU476" s="157"/>
      <c r="AV476" s="157"/>
      <c r="AW476" s="765" t="str">
        <f>AI476</f>
        <v>24 FEBRUARY - 2 MARCH 2025</v>
      </c>
      <c r="AX476" s="763" t="s">
        <v>28</v>
      </c>
      <c r="AY476" s="763"/>
      <c r="AZ476" s="763"/>
      <c r="BA476" s="763"/>
      <c r="BB476" s="763"/>
      <c r="BC476" s="763"/>
      <c r="BD476" s="764"/>
      <c r="BE476" s="157"/>
      <c r="BF476" s="157"/>
    </row>
    <row r="477" spans="2:58" ht="16" thickBot="1" x14ac:dyDescent="0.25">
      <c r="B477" s="158"/>
      <c r="C477" s="161"/>
      <c r="D477" s="161"/>
      <c r="E477" s="157"/>
      <c r="F477" s="157"/>
      <c r="G477" s="752" t="s">
        <v>29</v>
      </c>
      <c r="H477" s="752"/>
      <c r="I477" s="752" t="s">
        <v>30</v>
      </c>
      <c r="J477" s="752"/>
      <c r="K477" s="752" t="s">
        <v>31</v>
      </c>
      <c r="L477" s="752"/>
      <c r="M477" s="752" t="s">
        <v>32</v>
      </c>
      <c r="N477" s="752"/>
      <c r="O477" s="752" t="s">
        <v>33</v>
      </c>
      <c r="P477" s="752"/>
      <c r="Q477" s="752" t="s">
        <v>247</v>
      </c>
      <c r="R477" s="752"/>
      <c r="S477" s="752" t="s">
        <v>34</v>
      </c>
      <c r="T477" s="752"/>
      <c r="U477" s="752" t="s">
        <v>35</v>
      </c>
      <c r="V477" s="752"/>
      <c r="W477" s="752" t="s">
        <v>36</v>
      </c>
      <c r="X477" s="752"/>
      <c r="Y477" s="752" t="s">
        <v>37</v>
      </c>
      <c r="Z477" s="752"/>
      <c r="AA477" s="752" t="s">
        <v>38</v>
      </c>
      <c r="AB477" s="752"/>
      <c r="AC477" s="752" t="s">
        <v>39</v>
      </c>
      <c r="AD477" s="752"/>
      <c r="AE477" s="752" t="s">
        <v>40</v>
      </c>
      <c r="AF477" s="752"/>
      <c r="AG477" s="752" t="s">
        <v>41</v>
      </c>
      <c r="AH477" s="752"/>
      <c r="AI477" s="752" t="s">
        <v>42</v>
      </c>
      <c r="AJ477" s="752"/>
      <c r="AK477" s="752" t="s">
        <v>43</v>
      </c>
      <c r="AL477" s="752"/>
      <c r="AM477" s="752" t="s">
        <v>157</v>
      </c>
      <c r="AN477" s="752"/>
      <c r="AO477" s="752" t="s">
        <v>248</v>
      </c>
      <c r="AP477" s="752"/>
      <c r="AQ477" s="752" t="s">
        <v>249</v>
      </c>
      <c r="AR477" s="752"/>
      <c r="AS477" s="752" t="s">
        <v>150</v>
      </c>
      <c r="AT477" s="752"/>
      <c r="AU477" s="752" t="s">
        <v>151</v>
      </c>
      <c r="AV477" s="752"/>
      <c r="AW477" s="752" t="s">
        <v>44</v>
      </c>
      <c r="AX477" s="752"/>
      <c r="AY477" s="752" t="s">
        <v>250</v>
      </c>
      <c r="AZ477" s="752"/>
      <c r="BA477" s="752" t="s">
        <v>45</v>
      </c>
      <c r="BB477" s="752"/>
      <c r="BC477" s="752" t="s">
        <v>46</v>
      </c>
      <c r="BD477" s="752"/>
      <c r="BE477" s="752" t="s">
        <v>92</v>
      </c>
      <c r="BF477" s="752"/>
    </row>
    <row r="478" spans="2:58" ht="16" thickBot="1" x14ac:dyDescent="0.25">
      <c r="B478" s="156" t="s">
        <v>47</v>
      </c>
      <c r="C478" s="156" t="s">
        <v>48</v>
      </c>
      <c r="D478" s="283"/>
      <c r="E478" s="271"/>
      <c r="F478" s="271" t="s">
        <v>49</v>
      </c>
      <c r="G478" s="752" t="s">
        <v>50</v>
      </c>
      <c r="H478" s="752"/>
      <c r="I478" s="752" t="s">
        <v>51</v>
      </c>
      <c r="J478" s="752"/>
      <c r="K478" s="752" t="s">
        <v>51</v>
      </c>
      <c r="L478" s="752"/>
      <c r="M478" s="752" t="s">
        <v>52</v>
      </c>
      <c r="N478" s="752"/>
      <c r="O478" s="752">
        <v>180</v>
      </c>
      <c r="P478" s="752"/>
      <c r="Q478" s="752" t="s">
        <v>53</v>
      </c>
      <c r="R478" s="752"/>
      <c r="S478" s="752" t="s">
        <v>54</v>
      </c>
      <c r="T478" s="752"/>
      <c r="U478" s="752" t="s">
        <v>54</v>
      </c>
      <c r="V478" s="752"/>
      <c r="W478" s="752" t="s">
        <v>55</v>
      </c>
      <c r="X478" s="752"/>
      <c r="Y478" s="752" t="s">
        <v>54</v>
      </c>
      <c r="Z478" s="752"/>
      <c r="AA478" s="752" t="s">
        <v>54</v>
      </c>
      <c r="AB478" s="752"/>
      <c r="AC478" s="752" t="s">
        <v>56</v>
      </c>
      <c r="AD478" s="752"/>
      <c r="AE478" s="752" t="s">
        <v>57</v>
      </c>
      <c r="AF478" s="752"/>
      <c r="AG478" s="752" t="s">
        <v>57</v>
      </c>
      <c r="AH478" s="752"/>
      <c r="AI478" s="752" t="s">
        <v>58</v>
      </c>
      <c r="AJ478" s="752"/>
      <c r="AK478" s="752" t="s">
        <v>300</v>
      </c>
      <c r="AL478" s="752"/>
      <c r="AM478" s="752" t="s">
        <v>301</v>
      </c>
      <c r="AN478" s="752"/>
      <c r="AO478" s="752">
        <v>20</v>
      </c>
      <c r="AP478" s="752"/>
      <c r="AQ478" s="752">
        <v>20</v>
      </c>
      <c r="AR478" s="752"/>
      <c r="AS478" s="752" t="s">
        <v>57</v>
      </c>
      <c r="AT478" s="752"/>
      <c r="AU478" s="752" t="s">
        <v>302</v>
      </c>
      <c r="AV478" s="752"/>
      <c r="AW478" s="752">
        <v>100</v>
      </c>
      <c r="AX478" s="752"/>
      <c r="AY478" s="752">
        <v>100</v>
      </c>
      <c r="AZ478" s="752"/>
      <c r="BA478" s="752" t="s">
        <v>59</v>
      </c>
      <c r="BB478" s="752"/>
      <c r="BC478" s="752" t="s">
        <v>51</v>
      </c>
      <c r="BD478" s="752"/>
      <c r="BE478" s="752" t="s">
        <v>53</v>
      </c>
      <c r="BF478" s="752"/>
    </row>
    <row r="479" spans="2:58" ht="16" thickBot="1" x14ac:dyDescent="0.25">
      <c r="B479" s="156"/>
      <c r="C479" s="156" t="s">
        <v>60</v>
      </c>
      <c r="D479" s="283"/>
      <c r="E479" s="271" t="s">
        <v>61</v>
      </c>
      <c r="F479" s="271" t="s">
        <v>62</v>
      </c>
      <c r="G479" s="752">
        <v>151</v>
      </c>
      <c r="H479" s="752"/>
      <c r="I479" s="752">
        <v>167.99</v>
      </c>
      <c r="J479" s="752"/>
      <c r="K479" s="752">
        <v>144.99</v>
      </c>
      <c r="L479" s="752"/>
      <c r="M479" s="760">
        <v>169.99</v>
      </c>
      <c r="N479" s="760"/>
      <c r="O479" s="760">
        <v>274.99</v>
      </c>
      <c r="P479" s="760"/>
      <c r="Q479" s="760">
        <v>135</v>
      </c>
      <c r="R479" s="760"/>
      <c r="S479" s="752">
        <v>910.5</v>
      </c>
      <c r="T479" s="752"/>
      <c r="U479" s="752">
        <v>460.75</v>
      </c>
      <c r="V479" s="752"/>
      <c r="W479" s="752">
        <v>1048.95</v>
      </c>
      <c r="X479" s="752"/>
      <c r="Y479" s="752">
        <v>772.8</v>
      </c>
      <c r="Z479" s="752"/>
      <c r="AA479" s="752">
        <v>3450</v>
      </c>
      <c r="AB479" s="752"/>
      <c r="AC479" s="760">
        <v>99.99</v>
      </c>
      <c r="AD479" s="760"/>
      <c r="AE479" s="752">
        <v>29.99</v>
      </c>
      <c r="AF479" s="752"/>
      <c r="AG479" s="752">
        <v>548</v>
      </c>
      <c r="AH479" s="752"/>
      <c r="AI479" s="752">
        <v>4.99</v>
      </c>
      <c r="AJ479" s="752"/>
      <c r="AK479" s="752">
        <v>132.25</v>
      </c>
      <c r="AL479" s="752"/>
      <c r="AM479" s="752">
        <v>47.99</v>
      </c>
      <c r="AN479" s="752"/>
      <c r="AO479" s="752">
        <v>560</v>
      </c>
      <c r="AP479" s="752"/>
      <c r="AQ479" s="752">
        <v>560</v>
      </c>
      <c r="AR479" s="752"/>
      <c r="AS479" s="752">
        <v>613.5</v>
      </c>
      <c r="AT479" s="752"/>
      <c r="AU479" s="752">
        <v>313.89999999999998</v>
      </c>
      <c r="AV479" s="752"/>
      <c r="AW479" s="752">
        <v>405.8</v>
      </c>
      <c r="AX479" s="752"/>
      <c r="AY479" s="752">
        <v>218.99</v>
      </c>
      <c r="AZ479" s="752"/>
      <c r="BA479" s="752">
        <v>24.99</v>
      </c>
      <c r="BB479" s="752"/>
      <c r="BC479" s="752">
        <v>1425</v>
      </c>
      <c r="BD479" s="752"/>
      <c r="BE479" s="752">
        <v>54.99</v>
      </c>
      <c r="BF479" s="752"/>
    </row>
    <row r="480" spans="2:58" ht="16" thickBot="1" x14ac:dyDescent="0.25">
      <c r="B480" s="272">
        <v>45712</v>
      </c>
      <c r="C480" s="274">
        <v>532.05999999999995</v>
      </c>
      <c r="D480" s="276"/>
      <c r="E480" s="278" t="s">
        <v>186</v>
      </c>
      <c r="F480" s="278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  <c r="AA480" s="271"/>
      <c r="AB480" s="271"/>
      <c r="AC480" s="271"/>
      <c r="AD480" s="271"/>
      <c r="AE480" s="271"/>
      <c r="AF480" s="271"/>
      <c r="AG480" s="271"/>
      <c r="AH480" s="271"/>
      <c r="AI480" s="271"/>
      <c r="AJ480" s="271"/>
      <c r="AK480" s="271"/>
      <c r="AL480" s="271"/>
      <c r="AM480" s="271"/>
      <c r="AN480" s="271"/>
      <c r="AO480" s="271"/>
      <c r="AP480" s="271"/>
      <c r="AQ480" s="271"/>
      <c r="AR480" s="271"/>
      <c r="AS480" s="271"/>
      <c r="AT480" s="271"/>
      <c r="AU480" s="271"/>
      <c r="AV480" s="271"/>
      <c r="AW480" s="271"/>
      <c r="AX480" s="271"/>
      <c r="AY480" s="271"/>
      <c r="AZ480" s="271"/>
      <c r="BA480" s="271"/>
      <c r="BB480" s="271"/>
      <c r="BC480" s="271"/>
      <c r="BD480" s="271"/>
      <c r="BE480" s="271"/>
      <c r="BF480" s="271"/>
    </row>
    <row r="481" spans="2:58" ht="16" thickBot="1" x14ac:dyDescent="0.25">
      <c r="B481" s="660"/>
      <c r="C481" s="275">
        <v>639.88</v>
      </c>
      <c r="D481" s="661"/>
      <c r="E481" s="303"/>
      <c r="F481" s="303" t="s">
        <v>14</v>
      </c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>
        <v>10</v>
      </c>
      <c r="AF481" s="271">
        <v>399.9</v>
      </c>
      <c r="AG481" s="271"/>
      <c r="AH481" s="271"/>
      <c r="AI481" s="271"/>
      <c r="AJ481" s="271"/>
      <c r="AK481" s="271"/>
      <c r="AL481" s="271"/>
      <c r="AM481" s="271"/>
      <c r="AN481" s="271"/>
      <c r="AO481" s="271"/>
      <c r="AP481" s="271"/>
      <c r="AQ481" s="271"/>
      <c r="AR481" s="271"/>
      <c r="AS481" s="271"/>
      <c r="AT481" s="271"/>
      <c r="AU481" s="271"/>
      <c r="AV481" s="271"/>
      <c r="AW481" s="271"/>
      <c r="AX481" s="271"/>
      <c r="AY481" s="271"/>
      <c r="AZ481" s="271"/>
      <c r="BA481" s="271"/>
      <c r="BB481" s="271"/>
      <c r="BC481" s="271"/>
      <c r="BD481" s="271"/>
      <c r="BE481" s="271"/>
      <c r="BF481" s="271"/>
    </row>
    <row r="482" spans="2:58" ht="16" thickBot="1" x14ac:dyDescent="0.25">
      <c r="B482" s="660"/>
      <c r="C482" s="275">
        <v>9052.4699999999993</v>
      </c>
      <c r="D482" s="661"/>
      <c r="E482" s="303"/>
      <c r="F482" s="303" t="s">
        <v>9</v>
      </c>
      <c r="G482" s="271">
        <v>10</v>
      </c>
      <c r="H482" s="271">
        <v>1369.9</v>
      </c>
      <c r="I482" s="271">
        <v>2</v>
      </c>
      <c r="J482" s="271">
        <v>409.98</v>
      </c>
      <c r="K482" s="271">
        <v>8</v>
      </c>
      <c r="L482" s="271">
        <v>1455.92</v>
      </c>
      <c r="M482" s="271">
        <v>12</v>
      </c>
      <c r="N482" s="271">
        <v>2003.88</v>
      </c>
      <c r="O482" s="271">
        <v>7</v>
      </c>
      <c r="P482" s="271">
        <v>2380</v>
      </c>
      <c r="Q482" s="271">
        <v>1</v>
      </c>
      <c r="R482" s="271">
        <v>134.99</v>
      </c>
      <c r="S482" s="271"/>
      <c r="T482" s="271"/>
      <c r="U482" s="271"/>
      <c r="V482" s="271"/>
      <c r="W482" s="271">
        <v>6</v>
      </c>
      <c r="X482" s="271">
        <v>257.94</v>
      </c>
      <c r="Y482" s="271"/>
      <c r="Z482" s="271"/>
      <c r="AA482" s="271"/>
      <c r="AB482" s="271"/>
      <c r="AC482" s="271">
        <v>7</v>
      </c>
      <c r="AD482" s="271">
        <v>692.93</v>
      </c>
      <c r="AE482" s="271"/>
      <c r="AF482" s="271"/>
      <c r="AG482" s="271"/>
      <c r="AH482" s="271"/>
      <c r="AI482" s="271"/>
      <c r="AJ482" s="271"/>
      <c r="AK482" s="271"/>
      <c r="AL482" s="271"/>
      <c r="AM482" s="271">
        <v>1</v>
      </c>
      <c r="AN482" s="271">
        <v>49.99</v>
      </c>
      <c r="AO482" s="271"/>
      <c r="AP482" s="271"/>
      <c r="AQ482" s="271"/>
      <c r="AR482" s="271"/>
      <c r="AS482" s="271"/>
      <c r="AT482" s="271"/>
      <c r="AU482" s="271"/>
      <c r="AV482" s="271"/>
      <c r="AW482" s="271"/>
      <c r="AX482" s="271"/>
      <c r="AY482" s="271"/>
      <c r="AZ482" s="271"/>
      <c r="BA482" s="271">
        <v>1</v>
      </c>
      <c r="BB482" s="271">
        <v>26.99</v>
      </c>
      <c r="BC482" s="271"/>
      <c r="BD482" s="271"/>
      <c r="BE482" s="271"/>
      <c r="BF482" s="271"/>
    </row>
    <row r="483" spans="2:58" ht="16" thickBot="1" x14ac:dyDescent="0.25">
      <c r="B483" s="681" t="s">
        <v>20</v>
      </c>
      <c r="C483" s="275"/>
      <c r="D483" s="277"/>
      <c r="E483" s="279"/>
      <c r="F483" s="279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  <c r="AA483" s="271"/>
      <c r="AB483" s="271"/>
      <c r="AC483" s="271"/>
      <c r="AD483" s="271"/>
      <c r="AE483" s="271"/>
      <c r="AF483" s="271"/>
      <c r="AG483" s="271"/>
      <c r="AH483" s="271"/>
      <c r="AI483" s="271"/>
      <c r="AJ483" s="271"/>
      <c r="AK483" s="271"/>
      <c r="AL483" s="271"/>
      <c r="AM483" s="271"/>
      <c r="AN483" s="271"/>
      <c r="AO483" s="271"/>
      <c r="AP483" s="271"/>
      <c r="AQ483" s="271"/>
      <c r="AR483" s="271"/>
      <c r="AS483" s="271"/>
      <c r="AT483" s="271"/>
      <c r="AU483" s="271"/>
      <c r="AV483" s="271"/>
      <c r="AW483" s="271"/>
      <c r="AX483" s="271"/>
      <c r="AY483" s="271"/>
      <c r="AZ483" s="271"/>
      <c r="BA483" s="271"/>
      <c r="BB483" s="271"/>
      <c r="BC483" s="271"/>
      <c r="BD483" s="271"/>
      <c r="BE483" s="271"/>
      <c r="BF483" s="271"/>
    </row>
    <row r="484" spans="2:58" ht="16" thickBot="1" x14ac:dyDescent="0.25">
      <c r="B484" s="479"/>
      <c r="C484" s="680">
        <f>SUM(C480:C483)</f>
        <v>10224.41</v>
      </c>
      <c r="D484" s="159"/>
      <c r="E484" s="270"/>
      <c r="F484" s="281"/>
      <c r="G484" s="309"/>
      <c r="H484" s="310"/>
      <c r="I484" s="309"/>
      <c r="J484" s="310"/>
      <c r="K484" s="309"/>
      <c r="L484" s="310"/>
      <c r="M484" s="309"/>
      <c r="N484" s="310"/>
      <c r="O484" s="271"/>
      <c r="P484" s="271"/>
      <c r="Q484" s="310"/>
      <c r="R484" s="310"/>
      <c r="S484" s="309"/>
      <c r="T484" s="310"/>
      <c r="U484" s="309"/>
      <c r="V484" s="310"/>
      <c r="W484" s="309"/>
      <c r="X484" s="310"/>
      <c r="Y484" s="309"/>
      <c r="Z484" s="310"/>
      <c r="AA484" s="309"/>
      <c r="AB484" s="310"/>
      <c r="AC484" s="271"/>
      <c r="AD484" s="271"/>
      <c r="AE484" s="309"/>
      <c r="AF484" s="310"/>
      <c r="AG484" s="309"/>
      <c r="AH484" s="310"/>
      <c r="AI484" s="309"/>
      <c r="AJ484" s="310"/>
      <c r="AK484" s="309"/>
      <c r="AL484" s="310"/>
      <c r="AM484" s="309"/>
      <c r="AN484" s="310"/>
      <c r="AO484" s="309"/>
      <c r="AP484" s="310"/>
      <c r="AQ484" s="309"/>
      <c r="AR484" s="310"/>
      <c r="AS484" s="309"/>
      <c r="AT484" s="310"/>
      <c r="AU484" s="309"/>
      <c r="AV484" s="310"/>
      <c r="AW484" s="309"/>
      <c r="AX484" s="310"/>
      <c r="AY484" s="309"/>
      <c r="AZ484" s="310"/>
      <c r="BA484" s="271"/>
      <c r="BB484" s="271"/>
      <c r="BC484" s="271"/>
      <c r="BD484" s="271"/>
      <c r="BE484" s="271"/>
      <c r="BF484" s="271"/>
    </row>
    <row r="485" spans="2:58" ht="16" thickBot="1" x14ac:dyDescent="0.25">
      <c r="B485" s="289">
        <v>45713</v>
      </c>
      <c r="C485" s="275">
        <v>260</v>
      </c>
      <c r="D485" s="277"/>
      <c r="E485" s="279"/>
      <c r="F485" s="279" t="s">
        <v>763</v>
      </c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  <c r="AA485" s="271"/>
      <c r="AB485" s="271"/>
      <c r="AC485" s="271"/>
      <c r="AD485" s="271"/>
      <c r="AE485" s="271"/>
      <c r="AF485" s="271"/>
      <c r="AG485" s="271"/>
      <c r="AH485" s="271"/>
      <c r="AI485" s="271"/>
      <c r="AJ485" s="271"/>
      <c r="AK485" s="271"/>
      <c r="AL485" s="271"/>
      <c r="AM485" s="271"/>
      <c r="AN485" s="271"/>
      <c r="AO485" s="271"/>
      <c r="AP485" s="271"/>
      <c r="AQ485" s="271"/>
      <c r="AR485" s="271"/>
      <c r="AS485" s="271"/>
      <c r="AT485" s="271"/>
      <c r="AU485" s="271"/>
      <c r="AV485" s="271"/>
      <c r="AW485" s="271"/>
      <c r="AX485" s="271"/>
      <c r="AY485" s="271"/>
      <c r="AZ485" s="271"/>
      <c r="BA485" s="271"/>
      <c r="BB485" s="271"/>
      <c r="BC485" s="271"/>
      <c r="BD485" s="271"/>
      <c r="BE485" s="271"/>
      <c r="BF485" s="271"/>
    </row>
    <row r="486" spans="2:58" ht="16" thickBot="1" x14ac:dyDescent="0.25">
      <c r="B486" s="289"/>
      <c r="C486" s="139">
        <v>50</v>
      </c>
      <c r="E486" s="575" t="s">
        <v>334</v>
      </c>
      <c r="F486" s="279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  <c r="AA486" s="271"/>
      <c r="AB486" s="271"/>
      <c r="AC486" s="271"/>
      <c r="AD486" s="271"/>
      <c r="AE486" s="271"/>
      <c r="AF486" s="271"/>
      <c r="AG486" s="271"/>
      <c r="AH486" s="271"/>
      <c r="AI486" s="271"/>
      <c r="AJ486" s="271"/>
      <c r="AK486" s="271"/>
      <c r="AL486" s="271"/>
      <c r="AM486" s="271"/>
      <c r="AN486" s="271"/>
      <c r="AO486" s="271"/>
      <c r="AP486" s="271"/>
      <c r="AQ486" s="271"/>
      <c r="AR486" s="271"/>
      <c r="AS486" s="271"/>
      <c r="AT486" s="271"/>
      <c r="AU486" s="271"/>
      <c r="AV486" s="271"/>
      <c r="AW486" s="271"/>
      <c r="AX486" s="271"/>
      <c r="AY486" s="271"/>
      <c r="AZ486" s="271"/>
      <c r="BA486" s="271"/>
      <c r="BB486" s="271"/>
      <c r="BC486" s="271"/>
      <c r="BD486" s="271"/>
      <c r="BE486" s="271"/>
      <c r="BF486" s="271"/>
    </row>
    <row r="487" spans="2:58" ht="16" thickBot="1" x14ac:dyDescent="0.25">
      <c r="B487" s="289"/>
      <c r="C487" s="4">
        <v>7880.6</v>
      </c>
      <c r="E487" s="142"/>
      <c r="F487" s="279" t="s">
        <v>9</v>
      </c>
      <c r="G487" s="271">
        <v>8</v>
      </c>
      <c r="H487" s="271">
        <v>1095.92</v>
      </c>
      <c r="I487" s="271">
        <v>3</v>
      </c>
      <c r="J487" s="271">
        <v>614.97</v>
      </c>
      <c r="K487" s="271">
        <v>6</v>
      </c>
      <c r="L487" s="271">
        <v>1091.94</v>
      </c>
      <c r="M487" s="271">
        <v>10</v>
      </c>
      <c r="N487" s="271">
        <v>1669.9</v>
      </c>
      <c r="O487" s="271">
        <v>7</v>
      </c>
      <c r="P487" s="271">
        <v>2380</v>
      </c>
      <c r="Q487" s="271"/>
      <c r="R487" s="271"/>
      <c r="S487" s="271"/>
      <c r="T487" s="271"/>
      <c r="U487" s="271"/>
      <c r="V487" s="271"/>
      <c r="W487" s="271">
        <v>4</v>
      </c>
      <c r="X487" s="271">
        <v>171.96</v>
      </c>
      <c r="Y487" s="271"/>
      <c r="Z487" s="271"/>
      <c r="AA487" s="271"/>
      <c r="AB487" s="271"/>
      <c r="AC487" s="271">
        <v>7</v>
      </c>
      <c r="AD487" s="271">
        <v>692.93</v>
      </c>
      <c r="AE487" s="271"/>
      <c r="AF487" s="271"/>
      <c r="AG487" s="271"/>
      <c r="AH487" s="271"/>
      <c r="AI487" s="271"/>
      <c r="AJ487" s="271"/>
      <c r="AK487" s="271"/>
      <c r="AL487" s="271"/>
      <c r="AM487" s="271"/>
      <c r="AN487" s="271"/>
      <c r="AO487" s="271"/>
      <c r="AP487" s="271"/>
      <c r="AQ487" s="271"/>
      <c r="AR487" s="271"/>
      <c r="AS487" s="271"/>
      <c r="AT487" s="271"/>
      <c r="AU487" s="271"/>
      <c r="AV487" s="271"/>
      <c r="AW487" s="271"/>
      <c r="AX487" s="271"/>
      <c r="AY487" s="271"/>
      <c r="AZ487" s="271"/>
      <c r="BA487" s="271">
        <v>1</v>
      </c>
      <c r="BB487" s="271">
        <v>26.99</v>
      </c>
      <c r="BC487" s="271"/>
      <c r="BD487" s="271"/>
      <c r="BE487" s="271">
        <v>1</v>
      </c>
      <c r="BF487" s="271">
        <v>75.989999999999995</v>
      </c>
    </row>
    <row r="488" spans="2:58" ht="16" thickBot="1" x14ac:dyDescent="0.25">
      <c r="B488" s="289"/>
      <c r="C488" s="146">
        <v>862.5</v>
      </c>
      <c r="E488" s="147" t="s">
        <v>764</v>
      </c>
      <c r="F488" s="279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  <c r="AA488" s="271"/>
      <c r="AB488" s="271"/>
      <c r="AC488" s="271"/>
      <c r="AD488" s="271"/>
      <c r="AE488" s="271"/>
      <c r="AF488" s="271"/>
      <c r="AG488" s="271"/>
      <c r="AH488" s="271"/>
      <c r="AI488" s="271"/>
      <c r="AJ488" s="271"/>
      <c r="AK488" s="271"/>
      <c r="AL488" s="271"/>
      <c r="AM488" s="271"/>
      <c r="AN488" s="271"/>
      <c r="AO488" s="271"/>
      <c r="AP488" s="271"/>
      <c r="AQ488" s="271"/>
      <c r="AR488" s="271"/>
      <c r="AS488" s="271"/>
      <c r="AT488" s="271"/>
      <c r="AU488" s="271"/>
      <c r="AV488" s="271"/>
      <c r="AW488" s="271"/>
      <c r="AX488" s="271"/>
      <c r="AY488" s="271"/>
      <c r="AZ488" s="271"/>
      <c r="BA488" s="271"/>
      <c r="BB488" s="271"/>
      <c r="BC488" s="271"/>
      <c r="BD488" s="271"/>
      <c r="BE488" s="271"/>
      <c r="BF488" s="271"/>
    </row>
    <row r="489" spans="2:58" ht="16" thickBot="1" x14ac:dyDescent="0.25">
      <c r="B489" s="289" t="s">
        <v>90</v>
      </c>
      <c r="C489" s="275"/>
      <c r="D489" s="277"/>
      <c r="E489" s="279"/>
      <c r="F489" s="279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  <c r="AA489" s="271"/>
      <c r="AB489" s="271"/>
      <c r="AC489" s="271"/>
      <c r="AD489" s="271"/>
      <c r="AE489" s="271"/>
      <c r="AF489" s="271"/>
      <c r="AG489" s="271"/>
      <c r="AH489" s="271"/>
      <c r="AI489" s="271"/>
      <c r="AJ489" s="271"/>
      <c r="AK489" s="271"/>
      <c r="AL489" s="271"/>
      <c r="AM489" s="271"/>
      <c r="AN489" s="271"/>
      <c r="AO489" s="271"/>
      <c r="AP489" s="271"/>
      <c r="AQ489" s="271"/>
      <c r="AR489" s="271"/>
      <c r="AS489" s="271"/>
      <c r="AT489" s="271"/>
      <c r="AU489" s="271"/>
      <c r="AV489" s="271"/>
      <c r="AW489" s="271"/>
      <c r="AX489" s="271"/>
      <c r="AY489" s="271"/>
      <c r="AZ489" s="271"/>
      <c r="BA489" s="271"/>
      <c r="BB489" s="271"/>
      <c r="BC489" s="271"/>
      <c r="BD489" s="271"/>
      <c r="BE489" s="271"/>
      <c r="BF489" s="271"/>
    </row>
    <row r="490" spans="2:58" ht="16" thickBot="1" x14ac:dyDescent="0.25">
      <c r="B490" s="292"/>
      <c r="C490" s="159">
        <f>SUM(C485:C489)</f>
        <v>9053.1</v>
      </c>
      <c r="D490" s="159"/>
      <c r="E490" s="270"/>
      <c r="F490" s="281"/>
      <c r="G490" s="309"/>
      <c r="H490" s="310"/>
      <c r="I490" s="309"/>
      <c r="J490" s="310"/>
      <c r="K490" s="309"/>
      <c r="L490" s="310"/>
      <c r="M490" s="309"/>
      <c r="N490" s="310"/>
      <c r="O490" s="271"/>
      <c r="P490" s="271"/>
      <c r="Q490" s="310"/>
      <c r="R490" s="310"/>
      <c r="S490" s="309"/>
      <c r="T490" s="310"/>
      <c r="U490" s="309"/>
      <c r="V490" s="310"/>
      <c r="W490" s="309"/>
      <c r="X490" s="310"/>
      <c r="Y490" s="309"/>
      <c r="Z490" s="310"/>
      <c r="AA490" s="309"/>
      <c r="AB490" s="310"/>
      <c r="AC490" s="271"/>
      <c r="AD490" s="271"/>
      <c r="AE490" s="309"/>
      <c r="AF490" s="310"/>
      <c r="AG490" s="309"/>
      <c r="AH490" s="310"/>
      <c r="AI490" s="309"/>
      <c r="AJ490" s="310"/>
      <c r="AK490" s="309"/>
      <c r="AL490" s="310"/>
      <c r="AM490" s="309"/>
      <c r="AN490" s="310"/>
      <c r="AO490" s="309"/>
      <c r="AP490" s="310"/>
      <c r="AQ490" s="309"/>
      <c r="AR490" s="310"/>
      <c r="AS490" s="309"/>
      <c r="AT490" s="310"/>
      <c r="AU490" s="309"/>
      <c r="AV490" s="310"/>
      <c r="AW490" s="309"/>
      <c r="AX490" s="310"/>
      <c r="AY490" s="309"/>
      <c r="AZ490" s="310"/>
      <c r="BA490" s="271"/>
      <c r="BB490" s="271"/>
      <c r="BC490" s="271"/>
      <c r="BD490" s="271"/>
      <c r="BE490" s="271"/>
      <c r="BF490" s="271"/>
    </row>
    <row r="491" spans="2:58" ht="16" thickBot="1" x14ac:dyDescent="0.25">
      <c r="B491" s="289">
        <v>45714</v>
      </c>
      <c r="C491" s="275">
        <v>800</v>
      </c>
      <c r="D491" s="277"/>
      <c r="E491" s="279" t="s">
        <v>186</v>
      </c>
      <c r="F491" s="279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  <c r="AA491" s="271"/>
      <c r="AB491" s="271"/>
      <c r="AC491" s="271"/>
      <c r="AD491" s="271"/>
      <c r="AE491" s="271"/>
      <c r="AF491" s="271"/>
      <c r="AG491" s="271"/>
      <c r="AH491" s="271"/>
      <c r="AI491" s="271"/>
      <c r="AJ491" s="271"/>
      <c r="AK491" s="271"/>
      <c r="AL491" s="271"/>
      <c r="AM491" s="271"/>
      <c r="AN491" s="271"/>
      <c r="AO491" s="271"/>
      <c r="AP491" s="271"/>
      <c r="AQ491" s="271"/>
      <c r="AR491" s="271"/>
      <c r="AS491" s="271"/>
      <c r="AT491" s="271"/>
      <c r="AU491" s="271"/>
      <c r="AV491" s="271"/>
      <c r="AW491" s="271"/>
      <c r="AX491" s="271"/>
      <c r="AY491" s="271"/>
      <c r="AZ491" s="271"/>
      <c r="BA491" s="271"/>
      <c r="BB491" s="271"/>
      <c r="BC491" s="271"/>
      <c r="BD491" s="271"/>
      <c r="BE491" s="271"/>
      <c r="BF491" s="271"/>
    </row>
    <row r="492" spans="2:58" ht="16" thickBot="1" x14ac:dyDescent="0.25">
      <c r="B492" s="289"/>
      <c r="C492" s="285">
        <f>119.99+43.99</f>
        <v>163.98</v>
      </c>
      <c r="D492" s="277"/>
      <c r="E492" s="279" t="s">
        <v>9</v>
      </c>
      <c r="F492" s="279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  <c r="AA492" s="271"/>
      <c r="AB492" s="271"/>
      <c r="AC492" s="271"/>
      <c r="AD492" s="271"/>
      <c r="AE492" s="271"/>
      <c r="AF492" s="271"/>
      <c r="AG492" s="271"/>
      <c r="AH492" s="271"/>
      <c r="AI492" s="271"/>
      <c r="AJ492" s="271"/>
      <c r="AK492" s="271"/>
      <c r="AL492" s="271"/>
      <c r="AM492" s="271"/>
      <c r="AN492" s="271"/>
      <c r="AO492" s="271"/>
      <c r="AP492" s="271"/>
      <c r="AQ492" s="271"/>
      <c r="AR492" s="271"/>
      <c r="AS492" s="271"/>
      <c r="AT492" s="271"/>
      <c r="AU492" s="271"/>
      <c r="AV492" s="271"/>
      <c r="AW492" s="271"/>
      <c r="AX492" s="271"/>
      <c r="AY492" s="271"/>
      <c r="AZ492" s="271"/>
      <c r="BA492" s="271"/>
      <c r="BB492" s="271"/>
      <c r="BC492" s="271"/>
      <c r="BD492" s="271"/>
      <c r="BE492" s="271"/>
      <c r="BF492" s="271"/>
    </row>
    <row r="493" spans="2:58" ht="16" thickBot="1" x14ac:dyDescent="0.25">
      <c r="B493" s="289"/>
      <c r="C493" s="285">
        <v>1200</v>
      </c>
      <c r="D493" s="277"/>
      <c r="E493" s="279"/>
      <c r="F493" s="279" t="s">
        <v>17</v>
      </c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  <c r="AA493" s="271"/>
      <c r="AB493" s="271"/>
      <c r="AC493" s="271"/>
      <c r="AD493" s="271"/>
      <c r="AE493" s="271"/>
      <c r="AF493" s="271"/>
      <c r="AG493" s="271"/>
      <c r="AH493" s="271"/>
      <c r="AI493" s="271"/>
      <c r="AJ493" s="271"/>
      <c r="AK493" s="271"/>
      <c r="AL493" s="271"/>
      <c r="AM493" s="271"/>
      <c r="AN493" s="271"/>
      <c r="AO493" s="271">
        <v>20</v>
      </c>
      <c r="AP493" s="271">
        <v>600</v>
      </c>
      <c r="AQ493" s="271">
        <v>20</v>
      </c>
      <c r="AR493" s="271">
        <v>600</v>
      </c>
      <c r="AS493" s="271"/>
      <c r="AT493" s="271"/>
      <c r="AU493" s="271"/>
      <c r="AV493" s="271"/>
      <c r="AW493" s="271"/>
      <c r="AX493" s="271"/>
      <c r="AY493" s="271"/>
      <c r="AZ493" s="271"/>
      <c r="BA493" s="271"/>
      <c r="BB493" s="271"/>
      <c r="BC493" s="271"/>
      <c r="BD493" s="271"/>
      <c r="BE493" s="271"/>
      <c r="BF493" s="271"/>
    </row>
    <row r="494" spans="2:58" ht="16" thickBot="1" x14ac:dyDescent="0.25">
      <c r="B494" s="289"/>
      <c r="C494" s="285">
        <v>160</v>
      </c>
      <c r="D494" s="277"/>
      <c r="E494" s="279" t="s">
        <v>770</v>
      </c>
      <c r="F494" s="279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  <c r="AA494" s="271"/>
      <c r="AB494" s="271"/>
      <c r="AC494" s="271"/>
      <c r="AD494" s="271"/>
      <c r="AE494" s="271"/>
      <c r="AF494" s="271"/>
      <c r="AG494" s="271"/>
      <c r="AH494" s="271"/>
      <c r="AI494" s="271"/>
      <c r="AJ494" s="271"/>
      <c r="AK494" s="271"/>
      <c r="AL494" s="271"/>
      <c r="AM494" s="271"/>
      <c r="AN494" s="271"/>
      <c r="AO494" s="271"/>
      <c r="AP494" s="271"/>
      <c r="AQ494" s="271"/>
      <c r="AR494" s="271"/>
      <c r="AS494" s="271"/>
      <c r="AT494" s="271"/>
      <c r="AU494" s="271"/>
      <c r="AV494" s="271"/>
      <c r="AW494" s="271"/>
      <c r="AX494" s="271"/>
      <c r="AY494" s="271"/>
      <c r="AZ494" s="271"/>
      <c r="BA494" s="271"/>
      <c r="BB494" s="271"/>
      <c r="BC494" s="271"/>
      <c r="BD494" s="271"/>
      <c r="BE494" s="271"/>
      <c r="BF494" s="271"/>
    </row>
    <row r="495" spans="2:58" ht="16" thickBot="1" x14ac:dyDescent="0.25">
      <c r="B495" s="289"/>
      <c r="C495" s="285">
        <v>180</v>
      </c>
      <c r="D495" s="277"/>
      <c r="E495" s="279" t="s">
        <v>334</v>
      </c>
      <c r="F495" s="279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  <c r="AA495" s="271"/>
      <c r="AB495" s="271"/>
      <c r="AC495" s="271"/>
      <c r="AD495" s="271"/>
      <c r="AE495" s="271"/>
      <c r="AF495" s="271"/>
      <c r="AG495" s="271"/>
      <c r="AH495" s="271"/>
      <c r="AI495" s="271"/>
      <c r="AJ495" s="271"/>
      <c r="AK495" s="271"/>
      <c r="AL495" s="271"/>
      <c r="AM495" s="271"/>
      <c r="AN495" s="271"/>
      <c r="AO495" s="271"/>
      <c r="AP495" s="271"/>
      <c r="AQ495" s="271"/>
      <c r="AR495" s="271"/>
      <c r="AS495" s="271"/>
      <c r="AT495" s="271"/>
      <c r="AU495" s="271"/>
      <c r="AV495" s="271"/>
      <c r="AW495" s="271"/>
      <c r="AX495" s="271"/>
      <c r="AY495" s="271"/>
      <c r="AZ495" s="271"/>
      <c r="BA495" s="271"/>
      <c r="BB495" s="271"/>
      <c r="BC495" s="271"/>
      <c r="BD495" s="271"/>
      <c r="BE495" s="271"/>
      <c r="BF495" s="271"/>
    </row>
    <row r="496" spans="2:58" ht="16" thickBot="1" x14ac:dyDescent="0.25">
      <c r="B496" s="289"/>
      <c r="C496" s="285">
        <v>450</v>
      </c>
      <c r="D496" s="277"/>
      <c r="E496" s="279" t="s">
        <v>771</v>
      </c>
      <c r="F496" s="279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  <c r="AA496" s="271"/>
      <c r="AB496" s="271"/>
      <c r="AC496" s="271"/>
      <c r="AD496" s="271"/>
      <c r="AE496" s="271"/>
      <c r="AF496" s="271"/>
      <c r="AG496" s="271"/>
      <c r="AH496" s="271"/>
      <c r="AI496" s="271"/>
      <c r="AJ496" s="271"/>
      <c r="AK496" s="271"/>
      <c r="AL496" s="271"/>
      <c r="AM496" s="271"/>
      <c r="AN496" s="271"/>
      <c r="AO496" s="271"/>
      <c r="AP496" s="271"/>
      <c r="AQ496" s="271"/>
      <c r="AR496" s="271"/>
      <c r="AS496" s="271"/>
      <c r="AT496" s="271"/>
      <c r="AU496" s="271"/>
      <c r="AV496" s="271"/>
      <c r="AW496" s="271"/>
      <c r="AX496" s="271"/>
      <c r="AY496" s="271"/>
      <c r="AZ496" s="271"/>
      <c r="BA496" s="271"/>
      <c r="BB496" s="271"/>
      <c r="BC496" s="271"/>
      <c r="BD496" s="271"/>
      <c r="BE496" s="271"/>
      <c r="BF496" s="271"/>
    </row>
    <row r="497" spans="2:58" ht="16" thickBot="1" x14ac:dyDescent="0.25">
      <c r="B497" s="289"/>
      <c r="C497" s="285">
        <v>10521.58</v>
      </c>
      <c r="D497" s="277"/>
      <c r="E497" s="279"/>
      <c r="F497" s="279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>
        <v>15</v>
      </c>
      <c r="V497" s="271">
        <v>7935</v>
      </c>
      <c r="W497" s="271"/>
      <c r="X497" s="271"/>
      <c r="Y497" s="271"/>
      <c r="Z497" s="271"/>
      <c r="AA497" s="271"/>
      <c r="AB497" s="271"/>
      <c r="AC497" s="271"/>
      <c r="AD497" s="271"/>
      <c r="AE497" s="271"/>
      <c r="AF497" s="271"/>
      <c r="AG497" s="271"/>
      <c r="AH497" s="271"/>
      <c r="AI497" s="271"/>
      <c r="AJ497" s="271"/>
      <c r="AK497" s="271"/>
      <c r="AL497" s="271"/>
      <c r="AM497" s="271"/>
      <c r="AN497" s="271"/>
      <c r="AO497" s="271"/>
      <c r="AP497" s="271"/>
      <c r="AQ497" s="271"/>
      <c r="AR497" s="271"/>
      <c r="AS497" s="271"/>
      <c r="AT497" s="271"/>
      <c r="AU497" s="271"/>
      <c r="AV497" s="271"/>
      <c r="AW497" s="271"/>
      <c r="AX497" s="271"/>
      <c r="AY497" s="271"/>
      <c r="AZ497" s="271"/>
      <c r="BA497" s="271"/>
      <c r="BB497" s="271"/>
      <c r="BC497" s="271"/>
      <c r="BD497" s="271"/>
      <c r="BE497" s="271"/>
      <c r="BF497" s="271"/>
    </row>
    <row r="498" spans="2:58" ht="16" thickBot="1" x14ac:dyDescent="0.25">
      <c r="B498" s="288" t="s">
        <v>22</v>
      </c>
      <c r="C498" s="287"/>
      <c r="D498" s="290"/>
      <c r="E498" s="290"/>
      <c r="F498" s="296"/>
      <c r="G498" s="309"/>
      <c r="H498" s="310"/>
      <c r="I498" s="309"/>
      <c r="J498" s="310"/>
      <c r="K498" s="309"/>
      <c r="L498" s="310"/>
      <c r="M498" s="309"/>
      <c r="N498" s="310"/>
      <c r="O498" s="271"/>
      <c r="P498" s="271"/>
      <c r="Q498" s="309"/>
      <c r="R498" s="310"/>
      <c r="S498" s="309"/>
      <c r="T498" s="310"/>
      <c r="U498" s="309"/>
      <c r="V498" s="310"/>
      <c r="W498" s="309"/>
      <c r="X498" s="310"/>
      <c r="Y498" s="309"/>
      <c r="Z498" s="310"/>
      <c r="AA498" s="309"/>
      <c r="AB498" s="310"/>
      <c r="AC498" s="271"/>
      <c r="AD498" s="271"/>
      <c r="AE498" s="309"/>
      <c r="AF498" s="310"/>
      <c r="AG498" s="309"/>
      <c r="AH498" s="310"/>
      <c r="AI498" s="309"/>
      <c r="AJ498" s="310"/>
      <c r="AK498" s="309"/>
      <c r="AL498" s="310"/>
      <c r="AM498" s="309"/>
      <c r="AN498" s="310"/>
      <c r="AO498" s="309"/>
      <c r="AP498" s="310"/>
      <c r="AQ498" s="309"/>
      <c r="AR498" s="310"/>
      <c r="AS498" s="309"/>
      <c r="AT498" s="310"/>
      <c r="AU498" s="309"/>
      <c r="AV498" s="310"/>
      <c r="AW498" s="309"/>
      <c r="AX498" s="310"/>
      <c r="AY498" s="309"/>
      <c r="AZ498" s="310"/>
      <c r="BA498" s="271"/>
      <c r="BB498" s="271"/>
      <c r="BC498" s="271"/>
      <c r="BD498" s="271"/>
      <c r="BE498" s="271"/>
      <c r="BF498" s="271"/>
    </row>
    <row r="499" spans="2:58" ht="16" thickBot="1" x14ac:dyDescent="0.25">
      <c r="B499" s="292"/>
      <c r="C499" s="159">
        <f>SUM(C491:C498)</f>
        <v>13475.56</v>
      </c>
      <c r="D499" s="159"/>
      <c r="E499" s="270"/>
      <c r="F499" s="297"/>
      <c r="G499" s="309"/>
      <c r="H499" s="310"/>
      <c r="I499" s="309"/>
      <c r="J499" s="310"/>
      <c r="K499" s="309"/>
      <c r="L499" s="310"/>
      <c r="M499" s="309"/>
      <c r="N499" s="310"/>
      <c r="O499" s="271"/>
      <c r="P499" s="271"/>
      <c r="Q499" s="310"/>
      <c r="R499" s="310"/>
      <c r="S499" s="309"/>
      <c r="T499" s="310"/>
      <c r="U499" s="309"/>
      <c r="V499" s="310"/>
      <c r="W499" s="309"/>
      <c r="X499" s="310"/>
      <c r="Y499" s="309"/>
      <c r="Z499" s="310"/>
      <c r="AA499" s="309"/>
      <c r="AB499" s="310"/>
      <c r="AC499" s="271"/>
      <c r="AD499" s="271"/>
      <c r="AE499" s="309"/>
      <c r="AF499" s="310"/>
      <c r="AG499" s="309"/>
      <c r="AH499" s="310"/>
      <c r="AI499" s="309"/>
      <c r="AJ499" s="310"/>
      <c r="AK499" s="309"/>
      <c r="AL499" s="310"/>
      <c r="AM499" s="309"/>
      <c r="AN499" s="310"/>
      <c r="AO499" s="309"/>
      <c r="AP499" s="310"/>
      <c r="AQ499" s="309"/>
      <c r="AR499" s="310"/>
      <c r="AS499" s="309"/>
      <c r="AT499" s="310"/>
      <c r="AU499" s="309"/>
      <c r="AV499" s="310"/>
      <c r="AW499" s="309"/>
      <c r="AX499" s="310"/>
      <c r="AY499" s="309"/>
      <c r="AZ499" s="310"/>
      <c r="BA499" s="271"/>
      <c r="BB499" s="271"/>
      <c r="BC499" s="271"/>
      <c r="BD499" s="271"/>
      <c r="BE499" s="271"/>
      <c r="BF499" s="271"/>
    </row>
    <row r="500" spans="2:58" ht="16" thickBot="1" x14ac:dyDescent="0.25">
      <c r="B500" s="289">
        <v>45715</v>
      </c>
      <c r="C500" s="295">
        <v>1868.11</v>
      </c>
      <c r="D500" s="275"/>
      <c r="E500" s="274" t="s">
        <v>296</v>
      </c>
      <c r="F500" s="301"/>
      <c r="G500" s="309"/>
      <c r="H500" s="310"/>
      <c r="I500" s="309"/>
      <c r="J500" s="310"/>
      <c r="K500" s="309"/>
      <c r="L500" s="310"/>
      <c r="M500" s="309"/>
      <c r="N500" s="310"/>
      <c r="O500" s="271"/>
      <c r="P500" s="271"/>
      <c r="Q500" s="309"/>
      <c r="R500" s="310"/>
      <c r="S500" s="309"/>
      <c r="T500" s="310"/>
      <c r="U500" s="309"/>
      <c r="V500" s="310"/>
      <c r="W500" s="309"/>
      <c r="X500" s="310"/>
      <c r="Y500" s="309"/>
      <c r="Z500" s="310"/>
      <c r="AA500" s="309"/>
      <c r="AB500" s="310"/>
      <c r="AC500" s="271"/>
      <c r="AD500" s="271"/>
      <c r="AE500" s="309"/>
      <c r="AF500" s="310"/>
      <c r="AG500" s="309"/>
      <c r="AH500" s="310"/>
      <c r="AI500" s="309"/>
      <c r="AJ500" s="310"/>
      <c r="AK500" s="309"/>
      <c r="AL500" s="310"/>
      <c r="AM500" s="309"/>
      <c r="AN500" s="310"/>
      <c r="AO500" s="309"/>
      <c r="AP500" s="310"/>
      <c r="AQ500" s="309"/>
      <c r="AR500" s="310"/>
      <c r="AS500" s="309"/>
      <c r="AT500" s="310"/>
      <c r="AU500" s="309"/>
      <c r="AV500" s="310"/>
      <c r="AW500" s="309"/>
      <c r="AX500" s="310"/>
      <c r="AY500" s="309"/>
      <c r="AZ500" s="310"/>
      <c r="BA500" s="271"/>
      <c r="BB500" s="271"/>
      <c r="BC500" s="271"/>
      <c r="BD500" s="271"/>
      <c r="BE500" s="271"/>
      <c r="BF500" s="271"/>
    </row>
    <row r="501" spans="2:58" ht="16" thickBot="1" x14ac:dyDescent="0.25">
      <c r="B501" s="289"/>
      <c r="C501" s="295">
        <v>119.99</v>
      </c>
      <c r="D501" s="275"/>
      <c r="E501" s="275" t="s">
        <v>411</v>
      </c>
      <c r="F501" s="302"/>
      <c r="G501" s="309"/>
      <c r="H501" s="310"/>
      <c r="I501" s="309"/>
      <c r="J501" s="310"/>
      <c r="K501" s="309"/>
      <c r="L501" s="310"/>
      <c r="M501" s="309"/>
      <c r="N501" s="310"/>
      <c r="O501" s="271"/>
      <c r="P501" s="271"/>
      <c r="Q501" s="309"/>
      <c r="R501" s="310"/>
      <c r="S501" s="309"/>
      <c r="T501" s="310"/>
      <c r="U501" s="309"/>
      <c r="V501" s="310"/>
      <c r="W501" s="309"/>
      <c r="X501" s="310"/>
      <c r="Y501" s="309"/>
      <c r="Z501" s="310"/>
      <c r="AA501" s="309"/>
      <c r="AB501" s="310"/>
      <c r="AC501" s="271"/>
      <c r="AD501" s="271"/>
      <c r="AE501" s="309"/>
      <c r="AF501" s="310"/>
      <c r="AG501" s="309"/>
      <c r="AH501" s="310"/>
      <c r="AI501" s="309"/>
      <c r="AJ501" s="310"/>
      <c r="AK501" s="309"/>
      <c r="AL501" s="310"/>
      <c r="AM501" s="309"/>
      <c r="AN501" s="310"/>
      <c r="AO501" s="309"/>
      <c r="AP501" s="310"/>
      <c r="AQ501" s="309"/>
      <c r="AR501" s="310"/>
      <c r="AS501" s="309"/>
      <c r="AT501" s="310"/>
      <c r="AU501" s="309"/>
      <c r="AV501" s="310"/>
      <c r="AW501" s="309"/>
      <c r="AX501" s="310"/>
      <c r="AY501" s="309"/>
      <c r="AZ501" s="310"/>
      <c r="BA501" s="271"/>
      <c r="BB501" s="271"/>
      <c r="BC501" s="271"/>
      <c r="BD501" s="271"/>
      <c r="BE501" s="271"/>
      <c r="BF501" s="271"/>
    </row>
    <row r="502" spans="2:58" ht="16" thickBot="1" x14ac:dyDescent="0.25">
      <c r="B502" s="289"/>
      <c r="C502" s="295">
        <v>370</v>
      </c>
      <c r="D502" s="275"/>
      <c r="E502" s="275" t="s">
        <v>396</v>
      </c>
      <c r="F502" s="302"/>
      <c r="G502" s="309"/>
      <c r="H502" s="310"/>
      <c r="I502" s="309"/>
      <c r="J502" s="310"/>
      <c r="K502" s="309"/>
      <c r="L502" s="310"/>
      <c r="M502" s="309"/>
      <c r="N502" s="310"/>
      <c r="O502" s="271"/>
      <c r="P502" s="271"/>
      <c r="Q502" s="309"/>
      <c r="R502" s="310"/>
      <c r="S502" s="309"/>
      <c r="T502" s="310"/>
      <c r="U502" s="309"/>
      <c r="V502" s="310"/>
      <c r="W502" s="309"/>
      <c r="X502" s="310"/>
      <c r="Y502" s="309"/>
      <c r="Z502" s="310"/>
      <c r="AA502" s="309"/>
      <c r="AB502" s="310"/>
      <c r="AC502" s="271"/>
      <c r="AD502" s="271"/>
      <c r="AE502" s="309"/>
      <c r="AF502" s="310"/>
      <c r="AG502" s="309"/>
      <c r="AH502" s="310"/>
      <c r="AI502" s="309"/>
      <c r="AJ502" s="310"/>
      <c r="AK502" s="309"/>
      <c r="AL502" s="310"/>
      <c r="AM502" s="309"/>
      <c r="AN502" s="310"/>
      <c r="AO502" s="309"/>
      <c r="AP502" s="310"/>
      <c r="AQ502" s="309"/>
      <c r="AR502" s="310"/>
      <c r="AS502" s="309"/>
      <c r="AT502" s="310"/>
      <c r="AU502" s="309"/>
      <c r="AV502" s="310"/>
      <c r="AW502" s="309"/>
      <c r="AX502" s="310"/>
      <c r="AY502" s="309"/>
      <c r="AZ502" s="310"/>
      <c r="BA502" s="271"/>
      <c r="BB502" s="271"/>
      <c r="BC502" s="271"/>
      <c r="BD502" s="271"/>
      <c r="BE502" s="271"/>
      <c r="BF502" s="271"/>
    </row>
    <row r="503" spans="2:58" ht="16" thickBot="1" x14ac:dyDescent="0.25">
      <c r="B503" s="289"/>
      <c r="C503" s="295">
        <v>575</v>
      </c>
      <c r="D503" s="275"/>
      <c r="E503" s="275"/>
      <c r="F503" s="302" t="s">
        <v>777</v>
      </c>
      <c r="G503" s="309"/>
      <c r="H503" s="310"/>
      <c r="I503" s="309"/>
      <c r="J503" s="310"/>
      <c r="K503" s="309"/>
      <c r="L503" s="310"/>
      <c r="M503" s="309"/>
      <c r="N503" s="310"/>
      <c r="O503" s="271"/>
      <c r="P503" s="271"/>
      <c r="Q503" s="309"/>
      <c r="R503" s="310"/>
      <c r="S503" s="309"/>
      <c r="T503" s="310"/>
      <c r="U503" s="309"/>
      <c r="V503" s="310"/>
      <c r="W503" s="309"/>
      <c r="X503" s="310"/>
      <c r="Y503" s="309"/>
      <c r="Z503" s="310"/>
      <c r="AA503" s="309"/>
      <c r="AB503" s="310"/>
      <c r="AC503" s="271"/>
      <c r="AD503" s="271"/>
      <c r="AE503" s="309"/>
      <c r="AF503" s="310"/>
      <c r="AG503" s="309">
        <v>1</v>
      </c>
      <c r="AH503" s="310">
        <v>575</v>
      </c>
      <c r="AI503" s="309"/>
      <c r="AJ503" s="310"/>
      <c r="AK503" s="309"/>
      <c r="AL503" s="310"/>
      <c r="AM503" s="309"/>
      <c r="AN503" s="310"/>
      <c r="AO503" s="309"/>
      <c r="AP503" s="310"/>
      <c r="AQ503" s="309"/>
      <c r="AR503" s="310"/>
      <c r="AS503" s="309"/>
      <c r="AT503" s="310"/>
      <c r="AU503" s="309"/>
      <c r="AV503" s="310"/>
      <c r="AW503" s="309"/>
      <c r="AX503" s="310"/>
      <c r="AY503" s="309"/>
      <c r="AZ503" s="310"/>
      <c r="BA503" s="271"/>
      <c r="BB503" s="271"/>
      <c r="BC503" s="271"/>
      <c r="BD503" s="271"/>
      <c r="BE503" s="271"/>
      <c r="BF503" s="271"/>
    </row>
    <row r="504" spans="2:58" ht="16" thickBot="1" x14ac:dyDescent="0.25">
      <c r="B504" s="289"/>
      <c r="C504" s="295">
        <v>53.98</v>
      </c>
      <c r="D504" s="275"/>
      <c r="E504" s="275" t="s">
        <v>279</v>
      </c>
      <c r="F504" s="302"/>
      <c r="G504" s="309"/>
      <c r="H504" s="310"/>
      <c r="I504" s="309"/>
      <c r="J504" s="310"/>
      <c r="K504" s="309"/>
      <c r="L504" s="310"/>
      <c r="M504" s="309"/>
      <c r="N504" s="310"/>
      <c r="O504" s="271"/>
      <c r="P504" s="271"/>
      <c r="Q504" s="309"/>
      <c r="R504" s="310"/>
      <c r="S504" s="309"/>
      <c r="T504" s="310"/>
      <c r="U504" s="309"/>
      <c r="V504" s="310"/>
      <c r="W504" s="309"/>
      <c r="X504" s="310"/>
      <c r="Y504" s="309"/>
      <c r="Z504" s="310"/>
      <c r="AA504" s="309"/>
      <c r="AB504" s="310"/>
      <c r="AC504" s="271"/>
      <c r="AD504" s="271"/>
      <c r="AE504" s="309"/>
      <c r="AF504" s="310"/>
      <c r="AG504" s="309"/>
      <c r="AH504" s="310"/>
      <c r="AI504" s="309"/>
      <c r="AJ504" s="310"/>
      <c r="AK504" s="309"/>
      <c r="AL504" s="310"/>
      <c r="AM504" s="309"/>
      <c r="AN504" s="310"/>
      <c r="AO504" s="309"/>
      <c r="AP504" s="310"/>
      <c r="AQ504" s="309"/>
      <c r="AR504" s="310"/>
      <c r="AS504" s="309"/>
      <c r="AT504" s="310"/>
      <c r="AU504" s="309"/>
      <c r="AV504" s="310"/>
      <c r="AW504" s="309"/>
      <c r="AX504" s="310"/>
      <c r="AY504" s="309"/>
      <c r="AZ504" s="310"/>
      <c r="BA504" s="271"/>
      <c r="BB504" s="271"/>
      <c r="BC504" s="271"/>
      <c r="BD504" s="271"/>
      <c r="BE504" s="271"/>
      <c r="BF504" s="271"/>
    </row>
    <row r="505" spans="2:58" ht="16" thickBot="1" x14ac:dyDescent="0.25">
      <c r="B505" s="289"/>
      <c r="C505" s="295">
        <v>395.91</v>
      </c>
      <c r="D505" s="275"/>
      <c r="E505" s="275"/>
      <c r="F505" s="302" t="s">
        <v>14</v>
      </c>
      <c r="G505" s="309"/>
      <c r="H505" s="310"/>
      <c r="I505" s="309"/>
      <c r="J505" s="310"/>
      <c r="K505" s="309"/>
      <c r="L505" s="310"/>
      <c r="M505" s="309"/>
      <c r="N505" s="310"/>
      <c r="O505" s="271"/>
      <c r="P505" s="271"/>
      <c r="Q505" s="309"/>
      <c r="R505" s="310"/>
      <c r="S505" s="309"/>
      <c r="T505" s="310"/>
      <c r="U505" s="309"/>
      <c r="V505" s="310"/>
      <c r="W505" s="309"/>
      <c r="X505" s="310"/>
      <c r="Y505" s="309"/>
      <c r="Z505" s="310"/>
      <c r="AA505" s="309"/>
      <c r="AB505" s="310"/>
      <c r="AC505" s="271"/>
      <c r="AD505" s="271"/>
      <c r="AE505" s="309">
        <v>9</v>
      </c>
      <c r="AF505" s="310">
        <v>359.91</v>
      </c>
      <c r="AG505" s="309"/>
      <c r="AH505" s="310"/>
      <c r="AI505" s="309"/>
      <c r="AJ505" s="310"/>
      <c r="AK505" s="309"/>
      <c r="AL505" s="310"/>
      <c r="AM505" s="309"/>
      <c r="AN505" s="310"/>
      <c r="AO505" s="309"/>
      <c r="AP505" s="310"/>
      <c r="AQ505" s="309"/>
      <c r="AR505" s="310"/>
      <c r="AS505" s="309"/>
      <c r="AT505" s="310"/>
      <c r="AU505" s="309"/>
      <c r="AV505" s="310"/>
      <c r="AW505" s="309"/>
      <c r="AX505" s="310"/>
      <c r="AY505" s="309"/>
      <c r="AZ505" s="310"/>
      <c r="BA505" s="271"/>
      <c r="BB505" s="271"/>
      <c r="BC505" s="271"/>
      <c r="BD505" s="271"/>
      <c r="BE505" s="271"/>
      <c r="BF505" s="271"/>
    </row>
    <row r="506" spans="2:58" ht="16" thickBot="1" x14ac:dyDescent="0.25">
      <c r="B506" s="289"/>
      <c r="C506" s="295">
        <v>2588.9</v>
      </c>
      <c r="D506" s="275"/>
      <c r="E506" s="275"/>
      <c r="F506" s="302" t="s">
        <v>11</v>
      </c>
      <c r="G506" s="309"/>
      <c r="H506" s="310"/>
      <c r="I506" s="309"/>
      <c r="J506" s="310"/>
      <c r="K506" s="309"/>
      <c r="L506" s="310"/>
      <c r="M506" s="309"/>
      <c r="N506" s="310"/>
      <c r="O506" s="271"/>
      <c r="P506" s="271"/>
      <c r="Q506" s="309"/>
      <c r="R506" s="310"/>
      <c r="S506" s="309"/>
      <c r="T506" s="310"/>
      <c r="U506" s="309"/>
      <c r="V506" s="310"/>
      <c r="W506" s="309"/>
      <c r="X506" s="310"/>
      <c r="Y506" s="309"/>
      <c r="Z506" s="310"/>
      <c r="AA506" s="309"/>
      <c r="AB506" s="310"/>
      <c r="AC506" s="271"/>
      <c r="AD506" s="271"/>
      <c r="AE506" s="309"/>
      <c r="AF506" s="310"/>
      <c r="AG506" s="309"/>
      <c r="AH506" s="310"/>
      <c r="AI506" s="309"/>
      <c r="AJ506" s="310"/>
      <c r="AK506" s="309">
        <v>5</v>
      </c>
      <c r="AL506" s="310">
        <v>849.75</v>
      </c>
      <c r="AM506" s="309"/>
      <c r="AN506" s="310"/>
      <c r="AO506" s="309"/>
      <c r="AP506" s="310"/>
      <c r="AQ506" s="309"/>
      <c r="AR506" s="310"/>
      <c r="AS506" s="309"/>
      <c r="AT506" s="310"/>
      <c r="AU506" s="309"/>
      <c r="AV506" s="310"/>
      <c r="AW506" s="309"/>
      <c r="AX506" s="310"/>
      <c r="AY506" s="309"/>
      <c r="AZ506" s="310"/>
      <c r="BA506" s="271"/>
      <c r="BB506" s="271"/>
      <c r="BC506" s="271"/>
      <c r="BD506" s="271"/>
      <c r="BE506" s="271"/>
      <c r="BF506" s="271"/>
    </row>
    <row r="507" spans="2:58" ht="16" thickBot="1" x14ac:dyDescent="0.25">
      <c r="B507" s="289"/>
      <c r="C507" s="295">
        <v>8827.49</v>
      </c>
      <c r="D507" s="275"/>
      <c r="E507" s="275"/>
      <c r="F507" s="302" t="s">
        <v>9</v>
      </c>
      <c r="G507" s="309">
        <v>10</v>
      </c>
      <c r="H507" s="310">
        <v>1369.9</v>
      </c>
      <c r="I507" s="309">
        <v>2</v>
      </c>
      <c r="J507" s="310">
        <v>409.98</v>
      </c>
      <c r="K507" s="309">
        <v>9</v>
      </c>
      <c r="L507" s="310">
        <v>1637.91</v>
      </c>
      <c r="M507" s="309">
        <v>10</v>
      </c>
      <c r="N507" s="310">
        <v>1669.9</v>
      </c>
      <c r="O507" s="271">
        <v>7</v>
      </c>
      <c r="P507" s="271">
        <v>2380</v>
      </c>
      <c r="Q507" s="309">
        <v>1</v>
      </c>
      <c r="R507" s="310">
        <v>134.99</v>
      </c>
      <c r="S507" s="309"/>
      <c r="T507" s="310"/>
      <c r="U507" s="309"/>
      <c r="V507" s="310"/>
      <c r="W507" s="309">
        <v>6</v>
      </c>
      <c r="X507" s="310">
        <v>257.94</v>
      </c>
      <c r="Y507" s="309"/>
      <c r="Z507" s="310"/>
      <c r="AA507" s="309"/>
      <c r="AB507" s="310"/>
      <c r="AC507" s="271">
        <v>6</v>
      </c>
      <c r="AD507" s="271">
        <v>593.94000000000005</v>
      </c>
      <c r="AE507" s="309"/>
      <c r="AF507" s="310"/>
      <c r="AG507" s="309"/>
      <c r="AH507" s="310"/>
      <c r="AI507" s="309"/>
      <c r="AJ507" s="310"/>
      <c r="AK507" s="309"/>
      <c r="AL507" s="310"/>
      <c r="AM507" s="309"/>
      <c r="AN507" s="310"/>
      <c r="AO507" s="309"/>
      <c r="AP507" s="310"/>
      <c r="AQ507" s="309"/>
      <c r="AR507" s="310"/>
      <c r="AS507" s="309"/>
      <c r="AT507" s="310"/>
      <c r="AU507" s="309"/>
      <c r="AV507" s="310"/>
      <c r="AW507" s="309"/>
      <c r="AX507" s="310"/>
      <c r="AY507" s="309"/>
      <c r="AZ507" s="310"/>
      <c r="BA507" s="271">
        <v>1</v>
      </c>
      <c r="BB507" s="271">
        <v>26.99</v>
      </c>
      <c r="BC507" s="271"/>
      <c r="BD507" s="271"/>
      <c r="BE507" s="271">
        <v>1</v>
      </c>
      <c r="BF507" s="271">
        <v>75.989999999999995</v>
      </c>
    </row>
    <row r="508" spans="2:58" ht="16" thickBot="1" x14ac:dyDescent="0.25">
      <c r="B508" s="289" t="s">
        <v>23</v>
      </c>
      <c r="C508" s="295">
        <v>7157.54</v>
      </c>
      <c r="D508" s="275"/>
      <c r="E508" s="275"/>
      <c r="F508" s="302" t="s">
        <v>311</v>
      </c>
      <c r="G508" s="309"/>
      <c r="H508" s="310"/>
      <c r="I508" s="309"/>
      <c r="J508" s="310"/>
      <c r="K508" s="309"/>
      <c r="L508" s="310"/>
      <c r="M508" s="309"/>
      <c r="N508" s="310"/>
      <c r="O508" s="271"/>
      <c r="P508" s="271"/>
      <c r="Q508" s="309"/>
      <c r="R508" s="310"/>
      <c r="S508" s="309"/>
      <c r="T508" s="310"/>
      <c r="U508" s="309"/>
      <c r="V508" s="310"/>
      <c r="W508" s="309"/>
      <c r="X508" s="310"/>
      <c r="Y508" s="309"/>
      <c r="Z508" s="310"/>
      <c r="AA508" s="309"/>
      <c r="AB508" s="310"/>
      <c r="AC508" s="271"/>
      <c r="AD508" s="271"/>
      <c r="AE508" s="309"/>
      <c r="AF508" s="310"/>
      <c r="AG508" s="309"/>
      <c r="AH508" s="310"/>
      <c r="AI508" s="309"/>
      <c r="AJ508" s="310"/>
      <c r="AK508" s="309"/>
      <c r="AL508" s="310"/>
      <c r="AM508" s="309"/>
      <c r="AN508" s="310"/>
      <c r="AO508" s="309"/>
      <c r="AP508" s="310"/>
      <c r="AQ508" s="309"/>
      <c r="AR508" s="310"/>
      <c r="AS508" s="309"/>
      <c r="AT508" s="310"/>
      <c r="AU508" s="309"/>
      <c r="AV508" s="310"/>
      <c r="AW508" s="309">
        <v>15</v>
      </c>
      <c r="AX508" s="310">
        <f>7157.54/2</f>
        <v>3578.77</v>
      </c>
      <c r="AY508" s="309">
        <v>15</v>
      </c>
      <c r="AZ508" s="310">
        <v>3578.77</v>
      </c>
      <c r="BA508" s="271"/>
      <c r="BB508" s="271"/>
      <c r="BC508" s="271"/>
      <c r="BD508" s="271"/>
      <c r="BE508" s="271"/>
      <c r="BF508" s="271"/>
    </row>
    <row r="509" spans="2:58" ht="16" thickBot="1" x14ac:dyDescent="0.25">
      <c r="B509" s="298"/>
      <c r="C509" s="656">
        <f>SUM(C500:C508)</f>
        <v>21956.92</v>
      </c>
      <c r="D509" s="656"/>
      <c r="E509" s="578"/>
      <c r="F509" s="553"/>
      <c r="G509" s="309"/>
      <c r="H509" s="310"/>
      <c r="I509" s="309"/>
      <c r="J509" s="310"/>
      <c r="K509" s="309"/>
      <c r="L509" s="310"/>
      <c r="M509" s="309"/>
      <c r="N509" s="310"/>
      <c r="O509" s="271"/>
      <c r="P509" s="271"/>
      <c r="Q509" s="309"/>
      <c r="R509" s="310"/>
      <c r="S509" s="309"/>
      <c r="T509" s="310"/>
      <c r="U509" s="309"/>
      <c r="V509" s="310"/>
      <c r="W509" s="309"/>
      <c r="X509" s="310"/>
      <c r="Y509" s="309"/>
      <c r="Z509" s="310"/>
      <c r="AA509" s="309"/>
      <c r="AB509" s="310"/>
      <c r="AC509" s="271"/>
      <c r="AD509" s="271"/>
      <c r="AE509" s="309"/>
      <c r="AF509" s="310"/>
      <c r="AG509" s="309"/>
      <c r="AH509" s="310"/>
      <c r="AI509" s="309"/>
      <c r="AJ509" s="310"/>
      <c r="AK509" s="309"/>
      <c r="AL509" s="310"/>
      <c r="AM509" s="309"/>
      <c r="AN509" s="310"/>
      <c r="AO509" s="309"/>
      <c r="AP509" s="310"/>
      <c r="AQ509" s="309"/>
      <c r="AR509" s="310"/>
      <c r="AS509" s="309"/>
      <c r="AT509" s="310"/>
      <c r="AU509" s="309"/>
      <c r="AV509" s="310"/>
      <c r="AW509" s="309"/>
      <c r="AX509" s="310"/>
      <c r="AY509" s="309"/>
      <c r="AZ509" s="310"/>
      <c r="BA509" s="271"/>
      <c r="BB509" s="271"/>
      <c r="BC509" s="271"/>
      <c r="BD509" s="271"/>
      <c r="BE509" s="271"/>
      <c r="BF509" s="271"/>
    </row>
    <row r="510" spans="2:58" ht="16" thickBot="1" x14ac:dyDescent="0.25">
      <c r="B510" s="479">
        <v>45716</v>
      </c>
      <c r="C510" s="299">
        <v>800</v>
      </c>
      <c r="D510" s="300"/>
      <c r="E510" s="274" t="s">
        <v>186</v>
      </c>
      <c r="F510" s="301"/>
      <c r="G510" s="309"/>
      <c r="H510" s="310"/>
      <c r="I510" s="309"/>
      <c r="J510" s="310"/>
      <c r="K510" s="309"/>
      <c r="L510" s="310"/>
      <c r="M510" s="309"/>
      <c r="N510" s="310"/>
      <c r="O510" s="271"/>
      <c r="P510" s="271"/>
      <c r="Q510" s="309"/>
      <c r="R510" s="310"/>
      <c r="S510" s="309"/>
      <c r="T510" s="310"/>
      <c r="U510" s="309"/>
      <c r="V510" s="310"/>
      <c r="W510" s="309"/>
      <c r="X510" s="310"/>
      <c r="Y510" s="309"/>
      <c r="Z510" s="310"/>
      <c r="AA510" s="309"/>
      <c r="AB510" s="310"/>
      <c r="AC510" s="271"/>
      <c r="AD510" s="271"/>
      <c r="AE510" s="309"/>
      <c r="AF510" s="310"/>
      <c r="AG510" s="309"/>
      <c r="AH510" s="310"/>
      <c r="AI510" s="309"/>
      <c r="AJ510" s="310"/>
      <c r="AK510" s="309"/>
      <c r="AL510" s="310"/>
      <c r="AM510" s="309"/>
      <c r="AN510" s="310"/>
      <c r="AO510" s="309"/>
      <c r="AP510" s="310"/>
      <c r="AQ510" s="309"/>
      <c r="AR510" s="310"/>
      <c r="AS510" s="309"/>
      <c r="AT510" s="310"/>
      <c r="AU510" s="309"/>
      <c r="AV510" s="310"/>
      <c r="AW510" s="309"/>
      <c r="AX510" s="310"/>
      <c r="AY510" s="309"/>
      <c r="AZ510" s="310"/>
      <c r="BA510" s="271"/>
      <c r="BB510" s="271"/>
      <c r="BC510" s="271"/>
      <c r="BD510" s="271"/>
      <c r="BE510" s="271"/>
      <c r="BF510" s="271"/>
    </row>
    <row r="511" spans="2:58" ht="16" thickBot="1" x14ac:dyDescent="0.25">
      <c r="B511" s="479"/>
      <c r="C511" s="299">
        <v>4797.6899999999996</v>
      </c>
      <c r="D511" s="300"/>
      <c r="E511" s="275" t="s">
        <v>764</v>
      </c>
      <c r="F511" s="302"/>
      <c r="G511" s="309"/>
      <c r="H511" s="310"/>
      <c r="I511" s="309"/>
      <c r="J511" s="310"/>
      <c r="K511" s="309"/>
      <c r="L511" s="310"/>
      <c r="M511" s="309"/>
      <c r="N511" s="310"/>
      <c r="O511" s="271"/>
      <c r="P511" s="271"/>
      <c r="Q511" s="309"/>
      <c r="R511" s="310"/>
      <c r="S511" s="309"/>
      <c r="T511" s="310"/>
      <c r="U511" s="309"/>
      <c r="V511" s="310"/>
      <c r="W511" s="309"/>
      <c r="X511" s="310"/>
      <c r="Y511" s="309"/>
      <c r="Z511" s="310"/>
      <c r="AA511" s="309"/>
      <c r="AB511" s="310"/>
      <c r="AC511" s="271"/>
      <c r="AD511" s="271"/>
      <c r="AE511" s="309"/>
      <c r="AF511" s="310"/>
      <c r="AG511" s="309"/>
      <c r="AH511" s="310"/>
      <c r="AI511" s="309"/>
      <c r="AJ511" s="310"/>
      <c r="AK511" s="309"/>
      <c r="AL511" s="310"/>
      <c r="AM511" s="309"/>
      <c r="AN511" s="310"/>
      <c r="AO511" s="309"/>
      <c r="AP511" s="310"/>
      <c r="AQ511" s="309"/>
      <c r="AR511" s="310"/>
      <c r="AS511" s="309"/>
      <c r="AT511" s="310"/>
      <c r="AU511" s="309"/>
      <c r="AV511" s="310"/>
      <c r="AW511" s="309"/>
      <c r="AX511" s="310"/>
      <c r="AY511" s="309"/>
      <c r="AZ511" s="310"/>
      <c r="BA511" s="271"/>
      <c r="BB511" s="271"/>
      <c r="BC511" s="271"/>
      <c r="BD511" s="271"/>
      <c r="BE511" s="271"/>
      <c r="BF511" s="271"/>
    </row>
    <row r="512" spans="2:58" ht="16" thickBot="1" x14ac:dyDescent="0.25">
      <c r="B512" s="479"/>
      <c r="C512" s="299"/>
      <c r="D512" s="300"/>
      <c r="E512" s="275"/>
      <c r="F512" s="302"/>
      <c r="G512" s="309"/>
      <c r="H512" s="310"/>
      <c r="I512" s="309"/>
      <c r="J512" s="310"/>
      <c r="K512" s="309"/>
      <c r="L512" s="310"/>
      <c r="M512" s="309"/>
      <c r="N512" s="310"/>
      <c r="O512" s="271"/>
      <c r="P512" s="271"/>
      <c r="Q512" s="309"/>
      <c r="R512" s="310"/>
      <c r="S512" s="309"/>
      <c r="T512" s="310"/>
      <c r="U512" s="309"/>
      <c r="V512" s="310"/>
      <c r="W512" s="309"/>
      <c r="X512" s="310"/>
      <c r="Y512" s="309"/>
      <c r="Z512" s="310"/>
      <c r="AA512" s="309"/>
      <c r="AB512" s="310"/>
      <c r="AC512" s="271"/>
      <c r="AD512" s="271"/>
      <c r="AE512" s="309"/>
      <c r="AF512" s="310"/>
      <c r="AG512" s="309"/>
      <c r="AH512" s="310"/>
      <c r="AI512" s="309"/>
      <c r="AJ512" s="310"/>
      <c r="AK512" s="309"/>
      <c r="AL512" s="310"/>
      <c r="AM512" s="309"/>
      <c r="AN512" s="310"/>
      <c r="AO512" s="309"/>
      <c r="AP512" s="310"/>
      <c r="AQ512" s="309"/>
      <c r="AR512" s="310"/>
      <c r="AS512" s="309"/>
      <c r="AT512" s="310"/>
      <c r="AU512" s="309"/>
      <c r="AV512" s="310"/>
      <c r="AW512" s="309"/>
      <c r="AX512" s="310"/>
      <c r="AY512" s="309"/>
      <c r="AZ512" s="310"/>
      <c r="BA512" s="271"/>
      <c r="BB512" s="271"/>
      <c r="BC512" s="271"/>
      <c r="BD512" s="271"/>
      <c r="BE512" s="271"/>
      <c r="BF512" s="271"/>
    </row>
    <row r="513" spans="2:58" ht="16" thickBot="1" x14ac:dyDescent="0.25">
      <c r="B513" s="479"/>
      <c r="C513" s="299"/>
      <c r="D513" s="300"/>
      <c r="E513" s="275"/>
      <c r="F513" s="302"/>
      <c r="G513" s="309"/>
      <c r="H513" s="310"/>
      <c r="I513" s="309"/>
      <c r="J513" s="310"/>
      <c r="K513" s="309"/>
      <c r="L513" s="310"/>
      <c r="M513" s="309"/>
      <c r="N513" s="310"/>
      <c r="O513" s="271"/>
      <c r="P513" s="271"/>
      <c r="Q513" s="309"/>
      <c r="R513" s="310"/>
      <c r="S513" s="309"/>
      <c r="T513" s="310"/>
      <c r="U513" s="309"/>
      <c r="V513" s="310"/>
      <c r="W513" s="309"/>
      <c r="X513" s="310"/>
      <c r="Y513" s="309"/>
      <c r="Z513" s="310"/>
      <c r="AA513" s="309"/>
      <c r="AB513" s="310"/>
      <c r="AC513" s="271"/>
      <c r="AD513" s="271"/>
      <c r="AE513" s="309"/>
      <c r="AF513" s="310"/>
      <c r="AG513" s="309"/>
      <c r="AH513" s="310"/>
      <c r="AI513" s="309"/>
      <c r="AJ513" s="310"/>
      <c r="AK513" s="309"/>
      <c r="AL513" s="310"/>
      <c r="AM513" s="309"/>
      <c r="AN513" s="310"/>
      <c r="AO513" s="309"/>
      <c r="AP513" s="310"/>
      <c r="AQ513" s="309"/>
      <c r="AR513" s="310"/>
      <c r="AS513" s="309"/>
      <c r="AT513" s="310"/>
      <c r="AU513" s="309"/>
      <c r="AV513" s="310"/>
      <c r="AW513" s="309"/>
      <c r="AX513" s="310"/>
      <c r="AY513" s="309"/>
      <c r="AZ513" s="310"/>
      <c r="BA513" s="271"/>
      <c r="BB513" s="271"/>
      <c r="BC513" s="271"/>
      <c r="BD513" s="271"/>
      <c r="BE513" s="271"/>
      <c r="BF513" s="271"/>
    </row>
    <row r="514" spans="2:58" ht="16" thickBot="1" x14ac:dyDescent="0.25">
      <c r="B514" s="479"/>
      <c r="C514" s="657"/>
      <c r="D514" s="657"/>
      <c r="E514" s="285"/>
      <c r="F514" s="302"/>
      <c r="G514" s="309"/>
      <c r="H514" s="310"/>
      <c r="I514" s="309"/>
      <c r="J514" s="310"/>
      <c r="K514" s="309"/>
      <c r="L514" s="310"/>
      <c r="M514" s="309"/>
      <c r="N514" s="310"/>
      <c r="O514" s="271"/>
      <c r="P514" s="271"/>
      <c r="Q514" s="309"/>
      <c r="R514" s="310"/>
      <c r="S514" s="309"/>
      <c r="T514" s="310"/>
      <c r="U514" s="309"/>
      <c r="V514" s="310"/>
      <c r="W514" s="309"/>
      <c r="X514" s="310"/>
      <c r="Y514" s="309"/>
      <c r="Z514" s="310"/>
      <c r="AA514" s="309"/>
      <c r="AB514" s="310"/>
      <c r="AC514" s="271"/>
      <c r="AD514" s="271"/>
      <c r="AE514" s="309"/>
      <c r="AF514" s="310"/>
      <c r="AG514" s="309"/>
      <c r="AH514" s="310"/>
      <c r="AI514" s="309"/>
      <c r="AJ514" s="310"/>
      <c r="AK514" s="309"/>
      <c r="AL514" s="310"/>
      <c r="AM514" s="309"/>
      <c r="AN514" s="310"/>
      <c r="AO514" s="309"/>
      <c r="AP514" s="310"/>
      <c r="AQ514" s="309"/>
      <c r="AR514" s="310"/>
      <c r="AS514" s="309"/>
      <c r="AT514" s="310"/>
      <c r="AU514" s="309"/>
      <c r="AV514" s="310"/>
      <c r="AW514" s="309"/>
      <c r="AX514" s="310"/>
      <c r="AY514" s="309"/>
      <c r="AZ514" s="310"/>
      <c r="BA514" s="271"/>
      <c r="BB514" s="271"/>
      <c r="BC514" s="271"/>
      <c r="BD514" s="271"/>
      <c r="BE514" s="271"/>
      <c r="BF514" s="271"/>
    </row>
    <row r="515" spans="2:58" ht="16" thickBot="1" x14ac:dyDescent="0.25">
      <c r="B515" s="479" t="s">
        <v>24</v>
      </c>
      <c r="C515" s="299"/>
      <c r="D515" s="300"/>
      <c r="E515" s="275"/>
      <c r="F515" s="302"/>
      <c r="G515" s="309"/>
      <c r="H515" s="310"/>
      <c r="I515" s="309"/>
      <c r="J515" s="310"/>
      <c r="K515" s="309"/>
      <c r="L515" s="310"/>
      <c r="M515" s="309"/>
      <c r="N515" s="310"/>
      <c r="O515" s="271"/>
      <c r="P515" s="271"/>
      <c r="Q515" s="309"/>
      <c r="R515" s="310"/>
      <c r="S515" s="309"/>
      <c r="T515" s="310"/>
      <c r="U515" s="309"/>
      <c r="V515" s="310"/>
      <c r="W515" s="309"/>
      <c r="X515" s="310"/>
      <c r="Y515" s="309"/>
      <c r="Z515" s="310"/>
      <c r="AA515" s="309"/>
      <c r="AB515" s="310"/>
      <c r="AC515" s="271"/>
      <c r="AD515" s="271"/>
      <c r="AE515" s="309"/>
      <c r="AF515" s="310"/>
      <c r="AG515" s="309"/>
      <c r="AH515" s="310"/>
      <c r="AI515" s="309"/>
      <c r="AJ515" s="310"/>
      <c r="AK515" s="309"/>
      <c r="AL515" s="310"/>
      <c r="AM515" s="309"/>
      <c r="AN515" s="310"/>
      <c r="AO515" s="309"/>
      <c r="AP515" s="310"/>
      <c r="AQ515" s="309"/>
      <c r="AR515" s="310"/>
      <c r="AS515" s="309"/>
      <c r="AT515" s="310"/>
      <c r="AU515" s="309"/>
      <c r="AV515" s="310"/>
      <c r="AW515" s="309"/>
      <c r="AX515" s="310"/>
      <c r="AY515" s="309"/>
      <c r="AZ515" s="310"/>
      <c r="BA515" s="271"/>
      <c r="BB515" s="271"/>
      <c r="BC515" s="271"/>
      <c r="BD515" s="271"/>
      <c r="BE515" s="271"/>
      <c r="BF515" s="271"/>
    </row>
    <row r="516" spans="2:58" ht="16" thickBot="1" x14ac:dyDescent="0.25">
      <c r="B516" s="577"/>
      <c r="C516" s="159">
        <f>SUM(C510:C515)</f>
        <v>5597.69</v>
      </c>
      <c r="D516" s="159"/>
      <c r="E516" s="270"/>
      <c r="F516" s="271"/>
      <c r="G516" s="309"/>
      <c r="H516" s="310"/>
      <c r="I516" s="309"/>
      <c r="J516" s="310"/>
      <c r="K516" s="309"/>
      <c r="L516" s="310"/>
      <c r="M516" s="309"/>
      <c r="N516" s="310"/>
      <c r="O516" s="271"/>
      <c r="P516" s="271"/>
      <c r="Q516" s="309"/>
      <c r="R516" s="310"/>
      <c r="S516" s="309"/>
      <c r="T516" s="310"/>
      <c r="U516" s="309"/>
      <c r="V516" s="310"/>
      <c r="W516" s="309"/>
      <c r="X516" s="310"/>
      <c r="Y516" s="309"/>
      <c r="Z516" s="310"/>
      <c r="AA516" s="309"/>
      <c r="AB516" s="310"/>
      <c r="AC516" s="271"/>
      <c r="AD516" s="271"/>
      <c r="AE516" s="309"/>
      <c r="AF516" s="310"/>
      <c r="AG516" s="309"/>
      <c r="AH516" s="310"/>
      <c r="AI516" s="309"/>
      <c r="AJ516" s="310"/>
      <c r="AK516" s="309"/>
      <c r="AL516" s="310"/>
      <c r="AM516" s="309"/>
      <c r="AN516" s="310"/>
      <c r="AO516" s="309"/>
      <c r="AP516" s="310"/>
      <c r="AQ516" s="309"/>
      <c r="AR516" s="310"/>
      <c r="AS516" s="309"/>
      <c r="AT516" s="310"/>
      <c r="AU516" s="309"/>
      <c r="AV516" s="310"/>
      <c r="AW516" s="309"/>
      <c r="AX516" s="310"/>
      <c r="AY516" s="309"/>
      <c r="AZ516" s="310"/>
      <c r="BA516" s="271"/>
      <c r="BB516" s="271"/>
      <c r="BC516" s="271"/>
      <c r="BD516" s="271"/>
      <c r="BE516" s="271"/>
      <c r="BF516" s="271"/>
    </row>
    <row r="517" spans="2:58" ht="16" thickBot="1" x14ac:dyDescent="0.25">
      <c r="B517" s="289">
        <v>45717</v>
      </c>
      <c r="C517" s="299">
        <v>14530</v>
      </c>
      <c r="D517" s="300"/>
      <c r="E517" s="274" t="s">
        <v>12</v>
      </c>
      <c r="F517" s="302"/>
      <c r="G517" s="309"/>
      <c r="H517" s="310"/>
      <c r="I517" s="309"/>
      <c r="J517" s="310"/>
      <c r="K517" s="309"/>
      <c r="L517" s="310"/>
      <c r="M517" s="309"/>
      <c r="N517" s="310"/>
      <c r="O517" s="271"/>
      <c r="P517" s="271"/>
      <c r="Q517" s="309"/>
      <c r="R517" s="310"/>
      <c r="S517" s="309"/>
      <c r="T517" s="310"/>
      <c r="U517" s="309"/>
      <c r="V517" s="310"/>
      <c r="W517" s="309"/>
      <c r="X517" s="310"/>
      <c r="Y517" s="309"/>
      <c r="Z517" s="310"/>
      <c r="AA517" s="309"/>
      <c r="AB517" s="310"/>
      <c r="AC517" s="271"/>
      <c r="AD517" s="271"/>
      <c r="AE517" s="309"/>
      <c r="AF517" s="310"/>
      <c r="AG517" s="309"/>
      <c r="AH517" s="310"/>
      <c r="AI517" s="309"/>
      <c r="AJ517" s="310"/>
      <c r="AK517" s="309"/>
      <c r="AL517" s="310"/>
      <c r="AM517" s="309"/>
      <c r="AN517" s="310"/>
      <c r="AO517" s="309"/>
      <c r="AP517" s="310"/>
      <c r="AQ517" s="309"/>
      <c r="AR517" s="310"/>
      <c r="AS517" s="309"/>
      <c r="AT517" s="310"/>
      <c r="AU517" s="309"/>
      <c r="AV517" s="310"/>
      <c r="AW517" s="309"/>
      <c r="AX517" s="310"/>
      <c r="AY517" s="309"/>
      <c r="AZ517" s="310"/>
      <c r="BA517" s="271"/>
      <c r="BB517" s="271"/>
      <c r="BC517" s="271"/>
      <c r="BD517" s="271"/>
      <c r="BE517" s="271"/>
      <c r="BF517" s="271"/>
    </row>
    <row r="518" spans="2:58" ht="16" thickBot="1" x14ac:dyDescent="0.25">
      <c r="B518" s="289"/>
      <c r="C518" s="299">
        <v>279.93</v>
      </c>
      <c r="D518" s="300"/>
      <c r="E518" s="275"/>
      <c r="F518" s="302" t="s">
        <v>14</v>
      </c>
      <c r="G518" s="309"/>
      <c r="H518" s="310"/>
      <c r="I518" s="309"/>
      <c r="J518" s="310"/>
      <c r="K518" s="309"/>
      <c r="L518" s="310"/>
      <c r="M518" s="309"/>
      <c r="N518" s="310"/>
      <c r="O518" s="271"/>
      <c r="P518" s="271"/>
      <c r="Q518" s="309"/>
      <c r="R518" s="310"/>
      <c r="S518" s="309"/>
      <c r="T518" s="310"/>
      <c r="U518" s="309"/>
      <c r="V518" s="310"/>
      <c r="W518" s="309"/>
      <c r="X518" s="310"/>
      <c r="Y518" s="309"/>
      <c r="Z518" s="310"/>
      <c r="AA518" s="309"/>
      <c r="AB518" s="310"/>
      <c r="AC518" s="271"/>
      <c r="AD518" s="271"/>
      <c r="AE518" s="309">
        <v>7</v>
      </c>
      <c r="AF518" s="310">
        <v>279.93</v>
      </c>
      <c r="AG518" s="309"/>
      <c r="AH518" s="310"/>
      <c r="AI518" s="309"/>
      <c r="AJ518" s="310"/>
      <c r="AK518" s="309"/>
      <c r="AL518" s="310"/>
      <c r="AM518" s="309"/>
      <c r="AN518" s="310"/>
      <c r="AO518" s="309"/>
      <c r="AP518" s="310"/>
      <c r="AQ518" s="309"/>
      <c r="AR518" s="310"/>
      <c r="AS518" s="309"/>
      <c r="AT518" s="310"/>
      <c r="AU518" s="309"/>
      <c r="AV518" s="310"/>
      <c r="AW518" s="309"/>
      <c r="AX518" s="310"/>
      <c r="AY518" s="309"/>
      <c r="AZ518" s="310"/>
      <c r="BA518" s="271"/>
      <c r="BB518" s="271"/>
      <c r="BC518" s="271"/>
      <c r="BD518" s="271"/>
      <c r="BE518" s="271"/>
      <c r="BF518" s="271"/>
    </row>
    <row r="519" spans="2:58" ht="16" thickBot="1" x14ac:dyDescent="0.25">
      <c r="B519" s="289"/>
      <c r="C519" s="299">
        <v>8599.61</v>
      </c>
      <c r="D519" s="300"/>
      <c r="E519" s="275"/>
      <c r="F519" s="302" t="s">
        <v>9</v>
      </c>
      <c r="G519" s="309">
        <v>10</v>
      </c>
      <c r="H519" s="310">
        <v>1369.9</v>
      </c>
      <c r="I519" s="309">
        <v>3</v>
      </c>
      <c r="J519" s="310">
        <v>614.97</v>
      </c>
      <c r="K519" s="309">
        <v>8</v>
      </c>
      <c r="L519" s="310">
        <v>1455.92</v>
      </c>
      <c r="M519" s="309">
        <v>12</v>
      </c>
      <c r="N519" s="310">
        <f>3*680</f>
        <v>2040</v>
      </c>
      <c r="O519" s="271">
        <v>6</v>
      </c>
      <c r="P519" s="271">
        <v>2189.94</v>
      </c>
      <c r="Q519" s="309"/>
      <c r="R519" s="310"/>
      <c r="S519" s="309"/>
      <c r="T519" s="310"/>
      <c r="U519" s="309"/>
      <c r="V519" s="310"/>
      <c r="W519" s="309">
        <v>4</v>
      </c>
      <c r="X519" s="310">
        <v>171.96</v>
      </c>
      <c r="Y519" s="309"/>
      <c r="Z519" s="310"/>
      <c r="AA519" s="309"/>
      <c r="AB519" s="310"/>
      <c r="AC519" s="271">
        <v>6</v>
      </c>
      <c r="AD519" s="271">
        <v>593.94000000000005</v>
      </c>
      <c r="AE519" s="309"/>
      <c r="AF519" s="310"/>
      <c r="AG519" s="309"/>
      <c r="AH519" s="310"/>
      <c r="AI519" s="309"/>
      <c r="AJ519" s="310"/>
      <c r="AK519" s="309"/>
      <c r="AL519" s="310"/>
      <c r="AM519" s="309"/>
      <c r="AN519" s="310"/>
      <c r="AO519" s="309"/>
      <c r="AP519" s="310"/>
      <c r="AQ519" s="309"/>
      <c r="AR519" s="310"/>
      <c r="AS519" s="309"/>
      <c r="AT519" s="310"/>
      <c r="AU519" s="309"/>
      <c r="AV519" s="310"/>
      <c r="AW519" s="309"/>
      <c r="AX519" s="310"/>
      <c r="AY519" s="309"/>
      <c r="AZ519" s="310"/>
      <c r="BA519" s="271">
        <v>1</v>
      </c>
      <c r="BB519" s="271">
        <v>26.99</v>
      </c>
      <c r="BC519" s="271"/>
      <c r="BD519" s="271"/>
      <c r="BE519" s="271">
        <v>1</v>
      </c>
      <c r="BF519" s="271">
        <v>75.989999999999995</v>
      </c>
    </row>
    <row r="520" spans="2:58" ht="16" thickBot="1" x14ac:dyDescent="0.25">
      <c r="B520" s="289"/>
      <c r="C520" s="299">
        <v>1500</v>
      </c>
      <c r="D520" s="300"/>
      <c r="E520" s="275" t="s">
        <v>3</v>
      </c>
      <c r="F520" s="302"/>
      <c r="G520" s="309"/>
      <c r="H520" s="310"/>
      <c r="I520" s="309"/>
      <c r="J520" s="310"/>
      <c r="K520" s="309"/>
      <c r="L520" s="310"/>
      <c r="M520" s="309"/>
      <c r="N520" s="310"/>
      <c r="O520" s="271"/>
      <c r="P520" s="271"/>
      <c r="Q520" s="309"/>
      <c r="R520" s="310"/>
      <c r="S520" s="309"/>
      <c r="T520" s="310"/>
      <c r="U520" s="309"/>
      <c r="V520" s="310"/>
      <c r="W520" s="309"/>
      <c r="X520" s="310"/>
      <c r="Y520" s="309"/>
      <c r="Z520" s="310"/>
      <c r="AA520" s="309"/>
      <c r="AB520" s="310"/>
      <c r="AC520" s="271"/>
      <c r="AD520" s="271"/>
      <c r="AE520" s="309"/>
      <c r="AF520" s="310"/>
      <c r="AG520" s="309"/>
      <c r="AH520" s="310"/>
      <c r="AI520" s="309"/>
      <c r="AJ520" s="310"/>
      <c r="AK520" s="309"/>
      <c r="AL520" s="310"/>
      <c r="AM520" s="309"/>
      <c r="AN520" s="310"/>
      <c r="AO520" s="309"/>
      <c r="AP520" s="310"/>
      <c r="AQ520" s="309"/>
      <c r="AR520" s="310"/>
      <c r="AS520" s="309"/>
      <c r="AT520" s="310"/>
      <c r="AU520" s="309"/>
      <c r="AV520" s="310"/>
      <c r="AW520" s="309"/>
      <c r="AX520" s="310"/>
      <c r="AY520" s="309"/>
      <c r="AZ520" s="310"/>
      <c r="BA520" s="271"/>
      <c r="BB520" s="271"/>
      <c r="BC520" s="271"/>
      <c r="BD520" s="271"/>
      <c r="BE520" s="271"/>
      <c r="BF520" s="271"/>
    </row>
    <row r="521" spans="2:58" ht="16" thickBot="1" x14ac:dyDescent="0.25">
      <c r="B521" s="288" t="s">
        <v>25</v>
      </c>
      <c r="C521" s="284"/>
      <c r="D521" s="291"/>
      <c r="E521" s="290"/>
      <c r="F521" s="293"/>
      <c r="G521" s="309"/>
      <c r="H521" s="310"/>
      <c r="I521" s="309"/>
      <c r="J521" s="310"/>
      <c r="K521" s="309"/>
      <c r="L521" s="310"/>
      <c r="M521" s="309"/>
      <c r="N521" s="310"/>
      <c r="O521" s="271"/>
      <c r="P521" s="271"/>
      <c r="Q521" s="309"/>
      <c r="R521" s="310"/>
      <c r="S521" s="309"/>
      <c r="T521" s="310"/>
      <c r="U521" s="309"/>
      <c r="V521" s="310"/>
      <c r="W521" s="309"/>
      <c r="X521" s="310"/>
      <c r="Y521" s="309"/>
      <c r="Z521" s="310"/>
      <c r="AA521" s="309"/>
      <c r="AB521" s="310"/>
      <c r="AC521" s="271"/>
      <c r="AD521" s="271"/>
      <c r="AE521" s="309"/>
      <c r="AF521" s="310"/>
      <c r="AG521" s="309"/>
      <c r="AH521" s="310"/>
      <c r="AI521" s="309"/>
      <c r="AJ521" s="310"/>
      <c r="AK521" s="309"/>
      <c r="AL521" s="310"/>
      <c r="AM521" s="309"/>
      <c r="AN521" s="310"/>
      <c r="AO521" s="309"/>
      <c r="AP521" s="310"/>
      <c r="AQ521" s="309"/>
      <c r="AR521" s="310"/>
      <c r="AS521" s="309"/>
      <c r="AT521" s="310"/>
      <c r="AU521" s="309"/>
      <c r="AV521" s="310"/>
      <c r="AW521" s="309"/>
      <c r="AX521" s="310"/>
      <c r="AY521" s="309"/>
      <c r="AZ521" s="310"/>
      <c r="BA521" s="271"/>
      <c r="BB521" s="271"/>
      <c r="BC521" s="271"/>
      <c r="BD521" s="271"/>
      <c r="BE521" s="271"/>
      <c r="BF521" s="271"/>
    </row>
    <row r="522" spans="2:58" ht="16" thickBot="1" x14ac:dyDescent="0.25">
      <c r="B522" s="668"/>
      <c r="C522" s="640">
        <f>SUM(C517:C521)</f>
        <v>24909.54</v>
      </c>
      <c r="D522" s="159"/>
      <c r="E522" s="270"/>
      <c r="F522" s="271"/>
      <c r="G522" s="309"/>
      <c r="H522" s="310"/>
      <c r="I522" s="309"/>
      <c r="J522" s="310"/>
      <c r="K522" s="309"/>
      <c r="L522" s="310"/>
      <c r="M522" s="309"/>
      <c r="N522" s="310"/>
      <c r="O522" s="271"/>
      <c r="P522" s="271"/>
      <c r="Q522" s="309"/>
      <c r="R522" s="310"/>
      <c r="S522" s="309"/>
      <c r="T522" s="310"/>
      <c r="U522" s="309"/>
      <c r="V522" s="310"/>
      <c r="W522" s="309"/>
      <c r="X522" s="310"/>
      <c r="Y522" s="309"/>
      <c r="Z522" s="310"/>
      <c r="AA522" s="309"/>
      <c r="AB522" s="310"/>
      <c r="AC522" s="271"/>
      <c r="AD522" s="271"/>
      <c r="AE522" s="309"/>
      <c r="AF522" s="310"/>
      <c r="AG522" s="309"/>
      <c r="AH522" s="310"/>
      <c r="AI522" s="309"/>
      <c r="AJ522" s="310"/>
      <c r="AK522" s="309"/>
      <c r="AL522" s="310"/>
      <c r="AM522" s="309"/>
      <c r="AN522" s="310"/>
      <c r="AO522" s="309"/>
      <c r="AP522" s="310"/>
      <c r="AQ522" s="309"/>
      <c r="AR522" s="310"/>
      <c r="AS522" s="309"/>
      <c r="AT522" s="310"/>
      <c r="AU522" s="309"/>
      <c r="AV522" s="310"/>
      <c r="AW522" s="309"/>
      <c r="AX522" s="310"/>
      <c r="AY522" s="309"/>
      <c r="AZ522" s="310"/>
      <c r="BA522" s="271"/>
      <c r="BB522" s="271"/>
      <c r="BC522" s="271"/>
      <c r="BD522" s="271"/>
      <c r="BE522" s="271"/>
      <c r="BF522" s="271"/>
    </row>
    <row r="523" spans="2:58" ht="16" thickBot="1" x14ac:dyDescent="0.25">
      <c r="B523" s="479">
        <v>45718</v>
      </c>
      <c r="C523" s="657"/>
      <c r="D523" s="641"/>
      <c r="E523" s="274"/>
      <c r="F523" s="301"/>
      <c r="G523" s="550"/>
      <c r="H523" s="310"/>
      <c r="I523" s="309"/>
      <c r="J523" s="310"/>
      <c r="K523" s="309"/>
      <c r="L523" s="310"/>
      <c r="M523" s="309"/>
      <c r="N523" s="310"/>
      <c r="O523" s="271"/>
      <c r="P523" s="271"/>
      <c r="Q523" s="309"/>
      <c r="R523" s="310"/>
      <c r="S523" s="309"/>
      <c r="T523" s="310"/>
      <c r="U523" s="309"/>
      <c r="V523" s="310"/>
      <c r="W523" s="309"/>
      <c r="X523" s="310"/>
      <c r="Y523" s="309"/>
      <c r="Z523" s="310"/>
      <c r="AA523" s="309"/>
      <c r="AB523" s="310"/>
      <c r="AC523" s="271"/>
      <c r="AD523" s="271"/>
      <c r="AE523" s="309"/>
      <c r="AF523" s="310"/>
      <c r="AG523" s="309"/>
      <c r="AH523" s="310"/>
      <c r="AI523" s="309"/>
      <c r="AJ523" s="310"/>
      <c r="AK523" s="309"/>
      <c r="AL523" s="310"/>
      <c r="AM523" s="309"/>
      <c r="AN523" s="310"/>
      <c r="AO523" s="309"/>
      <c r="AP523" s="310"/>
      <c r="AQ523" s="309"/>
      <c r="AR523" s="310"/>
      <c r="AS523" s="309"/>
      <c r="AT523" s="310"/>
      <c r="AU523" s="309"/>
      <c r="AV523" s="310"/>
      <c r="AW523" s="309"/>
      <c r="AX523" s="310"/>
      <c r="AY523" s="309"/>
      <c r="AZ523" s="310"/>
      <c r="BA523" s="271"/>
      <c r="BB523" s="271"/>
      <c r="BC523" s="271"/>
      <c r="BD523" s="271"/>
      <c r="BE523" s="271"/>
      <c r="BF523" s="271"/>
    </row>
    <row r="524" spans="2:58" ht="16" thickBot="1" x14ac:dyDescent="0.25">
      <c r="B524" s="549" t="s">
        <v>26</v>
      </c>
      <c r="C524" s="554"/>
      <c r="D524" s="291"/>
      <c r="E524" s="290"/>
      <c r="F524" s="293"/>
      <c r="G524" s="550"/>
      <c r="H524" s="310"/>
      <c r="I524" s="309"/>
      <c r="J524" s="310"/>
      <c r="K524" s="309"/>
      <c r="L524" s="310"/>
      <c r="M524" s="309"/>
      <c r="N524" s="310"/>
      <c r="O524" s="271"/>
      <c r="P524" s="271"/>
      <c r="Q524" s="309"/>
      <c r="R524" s="310"/>
      <c r="S524" s="309"/>
      <c r="T524" s="310"/>
      <c r="U524" s="309"/>
      <c r="V524" s="310"/>
      <c r="W524" s="309"/>
      <c r="X524" s="310"/>
      <c r="Y524" s="309"/>
      <c r="Z524" s="310"/>
      <c r="AA524" s="309"/>
      <c r="AB524" s="310"/>
      <c r="AC524" s="271"/>
      <c r="AD524" s="271"/>
      <c r="AE524" s="309"/>
      <c r="AF524" s="310"/>
      <c r="AG524" s="309"/>
      <c r="AH524" s="310"/>
      <c r="AI524" s="309"/>
      <c r="AJ524" s="310"/>
      <c r="AK524" s="309"/>
      <c r="AL524" s="310"/>
      <c r="AM524" s="309"/>
      <c r="AN524" s="310"/>
      <c r="AO524" s="309"/>
      <c r="AP524" s="310"/>
      <c r="AQ524" s="309"/>
      <c r="AR524" s="310"/>
      <c r="AS524" s="309"/>
      <c r="AT524" s="310"/>
      <c r="AU524" s="309"/>
      <c r="AV524" s="310"/>
      <c r="AW524" s="309"/>
      <c r="AX524" s="310"/>
      <c r="AY524" s="309"/>
      <c r="AZ524" s="310"/>
      <c r="BA524" s="271"/>
      <c r="BB524" s="271"/>
      <c r="BC524" s="271"/>
      <c r="BD524" s="271"/>
      <c r="BE524" s="271"/>
      <c r="BF524" s="271"/>
    </row>
    <row r="525" spans="2:58" ht="16" thickBot="1" x14ac:dyDescent="0.25">
      <c r="B525" s="292"/>
      <c r="C525" s="551">
        <f>SUM(C523:C524)</f>
        <v>0</v>
      </c>
      <c r="D525" s="551"/>
      <c r="E525" s="552"/>
      <c r="F525" s="553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  <c r="AA525" s="271"/>
      <c r="AB525" s="271"/>
      <c r="AC525" s="271"/>
      <c r="AD525" s="271"/>
      <c r="AE525" s="309"/>
      <c r="AF525" s="310"/>
      <c r="AG525" s="309"/>
      <c r="AH525" s="310"/>
      <c r="AI525" s="309"/>
      <c r="AJ525" s="310"/>
      <c r="AK525" s="309"/>
      <c r="AL525" s="310"/>
      <c r="AM525" s="309"/>
      <c r="AN525" s="310"/>
      <c r="AO525" s="309"/>
      <c r="AP525" s="310"/>
      <c r="AQ525" s="309"/>
      <c r="AR525" s="310"/>
      <c r="AS525" s="309"/>
      <c r="AT525" s="310"/>
      <c r="AU525" s="309"/>
      <c r="AV525" s="310"/>
      <c r="AW525" s="309"/>
      <c r="AX525" s="310"/>
      <c r="AY525" s="309"/>
      <c r="AZ525" s="310"/>
      <c r="BA525" s="271"/>
      <c r="BB525" s="271"/>
      <c r="BC525" s="271"/>
      <c r="BD525" s="271"/>
      <c r="BE525" s="271"/>
      <c r="BF525" s="271"/>
    </row>
    <row r="526" spans="2:58" ht="16" thickBot="1" x14ac:dyDescent="0.25">
      <c r="B526" s="761" t="s">
        <v>329</v>
      </c>
      <c r="C526" s="311"/>
      <c r="D526" s="312"/>
      <c r="E526" s="285"/>
      <c r="F526" s="302"/>
      <c r="G526" s="306">
        <f t="shared" ref="G526:AD526" si="16">SUM(G484:G524)</f>
        <v>28</v>
      </c>
      <c r="H526" s="307">
        <f t="shared" si="16"/>
        <v>3835.7200000000003</v>
      </c>
      <c r="I526" s="306">
        <f t="shared" si="16"/>
        <v>8</v>
      </c>
      <c r="J526" s="307">
        <f t="shared" si="16"/>
        <v>1639.92</v>
      </c>
      <c r="K526" s="306">
        <f t="shared" si="16"/>
        <v>23</v>
      </c>
      <c r="L526" s="307">
        <f t="shared" si="16"/>
        <v>4185.7700000000004</v>
      </c>
      <c r="M526" s="306">
        <f t="shared" si="16"/>
        <v>32</v>
      </c>
      <c r="N526" s="307">
        <f t="shared" si="16"/>
        <v>5379.8</v>
      </c>
      <c r="O526" s="308">
        <f t="shared" si="16"/>
        <v>20</v>
      </c>
      <c r="P526" s="308">
        <f t="shared" si="16"/>
        <v>6949.9400000000005</v>
      </c>
      <c r="Q526" s="306">
        <f t="shared" si="16"/>
        <v>1</v>
      </c>
      <c r="R526" s="307">
        <f t="shared" si="16"/>
        <v>134.99</v>
      </c>
      <c r="S526" s="306">
        <f t="shared" si="16"/>
        <v>0</v>
      </c>
      <c r="T526" s="307">
        <f t="shared" si="16"/>
        <v>0</v>
      </c>
      <c r="U526" s="306">
        <f t="shared" si="16"/>
        <v>15</v>
      </c>
      <c r="V526" s="307">
        <f t="shared" si="16"/>
        <v>7935</v>
      </c>
      <c r="W526" s="306">
        <f t="shared" si="16"/>
        <v>14</v>
      </c>
      <c r="X526" s="307">
        <f t="shared" si="16"/>
        <v>601.86</v>
      </c>
      <c r="Y526" s="306">
        <f t="shared" si="16"/>
        <v>0</v>
      </c>
      <c r="Z526" s="307">
        <f t="shared" si="16"/>
        <v>0</v>
      </c>
      <c r="AA526" s="306">
        <f t="shared" si="16"/>
        <v>0</v>
      </c>
      <c r="AB526" s="307">
        <f t="shared" si="16"/>
        <v>0</v>
      </c>
      <c r="AC526" s="308">
        <f t="shared" si="16"/>
        <v>19</v>
      </c>
      <c r="AD526" s="308">
        <f t="shared" si="16"/>
        <v>1880.81</v>
      </c>
      <c r="AE526" s="306">
        <f t="shared" ref="AE526:BF526" si="17">SUM(AE484:AE525)</f>
        <v>16</v>
      </c>
      <c r="AF526" s="307">
        <f t="shared" si="17"/>
        <v>639.84</v>
      </c>
      <c r="AG526" s="306">
        <f t="shared" si="17"/>
        <v>1</v>
      </c>
      <c r="AH526" s="307">
        <f t="shared" si="17"/>
        <v>575</v>
      </c>
      <c r="AI526" s="306">
        <f t="shared" si="17"/>
        <v>0</v>
      </c>
      <c r="AJ526" s="307">
        <f t="shared" si="17"/>
        <v>0</v>
      </c>
      <c r="AK526" s="306">
        <f t="shared" si="17"/>
        <v>5</v>
      </c>
      <c r="AL526" s="307">
        <f t="shared" si="17"/>
        <v>849.75</v>
      </c>
      <c r="AM526" s="306">
        <f t="shared" si="17"/>
        <v>0</v>
      </c>
      <c r="AN526" s="307">
        <f t="shared" si="17"/>
        <v>0</v>
      </c>
      <c r="AO526" s="306">
        <f t="shared" si="17"/>
        <v>20</v>
      </c>
      <c r="AP526" s="307">
        <f t="shared" si="17"/>
        <v>600</v>
      </c>
      <c r="AQ526" s="306">
        <f t="shared" si="17"/>
        <v>20</v>
      </c>
      <c r="AR526" s="307">
        <f t="shared" si="17"/>
        <v>600</v>
      </c>
      <c r="AS526" s="306">
        <f t="shared" si="17"/>
        <v>0</v>
      </c>
      <c r="AT526" s="307">
        <f t="shared" si="17"/>
        <v>0</v>
      </c>
      <c r="AU526" s="306">
        <f t="shared" si="17"/>
        <v>0</v>
      </c>
      <c r="AV526" s="307">
        <f t="shared" si="17"/>
        <v>0</v>
      </c>
      <c r="AW526" s="306">
        <f t="shared" si="17"/>
        <v>15</v>
      </c>
      <c r="AX526" s="307">
        <f t="shared" si="17"/>
        <v>3578.77</v>
      </c>
      <c r="AY526" s="306">
        <f t="shared" si="17"/>
        <v>15</v>
      </c>
      <c r="AZ526" s="307">
        <f t="shared" si="17"/>
        <v>3578.77</v>
      </c>
      <c r="BA526" s="306">
        <f t="shared" si="17"/>
        <v>3</v>
      </c>
      <c r="BB526" s="307">
        <f t="shared" si="17"/>
        <v>80.97</v>
      </c>
      <c r="BC526" s="306">
        <f t="shared" si="17"/>
        <v>0</v>
      </c>
      <c r="BD526" s="307">
        <f t="shared" si="17"/>
        <v>0</v>
      </c>
      <c r="BE526" s="306">
        <f t="shared" si="17"/>
        <v>3</v>
      </c>
      <c r="BF526" s="307">
        <f t="shared" si="17"/>
        <v>227.96999999999997</v>
      </c>
    </row>
    <row r="527" spans="2:58" ht="16" thickBot="1" x14ac:dyDescent="0.25">
      <c r="B527" s="762"/>
      <c r="C527" s="160">
        <f>SUM(C525,C522,C516,C509,C499,C490,C484)</f>
        <v>85217.22</v>
      </c>
      <c r="D527" s="160"/>
      <c r="E527" s="304"/>
      <c r="F527" s="294"/>
      <c r="G527" s="752" t="s">
        <v>29</v>
      </c>
      <c r="H527" s="752"/>
      <c r="I527" s="752" t="s">
        <v>30</v>
      </c>
      <c r="J527" s="752"/>
      <c r="K527" s="752" t="s">
        <v>31</v>
      </c>
      <c r="L527" s="752"/>
      <c r="M527" s="752" t="s">
        <v>32</v>
      </c>
      <c r="N527" s="752"/>
      <c r="O527" s="752" t="s">
        <v>33</v>
      </c>
      <c r="P527" s="752"/>
      <c r="Q527" s="752" t="s">
        <v>247</v>
      </c>
      <c r="R527" s="752"/>
      <c r="S527" s="752" t="s">
        <v>34</v>
      </c>
      <c r="T527" s="752"/>
      <c r="U527" s="752" t="s">
        <v>35</v>
      </c>
      <c r="V527" s="752"/>
      <c r="W527" s="752" t="s">
        <v>36</v>
      </c>
      <c r="X527" s="752"/>
      <c r="Y527" s="752" t="s">
        <v>37</v>
      </c>
      <c r="Z527" s="752"/>
      <c r="AA527" s="752" t="s">
        <v>38</v>
      </c>
      <c r="AB527" s="752"/>
      <c r="AC527" s="752" t="s">
        <v>39</v>
      </c>
      <c r="AD527" s="752"/>
      <c r="AE527" s="752" t="s">
        <v>40</v>
      </c>
      <c r="AF527" s="752"/>
      <c r="AG527" s="752" t="s">
        <v>41</v>
      </c>
      <c r="AH527" s="752"/>
      <c r="AI527" s="752" t="s">
        <v>42</v>
      </c>
      <c r="AJ527" s="752"/>
      <c r="AK527" s="752" t="s">
        <v>43</v>
      </c>
      <c r="AL527" s="752"/>
      <c r="AM527" s="752" t="s">
        <v>157</v>
      </c>
      <c r="AN527" s="752"/>
      <c r="AO527" s="752" t="s">
        <v>248</v>
      </c>
      <c r="AP527" s="752"/>
      <c r="AQ527" s="752" t="s">
        <v>249</v>
      </c>
      <c r="AR527" s="752"/>
      <c r="AS527" s="752" t="s">
        <v>150</v>
      </c>
      <c r="AT527" s="752"/>
      <c r="AU527" s="752" t="s">
        <v>151</v>
      </c>
      <c r="AV527" s="752"/>
      <c r="AW527" s="752" t="s">
        <v>44</v>
      </c>
      <c r="AX527" s="752"/>
      <c r="AY527" s="752" t="s">
        <v>250</v>
      </c>
      <c r="AZ527" s="752"/>
      <c r="BA527" s="752" t="s">
        <v>45</v>
      </c>
      <c r="BB527" s="752"/>
      <c r="BC527" s="752" t="s">
        <v>46</v>
      </c>
      <c r="BD527" s="752"/>
      <c r="BE527" s="752" t="s">
        <v>92</v>
      </c>
      <c r="BF527" s="752"/>
    </row>
    <row r="528" spans="2:58" ht="16" thickBot="1" x14ac:dyDescent="0.25">
      <c r="B528" s="282"/>
      <c r="C528" s="285"/>
      <c r="D528" s="275"/>
      <c r="E528" s="284"/>
      <c r="F528" s="293"/>
      <c r="G528" s="752" t="s">
        <v>50</v>
      </c>
      <c r="H528" s="752"/>
      <c r="I528" s="752" t="s">
        <v>51</v>
      </c>
      <c r="J528" s="752"/>
      <c r="K528" s="752" t="s">
        <v>51</v>
      </c>
      <c r="L528" s="752"/>
      <c r="M528" s="752" t="s">
        <v>52</v>
      </c>
      <c r="N528" s="752"/>
      <c r="O528" s="752">
        <v>180</v>
      </c>
      <c r="P528" s="752"/>
      <c r="Q528" s="752" t="s">
        <v>53</v>
      </c>
      <c r="R528" s="752"/>
      <c r="S528" s="752" t="s">
        <v>54</v>
      </c>
      <c r="T528" s="752"/>
      <c r="U528" s="752" t="s">
        <v>54</v>
      </c>
      <c r="V528" s="752"/>
      <c r="W528" s="752" t="s">
        <v>55</v>
      </c>
      <c r="X528" s="752"/>
      <c r="Y528" s="752" t="s">
        <v>54</v>
      </c>
      <c r="Z528" s="752"/>
      <c r="AA528" s="752" t="s">
        <v>54</v>
      </c>
      <c r="AB528" s="752"/>
      <c r="AC528" s="752" t="s">
        <v>56</v>
      </c>
      <c r="AD528" s="752"/>
      <c r="AE528" s="752" t="s">
        <v>57</v>
      </c>
      <c r="AF528" s="752"/>
      <c r="AG528" s="752" t="s">
        <v>57</v>
      </c>
      <c r="AH528" s="752"/>
      <c r="AI528" s="752" t="s">
        <v>58</v>
      </c>
      <c r="AJ528" s="752"/>
      <c r="AK528" s="752" t="s">
        <v>300</v>
      </c>
      <c r="AL528" s="752"/>
      <c r="AM528" s="752" t="s">
        <v>301</v>
      </c>
      <c r="AN528" s="752"/>
      <c r="AO528" s="752">
        <v>20</v>
      </c>
      <c r="AP528" s="752"/>
      <c r="AQ528" s="752">
        <v>20</v>
      </c>
      <c r="AR528" s="752"/>
      <c r="AS528" s="752" t="s">
        <v>57</v>
      </c>
      <c r="AT528" s="752"/>
      <c r="AU528" s="752" t="s">
        <v>302</v>
      </c>
      <c r="AV528" s="752"/>
      <c r="AW528" s="752">
        <v>100</v>
      </c>
      <c r="AX528" s="752"/>
      <c r="AY528" s="752">
        <v>100</v>
      </c>
      <c r="AZ528" s="752"/>
      <c r="BA528" s="752" t="s">
        <v>59</v>
      </c>
      <c r="BB528" s="752"/>
      <c r="BC528" s="752" t="s">
        <v>51</v>
      </c>
      <c r="BD528" s="752"/>
      <c r="BE528" s="752" t="s">
        <v>53</v>
      </c>
      <c r="BF528" s="752"/>
    </row>
    <row r="529" spans="2:58" ht="16" thickBot="1" x14ac:dyDescent="0.25">
      <c r="B529" s="162"/>
      <c r="C529" s="286"/>
      <c r="D529" s="273"/>
      <c r="E529" s="280"/>
      <c r="F529" s="305"/>
      <c r="G529" s="752">
        <v>151</v>
      </c>
      <c r="H529" s="752"/>
      <c r="I529" s="752">
        <v>167.99</v>
      </c>
      <c r="J529" s="752"/>
      <c r="K529" s="752">
        <v>144.99</v>
      </c>
      <c r="L529" s="752"/>
      <c r="M529" s="760">
        <v>169.99</v>
      </c>
      <c r="N529" s="760"/>
      <c r="O529" s="760">
        <v>274.99</v>
      </c>
      <c r="P529" s="760"/>
      <c r="Q529" s="760">
        <v>102.99</v>
      </c>
      <c r="R529" s="760"/>
      <c r="S529" s="752">
        <v>910.5</v>
      </c>
      <c r="T529" s="752"/>
      <c r="U529" s="752">
        <v>460.75</v>
      </c>
      <c r="V529" s="752"/>
      <c r="W529" s="752">
        <v>1048.95</v>
      </c>
      <c r="X529" s="752"/>
      <c r="Y529" s="752">
        <v>772.8</v>
      </c>
      <c r="Z529" s="752"/>
      <c r="AA529" s="752">
        <v>3450</v>
      </c>
      <c r="AB529" s="752"/>
      <c r="AC529" s="760">
        <v>89.99</v>
      </c>
      <c r="AD529" s="760"/>
      <c r="AE529" s="752">
        <v>39.99</v>
      </c>
      <c r="AF529" s="752"/>
      <c r="AG529" s="752">
        <v>498</v>
      </c>
      <c r="AH529" s="752"/>
      <c r="AI529" s="752">
        <v>4.99</v>
      </c>
      <c r="AJ529" s="752"/>
      <c r="AK529" s="752">
        <v>132.25</v>
      </c>
      <c r="AL529" s="752"/>
      <c r="AM529" s="752">
        <v>47.99</v>
      </c>
      <c r="AN529" s="752"/>
      <c r="AO529" s="752">
        <v>560</v>
      </c>
      <c r="AP529" s="752"/>
      <c r="AQ529" s="752">
        <v>560</v>
      </c>
      <c r="AR529" s="752"/>
      <c r="AS529" s="752">
        <v>613.5</v>
      </c>
      <c r="AT529" s="752"/>
      <c r="AU529" s="752">
        <v>313.89999999999998</v>
      </c>
      <c r="AV529" s="752"/>
      <c r="AW529" s="752">
        <v>405.8</v>
      </c>
      <c r="AX529" s="752"/>
      <c r="AY529" s="752">
        <v>218.99</v>
      </c>
      <c r="AZ529" s="752"/>
      <c r="BA529" s="752">
        <v>24.99</v>
      </c>
      <c r="BB529" s="752"/>
      <c r="BC529" s="752">
        <v>1425</v>
      </c>
      <c r="BD529" s="752"/>
      <c r="BE529" s="752">
        <v>54.99</v>
      </c>
      <c r="BF529" s="752"/>
    </row>
    <row r="530" spans="2:58" ht="16" thickBot="1" x14ac:dyDescent="0.25">
      <c r="B530" s="162"/>
      <c r="C530" s="753" t="str">
        <f>L530</f>
        <v>24 FEBRUARY - 2 MARCH 2025</v>
      </c>
      <c r="D530" s="754"/>
      <c r="E530" s="754"/>
      <c r="F530" s="754"/>
      <c r="G530" s="755"/>
      <c r="H530" s="756"/>
      <c r="I530" s="163"/>
      <c r="J530" s="157"/>
      <c r="K530" s="157"/>
      <c r="L530" s="757" t="str">
        <f>AL530</f>
        <v>24 FEBRUARY - 2 MARCH 2025</v>
      </c>
      <c r="M530" s="755"/>
      <c r="N530" s="755"/>
      <c r="O530" s="755"/>
      <c r="P530" s="755"/>
      <c r="Q530" s="755"/>
      <c r="R530" s="755"/>
      <c r="S530" s="755"/>
      <c r="T530" s="756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758"/>
      <c r="AH530" s="758"/>
      <c r="AI530" s="164"/>
      <c r="AJ530" s="157"/>
      <c r="AK530" s="157"/>
      <c r="AL530" s="759" t="str">
        <f>AW530</f>
        <v>24 FEBRUARY - 2 MARCH 2025</v>
      </c>
      <c r="AM530" s="759"/>
      <c r="AN530" s="759"/>
      <c r="AO530" s="759"/>
      <c r="AP530" s="157"/>
      <c r="AQ530" s="157"/>
      <c r="AR530" s="157"/>
      <c r="AS530" s="157"/>
      <c r="AT530" s="157"/>
      <c r="AU530" s="157"/>
      <c r="AV530" s="157"/>
      <c r="AW530" s="757" t="str">
        <f>AW476</f>
        <v>24 FEBRUARY - 2 MARCH 2025</v>
      </c>
      <c r="AX530" s="755" t="s">
        <v>28</v>
      </c>
      <c r="AY530" s="755"/>
      <c r="AZ530" s="755"/>
      <c r="BA530" s="755"/>
      <c r="BB530" s="755"/>
      <c r="BC530" s="755"/>
      <c r="BD530" s="756"/>
      <c r="BE530" s="157"/>
      <c r="BF530" s="157"/>
    </row>
    <row r="531" spans="2:58" ht="16" thickBot="1" x14ac:dyDescent="0.25"/>
    <row r="532" spans="2:58" ht="16" thickBot="1" x14ac:dyDescent="0.25">
      <c r="B532" s="156" t="s">
        <v>27</v>
      </c>
      <c r="C532" s="753" t="s">
        <v>794</v>
      </c>
      <c r="D532" s="754"/>
      <c r="E532" s="754"/>
      <c r="F532" s="754"/>
      <c r="G532" s="763"/>
      <c r="H532" s="764"/>
      <c r="I532" s="163"/>
      <c r="J532" s="157"/>
      <c r="K532" s="157"/>
      <c r="L532" s="765" t="str">
        <f>C532</f>
        <v>3 - 9 MARCH 2025</v>
      </c>
      <c r="M532" s="763"/>
      <c r="N532" s="763"/>
      <c r="O532" s="763"/>
      <c r="P532" s="763"/>
      <c r="Q532" s="763"/>
      <c r="R532" s="763"/>
      <c r="S532" s="763"/>
      <c r="T532" s="764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766"/>
      <c r="AH532" s="766"/>
      <c r="AI532" s="753" t="str">
        <f>L532</f>
        <v>3 - 9 MARCH 2025</v>
      </c>
      <c r="AJ532" s="754"/>
      <c r="AK532" s="754"/>
      <c r="AL532" s="754"/>
      <c r="AM532" s="754"/>
      <c r="AN532" s="754"/>
      <c r="AO532" s="767"/>
      <c r="AP532" s="157"/>
      <c r="AQ532" s="157"/>
      <c r="AR532" s="157"/>
      <c r="AS532" s="157"/>
      <c r="AT532" s="157"/>
      <c r="AU532" s="157"/>
      <c r="AV532" s="157"/>
      <c r="AW532" s="765" t="str">
        <f>AI532</f>
        <v>3 - 9 MARCH 2025</v>
      </c>
      <c r="AX532" s="763" t="s">
        <v>28</v>
      </c>
      <c r="AY532" s="763"/>
      <c r="AZ532" s="763"/>
      <c r="BA532" s="763"/>
      <c r="BB532" s="763"/>
      <c r="BC532" s="763"/>
      <c r="BD532" s="764"/>
      <c r="BE532" s="157"/>
      <c r="BF532" s="157"/>
    </row>
    <row r="533" spans="2:58" ht="16" thickBot="1" x14ac:dyDescent="0.25">
      <c r="B533" s="158"/>
      <c r="C533" s="161"/>
      <c r="D533" s="161"/>
      <c r="E533" s="157"/>
      <c r="F533" s="157"/>
      <c r="G533" s="752" t="s">
        <v>29</v>
      </c>
      <c r="H533" s="752"/>
      <c r="I533" s="752" t="s">
        <v>30</v>
      </c>
      <c r="J533" s="752"/>
      <c r="K533" s="752" t="s">
        <v>31</v>
      </c>
      <c r="L533" s="752"/>
      <c r="M533" s="752" t="s">
        <v>32</v>
      </c>
      <c r="N533" s="752"/>
      <c r="O533" s="752" t="s">
        <v>33</v>
      </c>
      <c r="P533" s="752"/>
      <c r="Q533" s="752" t="s">
        <v>247</v>
      </c>
      <c r="R533" s="752"/>
      <c r="S533" s="752" t="s">
        <v>34</v>
      </c>
      <c r="T533" s="752"/>
      <c r="U533" s="752" t="s">
        <v>35</v>
      </c>
      <c r="V533" s="752"/>
      <c r="W533" s="752" t="s">
        <v>36</v>
      </c>
      <c r="X533" s="752"/>
      <c r="Y533" s="752" t="s">
        <v>37</v>
      </c>
      <c r="Z533" s="752"/>
      <c r="AA533" s="752" t="s">
        <v>38</v>
      </c>
      <c r="AB533" s="752"/>
      <c r="AC533" s="752" t="s">
        <v>39</v>
      </c>
      <c r="AD533" s="752"/>
      <c r="AE533" s="752" t="s">
        <v>40</v>
      </c>
      <c r="AF533" s="752"/>
      <c r="AG533" s="752" t="s">
        <v>41</v>
      </c>
      <c r="AH533" s="752"/>
      <c r="AI533" s="752" t="s">
        <v>42</v>
      </c>
      <c r="AJ533" s="752"/>
      <c r="AK533" s="752" t="s">
        <v>43</v>
      </c>
      <c r="AL533" s="752"/>
      <c r="AM533" s="752" t="s">
        <v>157</v>
      </c>
      <c r="AN533" s="752"/>
      <c r="AO533" s="752" t="s">
        <v>248</v>
      </c>
      <c r="AP533" s="752"/>
      <c r="AQ533" s="752" t="s">
        <v>249</v>
      </c>
      <c r="AR533" s="752"/>
      <c r="AS533" s="752" t="s">
        <v>150</v>
      </c>
      <c r="AT533" s="752"/>
      <c r="AU533" s="752" t="s">
        <v>151</v>
      </c>
      <c r="AV533" s="752"/>
      <c r="AW533" s="752" t="s">
        <v>44</v>
      </c>
      <c r="AX533" s="752"/>
      <c r="AY533" s="752" t="s">
        <v>250</v>
      </c>
      <c r="AZ533" s="752"/>
      <c r="BA533" s="752" t="s">
        <v>45</v>
      </c>
      <c r="BB533" s="752"/>
      <c r="BC533" s="752" t="s">
        <v>46</v>
      </c>
      <c r="BD533" s="752"/>
      <c r="BE533" s="752" t="s">
        <v>92</v>
      </c>
      <c r="BF533" s="752"/>
    </row>
    <row r="534" spans="2:58" ht="16" thickBot="1" x14ac:dyDescent="0.25">
      <c r="B534" s="156" t="s">
        <v>47</v>
      </c>
      <c r="C534" s="156" t="s">
        <v>48</v>
      </c>
      <c r="D534" s="283"/>
      <c r="E534" s="271"/>
      <c r="F534" s="271" t="s">
        <v>49</v>
      </c>
      <c r="G534" s="752" t="s">
        <v>50</v>
      </c>
      <c r="H534" s="752"/>
      <c r="I534" s="752" t="s">
        <v>51</v>
      </c>
      <c r="J534" s="752"/>
      <c r="K534" s="752" t="s">
        <v>51</v>
      </c>
      <c r="L534" s="752"/>
      <c r="M534" s="752" t="s">
        <v>52</v>
      </c>
      <c r="N534" s="752"/>
      <c r="O534" s="752">
        <v>180</v>
      </c>
      <c r="P534" s="752"/>
      <c r="Q534" s="752" t="s">
        <v>53</v>
      </c>
      <c r="R534" s="752"/>
      <c r="S534" s="752" t="s">
        <v>54</v>
      </c>
      <c r="T534" s="752"/>
      <c r="U534" s="752" t="s">
        <v>54</v>
      </c>
      <c r="V534" s="752"/>
      <c r="W534" s="752" t="s">
        <v>55</v>
      </c>
      <c r="X534" s="752"/>
      <c r="Y534" s="752" t="s">
        <v>54</v>
      </c>
      <c r="Z534" s="752"/>
      <c r="AA534" s="752" t="s">
        <v>54</v>
      </c>
      <c r="AB534" s="752"/>
      <c r="AC534" s="752" t="s">
        <v>56</v>
      </c>
      <c r="AD534" s="752"/>
      <c r="AE534" s="752" t="s">
        <v>57</v>
      </c>
      <c r="AF534" s="752"/>
      <c r="AG534" s="752" t="s">
        <v>57</v>
      </c>
      <c r="AH534" s="752"/>
      <c r="AI534" s="752" t="s">
        <v>58</v>
      </c>
      <c r="AJ534" s="752"/>
      <c r="AK534" s="752" t="s">
        <v>300</v>
      </c>
      <c r="AL534" s="752"/>
      <c r="AM534" s="752" t="s">
        <v>301</v>
      </c>
      <c r="AN534" s="752"/>
      <c r="AO534" s="752">
        <v>20</v>
      </c>
      <c r="AP534" s="752"/>
      <c r="AQ534" s="752">
        <v>20</v>
      </c>
      <c r="AR534" s="752"/>
      <c r="AS534" s="752" t="s">
        <v>57</v>
      </c>
      <c r="AT534" s="752"/>
      <c r="AU534" s="752" t="s">
        <v>302</v>
      </c>
      <c r="AV534" s="752"/>
      <c r="AW534" s="752">
        <v>100</v>
      </c>
      <c r="AX534" s="752"/>
      <c r="AY534" s="752">
        <v>100</v>
      </c>
      <c r="AZ534" s="752"/>
      <c r="BA534" s="752" t="s">
        <v>59</v>
      </c>
      <c r="BB534" s="752"/>
      <c r="BC534" s="752" t="s">
        <v>51</v>
      </c>
      <c r="BD534" s="752"/>
      <c r="BE534" s="752" t="s">
        <v>53</v>
      </c>
      <c r="BF534" s="752"/>
    </row>
    <row r="535" spans="2:58" ht="16" thickBot="1" x14ac:dyDescent="0.25">
      <c r="B535" s="156"/>
      <c r="C535" s="156" t="s">
        <v>60</v>
      </c>
      <c r="D535" s="283"/>
      <c r="E535" s="271" t="s">
        <v>61</v>
      </c>
      <c r="F535" s="271" t="s">
        <v>62</v>
      </c>
      <c r="G535" s="752">
        <v>151</v>
      </c>
      <c r="H535" s="752"/>
      <c r="I535" s="752">
        <v>167.99</v>
      </c>
      <c r="J535" s="752"/>
      <c r="K535" s="752">
        <v>144.99</v>
      </c>
      <c r="L535" s="752"/>
      <c r="M535" s="760">
        <v>169.99</v>
      </c>
      <c r="N535" s="760"/>
      <c r="O535" s="760">
        <v>274.99</v>
      </c>
      <c r="P535" s="760"/>
      <c r="Q535" s="760">
        <v>135</v>
      </c>
      <c r="R535" s="760"/>
      <c r="S535" s="752">
        <v>910.5</v>
      </c>
      <c r="T535" s="752"/>
      <c r="U535" s="752">
        <v>460.75</v>
      </c>
      <c r="V535" s="752"/>
      <c r="W535" s="752">
        <v>1048.95</v>
      </c>
      <c r="X535" s="752"/>
      <c r="Y535" s="752">
        <v>772.8</v>
      </c>
      <c r="Z535" s="752"/>
      <c r="AA535" s="752">
        <v>3450</v>
      </c>
      <c r="AB535" s="752"/>
      <c r="AC535" s="760">
        <v>99.99</v>
      </c>
      <c r="AD535" s="760"/>
      <c r="AE535" s="752">
        <v>29.99</v>
      </c>
      <c r="AF535" s="752"/>
      <c r="AG535" s="752">
        <v>548</v>
      </c>
      <c r="AH535" s="752"/>
      <c r="AI535" s="752">
        <v>4.99</v>
      </c>
      <c r="AJ535" s="752"/>
      <c r="AK535" s="752">
        <v>132.25</v>
      </c>
      <c r="AL535" s="752"/>
      <c r="AM535" s="752">
        <v>47.99</v>
      </c>
      <c r="AN535" s="752"/>
      <c r="AO535" s="752">
        <v>560</v>
      </c>
      <c r="AP535" s="752"/>
      <c r="AQ535" s="752">
        <v>560</v>
      </c>
      <c r="AR535" s="752"/>
      <c r="AS535" s="752">
        <v>613.5</v>
      </c>
      <c r="AT535" s="752"/>
      <c r="AU535" s="752">
        <v>313.89999999999998</v>
      </c>
      <c r="AV535" s="752"/>
      <c r="AW535" s="752">
        <v>405.8</v>
      </c>
      <c r="AX535" s="752"/>
      <c r="AY535" s="752">
        <v>218.99</v>
      </c>
      <c r="AZ535" s="752"/>
      <c r="BA535" s="752">
        <v>24.99</v>
      </c>
      <c r="BB535" s="752"/>
      <c r="BC535" s="752">
        <v>1425</v>
      </c>
      <c r="BD535" s="752"/>
      <c r="BE535" s="752">
        <v>54.99</v>
      </c>
      <c r="BF535" s="752"/>
    </row>
    <row r="536" spans="2:58" ht="16" thickBot="1" x14ac:dyDescent="0.25">
      <c r="B536" s="272">
        <v>45719</v>
      </c>
      <c r="C536" s="274">
        <v>800</v>
      </c>
      <c r="D536" s="276"/>
      <c r="E536" s="278" t="s">
        <v>186</v>
      </c>
      <c r="F536" s="278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  <c r="AA536" s="271"/>
      <c r="AB536" s="271"/>
      <c r="AC536" s="271"/>
      <c r="AD536" s="271"/>
      <c r="AE536" s="271"/>
      <c r="AF536" s="271"/>
      <c r="AG536" s="271"/>
      <c r="AH536" s="271"/>
      <c r="AI536" s="271"/>
      <c r="AJ536" s="271"/>
      <c r="AK536" s="271"/>
      <c r="AL536" s="271"/>
      <c r="AM536" s="271"/>
      <c r="AN536" s="271"/>
      <c r="AO536" s="271"/>
      <c r="AP536" s="271"/>
      <c r="AQ536" s="271"/>
      <c r="AR536" s="271"/>
      <c r="AS536" s="271"/>
      <c r="AT536" s="271"/>
      <c r="AU536" s="271"/>
      <c r="AV536" s="271"/>
      <c r="AW536" s="271"/>
      <c r="AX536" s="271"/>
      <c r="AY536" s="271"/>
      <c r="AZ536" s="271"/>
      <c r="BA536" s="271"/>
      <c r="BB536" s="271"/>
      <c r="BC536" s="271"/>
      <c r="BD536" s="271"/>
      <c r="BE536" s="271"/>
      <c r="BF536" s="271"/>
    </row>
    <row r="537" spans="2:58" ht="16" thickBot="1" x14ac:dyDescent="0.25">
      <c r="B537" s="660"/>
      <c r="C537" s="275">
        <f>154+39.99</f>
        <v>193.99</v>
      </c>
      <c r="D537" s="661"/>
      <c r="E537" s="303" t="s">
        <v>297</v>
      </c>
      <c r="F537" s="303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  <c r="AA537" s="271"/>
      <c r="AB537" s="271"/>
      <c r="AC537" s="271"/>
      <c r="AD537" s="271"/>
      <c r="AE537" s="271"/>
      <c r="AF537" s="271"/>
      <c r="AG537" s="271"/>
      <c r="AH537" s="271"/>
      <c r="AI537" s="271"/>
      <c r="AJ537" s="271"/>
      <c r="AK537" s="271"/>
      <c r="AL537" s="271"/>
      <c r="AM537" s="271"/>
      <c r="AN537" s="271"/>
      <c r="AO537" s="271"/>
      <c r="AP537" s="271"/>
      <c r="AQ537" s="271"/>
      <c r="AR537" s="271"/>
      <c r="AS537" s="271"/>
      <c r="AT537" s="271"/>
      <c r="AU537" s="271"/>
      <c r="AV537" s="271"/>
      <c r="AW537" s="271"/>
      <c r="AX537" s="271"/>
      <c r="AY537" s="271"/>
      <c r="AZ537" s="271"/>
      <c r="BA537" s="271"/>
      <c r="BB537" s="271"/>
      <c r="BC537" s="271"/>
      <c r="BD537" s="271"/>
      <c r="BE537" s="271"/>
      <c r="BF537" s="271"/>
    </row>
    <row r="538" spans="2:58" ht="16" thickBot="1" x14ac:dyDescent="0.25">
      <c r="B538" s="660"/>
      <c r="C538" s="275">
        <v>101</v>
      </c>
      <c r="D538" s="661"/>
      <c r="E538" s="303" t="s">
        <v>795</v>
      </c>
      <c r="F538" s="303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  <c r="AA538" s="271"/>
      <c r="AB538" s="271"/>
      <c r="AC538" s="271"/>
      <c r="AD538" s="271"/>
      <c r="AE538" s="271"/>
      <c r="AF538" s="271"/>
      <c r="AG538" s="271"/>
      <c r="AH538" s="271"/>
      <c r="AI538" s="271"/>
      <c r="AJ538" s="271"/>
      <c r="AK538" s="271"/>
      <c r="AL538" s="271"/>
      <c r="AM538" s="271"/>
      <c r="AN538" s="271"/>
      <c r="AO538" s="271"/>
      <c r="AP538" s="271"/>
      <c r="AQ538" s="271"/>
      <c r="AR538" s="271"/>
      <c r="AS538" s="271"/>
      <c r="AT538" s="271"/>
      <c r="AU538" s="271"/>
      <c r="AV538" s="271"/>
      <c r="AW538" s="271"/>
      <c r="AX538" s="271"/>
      <c r="AY538" s="271"/>
      <c r="AZ538" s="271"/>
      <c r="BA538" s="271"/>
      <c r="BB538" s="271"/>
      <c r="BC538" s="271"/>
      <c r="BD538" s="271"/>
      <c r="BE538" s="271"/>
      <c r="BF538" s="271"/>
    </row>
    <row r="539" spans="2:58" ht="16" thickBot="1" x14ac:dyDescent="0.25">
      <c r="B539" s="660"/>
      <c r="C539" s="275">
        <v>260</v>
      </c>
      <c r="D539" s="661"/>
      <c r="E539" s="303" t="s">
        <v>396</v>
      </c>
      <c r="F539" s="303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  <c r="AA539" s="271"/>
      <c r="AB539" s="271"/>
      <c r="AC539" s="271"/>
      <c r="AD539" s="271"/>
      <c r="AE539" s="271"/>
      <c r="AF539" s="271"/>
      <c r="AG539" s="271"/>
      <c r="AH539" s="271"/>
      <c r="AI539" s="271"/>
      <c r="AJ539" s="271"/>
      <c r="AK539" s="271"/>
      <c r="AL539" s="271"/>
      <c r="AM539" s="271"/>
      <c r="AN539" s="271"/>
      <c r="AO539" s="271"/>
      <c r="AP539" s="271"/>
      <c r="AQ539" s="271"/>
      <c r="AR539" s="271"/>
      <c r="AS539" s="271"/>
      <c r="AT539" s="271"/>
      <c r="AU539" s="271"/>
      <c r="AV539" s="271"/>
      <c r="AW539" s="271"/>
      <c r="AX539" s="271"/>
      <c r="AY539" s="271"/>
      <c r="AZ539" s="271"/>
      <c r="BA539" s="271"/>
      <c r="BB539" s="271"/>
      <c r="BC539" s="271"/>
      <c r="BD539" s="271"/>
      <c r="BE539" s="271"/>
      <c r="BF539" s="271"/>
    </row>
    <row r="540" spans="2:58" ht="16" thickBot="1" x14ac:dyDescent="0.25">
      <c r="B540" s="660"/>
      <c r="C540" s="275">
        <v>6507.63</v>
      </c>
      <c r="D540" s="661"/>
      <c r="E540" s="303"/>
      <c r="F540" s="303" t="s">
        <v>9</v>
      </c>
      <c r="G540" s="271">
        <v>8</v>
      </c>
      <c r="H540" s="271">
        <v>1095.92</v>
      </c>
      <c r="I540" s="271">
        <v>2</v>
      </c>
      <c r="J540" s="271">
        <v>409.98</v>
      </c>
      <c r="K540" s="271">
        <v>8</v>
      </c>
      <c r="L540" s="271">
        <v>1455.92</v>
      </c>
      <c r="M540" s="271">
        <v>8</v>
      </c>
      <c r="N540" s="271">
        <v>1335.92</v>
      </c>
      <c r="O540" s="271">
        <v>4</v>
      </c>
      <c r="P540" s="271">
        <v>1380</v>
      </c>
      <c r="Q540" s="271"/>
      <c r="R540" s="271"/>
      <c r="S540" s="271"/>
      <c r="T540" s="271"/>
      <c r="U540" s="271"/>
      <c r="V540" s="271"/>
      <c r="W540" s="271">
        <v>4</v>
      </c>
      <c r="X540" s="271">
        <v>171.96</v>
      </c>
      <c r="Y540" s="271"/>
      <c r="Z540" s="271"/>
      <c r="AA540" s="271"/>
      <c r="AB540" s="271"/>
      <c r="AC540" s="271">
        <v>5</v>
      </c>
      <c r="AD540" s="271">
        <v>494.95</v>
      </c>
      <c r="AE540" s="271"/>
      <c r="AF540" s="271"/>
      <c r="AG540" s="271"/>
      <c r="AH540" s="271"/>
      <c r="AI540" s="271"/>
      <c r="AJ540" s="271"/>
      <c r="AK540" s="271"/>
      <c r="AL540" s="271"/>
      <c r="AM540" s="271"/>
      <c r="AN540" s="271"/>
      <c r="AO540" s="271"/>
      <c r="AP540" s="271"/>
      <c r="AQ540" s="271"/>
      <c r="AR540" s="271"/>
      <c r="AS540" s="271"/>
      <c r="AT540" s="271"/>
      <c r="AU540" s="271"/>
      <c r="AV540" s="271"/>
      <c r="AW540" s="271"/>
      <c r="AX540" s="271"/>
      <c r="AY540" s="271"/>
      <c r="AZ540" s="271"/>
      <c r="BA540" s="271">
        <v>1</v>
      </c>
      <c r="BB540" s="271">
        <v>26.99</v>
      </c>
      <c r="BC540" s="271"/>
      <c r="BD540" s="271"/>
      <c r="BE540" s="271">
        <v>1</v>
      </c>
      <c r="BF540" s="271">
        <v>75.989999999999995</v>
      </c>
    </row>
    <row r="541" spans="2:58" ht="16" thickBot="1" x14ac:dyDescent="0.25">
      <c r="B541" s="681" t="s">
        <v>20</v>
      </c>
      <c r="C541" s="275"/>
      <c r="D541" s="277"/>
      <c r="E541" s="279"/>
      <c r="F541" s="279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  <c r="AA541" s="271"/>
      <c r="AB541" s="271"/>
      <c r="AC541" s="271"/>
      <c r="AD541" s="271"/>
      <c r="AE541" s="271"/>
      <c r="AF541" s="271"/>
      <c r="AG541" s="271"/>
      <c r="AH541" s="271"/>
      <c r="AI541" s="271"/>
      <c r="AJ541" s="271"/>
      <c r="AK541" s="271"/>
      <c r="AL541" s="271"/>
      <c r="AM541" s="271"/>
      <c r="AN541" s="271"/>
      <c r="AO541" s="271"/>
      <c r="AP541" s="271"/>
      <c r="AQ541" s="271"/>
      <c r="AR541" s="271"/>
      <c r="AS541" s="271"/>
      <c r="AT541" s="271"/>
      <c r="AU541" s="271"/>
      <c r="AV541" s="271"/>
      <c r="AW541" s="271"/>
      <c r="AX541" s="271"/>
      <c r="AY541" s="271"/>
      <c r="AZ541" s="271"/>
      <c r="BA541" s="271"/>
      <c r="BB541" s="271"/>
      <c r="BC541" s="271"/>
      <c r="BD541" s="271"/>
      <c r="BE541" s="271"/>
      <c r="BF541" s="271"/>
    </row>
    <row r="542" spans="2:58" ht="16" thickBot="1" x14ac:dyDescent="0.25">
      <c r="B542" s="479"/>
      <c r="C542" s="680">
        <f>SUM(C536:C541)</f>
        <v>7862.62</v>
      </c>
      <c r="D542" s="159"/>
      <c r="E542" s="270"/>
      <c r="F542" s="281"/>
      <c r="G542" s="309"/>
      <c r="H542" s="310"/>
      <c r="I542" s="309"/>
      <c r="J542" s="310"/>
      <c r="K542" s="309"/>
      <c r="L542" s="310"/>
      <c r="M542" s="309"/>
      <c r="N542" s="310"/>
      <c r="O542" s="271"/>
      <c r="P542" s="271"/>
      <c r="Q542" s="310"/>
      <c r="R542" s="310"/>
      <c r="S542" s="309"/>
      <c r="T542" s="310"/>
      <c r="U542" s="309"/>
      <c r="V542" s="310"/>
      <c r="W542" s="309"/>
      <c r="X542" s="310"/>
      <c r="Y542" s="309"/>
      <c r="Z542" s="310"/>
      <c r="AA542" s="309"/>
      <c r="AB542" s="310"/>
      <c r="AC542" s="271"/>
      <c r="AD542" s="271"/>
      <c r="AE542" s="309"/>
      <c r="AF542" s="310"/>
      <c r="AG542" s="309"/>
      <c r="AH542" s="310"/>
      <c r="AI542" s="309"/>
      <c r="AJ542" s="310"/>
      <c r="AK542" s="309"/>
      <c r="AL542" s="310"/>
      <c r="AM542" s="309"/>
      <c r="AN542" s="310"/>
      <c r="AO542" s="309"/>
      <c r="AP542" s="310"/>
      <c r="AQ542" s="309"/>
      <c r="AR542" s="310"/>
      <c r="AS542" s="309"/>
      <c r="AT542" s="310"/>
      <c r="AU542" s="309"/>
      <c r="AV542" s="310"/>
      <c r="AW542" s="309"/>
      <c r="AX542" s="310"/>
      <c r="AY542" s="309"/>
      <c r="AZ542" s="310"/>
      <c r="BA542" s="271"/>
      <c r="BB542" s="271"/>
      <c r="BC542" s="271"/>
      <c r="BD542" s="271"/>
      <c r="BE542" s="271"/>
      <c r="BF542" s="271"/>
    </row>
    <row r="543" spans="2:58" ht="16" thickBot="1" x14ac:dyDescent="0.25">
      <c r="B543" s="289">
        <v>45720</v>
      </c>
      <c r="C543" s="275">
        <v>85</v>
      </c>
      <c r="D543" s="277"/>
      <c r="E543" s="279" t="s">
        <v>499</v>
      </c>
      <c r="F543" s="279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  <c r="AA543" s="271"/>
      <c r="AB543" s="271"/>
      <c r="AC543" s="271"/>
      <c r="AD543" s="271"/>
      <c r="AE543" s="271"/>
      <c r="AF543" s="271"/>
      <c r="AG543" s="271"/>
      <c r="AH543" s="271"/>
      <c r="AI543" s="271"/>
      <c r="AJ543" s="271"/>
      <c r="AK543" s="271"/>
      <c r="AL543" s="271"/>
      <c r="AM543" s="271"/>
      <c r="AN543" s="271"/>
      <c r="AO543" s="271"/>
      <c r="AP543" s="271"/>
      <c r="AQ543" s="271"/>
      <c r="AR543" s="271"/>
      <c r="AS543" s="271"/>
      <c r="AT543" s="271"/>
      <c r="AU543" s="271"/>
      <c r="AV543" s="271"/>
      <c r="AW543" s="271"/>
      <c r="AX543" s="271"/>
      <c r="AY543" s="271"/>
      <c r="AZ543" s="271"/>
      <c r="BA543" s="271"/>
      <c r="BB543" s="271"/>
      <c r="BC543" s="271"/>
      <c r="BD543" s="271"/>
      <c r="BE543" s="271"/>
      <c r="BF543" s="271"/>
    </row>
    <row r="544" spans="2:58" ht="16" thickBot="1" x14ac:dyDescent="0.25">
      <c r="B544" s="289"/>
      <c r="C544" s="139">
        <v>133</v>
      </c>
      <c r="E544" s="575" t="s">
        <v>377</v>
      </c>
      <c r="F544" s="279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  <c r="AA544" s="271"/>
      <c r="AB544" s="271"/>
      <c r="AC544" s="271"/>
      <c r="AD544" s="271"/>
      <c r="AE544" s="271"/>
      <c r="AF544" s="271"/>
      <c r="AG544" s="271"/>
      <c r="AH544" s="271"/>
      <c r="AI544" s="271"/>
      <c r="AJ544" s="271"/>
      <c r="AK544" s="271"/>
      <c r="AL544" s="271"/>
      <c r="AM544" s="271"/>
      <c r="AN544" s="271"/>
      <c r="AO544" s="271"/>
      <c r="AP544" s="271"/>
      <c r="AQ544" s="271"/>
      <c r="AR544" s="271"/>
      <c r="AS544" s="271"/>
      <c r="AT544" s="271"/>
      <c r="AU544" s="271"/>
      <c r="AV544" s="271"/>
      <c r="AW544" s="271"/>
      <c r="AX544" s="271"/>
      <c r="AY544" s="271"/>
      <c r="AZ544" s="271"/>
      <c r="BA544" s="271"/>
      <c r="BB544" s="271"/>
      <c r="BC544" s="271"/>
      <c r="BD544" s="271"/>
      <c r="BE544" s="271"/>
      <c r="BF544" s="271"/>
    </row>
    <row r="545" spans="2:58" ht="16" thickBot="1" x14ac:dyDescent="0.25">
      <c r="B545" s="289"/>
      <c r="C545" s="4">
        <v>573</v>
      </c>
      <c r="E545" s="142" t="s">
        <v>637</v>
      </c>
      <c r="F545" s="279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  <c r="AA545" s="271"/>
      <c r="AB545" s="271"/>
      <c r="AC545" s="271"/>
      <c r="AD545" s="271"/>
      <c r="AE545" s="271"/>
      <c r="AF545" s="271"/>
      <c r="AG545" s="271"/>
      <c r="AH545" s="271"/>
      <c r="AI545" s="271"/>
      <c r="AJ545" s="271"/>
      <c r="AK545" s="271"/>
      <c r="AL545" s="271"/>
      <c r="AM545" s="271"/>
      <c r="AN545" s="271"/>
      <c r="AO545" s="271"/>
      <c r="AP545" s="271"/>
      <c r="AQ545" s="271"/>
      <c r="AR545" s="271"/>
      <c r="AS545" s="271"/>
      <c r="AT545" s="271"/>
      <c r="AU545" s="271"/>
      <c r="AV545" s="271"/>
      <c r="AW545" s="271"/>
      <c r="AX545" s="271"/>
      <c r="AY545" s="271"/>
      <c r="AZ545" s="271"/>
      <c r="BA545" s="271"/>
      <c r="BB545" s="271"/>
      <c r="BC545" s="271"/>
      <c r="BD545" s="271"/>
      <c r="BE545" s="271"/>
      <c r="BF545" s="271"/>
    </row>
    <row r="546" spans="2:58" ht="16" thickBot="1" x14ac:dyDescent="0.25">
      <c r="B546" s="289"/>
      <c r="C546" s="146">
        <f>1090.25+81+81</f>
        <v>1252.25</v>
      </c>
      <c r="E546" s="147" t="s">
        <v>803</v>
      </c>
      <c r="F546" s="279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  <c r="AA546" s="271"/>
      <c r="AB546" s="271"/>
      <c r="AC546" s="271"/>
      <c r="AD546" s="271"/>
      <c r="AE546" s="271"/>
      <c r="AF546" s="271"/>
      <c r="AG546" s="271"/>
      <c r="AH546" s="271"/>
      <c r="AI546" s="271"/>
      <c r="AJ546" s="271"/>
      <c r="AK546" s="271"/>
      <c r="AL546" s="271"/>
      <c r="AM546" s="271"/>
      <c r="AN546" s="271"/>
      <c r="AO546" s="271"/>
      <c r="AP546" s="271"/>
      <c r="AQ546" s="271"/>
      <c r="AR546" s="271"/>
      <c r="AS546" s="271"/>
      <c r="AT546" s="271"/>
      <c r="AU546" s="271"/>
      <c r="AV546" s="271"/>
      <c r="AW546" s="271"/>
      <c r="AX546" s="271"/>
      <c r="AY546" s="271"/>
      <c r="AZ546" s="271"/>
      <c r="BA546" s="271"/>
      <c r="BB546" s="271"/>
      <c r="BC546" s="271"/>
      <c r="BD546" s="271"/>
      <c r="BE546" s="271"/>
      <c r="BF546" s="271"/>
    </row>
    <row r="547" spans="2:58" ht="16" thickBot="1" x14ac:dyDescent="0.25">
      <c r="B547" s="289"/>
      <c r="C547" s="4">
        <v>319.92</v>
      </c>
      <c r="E547" s="142"/>
      <c r="F547" s="279" t="s">
        <v>14</v>
      </c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  <c r="AA547" s="271"/>
      <c r="AB547" s="271"/>
      <c r="AC547" s="271"/>
      <c r="AD547" s="271"/>
      <c r="AE547" s="271">
        <v>8</v>
      </c>
      <c r="AF547" s="271">
        <v>319.92</v>
      </c>
      <c r="AG547" s="271"/>
      <c r="AH547" s="271"/>
      <c r="AI547" s="271"/>
      <c r="AJ547" s="271"/>
      <c r="AK547" s="271"/>
      <c r="AL547" s="271"/>
      <c r="AM547" s="271"/>
      <c r="AN547" s="271"/>
      <c r="AO547" s="271"/>
      <c r="AP547" s="271"/>
      <c r="AQ547" s="271"/>
      <c r="AR547" s="271"/>
      <c r="AS547" s="271"/>
      <c r="AT547" s="271"/>
      <c r="AU547" s="271"/>
      <c r="AV547" s="271"/>
      <c r="AW547" s="271"/>
      <c r="AX547" s="271"/>
      <c r="AY547" s="271"/>
      <c r="AZ547" s="271"/>
      <c r="BA547" s="271"/>
      <c r="BB547" s="271"/>
      <c r="BC547" s="271"/>
      <c r="BD547" s="271"/>
      <c r="BE547" s="271"/>
      <c r="BF547" s="271"/>
    </row>
    <row r="548" spans="2:58" ht="16" thickBot="1" x14ac:dyDescent="0.25">
      <c r="B548" s="289"/>
      <c r="C548" s="4">
        <v>7318.55</v>
      </c>
      <c r="E548" s="142"/>
      <c r="F548" s="279" t="s">
        <v>9</v>
      </c>
      <c r="G548" s="271">
        <v>8</v>
      </c>
      <c r="H548" s="271">
        <v>1095.92</v>
      </c>
      <c r="I548" s="271">
        <v>2</v>
      </c>
      <c r="J548" s="271">
        <v>409.98</v>
      </c>
      <c r="K548" s="271">
        <v>6</v>
      </c>
      <c r="L548" s="271">
        <v>1091.94</v>
      </c>
      <c r="M548" s="271">
        <v>10</v>
      </c>
      <c r="N548" s="271">
        <v>1669.9</v>
      </c>
      <c r="O548" s="271">
        <v>5</v>
      </c>
      <c r="P548" s="271">
        <v>1725</v>
      </c>
      <c r="Q548" s="271">
        <v>1</v>
      </c>
      <c r="R548" s="271">
        <v>144.99</v>
      </c>
      <c r="S548" s="271"/>
      <c r="T548" s="271"/>
      <c r="U548" s="271"/>
      <c r="V548" s="271"/>
      <c r="W548" s="271">
        <v>4</v>
      </c>
      <c r="X548" s="271">
        <v>171.96</v>
      </c>
      <c r="Y548" s="271"/>
      <c r="Z548" s="271"/>
      <c r="AA548" s="271"/>
      <c r="AB548" s="271"/>
      <c r="AC548" s="271">
        <v>6</v>
      </c>
      <c r="AD548" s="271">
        <v>593.94000000000005</v>
      </c>
      <c r="AE548" s="271"/>
      <c r="AF548" s="271"/>
      <c r="AG548" s="271"/>
      <c r="AH548" s="271"/>
      <c r="AI548" s="271"/>
      <c r="AJ548" s="271"/>
      <c r="AK548" s="271"/>
      <c r="AL548" s="271"/>
      <c r="AM548" s="271"/>
      <c r="AN548" s="271"/>
      <c r="AO548" s="271"/>
      <c r="AP548" s="271"/>
      <c r="AQ548" s="271"/>
      <c r="AR548" s="271"/>
      <c r="AS548" s="271"/>
      <c r="AT548" s="271"/>
      <c r="AU548" s="271"/>
      <c r="AV548" s="271"/>
      <c r="AW548" s="271"/>
      <c r="AX548" s="271"/>
      <c r="AY548" s="271"/>
      <c r="AZ548" s="271"/>
      <c r="BA548" s="271">
        <v>1</v>
      </c>
      <c r="BB548" s="271">
        <v>26.99</v>
      </c>
      <c r="BC548" s="271"/>
      <c r="BD548" s="271"/>
      <c r="BE548" s="271">
        <v>1</v>
      </c>
      <c r="BF548" s="271">
        <v>75.989999999999995</v>
      </c>
    </row>
    <row r="549" spans="2:58" ht="16" thickBot="1" x14ac:dyDescent="0.25">
      <c r="B549" s="289"/>
      <c r="C549" s="275">
        <v>5681</v>
      </c>
      <c r="D549" s="277"/>
      <c r="E549" s="279"/>
      <c r="F549" s="279" t="s">
        <v>6</v>
      </c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>
        <v>2</v>
      </c>
      <c r="T549" s="271">
        <v>1587</v>
      </c>
      <c r="U549" s="271">
        <v>6</v>
      </c>
      <c r="V549" s="271">
        <v>3174</v>
      </c>
      <c r="W549" s="271"/>
      <c r="X549" s="271"/>
      <c r="Y549" s="271"/>
      <c r="Z549" s="271"/>
      <c r="AA549" s="271"/>
      <c r="AB549" s="271"/>
      <c r="AC549" s="271"/>
      <c r="AD549" s="271"/>
      <c r="AE549" s="271"/>
      <c r="AF549" s="271"/>
      <c r="AG549" s="271"/>
      <c r="AH549" s="271"/>
      <c r="AI549" s="271"/>
      <c r="AJ549" s="271"/>
      <c r="AK549" s="271"/>
      <c r="AL549" s="271"/>
      <c r="AM549" s="271"/>
      <c r="AN549" s="271"/>
      <c r="AO549" s="271"/>
      <c r="AP549" s="271"/>
      <c r="AQ549" s="271"/>
      <c r="AR549" s="271"/>
      <c r="AS549" s="271"/>
      <c r="AT549" s="271"/>
      <c r="AU549" s="271"/>
      <c r="AV549" s="271"/>
      <c r="AW549" s="271"/>
      <c r="AX549" s="271"/>
      <c r="AY549" s="271"/>
      <c r="AZ549" s="271"/>
      <c r="BA549" s="271"/>
      <c r="BB549" s="271"/>
      <c r="BC549" s="271"/>
      <c r="BD549" s="271"/>
      <c r="BE549" s="271"/>
      <c r="BF549" s="271"/>
    </row>
    <row r="550" spans="2:58" ht="16" thickBot="1" x14ac:dyDescent="0.25">
      <c r="B550" s="289"/>
      <c r="C550" s="275"/>
      <c r="D550" s="277"/>
      <c r="E550" s="279"/>
      <c r="F550" s="279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  <c r="AA550" s="271"/>
      <c r="AB550" s="271"/>
      <c r="AC550" s="271"/>
      <c r="AD550" s="271"/>
      <c r="AE550" s="271"/>
      <c r="AF550" s="271"/>
      <c r="AG550" s="271"/>
      <c r="AH550" s="271"/>
      <c r="AI550" s="271"/>
      <c r="AJ550" s="271"/>
      <c r="AK550" s="271"/>
      <c r="AL550" s="271"/>
      <c r="AM550" s="271"/>
      <c r="AN550" s="271"/>
      <c r="AO550" s="271"/>
      <c r="AP550" s="271"/>
      <c r="AQ550" s="271"/>
      <c r="AR550" s="271"/>
      <c r="AS550" s="271"/>
      <c r="AT550" s="271"/>
      <c r="AU550" s="271"/>
      <c r="AV550" s="271"/>
      <c r="AW550" s="271"/>
      <c r="AX550" s="271"/>
      <c r="AY550" s="271"/>
      <c r="AZ550" s="271"/>
      <c r="BA550" s="271"/>
      <c r="BB550" s="271"/>
      <c r="BC550" s="271"/>
      <c r="BD550" s="271"/>
      <c r="BE550" s="271"/>
      <c r="BF550" s="271"/>
    </row>
    <row r="551" spans="2:58" ht="16" thickBot="1" x14ac:dyDescent="0.25">
      <c r="B551" s="289" t="s">
        <v>90</v>
      </c>
      <c r="C551" s="275"/>
      <c r="D551" s="277"/>
      <c r="E551" s="279"/>
      <c r="F551" s="279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  <c r="AA551" s="271"/>
      <c r="AB551" s="271"/>
      <c r="AC551" s="271"/>
      <c r="AD551" s="271"/>
      <c r="AE551" s="271"/>
      <c r="AF551" s="271"/>
      <c r="AG551" s="271"/>
      <c r="AH551" s="271"/>
      <c r="AI551" s="271"/>
      <c r="AJ551" s="271"/>
      <c r="AK551" s="271"/>
      <c r="AL551" s="271"/>
      <c r="AM551" s="271"/>
      <c r="AN551" s="271"/>
      <c r="AO551" s="271"/>
      <c r="AP551" s="271"/>
      <c r="AQ551" s="271"/>
      <c r="AR551" s="271"/>
      <c r="AS551" s="271"/>
      <c r="AT551" s="271"/>
      <c r="AU551" s="271"/>
      <c r="AV551" s="271"/>
      <c r="AW551" s="271"/>
      <c r="AX551" s="271"/>
      <c r="AY551" s="271"/>
      <c r="AZ551" s="271"/>
      <c r="BA551" s="271"/>
      <c r="BB551" s="271"/>
      <c r="BC551" s="271"/>
      <c r="BD551" s="271"/>
      <c r="BE551" s="271"/>
      <c r="BF551" s="271"/>
    </row>
    <row r="552" spans="2:58" ht="16" thickBot="1" x14ac:dyDescent="0.25">
      <c r="B552" s="292"/>
      <c r="C552" s="159">
        <f>SUM(C543:C551)</f>
        <v>15362.720000000001</v>
      </c>
      <c r="D552" s="159"/>
      <c r="E552" s="270"/>
      <c r="F552" s="281"/>
      <c r="G552" s="309"/>
      <c r="H552" s="310"/>
      <c r="I552" s="309"/>
      <c r="J552" s="310"/>
      <c r="K552" s="309"/>
      <c r="L552" s="310"/>
      <c r="M552" s="309"/>
      <c r="N552" s="310"/>
      <c r="O552" s="271"/>
      <c r="P552" s="271"/>
      <c r="Q552" s="310"/>
      <c r="R552" s="310"/>
      <c r="S552" s="309"/>
      <c r="T552" s="310"/>
      <c r="U552" s="309"/>
      <c r="V552" s="310"/>
      <c r="W552" s="309"/>
      <c r="X552" s="310"/>
      <c r="Y552" s="309"/>
      <c r="Z552" s="310"/>
      <c r="AA552" s="309"/>
      <c r="AB552" s="310"/>
      <c r="AC552" s="271"/>
      <c r="AD552" s="271"/>
      <c r="AE552" s="309"/>
      <c r="AF552" s="310"/>
      <c r="AG552" s="309"/>
      <c r="AH552" s="310"/>
      <c r="AI552" s="309"/>
      <c r="AJ552" s="310"/>
      <c r="AK552" s="309"/>
      <c r="AL552" s="310"/>
      <c r="AM552" s="309"/>
      <c r="AN552" s="310"/>
      <c r="AO552" s="309"/>
      <c r="AP552" s="310"/>
      <c r="AQ552" s="309"/>
      <c r="AR552" s="310"/>
      <c r="AS552" s="309"/>
      <c r="AT552" s="310"/>
      <c r="AU552" s="309"/>
      <c r="AV552" s="310"/>
      <c r="AW552" s="309"/>
      <c r="AX552" s="310"/>
      <c r="AY552" s="309"/>
      <c r="AZ552" s="310"/>
      <c r="BA552" s="271"/>
      <c r="BB552" s="271"/>
      <c r="BC552" s="271"/>
      <c r="BD552" s="271"/>
      <c r="BE552" s="271"/>
      <c r="BF552" s="271"/>
    </row>
    <row r="553" spans="2:58" ht="16" thickBot="1" x14ac:dyDescent="0.25">
      <c r="B553" s="289">
        <v>45721</v>
      </c>
      <c r="C553" s="275">
        <v>800</v>
      </c>
      <c r="D553" s="277"/>
      <c r="E553" s="279"/>
      <c r="F553" s="279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  <c r="AA553" s="271"/>
      <c r="AB553" s="271"/>
      <c r="AC553" s="271"/>
      <c r="AD553" s="271"/>
      <c r="AE553" s="271"/>
      <c r="AF553" s="271"/>
      <c r="AG553" s="271"/>
      <c r="AH553" s="271"/>
      <c r="AI553" s="271"/>
      <c r="AJ553" s="271"/>
      <c r="AK553" s="271"/>
      <c r="AL553" s="271"/>
      <c r="AM553" s="271"/>
      <c r="AN553" s="271"/>
      <c r="AO553" s="271"/>
      <c r="AP553" s="271"/>
      <c r="AQ553" s="271"/>
      <c r="AR553" s="271"/>
      <c r="AS553" s="271"/>
      <c r="AT553" s="271"/>
      <c r="AU553" s="271"/>
      <c r="AV553" s="271"/>
      <c r="AW553" s="271"/>
      <c r="AX553" s="271"/>
      <c r="AY553" s="271"/>
      <c r="AZ553" s="271"/>
      <c r="BA553" s="271"/>
      <c r="BB553" s="271"/>
      <c r="BC553" s="271"/>
      <c r="BD553" s="271"/>
      <c r="BE553" s="271"/>
      <c r="BF553" s="271"/>
    </row>
    <row r="554" spans="2:58" ht="16" thickBot="1" x14ac:dyDescent="0.25">
      <c r="B554" s="288" t="s">
        <v>22</v>
      </c>
      <c r="C554" s="287"/>
      <c r="D554" s="290"/>
      <c r="E554" s="290"/>
      <c r="F554" s="296"/>
      <c r="G554" s="309"/>
      <c r="H554" s="310"/>
      <c r="I554" s="309"/>
      <c r="J554" s="310"/>
      <c r="K554" s="309"/>
      <c r="L554" s="310"/>
      <c r="M554" s="309"/>
      <c r="N554" s="310"/>
      <c r="O554" s="271"/>
      <c r="P554" s="271"/>
      <c r="Q554" s="309"/>
      <c r="R554" s="310"/>
      <c r="S554" s="309"/>
      <c r="T554" s="310"/>
      <c r="U554" s="309"/>
      <c r="V554" s="310"/>
      <c r="W554" s="309"/>
      <c r="X554" s="310"/>
      <c r="Y554" s="309"/>
      <c r="Z554" s="310"/>
      <c r="AA554" s="309"/>
      <c r="AB554" s="310"/>
      <c r="AC554" s="271"/>
      <c r="AD554" s="271"/>
      <c r="AE554" s="309"/>
      <c r="AF554" s="310"/>
      <c r="AG554" s="309"/>
      <c r="AH554" s="310"/>
      <c r="AI554" s="309"/>
      <c r="AJ554" s="310"/>
      <c r="AK554" s="309"/>
      <c r="AL554" s="310"/>
      <c r="AM554" s="309"/>
      <c r="AN554" s="310"/>
      <c r="AO554" s="309"/>
      <c r="AP554" s="310"/>
      <c r="AQ554" s="309"/>
      <c r="AR554" s="310"/>
      <c r="AS554" s="309"/>
      <c r="AT554" s="310"/>
      <c r="AU554" s="309"/>
      <c r="AV554" s="310"/>
      <c r="AW554" s="309"/>
      <c r="AX554" s="310"/>
      <c r="AY554" s="309"/>
      <c r="AZ554" s="310"/>
      <c r="BA554" s="271"/>
      <c r="BB554" s="271"/>
      <c r="BC554" s="271"/>
      <c r="BD554" s="271"/>
      <c r="BE554" s="271"/>
      <c r="BF554" s="271"/>
    </row>
    <row r="555" spans="2:58" ht="16" thickBot="1" x14ac:dyDescent="0.25">
      <c r="B555" s="292"/>
      <c r="C555" s="159">
        <f>SUM(C553:C554)</f>
        <v>800</v>
      </c>
      <c r="D555" s="159"/>
      <c r="E555" s="270"/>
      <c r="F555" s="297"/>
      <c r="G555" s="309"/>
      <c r="H555" s="310"/>
      <c r="I555" s="309"/>
      <c r="J555" s="310"/>
      <c r="K555" s="309"/>
      <c r="L555" s="310"/>
      <c r="M555" s="309"/>
      <c r="N555" s="310"/>
      <c r="O555" s="271"/>
      <c r="P555" s="271"/>
      <c r="Q555" s="310"/>
      <c r="R555" s="310"/>
      <c r="S555" s="309"/>
      <c r="T555" s="310"/>
      <c r="U555" s="309"/>
      <c r="V555" s="310"/>
      <c r="W555" s="309"/>
      <c r="X555" s="310"/>
      <c r="Y555" s="309"/>
      <c r="Z555" s="310"/>
      <c r="AA555" s="309"/>
      <c r="AB555" s="310"/>
      <c r="AC555" s="271"/>
      <c r="AD555" s="271"/>
      <c r="AE555" s="309"/>
      <c r="AF555" s="310"/>
      <c r="AG555" s="309"/>
      <c r="AH555" s="310"/>
      <c r="AI555" s="309"/>
      <c r="AJ555" s="310"/>
      <c r="AK555" s="309"/>
      <c r="AL555" s="310"/>
      <c r="AM555" s="309"/>
      <c r="AN555" s="310"/>
      <c r="AO555" s="309"/>
      <c r="AP555" s="310"/>
      <c r="AQ555" s="309"/>
      <c r="AR555" s="310"/>
      <c r="AS555" s="309"/>
      <c r="AT555" s="310"/>
      <c r="AU555" s="309"/>
      <c r="AV555" s="310"/>
      <c r="AW555" s="309"/>
      <c r="AX555" s="310"/>
      <c r="AY555" s="309"/>
      <c r="AZ555" s="310"/>
      <c r="BA555" s="271"/>
      <c r="BB555" s="271"/>
      <c r="BC555" s="271"/>
      <c r="BD555" s="271"/>
      <c r="BE555" s="271"/>
      <c r="BF555" s="271"/>
    </row>
    <row r="556" spans="2:58" ht="16" thickBot="1" x14ac:dyDescent="0.25">
      <c r="B556" s="289">
        <v>45722</v>
      </c>
      <c r="C556" s="295">
        <v>379.25</v>
      </c>
      <c r="D556" s="275"/>
      <c r="E556" s="274" t="s">
        <v>411</v>
      </c>
      <c r="F556" s="301"/>
      <c r="G556" s="309"/>
      <c r="H556" s="310"/>
      <c r="I556" s="309"/>
      <c r="J556" s="310"/>
      <c r="K556" s="309"/>
      <c r="L556" s="310"/>
      <c r="M556" s="309"/>
      <c r="N556" s="310"/>
      <c r="O556" s="271"/>
      <c r="P556" s="271"/>
      <c r="Q556" s="309"/>
      <c r="R556" s="310"/>
      <c r="S556" s="309"/>
      <c r="T556" s="310"/>
      <c r="U556" s="309"/>
      <c r="V556" s="310"/>
      <c r="W556" s="309"/>
      <c r="X556" s="310"/>
      <c r="Y556" s="309"/>
      <c r="Z556" s="310"/>
      <c r="AA556" s="309"/>
      <c r="AB556" s="310"/>
      <c r="AC556" s="271"/>
      <c r="AD556" s="271"/>
      <c r="AE556" s="309"/>
      <c r="AF556" s="310"/>
      <c r="AG556" s="309"/>
      <c r="AH556" s="310"/>
      <c r="AI556" s="309"/>
      <c r="AJ556" s="310"/>
      <c r="AK556" s="309"/>
      <c r="AL556" s="310"/>
      <c r="AM556" s="309"/>
      <c r="AN556" s="310"/>
      <c r="AO556" s="309"/>
      <c r="AP556" s="310"/>
      <c r="AQ556" s="309"/>
      <c r="AR556" s="310"/>
      <c r="AS556" s="309"/>
      <c r="AT556" s="310"/>
      <c r="AU556" s="309"/>
      <c r="AV556" s="310"/>
      <c r="AW556" s="309"/>
      <c r="AX556" s="310"/>
      <c r="AY556" s="309"/>
      <c r="AZ556" s="310"/>
      <c r="BA556" s="271"/>
      <c r="BB556" s="271"/>
      <c r="BC556" s="271"/>
      <c r="BD556" s="271"/>
      <c r="BE556" s="271"/>
      <c r="BF556" s="271"/>
    </row>
    <row r="557" spans="2:58" ht="16" thickBot="1" x14ac:dyDescent="0.25">
      <c r="B557" s="289"/>
      <c r="C557" s="295">
        <v>800</v>
      </c>
      <c r="D557" s="275"/>
      <c r="E557" s="275" t="s">
        <v>186</v>
      </c>
      <c r="F557" s="302"/>
      <c r="G557" s="309"/>
      <c r="H557" s="310"/>
      <c r="I557" s="309"/>
      <c r="J557" s="310"/>
      <c r="K557" s="309"/>
      <c r="L557" s="310"/>
      <c r="M557" s="309"/>
      <c r="N557" s="310"/>
      <c r="O557" s="271"/>
      <c r="P557" s="271"/>
      <c r="Q557" s="309"/>
      <c r="R557" s="310"/>
      <c r="S557" s="309"/>
      <c r="T557" s="310"/>
      <c r="U557" s="309"/>
      <c r="V557" s="310"/>
      <c r="W557" s="309"/>
      <c r="X557" s="310"/>
      <c r="Y557" s="309"/>
      <c r="Z557" s="310"/>
      <c r="AA557" s="309"/>
      <c r="AB557" s="310"/>
      <c r="AC557" s="271"/>
      <c r="AD557" s="271"/>
      <c r="AE557" s="309"/>
      <c r="AF557" s="310"/>
      <c r="AG557" s="309"/>
      <c r="AH557" s="310"/>
      <c r="AI557" s="309"/>
      <c r="AJ557" s="310"/>
      <c r="AK557" s="309"/>
      <c r="AL557" s="310"/>
      <c r="AM557" s="309"/>
      <c r="AN557" s="310"/>
      <c r="AO557" s="309"/>
      <c r="AP557" s="310"/>
      <c r="AQ557" s="309"/>
      <c r="AR557" s="310"/>
      <c r="AS557" s="309"/>
      <c r="AT557" s="310"/>
      <c r="AU557" s="309"/>
      <c r="AV557" s="310"/>
      <c r="AW557" s="309"/>
      <c r="AX557" s="310"/>
      <c r="AY557" s="309"/>
      <c r="AZ557" s="310"/>
      <c r="BA557" s="271"/>
      <c r="BB557" s="271"/>
      <c r="BC557" s="271"/>
      <c r="BD557" s="271"/>
      <c r="BE557" s="271"/>
      <c r="BF557" s="271"/>
    </row>
    <row r="558" spans="2:58" ht="16" thickBot="1" x14ac:dyDescent="0.25">
      <c r="B558" s="289"/>
      <c r="C558" s="295">
        <v>4358.5</v>
      </c>
      <c r="D558" s="275"/>
      <c r="E558" s="275"/>
      <c r="F558" s="302" t="s">
        <v>6</v>
      </c>
      <c r="G558" s="309"/>
      <c r="H558" s="310"/>
      <c r="I558" s="309"/>
      <c r="J558" s="310"/>
      <c r="K558" s="309"/>
      <c r="L558" s="310"/>
      <c r="M558" s="309"/>
      <c r="N558" s="310"/>
      <c r="O558" s="271"/>
      <c r="P558" s="271"/>
      <c r="Q558" s="309"/>
      <c r="R558" s="310"/>
      <c r="S558" s="309"/>
      <c r="T558" s="310"/>
      <c r="U558" s="309"/>
      <c r="V558" s="310"/>
      <c r="W558" s="309"/>
      <c r="X558" s="310"/>
      <c r="Y558" s="309"/>
      <c r="Z558" s="310"/>
      <c r="AA558" s="309">
        <v>1</v>
      </c>
      <c r="AB558" s="310">
        <v>4358.5</v>
      </c>
      <c r="AC558" s="271"/>
      <c r="AD558" s="271"/>
      <c r="AE558" s="309"/>
      <c r="AF558" s="310"/>
      <c r="AG558" s="309"/>
      <c r="AH558" s="310"/>
      <c r="AI558" s="309"/>
      <c r="AJ558" s="310"/>
      <c r="AK558" s="309"/>
      <c r="AL558" s="310"/>
      <c r="AM558" s="309"/>
      <c r="AN558" s="310"/>
      <c r="AO558" s="309"/>
      <c r="AP558" s="310"/>
      <c r="AQ558" s="309"/>
      <c r="AR558" s="310"/>
      <c r="AS558" s="309"/>
      <c r="AT558" s="310"/>
      <c r="AU558" s="309"/>
      <c r="AV558" s="310"/>
      <c r="AW558" s="309"/>
      <c r="AX558" s="310"/>
      <c r="AY558" s="309"/>
      <c r="AZ558" s="310"/>
      <c r="BA558" s="271"/>
      <c r="BB558" s="271"/>
      <c r="BC558" s="271"/>
      <c r="BD558" s="271"/>
      <c r="BE558" s="271"/>
      <c r="BF558" s="271"/>
    </row>
    <row r="559" spans="2:58" ht="16" thickBot="1" x14ac:dyDescent="0.25">
      <c r="B559" s="289"/>
      <c r="C559" s="295">
        <v>319.92</v>
      </c>
      <c r="D559" s="275"/>
      <c r="E559" s="275"/>
      <c r="F559" s="302" t="s">
        <v>14</v>
      </c>
      <c r="G559" s="309"/>
      <c r="H559" s="310"/>
      <c r="I559" s="309"/>
      <c r="J559" s="310"/>
      <c r="K559" s="309"/>
      <c r="L559" s="310"/>
      <c r="M559" s="309"/>
      <c r="N559" s="310"/>
      <c r="O559" s="271"/>
      <c r="P559" s="271"/>
      <c r="Q559" s="309"/>
      <c r="R559" s="310"/>
      <c r="S559" s="309"/>
      <c r="T559" s="310"/>
      <c r="U559" s="309"/>
      <c r="V559" s="310"/>
      <c r="W559" s="309"/>
      <c r="X559" s="310"/>
      <c r="Y559" s="309"/>
      <c r="Z559" s="310"/>
      <c r="AA559" s="309"/>
      <c r="AB559" s="310"/>
      <c r="AC559" s="271"/>
      <c r="AD559" s="271"/>
      <c r="AE559" s="309">
        <v>8</v>
      </c>
      <c r="AF559" s="310">
        <v>319.92</v>
      </c>
      <c r="AG559" s="309"/>
      <c r="AH559" s="310"/>
      <c r="AI559" s="309"/>
      <c r="AJ559" s="310"/>
      <c r="AK559" s="309"/>
      <c r="AL559" s="310"/>
      <c r="AM559" s="309"/>
      <c r="AN559" s="310"/>
      <c r="AO559" s="309"/>
      <c r="AP559" s="310"/>
      <c r="AQ559" s="309"/>
      <c r="AR559" s="310"/>
      <c r="AS559" s="309"/>
      <c r="AT559" s="310"/>
      <c r="AU559" s="309"/>
      <c r="AV559" s="310"/>
      <c r="AW559" s="309"/>
      <c r="AX559" s="310"/>
      <c r="AY559" s="309"/>
      <c r="AZ559" s="310"/>
      <c r="BA559" s="271"/>
      <c r="BB559" s="271"/>
      <c r="BC559" s="271"/>
      <c r="BD559" s="271"/>
      <c r="BE559" s="271"/>
      <c r="BF559" s="271"/>
    </row>
    <row r="560" spans="2:58" ht="16" thickBot="1" x14ac:dyDescent="0.25">
      <c r="B560" s="289" t="s">
        <v>23</v>
      </c>
      <c r="C560" s="295">
        <v>7386.52</v>
      </c>
      <c r="D560" s="275"/>
      <c r="E560" s="275"/>
      <c r="F560" s="302" t="s">
        <v>9</v>
      </c>
      <c r="G560" s="309">
        <v>8</v>
      </c>
      <c r="H560" s="310">
        <v>1095.92</v>
      </c>
      <c r="I560" s="309">
        <v>2</v>
      </c>
      <c r="J560" s="310">
        <v>409.98</v>
      </c>
      <c r="K560" s="309">
        <v>8</v>
      </c>
      <c r="L560" s="310">
        <v>1455.92</v>
      </c>
      <c r="M560" s="309">
        <v>12</v>
      </c>
      <c r="N560" s="310">
        <v>2003.88</v>
      </c>
      <c r="O560" s="271">
        <v>4</v>
      </c>
      <c r="P560" s="271">
        <v>1459.96</v>
      </c>
      <c r="Q560" s="309">
        <v>1</v>
      </c>
      <c r="R560" s="310">
        <v>144.99</v>
      </c>
      <c r="S560" s="309"/>
      <c r="T560" s="310"/>
      <c r="U560" s="309"/>
      <c r="V560" s="310"/>
      <c r="W560" s="309">
        <v>4</v>
      </c>
      <c r="X560" s="310">
        <v>171.96</v>
      </c>
      <c r="Y560" s="309"/>
      <c r="Z560" s="310"/>
      <c r="AA560" s="309"/>
      <c r="AB560" s="310"/>
      <c r="AC560" s="271">
        <v>5</v>
      </c>
      <c r="AD560" s="271">
        <v>494.95</v>
      </c>
      <c r="AE560" s="309"/>
      <c r="AF560" s="310"/>
      <c r="AG560" s="309"/>
      <c r="AH560" s="310"/>
      <c r="AI560" s="309"/>
      <c r="AJ560" s="310"/>
      <c r="AK560" s="309"/>
      <c r="AL560" s="310"/>
      <c r="AM560" s="309">
        <v>1</v>
      </c>
      <c r="AN560" s="310">
        <v>49.99</v>
      </c>
      <c r="AO560" s="309"/>
      <c r="AP560" s="310"/>
      <c r="AQ560" s="309"/>
      <c r="AR560" s="310"/>
      <c r="AS560" s="309"/>
      <c r="AT560" s="310"/>
      <c r="AU560" s="309"/>
      <c r="AV560" s="310"/>
      <c r="AW560" s="309"/>
      <c r="AX560" s="310"/>
      <c r="AY560" s="309"/>
      <c r="AZ560" s="310"/>
      <c r="BA560" s="271">
        <v>1</v>
      </c>
      <c r="BB560" s="271">
        <v>26.99</v>
      </c>
      <c r="BC560" s="271"/>
      <c r="BD560" s="271"/>
      <c r="BE560" s="271"/>
      <c r="BF560" s="271"/>
    </row>
    <row r="561" spans="2:58" ht="16" thickBot="1" x14ac:dyDescent="0.25">
      <c r="B561" s="298"/>
      <c r="C561" s="656">
        <f>SUM(C556:C560)</f>
        <v>13244.19</v>
      </c>
      <c r="D561" s="656"/>
      <c r="E561" s="578"/>
      <c r="F561" s="553"/>
      <c r="G561" s="309"/>
      <c r="H561" s="310"/>
      <c r="I561" s="309"/>
      <c r="J561" s="310"/>
      <c r="K561" s="309"/>
      <c r="L561" s="310"/>
      <c r="M561" s="309"/>
      <c r="N561" s="310"/>
      <c r="O561" s="271"/>
      <c r="P561" s="271"/>
      <c r="Q561" s="309"/>
      <c r="R561" s="310"/>
      <c r="S561" s="309"/>
      <c r="T561" s="310"/>
      <c r="U561" s="309"/>
      <c r="V561" s="310"/>
      <c r="W561" s="309"/>
      <c r="X561" s="310"/>
      <c r="Y561" s="309"/>
      <c r="Z561" s="310"/>
      <c r="AA561" s="309"/>
      <c r="AB561" s="310"/>
      <c r="AC561" s="271"/>
      <c r="AD561" s="271"/>
      <c r="AE561" s="309"/>
      <c r="AF561" s="310"/>
      <c r="AG561" s="309"/>
      <c r="AH561" s="310"/>
      <c r="AI561" s="309"/>
      <c r="AJ561" s="310"/>
      <c r="AK561" s="309"/>
      <c r="AL561" s="310"/>
      <c r="AM561" s="309"/>
      <c r="AN561" s="310"/>
      <c r="AO561" s="309"/>
      <c r="AP561" s="310"/>
      <c r="AQ561" s="309"/>
      <c r="AR561" s="310"/>
      <c r="AS561" s="309"/>
      <c r="AT561" s="310"/>
      <c r="AU561" s="309"/>
      <c r="AV561" s="310"/>
      <c r="AW561" s="309"/>
      <c r="AX561" s="310"/>
      <c r="AY561" s="309"/>
      <c r="AZ561" s="310"/>
      <c r="BA561" s="271"/>
      <c r="BB561" s="271"/>
      <c r="BC561" s="271"/>
      <c r="BD561" s="271"/>
      <c r="BE561" s="271"/>
      <c r="BF561" s="271"/>
    </row>
    <row r="562" spans="2:58" ht="16" thickBot="1" x14ac:dyDescent="0.25">
      <c r="B562" s="479">
        <v>45723</v>
      </c>
      <c r="C562" s="299">
        <v>76</v>
      </c>
      <c r="D562" s="300"/>
      <c r="E562" s="274" t="s">
        <v>710</v>
      </c>
      <c r="F562" s="301"/>
      <c r="G562" s="309"/>
      <c r="H562" s="310"/>
      <c r="I562" s="309"/>
      <c r="J562" s="310"/>
      <c r="K562" s="309"/>
      <c r="L562" s="310"/>
      <c r="M562" s="309"/>
      <c r="N562" s="310"/>
      <c r="O562" s="271"/>
      <c r="P562" s="271"/>
      <c r="Q562" s="309"/>
      <c r="R562" s="310"/>
      <c r="S562" s="309"/>
      <c r="T562" s="310"/>
      <c r="U562" s="309"/>
      <c r="V562" s="310"/>
      <c r="W562" s="309"/>
      <c r="X562" s="310"/>
      <c r="Y562" s="309"/>
      <c r="Z562" s="310"/>
      <c r="AA562" s="309"/>
      <c r="AB562" s="310"/>
      <c r="AC562" s="271"/>
      <c r="AD562" s="271"/>
      <c r="AE562" s="309"/>
      <c r="AF562" s="310"/>
      <c r="AG562" s="309"/>
      <c r="AH562" s="310"/>
      <c r="AI562" s="309"/>
      <c r="AJ562" s="310"/>
      <c r="AK562" s="309"/>
      <c r="AL562" s="310"/>
      <c r="AM562" s="309"/>
      <c r="AN562" s="310"/>
      <c r="AO562" s="309"/>
      <c r="AP562" s="310"/>
      <c r="AQ562" s="309"/>
      <c r="AR562" s="310"/>
      <c r="AS562" s="309"/>
      <c r="AT562" s="310"/>
      <c r="AU562" s="309"/>
      <c r="AV562" s="310"/>
      <c r="AW562" s="309"/>
      <c r="AX562" s="310"/>
      <c r="AY562" s="309"/>
      <c r="AZ562" s="310"/>
      <c r="BA562" s="271"/>
      <c r="BB562" s="271"/>
      <c r="BC562" s="271"/>
      <c r="BD562" s="271"/>
      <c r="BE562" s="271"/>
      <c r="BF562" s="271"/>
    </row>
    <row r="563" spans="2:58" ht="16" thickBot="1" x14ac:dyDescent="0.25">
      <c r="B563" s="479"/>
      <c r="C563" s="299">
        <v>800.08</v>
      </c>
      <c r="D563" s="300"/>
      <c r="E563" s="275" t="s">
        <v>186</v>
      </c>
      <c r="F563" s="302"/>
      <c r="G563" s="309"/>
      <c r="H563" s="310"/>
      <c r="I563" s="309"/>
      <c r="J563" s="310"/>
      <c r="K563" s="309"/>
      <c r="L563" s="310"/>
      <c r="M563" s="309"/>
      <c r="N563" s="310"/>
      <c r="O563" s="271"/>
      <c r="P563" s="271"/>
      <c r="Q563" s="309"/>
      <c r="R563" s="310"/>
      <c r="S563" s="309"/>
      <c r="T563" s="310"/>
      <c r="U563" s="309"/>
      <c r="V563" s="310"/>
      <c r="W563" s="309"/>
      <c r="X563" s="310"/>
      <c r="Y563" s="309"/>
      <c r="Z563" s="310"/>
      <c r="AA563" s="309"/>
      <c r="AB563" s="310"/>
      <c r="AC563" s="271"/>
      <c r="AD563" s="271"/>
      <c r="AE563" s="309"/>
      <c r="AF563" s="310"/>
      <c r="AG563" s="309"/>
      <c r="AH563" s="310"/>
      <c r="AI563" s="309"/>
      <c r="AJ563" s="310"/>
      <c r="AK563" s="309"/>
      <c r="AL563" s="310"/>
      <c r="AM563" s="309"/>
      <c r="AN563" s="310"/>
      <c r="AO563" s="309"/>
      <c r="AP563" s="310"/>
      <c r="AQ563" s="309"/>
      <c r="AR563" s="310"/>
      <c r="AS563" s="309"/>
      <c r="AT563" s="310"/>
      <c r="AU563" s="309"/>
      <c r="AV563" s="310"/>
      <c r="AW563" s="309"/>
      <c r="AX563" s="310"/>
      <c r="AY563" s="309"/>
      <c r="AZ563" s="310"/>
      <c r="BA563" s="271"/>
      <c r="BB563" s="271"/>
      <c r="BC563" s="271"/>
      <c r="BD563" s="271"/>
      <c r="BE563" s="271"/>
      <c r="BF563" s="271"/>
    </row>
    <row r="564" spans="2:58" ht="16" thickBot="1" x14ac:dyDescent="0.25">
      <c r="B564" s="479"/>
      <c r="C564" s="299">
        <v>165.98</v>
      </c>
      <c r="D564" s="300"/>
      <c r="E564" s="275" t="s">
        <v>411</v>
      </c>
      <c r="F564" s="302"/>
      <c r="G564" s="309"/>
      <c r="H564" s="310"/>
      <c r="I564" s="309"/>
      <c r="J564" s="310"/>
      <c r="K564" s="309"/>
      <c r="L564" s="310"/>
      <c r="M564" s="309"/>
      <c r="N564" s="310"/>
      <c r="O564" s="271"/>
      <c r="P564" s="271"/>
      <c r="Q564" s="309"/>
      <c r="R564" s="310"/>
      <c r="S564" s="309"/>
      <c r="T564" s="310"/>
      <c r="U564" s="309"/>
      <c r="V564" s="310"/>
      <c r="W564" s="309"/>
      <c r="X564" s="310"/>
      <c r="Y564" s="309"/>
      <c r="Z564" s="310"/>
      <c r="AA564" s="309"/>
      <c r="AB564" s="310"/>
      <c r="AC564" s="271"/>
      <c r="AD564" s="271"/>
      <c r="AE564" s="309"/>
      <c r="AF564" s="310"/>
      <c r="AG564" s="309"/>
      <c r="AH564" s="310"/>
      <c r="AI564" s="309"/>
      <c r="AJ564" s="310"/>
      <c r="AK564" s="309"/>
      <c r="AL564" s="310"/>
      <c r="AM564" s="309"/>
      <c r="AN564" s="310"/>
      <c r="AO564" s="309"/>
      <c r="AP564" s="310"/>
      <c r="AQ564" s="309"/>
      <c r="AR564" s="310"/>
      <c r="AS564" s="309"/>
      <c r="AT564" s="310"/>
      <c r="AU564" s="309"/>
      <c r="AV564" s="310"/>
      <c r="AW564" s="309"/>
      <c r="AX564" s="310"/>
      <c r="AY564" s="309"/>
      <c r="AZ564" s="310"/>
      <c r="BA564" s="271"/>
      <c r="BB564" s="271"/>
      <c r="BC564" s="271"/>
      <c r="BD564" s="271"/>
      <c r="BE564" s="271"/>
      <c r="BF564" s="271"/>
    </row>
    <row r="565" spans="2:58" ht="16" thickBot="1" x14ac:dyDescent="0.25">
      <c r="B565" s="479"/>
      <c r="C565" s="299">
        <v>200.87</v>
      </c>
      <c r="D565" s="300"/>
      <c r="E565" s="275" t="s">
        <v>821</v>
      </c>
      <c r="F565" s="302"/>
      <c r="G565" s="309"/>
      <c r="H565" s="310"/>
      <c r="I565" s="309"/>
      <c r="J565" s="310"/>
      <c r="K565" s="309"/>
      <c r="L565" s="310"/>
      <c r="M565" s="309"/>
      <c r="N565" s="310"/>
      <c r="O565" s="271"/>
      <c r="P565" s="271"/>
      <c r="Q565" s="309"/>
      <c r="R565" s="310"/>
      <c r="S565" s="309"/>
      <c r="T565" s="310"/>
      <c r="U565" s="309"/>
      <c r="V565" s="310"/>
      <c r="W565" s="309"/>
      <c r="X565" s="310"/>
      <c r="Y565" s="309"/>
      <c r="Z565" s="310"/>
      <c r="AA565" s="309"/>
      <c r="AB565" s="310"/>
      <c r="AC565" s="271"/>
      <c r="AD565" s="271"/>
      <c r="AE565" s="309"/>
      <c r="AF565" s="310"/>
      <c r="AG565" s="309"/>
      <c r="AH565" s="310"/>
      <c r="AI565" s="309"/>
      <c r="AJ565" s="310"/>
      <c r="AK565" s="309"/>
      <c r="AL565" s="310"/>
      <c r="AM565" s="309"/>
      <c r="AN565" s="310"/>
      <c r="AO565" s="309"/>
      <c r="AP565" s="310"/>
      <c r="AQ565" s="309"/>
      <c r="AR565" s="310"/>
      <c r="AS565" s="309"/>
      <c r="AT565" s="310"/>
      <c r="AU565" s="309"/>
      <c r="AV565" s="310"/>
      <c r="AW565" s="309"/>
      <c r="AX565" s="310"/>
      <c r="AY565" s="309"/>
      <c r="AZ565" s="310"/>
      <c r="BA565" s="271"/>
      <c r="BB565" s="271"/>
      <c r="BC565" s="271"/>
      <c r="BD565" s="271"/>
      <c r="BE565" s="271"/>
      <c r="BF565" s="271"/>
    </row>
    <row r="566" spans="2:58" ht="16" thickBot="1" x14ac:dyDescent="0.25">
      <c r="B566" s="479"/>
      <c r="C566" s="657">
        <v>240</v>
      </c>
      <c r="D566" s="657"/>
      <c r="E566" s="285" t="s">
        <v>396</v>
      </c>
      <c r="F566" s="302"/>
      <c r="G566" s="309"/>
      <c r="H566" s="310"/>
      <c r="I566" s="309"/>
      <c r="J566" s="310"/>
      <c r="K566" s="309"/>
      <c r="L566" s="310"/>
      <c r="M566" s="309"/>
      <c r="N566" s="310"/>
      <c r="O566" s="271"/>
      <c r="P566" s="271"/>
      <c r="Q566" s="309"/>
      <c r="R566" s="310"/>
      <c r="S566" s="309"/>
      <c r="T566" s="310"/>
      <c r="U566" s="309"/>
      <c r="V566" s="310"/>
      <c r="W566" s="309"/>
      <c r="X566" s="310"/>
      <c r="Y566" s="309"/>
      <c r="Z566" s="310"/>
      <c r="AA566" s="309"/>
      <c r="AB566" s="310"/>
      <c r="AC566" s="271"/>
      <c r="AD566" s="271"/>
      <c r="AE566" s="309"/>
      <c r="AF566" s="310"/>
      <c r="AG566" s="309"/>
      <c r="AH566" s="310"/>
      <c r="AI566" s="309"/>
      <c r="AJ566" s="310"/>
      <c r="AK566" s="309"/>
      <c r="AL566" s="310"/>
      <c r="AM566" s="309"/>
      <c r="AN566" s="310"/>
      <c r="AO566" s="309"/>
      <c r="AP566" s="310"/>
      <c r="AQ566" s="309"/>
      <c r="AR566" s="310"/>
      <c r="AS566" s="309"/>
      <c r="AT566" s="310"/>
      <c r="AU566" s="309"/>
      <c r="AV566" s="310"/>
      <c r="AW566" s="309"/>
      <c r="AX566" s="310"/>
      <c r="AY566" s="309"/>
      <c r="AZ566" s="310"/>
      <c r="BA566" s="271"/>
      <c r="BB566" s="271"/>
      <c r="BC566" s="271"/>
      <c r="BD566" s="271"/>
      <c r="BE566" s="271"/>
      <c r="BF566" s="271"/>
    </row>
    <row r="567" spans="2:58" ht="16" thickBot="1" x14ac:dyDescent="0.25">
      <c r="B567" s="479"/>
      <c r="C567" s="710">
        <v>18610</v>
      </c>
      <c r="D567" s="710"/>
      <c r="E567" s="285" t="s">
        <v>12</v>
      </c>
      <c r="F567" s="302"/>
      <c r="G567" s="309"/>
      <c r="H567" s="310"/>
      <c r="I567" s="309"/>
      <c r="J567" s="310"/>
      <c r="K567" s="309"/>
      <c r="L567" s="310"/>
      <c r="M567" s="309"/>
      <c r="N567" s="310"/>
      <c r="O567" s="271"/>
      <c r="P567" s="271"/>
      <c r="Q567" s="309"/>
      <c r="R567" s="310"/>
      <c r="S567" s="309"/>
      <c r="T567" s="310"/>
      <c r="U567" s="309"/>
      <c r="V567" s="310"/>
      <c r="W567" s="309"/>
      <c r="X567" s="310"/>
      <c r="Y567" s="309"/>
      <c r="Z567" s="310"/>
      <c r="AA567" s="309"/>
      <c r="AB567" s="310"/>
      <c r="AC567" s="271"/>
      <c r="AD567" s="271"/>
      <c r="AE567" s="309"/>
      <c r="AF567" s="310"/>
      <c r="AG567" s="309"/>
      <c r="AH567" s="310"/>
      <c r="AI567" s="309"/>
      <c r="AJ567" s="310"/>
      <c r="AK567" s="309"/>
      <c r="AL567" s="310"/>
      <c r="AM567" s="309"/>
      <c r="AN567" s="310"/>
      <c r="AO567" s="309"/>
      <c r="AP567" s="310"/>
      <c r="AQ567" s="309"/>
      <c r="AR567" s="310"/>
      <c r="AS567" s="309"/>
      <c r="AT567" s="310"/>
      <c r="AU567" s="309"/>
      <c r="AV567" s="310"/>
      <c r="AW567" s="309"/>
      <c r="AX567" s="310"/>
      <c r="AY567" s="309"/>
      <c r="AZ567" s="310"/>
      <c r="BA567" s="271"/>
      <c r="BB567" s="271"/>
      <c r="BC567" s="271"/>
      <c r="BD567" s="271"/>
      <c r="BE567" s="271"/>
      <c r="BF567" s="271"/>
    </row>
    <row r="568" spans="2:58" ht="16" thickBot="1" x14ac:dyDescent="0.25">
      <c r="B568" s="479" t="s">
        <v>24</v>
      </c>
      <c r="C568" s="299">
        <v>344.1</v>
      </c>
      <c r="D568" s="300"/>
      <c r="E568" s="275" t="s">
        <v>637</v>
      </c>
      <c r="F568" s="302"/>
      <c r="G568" s="309"/>
      <c r="H568" s="310"/>
      <c r="I568" s="309"/>
      <c r="J568" s="310"/>
      <c r="K568" s="309"/>
      <c r="L568" s="310"/>
      <c r="M568" s="309"/>
      <c r="N568" s="310"/>
      <c r="O568" s="271"/>
      <c r="P568" s="271"/>
      <c r="Q568" s="309"/>
      <c r="R568" s="310"/>
      <c r="S568" s="309"/>
      <c r="T568" s="310"/>
      <c r="U568" s="309"/>
      <c r="V568" s="310"/>
      <c r="W568" s="309"/>
      <c r="X568" s="310"/>
      <c r="Y568" s="309"/>
      <c r="Z568" s="310"/>
      <c r="AA568" s="309"/>
      <c r="AB568" s="310"/>
      <c r="AC568" s="271"/>
      <c r="AD568" s="271"/>
      <c r="AE568" s="309"/>
      <c r="AF568" s="310"/>
      <c r="AG568" s="309"/>
      <c r="AH568" s="310"/>
      <c r="AI568" s="309"/>
      <c r="AJ568" s="310"/>
      <c r="AK568" s="309"/>
      <c r="AL568" s="310"/>
      <c r="AM568" s="309"/>
      <c r="AN568" s="310"/>
      <c r="AO568" s="309"/>
      <c r="AP568" s="310"/>
      <c r="AQ568" s="309"/>
      <c r="AR568" s="310"/>
      <c r="AS568" s="309"/>
      <c r="AT568" s="310"/>
      <c r="AU568" s="309"/>
      <c r="AV568" s="310"/>
      <c r="AW568" s="309"/>
      <c r="AX568" s="310"/>
      <c r="AY568" s="309"/>
      <c r="AZ568" s="310"/>
      <c r="BA568" s="271"/>
      <c r="BB568" s="271"/>
      <c r="BC568" s="271"/>
      <c r="BD568" s="271"/>
      <c r="BE568" s="271"/>
      <c r="BF568" s="271"/>
    </row>
    <row r="569" spans="2:58" ht="16" thickBot="1" x14ac:dyDescent="0.25">
      <c r="B569" s="577"/>
      <c r="C569" s="159">
        <f>SUM(C562:C568)</f>
        <v>20437.03</v>
      </c>
      <c r="D569" s="159"/>
      <c r="E569" s="270"/>
      <c r="F569" s="271"/>
      <c r="G569" s="309"/>
      <c r="H569" s="310"/>
      <c r="I569" s="309"/>
      <c r="J569" s="310"/>
      <c r="K569" s="309"/>
      <c r="L569" s="310"/>
      <c r="M569" s="309"/>
      <c r="N569" s="310"/>
      <c r="O569" s="271"/>
      <c r="P569" s="271"/>
      <c r="Q569" s="309"/>
      <c r="R569" s="310"/>
      <c r="S569" s="309"/>
      <c r="T569" s="310"/>
      <c r="U569" s="309"/>
      <c r="V569" s="310"/>
      <c r="W569" s="309"/>
      <c r="X569" s="310"/>
      <c r="Y569" s="309"/>
      <c r="Z569" s="310"/>
      <c r="AA569" s="309"/>
      <c r="AB569" s="310"/>
      <c r="AC569" s="271"/>
      <c r="AD569" s="271"/>
      <c r="AE569" s="309"/>
      <c r="AF569" s="310"/>
      <c r="AG569" s="309"/>
      <c r="AH569" s="310"/>
      <c r="AI569" s="309"/>
      <c r="AJ569" s="310"/>
      <c r="AK569" s="309"/>
      <c r="AL569" s="310"/>
      <c r="AM569" s="309"/>
      <c r="AN569" s="310"/>
      <c r="AO569" s="309"/>
      <c r="AP569" s="310"/>
      <c r="AQ569" s="309"/>
      <c r="AR569" s="310"/>
      <c r="AS569" s="309"/>
      <c r="AT569" s="310"/>
      <c r="AU569" s="309"/>
      <c r="AV569" s="310"/>
      <c r="AW569" s="309"/>
      <c r="AX569" s="310"/>
      <c r="AY569" s="309"/>
      <c r="AZ569" s="310"/>
      <c r="BA569" s="271"/>
      <c r="BB569" s="271"/>
      <c r="BC569" s="271"/>
      <c r="BD569" s="271"/>
      <c r="BE569" s="271"/>
      <c r="BF569" s="271"/>
    </row>
    <row r="570" spans="2:58" ht="16" thickBot="1" x14ac:dyDescent="0.25">
      <c r="B570" s="289">
        <v>45724</v>
      </c>
      <c r="C570" s="299">
        <v>700</v>
      </c>
      <c r="D570" s="300"/>
      <c r="E570" s="274" t="s">
        <v>186</v>
      </c>
      <c r="F570" s="302"/>
      <c r="G570" s="309"/>
      <c r="H570" s="310"/>
      <c r="I570" s="309"/>
      <c r="J570" s="310"/>
      <c r="K570" s="309"/>
      <c r="L570" s="310"/>
      <c r="M570" s="309"/>
      <c r="N570" s="310"/>
      <c r="O570" s="271"/>
      <c r="P570" s="271"/>
      <c r="Q570" s="309"/>
      <c r="R570" s="310"/>
      <c r="S570" s="309"/>
      <c r="T570" s="310"/>
      <c r="U570" s="309"/>
      <c r="V570" s="310"/>
      <c r="W570" s="309"/>
      <c r="X570" s="310"/>
      <c r="Y570" s="309"/>
      <c r="Z570" s="310"/>
      <c r="AA570" s="309"/>
      <c r="AB570" s="310"/>
      <c r="AC570" s="271"/>
      <c r="AD570" s="271"/>
      <c r="AE570" s="309"/>
      <c r="AF570" s="310"/>
      <c r="AG570" s="309"/>
      <c r="AH570" s="310"/>
      <c r="AI570" s="309"/>
      <c r="AJ570" s="310"/>
      <c r="AK570" s="309"/>
      <c r="AL570" s="310"/>
      <c r="AM570" s="309"/>
      <c r="AN570" s="310"/>
      <c r="AO570" s="309"/>
      <c r="AP570" s="310"/>
      <c r="AQ570" s="309"/>
      <c r="AR570" s="310"/>
      <c r="AS570" s="309"/>
      <c r="AT570" s="310"/>
      <c r="AU570" s="309"/>
      <c r="AV570" s="310"/>
      <c r="AW570" s="309"/>
      <c r="AX570" s="310"/>
      <c r="AY570" s="309"/>
      <c r="AZ570" s="310"/>
      <c r="BA570" s="271"/>
      <c r="BB570" s="271"/>
      <c r="BC570" s="271"/>
      <c r="BD570" s="271"/>
      <c r="BE570" s="271"/>
      <c r="BF570" s="271"/>
    </row>
    <row r="571" spans="2:58" ht="16" thickBot="1" x14ac:dyDescent="0.25">
      <c r="B571" s="289"/>
      <c r="C571" s="299">
        <v>3258.8</v>
      </c>
      <c r="D571" s="300"/>
      <c r="E571" s="275"/>
      <c r="F571" s="302" t="s">
        <v>11</v>
      </c>
      <c r="G571" s="309"/>
      <c r="H571" s="310"/>
      <c r="I571" s="309"/>
      <c r="J571" s="310"/>
      <c r="K571" s="309"/>
      <c r="L571" s="310"/>
      <c r="M571" s="309"/>
      <c r="N571" s="310"/>
      <c r="O571" s="271"/>
      <c r="P571" s="271"/>
      <c r="Q571" s="309"/>
      <c r="R571" s="310"/>
      <c r="S571" s="309"/>
      <c r="T571" s="310"/>
      <c r="U571" s="309">
        <v>5</v>
      </c>
      <c r="V571" s="310">
        <v>2996.95</v>
      </c>
      <c r="W571" s="309"/>
      <c r="X571" s="310"/>
      <c r="Y571" s="309"/>
      <c r="Z571" s="310"/>
      <c r="AA571" s="309"/>
      <c r="AB571" s="310"/>
      <c r="AC571" s="271"/>
      <c r="AD571" s="271"/>
      <c r="AE571" s="309"/>
      <c r="AF571" s="310"/>
      <c r="AG571" s="309"/>
      <c r="AH571" s="310"/>
      <c r="AI571" s="309"/>
      <c r="AJ571" s="310"/>
      <c r="AK571" s="309"/>
      <c r="AL571" s="310"/>
      <c r="AM571" s="309"/>
      <c r="AN571" s="310"/>
      <c r="AO571" s="309"/>
      <c r="AP571" s="310"/>
      <c r="AQ571" s="309"/>
      <c r="AR571" s="310"/>
      <c r="AS571" s="309"/>
      <c r="AT571" s="310"/>
      <c r="AU571" s="309"/>
      <c r="AV571" s="310"/>
      <c r="AW571" s="309"/>
      <c r="AX571" s="310"/>
      <c r="AY571" s="309"/>
      <c r="AZ571" s="310"/>
      <c r="BA571" s="271"/>
      <c r="BB571" s="271"/>
      <c r="BC571" s="271"/>
      <c r="BD571" s="271"/>
      <c r="BE571" s="271"/>
      <c r="BF571" s="271"/>
    </row>
    <row r="572" spans="2:58" ht="16" thickBot="1" x14ac:dyDescent="0.25">
      <c r="B572" s="289"/>
      <c r="C572" s="299">
        <v>163.96</v>
      </c>
      <c r="D572" s="300"/>
      <c r="E572" s="275"/>
      <c r="F572" s="302" t="s">
        <v>14</v>
      </c>
      <c r="G572" s="309"/>
      <c r="H572" s="310"/>
      <c r="I572" s="309"/>
      <c r="J572" s="310"/>
      <c r="K572" s="309"/>
      <c r="L572" s="310"/>
      <c r="M572" s="309"/>
      <c r="N572" s="310"/>
      <c r="O572" s="271"/>
      <c r="P572" s="271"/>
      <c r="Q572" s="309"/>
      <c r="R572" s="310"/>
      <c r="S572" s="309"/>
      <c r="T572" s="310"/>
      <c r="U572" s="309"/>
      <c r="V572" s="310"/>
      <c r="W572" s="309"/>
      <c r="X572" s="310"/>
      <c r="Y572" s="309"/>
      <c r="Z572" s="310"/>
      <c r="AA572" s="309"/>
      <c r="AB572" s="310"/>
      <c r="AC572" s="271"/>
      <c r="AD572" s="271"/>
      <c r="AE572" s="309">
        <v>4</v>
      </c>
      <c r="AF572" s="310">
        <v>163.96</v>
      </c>
      <c r="AG572" s="309"/>
      <c r="AH572" s="310"/>
      <c r="AI572" s="309"/>
      <c r="AJ572" s="310"/>
      <c r="AK572" s="309"/>
      <c r="AL572" s="310"/>
      <c r="AM572" s="309"/>
      <c r="AN572" s="310"/>
      <c r="AO572" s="309"/>
      <c r="AP572" s="310"/>
      <c r="AQ572" s="309"/>
      <c r="AR572" s="310"/>
      <c r="AS572" s="309"/>
      <c r="AT572" s="310"/>
      <c r="AU572" s="309"/>
      <c r="AV572" s="310"/>
      <c r="AW572" s="309"/>
      <c r="AX572" s="310"/>
      <c r="AY572" s="309"/>
      <c r="AZ572" s="310"/>
      <c r="BA572" s="271"/>
      <c r="BB572" s="271"/>
      <c r="BC572" s="271"/>
      <c r="BD572" s="271"/>
      <c r="BE572" s="271"/>
      <c r="BF572" s="271"/>
    </row>
    <row r="573" spans="2:58" ht="16" thickBot="1" x14ac:dyDescent="0.25">
      <c r="B573" s="289"/>
      <c r="C573" s="299">
        <v>3311.83</v>
      </c>
      <c r="D573" s="300"/>
      <c r="E573" s="275"/>
      <c r="F573" s="302" t="s">
        <v>9</v>
      </c>
      <c r="G573" s="309">
        <v>4</v>
      </c>
      <c r="H573" s="310">
        <v>547.96</v>
      </c>
      <c r="I573" s="309">
        <v>1</v>
      </c>
      <c r="J573" s="310">
        <v>204.99</v>
      </c>
      <c r="K573" s="309">
        <v>4</v>
      </c>
      <c r="L573" s="310">
        <v>727.96</v>
      </c>
      <c r="M573" s="309">
        <v>4</v>
      </c>
      <c r="N573" s="310">
        <v>667.96</v>
      </c>
      <c r="O573" s="271">
        <v>2</v>
      </c>
      <c r="P573" s="271">
        <v>730</v>
      </c>
      <c r="Q573" s="309"/>
      <c r="R573" s="310"/>
      <c r="S573" s="309"/>
      <c r="T573" s="310"/>
      <c r="U573" s="309"/>
      <c r="V573" s="310"/>
      <c r="W573" s="309"/>
      <c r="X573" s="310"/>
      <c r="Y573" s="309"/>
      <c r="Z573" s="310"/>
      <c r="AA573" s="309"/>
      <c r="AB573" s="310"/>
      <c r="AC573" s="271">
        <v>3</v>
      </c>
      <c r="AD573" s="271">
        <v>296.97000000000003</v>
      </c>
      <c r="AE573" s="309"/>
      <c r="AF573" s="310"/>
      <c r="AG573" s="309"/>
      <c r="AH573" s="310"/>
      <c r="AI573" s="309"/>
      <c r="AJ573" s="310"/>
      <c r="AK573" s="309"/>
      <c r="AL573" s="310"/>
      <c r="AM573" s="309"/>
      <c r="AN573" s="310"/>
      <c r="AO573" s="309"/>
      <c r="AP573" s="310"/>
      <c r="AQ573" s="309"/>
      <c r="AR573" s="310"/>
      <c r="AS573" s="309"/>
      <c r="AT573" s="310"/>
      <c r="AU573" s="309"/>
      <c r="AV573" s="310"/>
      <c r="AW573" s="309"/>
      <c r="AX573" s="310"/>
      <c r="AY573" s="309"/>
      <c r="AZ573" s="310"/>
      <c r="BA573" s="271"/>
      <c r="BB573" s="271"/>
      <c r="BC573" s="271"/>
      <c r="BD573" s="271"/>
      <c r="BE573" s="271">
        <v>1</v>
      </c>
      <c r="BF573" s="271">
        <v>75.989999999999995</v>
      </c>
    </row>
    <row r="574" spans="2:58" ht="16" thickBot="1" x14ac:dyDescent="0.25">
      <c r="B574" s="289"/>
      <c r="C574" s="299"/>
      <c r="D574" s="300"/>
      <c r="E574" s="275"/>
      <c r="F574" s="302"/>
      <c r="G574" s="309"/>
      <c r="H574" s="310"/>
      <c r="I574" s="309"/>
      <c r="J574" s="310"/>
      <c r="K574" s="309"/>
      <c r="L574" s="310"/>
      <c r="M574" s="309"/>
      <c r="N574" s="310"/>
      <c r="O574" s="271"/>
      <c r="P574" s="271"/>
      <c r="Q574" s="309"/>
      <c r="R574" s="310"/>
      <c r="S574" s="309"/>
      <c r="T574" s="310"/>
      <c r="U574" s="309"/>
      <c r="V574" s="310"/>
      <c r="W574" s="309"/>
      <c r="X574" s="310"/>
      <c r="Y574" s="309"/>
      <c r="Z574" s="310"/>
      <c r="AA574" s="309"/>
      <c r="AB574" s="310"/>
      <c r="AC574" s="271"/>
      <c r="AD574" s="271"/>
      <c r="AE574" s="309"/>
      <c r="AF574" s="310"/>
      <c r="AG574" s="309"/>
      <c r="AH574" s="310"/>
      <c r="AI574" s="309"/>
      <c r="AJ574" s="310"/>
      <c r="AK574" s="309"/>
      <c r="AL574" s="310"/>
      <c r="AM574" s="309"/>
      <c r="AN574" s="310"/>
      <c r="AO574" s="309"/>
      <c r="AP574" s="310"/>
      <c r="AQ574" s="309"/>
      <c r="AR574" s="310"/>
      <c r="AS574" s="309"/>
      <c r="AT574" s="310"/>
      <c r="AU574" s="309"/>
      <c r="AV574" s="310"/>
      <c r="AW574" s="309"/>
      <c r="AX574" s="310"/>
      <c r="AY574" s="309"/>
      <c r="AZ574" s="310"/>
      <c r="BA574" s="271"/>
      <c r="BB574" s="271"/>
      <c r="BC574" s="271"/>
      <c r="BD574" s="271"/>
      <c r="BE574" s="271"/>
      <c r="BF574" s="271"/>
    </row>
    <row r="575" spans="2:58" ht="16" thickBot="1" x14ac:dyDescent="0.25">
      <c r="B575" s="289"/>
      <c r="C575" s="299"/>
      <c r="D575" s="300"/>
      <c r="E575" s="275"/>
      <c r="F575" s="302"/>
      <c r="G575" s="309"/>
      <c r="H575" s="310"/>
      <c r="I575" s="309"/>
      <c r="J575" s="310"/>
      <c r="K575" s="309"/>
      <c r="L575" s="310"/>
      <c r="M575" s="309"/>
      <c r="N575" s="310"/>
      <c r="O575" s="271"/>
      <c r="P575" s="271"/>
      <c r="Q575" s="309"/>
      <c r="R575" s="310"/>
      <c r="S575" s="309"/>
      <c r="T575" s="310"/>
      <c r="U575" s="309"/>
      <c r="V575" s="310"/>
      <c r="W575" s="309"/>
      <c r="X575" s="310"/>
      <c r="Y575" s="309"/>
      <c r="Z575" s="310"/>
      <c r="AA575" s="309"/>
      <c r="AB575" s="310"/>
      <c r="AC575" s="271"/>
      <c r="AD575" s="271"/>
      <c r="AE575" s="309"/>
      <c r="AF575" s="310"/>
      <c r="AG575" s="309"/>
      <c r="AH575" s="310"/>
      <c r="AI575" s="309"/>
      <c r="AJ575" s="310"/>
      <c r="AK575" s="309"/>
      <c r="AL575" s="310"/>
      <c r="AM575" s="309"/>
      <c r="AN575" s="310"/>
      <c r="AO575" s="309"/>
      <c r="AP575" s="310"/>
      <c r="AQ575" s="309"/>
      <c r="AR575" s="310"/>
      <c r="AS575" s="309"/>
      <c r="AT575" s="310"/>
      <c r="AU575" s="309"/>
      <c r="AV575" s="310"/>
      <c r="AW575" s="309"/>
      <c r="AX575" s="310"/>
      <c r="AY575" s="309"/>
      <c r="AZ575" s="310"/>
      <c r="BA575" s="271"/>
      <c r="BB575" s="271"/>
      <c r="BC575" s="271"/>
      <c r="BD575" s="271"/>
      <c r="BE575" s="271"/>
      <c r="BF575" s="271"/>
    </row>
    <row r="576" spans="2:58" ht="16" thickBot="1" x14ac:dyDescent="0.25">
      <c r="B576" s="289"/>
      <c r="C576" s="299"/>
      <c r="D576" s="300"/>
      <c r="E576" s="275"/>
      <c r="F576" s="302"/>
      <c r="G576" s="309"/>
      <c r="H576" s="310"/>
      <c r="I576" s="309"/>
      <c r="J576" s="310"/>
      <c r="K576" s="309"/>
      <c r="L576" s="310"/>
      <c r="M576" s="309"/>
      <c r="N576" s="310"/>
      <c r="O576" s="271"/>
      <c r="P576" s="271"/>
      <c r="Q576" s="309"/>
      <c r="R576" s="310"/>
      <c r="S576" s="309"/>
      <c r="T576" s="310"/>
      <c r="U576" s="309"/>
      <c r="V576" s="310"/>
      <c r="W576" s="309"/>
      <c r="X576" s="310"/>
      <c r="Y576" s="309"/>
      <c r="Z576" s="310"/>
      <c r="AA576" s="309"/>
      <c r="AB576" s="310"/>
      <c r="AC576" s="271"/>
      <c r="AD576" s="271"/>
      <c r="AE576" s="309"/>
      <c r="AF576" s="310"/>
      <c r="AG576" s="309"/>
      <c r="AH576" s="310"/>
      <c r="AI576" s="309"/>
      <c r="AJ576" s="310"/>
      <c r="AK576" s="309"/>
      <c r="AL576" s="310"/>
      <c r="AM576" s="309"/>
      <c r="AN576" s="310"/>
      <c r="AO576" s="309"/>
      <c r="AP576" s="310"/>
      <c r="AQ576" s="309"/>
      <c r="AR576" s="310"/>
      <c r="AS576" s="309"/>
      <c r="AT576" s="310"/>
      <c r="AU576" s="309"/>
      <c r="AV576" s="310"/>
      <c r="AW576" s="309"/>
      <c r="AX576" s="310"/>
      <c r="AY576" s="309"/>
      <c r="AZ576" s="310"/>
      <c r="BA576" s="271"/>
      <c r="BB576" s="271"/>
      <c r="BC576" s="271"/>
      <c r="BD576" s="271"/>
      <c r="BE576" s="271"/>
      <c r="BF576" s="271"/>
    </row>
    <row r="577" spans="2:58" ht="16" thickBot="1" x14ac:dyDescent="0.25">
      <c r="B577" s="288" t="s">
        <v>25</v>
      </c>
      <c r="C577" s="284"/>
      <c r="D577" s="291"/>
      <c r="E577" s="290"/>
      <c r="F577" s="293"/>
      <c r="G577" s="309"/>
      <c r="H577" s="310"/>
      <c r="I577" s="309"/>
      <c r="J577" s="310"/>
      <c r="K577" s="309"/>
      <c r="L577" s="310"/>
      <c r="M577" s="309"/>
      <c r="N577" s="310"/>
      <c r="O577" s="271"/>
      <c r="P577" s="271"/>
      <c r="Q577" s="309"/>
      <c r="R577" s="310"/>
      <c r="S577" s="309"/>
      <c r="T577" s="310"/>
      <c r="U577" s="309"/>
      <c r="V577" s="310"/>
      <c r="W577" s="309"/>
      <c r="X577" s="310"/>
      <c r="Y577" s="309"/>
      <c r="Z577" s="310"/>
      <c r="AA577" s="309"/>
      <c r="AB577" s="310"/>
      <c r="AC577" s="271"/>
      <c r="AD577" s="271"/>
      <c r="AE577" s="309"/>
      <c r="AF577" s="310"/>
      <c r="AG577" s="309"/>
      <c r="AH577" s="310"/>
      <c r="AI577" s="309"/>
      <c r="AJ577" s="310"/>
      <c r="AK577" s="309"/>
      <c r="AL577" s="310"/>
      <c r="AM577" s="309"/>
      <c r="AN577" s="310"/>
      <c r="AO577" s="309"/>
      <c r="AP577" s="310"/>
      <c r="AQ577" s="309"/>
      <c r="AR577" s="310"/>
      <c r="AS577" s="309"/>
      <c r="AT577" s="310"/>
      <c r="AU577" s="309"/>
      <c r="AV577" s="310"/>
      <c r="AW577" s="309"/>
      <c r="AX577" s="310"/>
      <c r="AY577" s="309"/>
      <c r="AZ577" s="310"/>
      <c r="BA577" s="271"/>
      <c r="BB577" s="271"/>
      <c r="BC577" s="271"/>
      <c r="BD577" s="271"/>
      <c r="BE577" s="271"/>
      <c r="BF577" s="271"/>
    </row>
    <row r="578" spans="2:58" ht="16" thickBot="1" x14ac:dyDescent="0.25">
      <c r="B578" s="668"/>
      <c r="C578" s="640">
        <f>SUM(C570:C577)</f>
        <v>7434.59</v>
      </c>
      <c r="D578" s="159"/>
      <c r="E578" s="270"/>
      <c r="F578" s="271"/>
      <c r="G578" s="309"/>
      <c r="H578" s="310"/>
      <c r="I578" s="309"/>
      <c r="J578" s="310"/>
      <c r="K578" s="309"/>
      <c r="L578" s="310"/>
      <c r="M578" s="309"/>
      <c r="N578" s="310"/>
      <c r="O578" s="271"/>
      <c r="P578" s="271"/>
      <c r="Q578" s="309"/>
      <c r="R578" s="310"/>
      <c r="S578" s="309"/>
      <c r="T578" s="310"/>
      <c r="U578" s="309"/>
      <c r="V578" s="310"/>
      <c r="W578" s="309"/>
      <c r="X578" s="310"/>
      <c r="Y578" s="309"/>
      <c r="Z578" s="310"/>
      <c r="AA578" s="309"/>
      <c r="AB578" s="310"/>
      <c r="AC578" s="271"/>
      <c r="AD578" s="271"/>
      <c r="AE578" s="309"/>
      <c r="AF578" s="310"/>
      <c r="AG578" s="309"/>
      <c r="AH578" s="310"/>
      <c r="AI578" s="309"/>
      <c r="AJ578" s="310"/>
      <c r="AK578" s="309"/>
      <c r="AL578" s="310"/>
      <c r="AM578" s="309"/>
      <c r="AN578" s="310"/>
      <c r="AO578" s="309"/>
      <c r="AP578" s="310"/>
      <c r="AQ578" s="309"/>
      <c r="AR578" s="310"/>
      <c r="AS578" s="309"/>
      <c r="AT578" s="310"/>
      <c r="AU578" s="309"/>
      <c r="AV578" s="310"/>
      <c r="AW578" s="309"/>
      <c r="AX578" s="310"/>
      <c r="AY578" s="309"/>
      <c r="AZ578" s="310"/>
      <c r="BA578" s="271"/>
      <c r="BB578" s="271"/>
      <c r="BC578" s="271"/>
      <c r="BD578" s="271"/>
      <c r="BE578" s="271"/>
      <c r="BF578" s="271"/>
    </row>
    <row r="579" spans="2:58" ht="16" thickBot="1" x14ac:dyDescent="0.25">
      <c r="B579" s="479">
        <v>45725</v>
      </c>
      <c r="C579" s="657">
        <v>800</v>
      </c>
      <c r="D579" s="641"/>
      <c r="E579" s="274" t="s">
        <v>186</v>
      </c>
      <c r="F579" s="301"/>
      <c r="G579" s="550"/>
      <c r="H579" s="310"/>
      <c r="I579" s="309"/>
      <c r="J579" s="310"/>
      <c r="K579" s="309"/>
      <c r="L579" s="310"/>
      <c r="M579" s="309"/>
      <c r="N579" s="310"/>
      <c r="O579" s="271"/>
      <c r="P579" s="271"/>
      <c r="Q579" s="309"/>
      <c r="R579" s="310"/>
      <c r="S579" s="309"/>
      <c r="T579" s="310"/>
      <c r="U579" s="309"/>
      <c r="V579" s="310"/>
      <c r="W579" s="309"/>
      <c r="X579" s="310"/>
      <c r="Y579" s="309"/>
      <c r="Z579" s="310"/>
      <c r="AA579" s="309"/>
      <c r="AB579" s="310"/>
      <c r="AC579" s="271"/>
      <c r="AD579" s="271"/>
      <c r="AE579" s="309"/>
      <c r="AF579" s="310"/>
      <c r="AG579" s="309"/>
      <c r="AH579" s="310"/>
      <c r="AI579" s="309"/>
      <c r="AJ579" s="310"/>
      <c r="AK579" s="309"/>
      <c r="AL579" s="310"/>
      <c r="AM579" s="309"/>
      <c r="AN579" s="310"/>
      <c r="AO579" s="309"/>
      <c r="AP579" s="310"/>
      <c r="AQ579" s="309"/>
      <c r="AR579" s="310"/>
      <c r="AS579" s="309"/>
      <c r="AT579" s="310"/>
      <c r="AU579" s="309"/>
      <c r="AV579" s="310"/>
      <c r="AW579" s="309"/>
      <c r="AX579" s="310"/>
      <c r="AY579" s="309"/>
      <c r="AZ579" s="310"/>
      <c r="BA579" s="271"/>
      <c r="BB579" s="271"/>
      <c r="BC579" s="271"/>
      <c r="BD579" s="271"/>
      <c r="BE579" s="271"/>
      <c r="BF579" s="271"/>
    </row>
    <row r="580" spans="2:58" ht="16" thickBot="1" x14ac:dyDescent="0.25">
      <c r="B580" s="479"/>
      <c r="C580" s="657">
        <v>319.92</v>
      </c>
      <c r="D580" s="657"/>
      <c r="E580" s="285"/>
      <c r="F580" s="302" t="s">
        <v>14</v>
      </c>
      <c r="G580" s="550"/>
      <c r="H580" s="310"/>
      <c r="I580" s="309"/>
      <c r="J580" s="310"/>
      <c r="K580" s="309"/>
      <c r="L580" s="310"/>
      <c r="M580" s="309"/>
      <c r="N580" s="310"/>
      <c r="O580" s="271"/>
      <c r="P580" s="271"/>
      <c r="Q580" s="309"/>
      <c r="R580" s="310"/>
      <c r="S580" s="309"/>
      <c r="T580" s="310"/>
      <c r="U580" s="309"/>
      <c r="V580" s="310"/>
      <c r="W580" s="309"/>
      <c r="X580" s="310"/>
      <c r="Y580" s="309"/>
      <c r="Z580" s="310"/>
      <c r="AA580" s="309"/>
      <c r="AB580" s="310"/>
      <c r="AC580" s="271"/>
      <c r="AD580" s="271"/>
      <c r="AE580" s="309">
        <v>8</v>
      </c>
      <c r="AF580" s="310">
        <v>319.92</v>
      </c>
      <c r="AG580" s="309"/>
      <c r="AH580" s="310"/>
      <c r="AI580" s="309"/>
      <c r="AJ580" s="310"/>
      <c r="AK580" s="309"/>
      <c r="AL580" s="310"/>
      <c r="AM580" s="309"/>
      <c r="AN580" s="310"/>
      <c r="AO580" s="309"/>
      <c r="AP580" s="310"/>
      <c r="AQ580" s="309"/>
      <c r="AR580" s="310"/>
      <c r="AS580" s="309"/>
      <c r="AT580" s="310"/>
      <c r="AU580" s="309"/>
      <c r="AV580" s="310"/>
      <c r="AW580" s="309"/>
      <c r="AX580" s="310"/>
      <c r="AY580" s="309"/>
      <c r="AZ580" s="310"/>
      <c r="BA580" s="271"/>
      <c r="BB580" s="271"/>
      <c r="BC580" s="271"/>
      <c r="BD580" s="271"/>
      <c r="BE580" s="271"/>
      <c r="BF580" s="271"/>
    </row>
    <row r="581" spans="2:58" ht="16" thickBot="1" x14ac:dyDescent="0.25">
      <c r="B581" s="479"/>
      <c r="C581" s="657">
        <f>302.3+768.4</f>
        <v>1070.7</v>
      </c>
      <c r="D581" s="657"/>
      <c r="E581" s="285"/>
      <c r="F581" s="302" t="s">
        <v>279</v>
      </c>
      <c r="G581" s="550"/>
      <c r="H581" s="310"/>
      <c r="I581" s="309"/>
      <c r="J581" s="310"/>
      <c r="K581" s="309"/>
      <c r="L581" s="310"/>
      <c r="M581" s="309"/>
      <c r="N581" s="310"/>
      <c r="O581" s="271"/>
      <c r="P581" s="271"/>
      <c r="Q581" s="309"/>
      <c r="R581" s="310"/>
      <c r="S581" s="309">
        <v>10</v>
      </c>
      <c r="T581" s="310">
        <v>299.89999999999998</v>
      </c>
      <c r="U581" s="309"/>
      <c r="V581" s="310"/>
      <c r="W581" s="309"/>
      <c r="X581" s="310"/>
      <c r="Y581" s="309"/>
      <c r="Z581" s="310"/>
      <c r="AA581" s="309"/>
      <c r="AB581" s="310"/>
      <c r="AC581" s="271"/>
      <c r="AD581" s="271"/>
      <c r="AE581" s="309"/>
      <c r="AF581" s="310"/>
      <c r="AG581" s="309"/>
      <c r="AH581" s="310"/>
      <c r="AI581" s="309"/>
      <c r="AJ581" s="310"/>
      <c r="AK581" s="309"/>
      <c r="AL581" s="310"/>
      <c r="AM581" s="309"/>
      <c r="AN581" s="310"/>
      <c r="AO581" s="309"/>
      <c r="AP581" s="310"/>
      <c r="AQ581" s="309"/>
      <c r="AR581" s="310"/>
      <c r="AS581" s="309"/>
      <c r="AT581" s="310"/>
      <c r="AU581" s="309"/>
      <c r="AV581" s="310"/>
      <c r="AW581" s="309"/>
      <c r="AX581" s="310"/>
      <c r="AY581" s="309"/>
      <c r="AZ581" s="310"/>
      <c r="BA581" s="271"/>
      <c r="BB581" s="271"/>
      <c r="BC581" s="271"/>
      <c r="BD581" s="271"/>
      <c r="BE581" s="271"/>
      <c r="BF581" s="271"/>
    </row>
    <row r="582" spans="2:58" ht="16" thickBot="1" x14ac:dyDescent="0.25">
      <c r="B582" s="479"/>
      <c r="C582" s="657">
        <v>8701.5300000000007</v>
      </c>
      <c r="D582" s="657"/>
      <c r="E582" s="285"/>
      <c r="F582" s="302" t="s">
        <v>9</v>
      </c>
      <c r="G582" s="550">
        <v>12</v>
      </c>
      <c r="H582" s="310">
        <v>1679.88</v>
      </c>
      <c r="I582" s="309">
        <v>3</v>
      </c>
      <c r="J582" s="310">
        <v>614.97</v>
      </c>
      <c r="K582" s="309">
        <v>9</v>
      </c>
      <c r="L582" s="310">
        <v>1637.91</v>
      </c>
      <c r="M582" s="309">
        <v>10</v>
      </c>
      <c r="N582" s="310">
        <v>1669.9</v>
      </c>
      <c r="O582" s="271">
        <v>6</v>
      </c>
      <c r="P582" s="271">
        <v>2160</v>
      </c>
      <c r="Q582" s="309"/>
      <c r="R582" s="310"/>
      <c r="S582" s="309"/>
      <c r="T582" s="310"/>
      <c r="U582" s="309"/>
      <c r="V582" s="310"/>
      <c r="W582" s="309">
        <v>6</v>
      </c>
      <c r="X582" s="310">
        <v>257.94</v>
      </c>
      <c r="Y582" s="309"/>
      <c r="Z582" s="310"/>
      <c r="AA582" s="309"/>
      <c r="AB582" s="310"/>
      <c r="AC582" s="271">
        <v>6</v>
      </c>
      <c r="AD582" s="271">
        <v>593.94000000000005</v>
      </c>
      <c r="AE582" s="309"/>
      <c r="AF582" s="310"/>
      <c r="AG582" s="309"/>
      <c r="AH582" s="310"/>
      <c r="AI582" s="309"/>
      <c r="AJ582" s="310"/>
      <c r="AK582" s="309"/>
      <c r="AL582" s="310"/>
      <c r="AM582" s="309"/>
      <c r="AN582" s="310"/>
      <c r="AO582" s="309"/>
      <c r="AP582" s="310"/>
      <c r="AQ582" s="309"/>
      <c r="AR582" s="310"/>
      <c r="AS582" s="309"/>
      <c r="AT582" s="310"/>
      <c r="AU582" s="309"/>
      <c r="AV582" s="310"/>
      <c r="AW582" s="309"/>
      <c r="AX582" s="310"/>
      <c r="AY582" s="309"/>
      <c r="AZ582" s="310"/>
      <c r="BA582" s="271">
        <v>1</v>
      </c>
      <c r="BB582" s="271">
        <v>26.99</v>
      </c>
      <c r="BC582" s="271"/>
      <c r="BD582" s="271"/>
      <c r="BE582" s="271"/>
      <c r="BF582" s="271"/>
    </row>
    <row r="583" spans="2:58" ht="16" thickBot="1" x14ac:dyDescent="0.25">
      <c r="B583" s="479"/>
      <c r="C583" s="657"/>
      <c r="D583" s="657"/>
      <c r="E583" s="285"/>
      <c r="F583" s="302"/>
      <c r="G583" s="550"/>
      <c r="H583" s="310"/>
      <c r="I583" s="309"/>
      <c r="J583" s="310"/>
      <c r="K583" s="309"/>
      <c r="L583" s="310"/>
      <c r="M583" s="309"/>
      <c r="N583" s="310"/>
      <c r="O583" s="271"/>
      <c r="P583" s="271"/>
      <c r="Q583" s="309"/>
      <c r="R583" s="310"/>
      <c r="S583" s="309"/>
      <c r="T583" s="310"/>
      <c r="U583" s="309"/>
      <c r="V583" s="310"/>
      <c r="W583" s="309"/>
      <c r="X583" s="310"/>
      <c r="Y583" s="309"/>
      <c r="Z583" s="310"/>
      <c r="AA583" s="309"/>
      <c r="AB583" s="310"/>
      <c r="AC583" s="271"/>
      <c r="AD583" s="271"/>
      <c r="AE583" s="309"/>
      <c r="AF583" s="310"/>
      <c r="AG583" s="309"/>
      <c r="AH583" s="310"/>
      <c r="AI583" s="309"/>
      <c r="AJ583" s="310"/>
      <c r="AK583" s="309"/>
      <c r="AL583" s="310"/>
      <c r="AM583" s="309"/>
      <c r="AN583" s="310"/>
      <c r="AO583" s="309"/>
      <c r="AP583" s="310"/>
      <c r="AQ583" s="309"/>
      <c r="AR583" s="310"/>
      <c r="AS583" s="309"/>
      <c r="AT583" s="310"/>
      <c r="AU583" s="309"/>
      <c r="AV583" s="310"/>
      <c r="AW583" s="309"/>
      <c r="AX583" s="310"/>
      <c r="AY583" s="309"/>
      <c r="AZ583" s="310"/>
      <c r="BA583" s="271"/>
      <c r="BB583" s="271"/>
      <c r="BC583" s="271"/>
      <c r="BD583" s="271"/>
      <c r="BE583" s="271"/>
      <c r="BF583" s="271"/>
    </row>
    <row r="584" spans="2:58" ht="16" thickBot="1" x14ac:dyDescent="0.25">
      <c r="B584" s="479"/>
      <c r="C584" s="657"/>
      <c r="D584" s="657"/>
      <c r="E584" s="285"/>
      <c r="F584" s="302"/>
      <c r="G584" s="550"/>
      <c r="H584" s="310"/>
      <c r="I584" s="309"/>
      <c r="J584" s="310"/>
      <c r="K584" s="309"/>
      <c r="L584" s="310"/>
      <c r="M584" s="309"/>
      <c r="N584" s="310"/>
      <c r="O584" s="271"/>
      <c r="P584" s="271"/>
      <c r="Q584" s="309"/>
      <c r="R584" s="310"/>
      <c r="S584" s="309"/>
      <c r="T584" s="310"/>
      <c r="U584" s="309"/>
      <c r="V584" s="310"/>
      <c r="W584" s="309"/>
      <c r="X584" s="310"/>
      <c r="Y584" s="309"/>
      <c r="Z584" s="310"/>
      <c r="AA584" s="309"/>
      <c r="AB584" s="310"/>
      <c r="AC584" s="271"/>
      <c r="AD584" s="271"/>
      <c r="AE584" s="309"/>
      <c r="AF584" s="310"/>
      <c r="AG584" s="309"/>
      <c r="AH584" s="310"/>
      <c r="AI584" s="309"/>
      <c r="AJ584" s="310"/>
      <c r="AK584" s="309"/>
      <c r="AL584" s="310"/>
      <c r="AM584" s="309"/>
      <c r="AN584" s="310"/>
      <c r="AO584" s="309"/>
      <c r="AP584" s="310"/>
      <c r="AQ584" s="309"/>
      <c r="AR584" s="310"/>
      <c r="AS584" s="309"/>
      <c r="AT584" s="310"/>
      <c r="AU584" s="309"/>
      <c r="AV584" s="310"/>
      <c r="AW584" s="309"/>
      <c r="AX584" s="310"/>
      <c r="AY584" s="309"/>
      <c r="AZ584" s="310"/>
      <c r="BA584" s="271"/>
      <c r="BB584" s="271"/>
      <c r="BC584" s="271"/>
      <c r="BD584" s="271"/>
      <c r="BE584" s="271"/>
      <c r="BF584" s="271"/>
    </row>
    <row r="585" spans="2:58" ht="16" thickBot="1" x14ac:dyDescent="0.25">
      <c r="B585" s="549" t="s">
        <v>26</v>
      </c>
      <c r="C585" s="554"/>
      <c r="D585" s="291"/>
      <c r="E585" s="290"/>
      <c r="F585" s="293"/>
      <c r="G585" s="550"/>
      <c r="H585" s="310"/>
      <c r="I585" s="309"/>
      <c r="J585" s="310"/>
      <c r="K585" s="309"/>
      <c r="L585" s="310"/>
      <c r="M585" s="309"/>
      <c r="N585" s="310"/>
      <c r="O585" s="271"/>
      <c r="P585" s="271"/>
      <c r="Q585" s="309"/>
      <c r="R585" s="310"/>
      <c r="S585" s="309"/>
      <c r="T585" s="310"/>
      <c r="U585" s="309"/>
      <c r="V585" s="310"/>
      <c r="W585" s="309"/>
      <c r="X585" s="310"/>
      <c r="Y585" s="309"/>
      <c r="Z585" s="310"/>
      <c r="AA585" s="309"/>
      <c r="AB585" s="310"/>
      <c r="AC585" s="271"/>
      <c r="AD585" s="271"/>
      <c r="AE585" s="309"/>
      <c r="AF585" s="310"/>
      <c r="AG585" s="309"/>
      <c r="AH585" s="310"/>
      <c r="AI585" s="309"/>
      <c r="AJ585" s="310"/>
      <c r="AK585" s="309"/>
      <c r="AL585" s="310"/>
      <c r="AM585" s="309"/>
      <c r="AN585" s="310"/>
      <c r="AO585" s="309"/>
      <c r="AP585" s="310"/>
      <c r="AQ585" s="309"/>
      <c r="AR585" s="310"/>
      <c r="AS585" s="309"/>
      <c r="AT585" s="310"/>
      <c r="AU585" s="309"/>
      <c r="AV585" s="310"/>
      <c r="AW585" s="309"/>
      <c r="AX585" s="310"/>
      <c r="AY585" s="309"/>
      <c r="AZ585" s="310"/>
      <c r="BA585" s="271"/>
      <c r="BB585" s="271"/>
      <c r="BC585" s="271"/>
      <c r="BD585" s="271"/>
      <c r="BE585" s="271"/>
      <c r="BF585" s="271"/>
    </row>
    <row r="586" spans="2:58" ht="16" thickBot="1" x14ac:dyDescent="0.25">
      <c r="B586" s="292"/>
      <c r="C586" s="551">
        <f>SUM(C579:C585)</f>
        <v>10892.150000000001</v>
      </c>
      <c r="D586" s="551"/>
      <c r="E586" s="552"/>
      <c r="F586" s="553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  <c r="AA586" s="271"/>
      <c r="AB586" s="271"/>
      <c r="AC586" s="271"/>
      <c r="AD586" s="271"/>
      <c r="AE586" s="309"/>
      <c r="AF586" s="310"/>
      <c r="AG586" s="309"/>
      <c r="AH586" s="310"/>
      <c r="AI586" s="309"/>
      <c r="AJ586" s="310"/>
      <c r="AK586" s="309"/>
      <c r="AL586" s="310"/>
      <c r="AM586" s="309"/>
      <c r="AN586" s="310"/>
      <c r="AO586" s="309"/>
      <c r="AP586" s="310"/>
      <c r="AQ586" s="309"/>
      <c r="AR586" s="310"/>
      <c r="AS586" s="309"/>
      <c r="AT586" s="310"/>
      <c r="AU586" s="309"/>
      <c r="AV586" s="310"/>
      <c r="AW586" s="309"/>
      <c r="AX586" s="310"/>
      <c r="AY586" s="309"/>
      <c r="AZ586" s="310"/>
      <c r="BA586" s="271"/>
      <c r="BB586" s="271"/>
      <c r="BC586" s="271"/>
      <c r="BD586" s="271"/>
      <c r="BE586" s="271"/>
      <c r="BF586" s="271"/>
    </row>
    <row r="587" spans="2:58" ht="16" thickBot="1" x14ac:dyDescent="0.25">
      <c r="B587" s="761" t="s">
        <v>329</v>
      </c>
      <c r="C587" s="311"/>
      <c r="D587" s="312"/>
      <c r="E587" s="285"/>
      <c r="F587" s="302"/>
      <c r="G587" s="306">
        <f t="shared" ref="G587:AD587" si="18">SUM(G542:G585)</f>
        <v>32</v>
      </c>
      <c r="H587" s="307">
        <f t="shared" si="18"/>
        <v>4419.68</v>
      </c>
      <c r="I587" s="306">
        <f t="shared" si="18"/>
        <v>8</v>
      </c>
      <c r="J587" s="307">
        <f t="shared" si="18"/>
        <v>1639.92</v>
      </c>
      <c r="K587" s="306">
        <f t="shared" si="18"/>
        <v>27</v>
      </c>
      <c r="L587" s="307">
        <f t="shared" si="18"/>
        <v>4913.7300000000005</v>
      </c>
      <c r="M587" s="306">
        <f t="shared" si="18"/>
        <v>36</v>
      </c>
      <c r="N587" s="307">
        <f t="shared" si="18"/>
        <v>6011.6399999999994</v>
      </c>
      <c r="O587" s="308">
        <f t="shared" si="18"/>
        <v>17</v>
      </c>
      <c r="P587" s="308">
        <f t="shared" si="18"/>
        <v>6074.96</v>
      </c>
      <c r="Q587" s="306">
        <f t="shared" si="18"/>
        <v>2</v>
      </c>
      <c r="R587" s="307">
        <f t="shared" si="18"/>
        <v>289.98</v>
      </c>
      <c r="S587" s="306">
        <f t="shared" si="18"/>
        <v>12</v>
      </c>
      <c r="T587" s="307">
        <f t="shared" si="18"/>
        <v>1886.9</v>
      </c>
      <c r="U587" s="306">
        <f t="shared" si="18"/>
        <v>11</v>
      </c>
      <c r="V587" s="307">
        <f t="shared" si="18"/>
        <v>6170.95</v>
      </c>
      <c r="W587" s="306">
        <f t="shared" si="18"/>
        <v>14</v>
      </c>
      <c r="X587" s="307">
        <f t="shared" si="18"/>
        <v>601.86</v>
      </c>
      <c r="Y587" s="306">
        <f t="shared" si="18"/>
        <v>0</v>
      </c>
      <c r="Z587" s="307">
        <f t="shared" si="18"/>
        <v>0</v>
      </c>
      <c r="AA587" s="306">
        <f t="shared" si="18"/>
        <v>1</v>
      </c>
      <c r="AB587" s="307">
        <f t="shared" si="18"/>
        <v>4358.5</v>
      </c>
      <c r="AC587" s="308">
        <f t="shared" si="18"/>
        <v>20</v>
      </c>
      <c r="AD587" s="308">
        <f t="shared" si="18"/>
        <v>1979.8000000000002</v>
      </c>
      <c r="AE587" s="306">
        <f t="shared" ref="AE587:BF587" si="19">SUM(AE542:AE586)</f>
        <v>28</v>
      </c>
      <c r="AF587" s="307">
        <f t="shared" si="19"/>
        <v>1123.72</v>
      </c>
      <c r="AG587" s="306">
        <f t="shared" si="19"/>
        <v>0</v>
      </c>
      <c r="AH587" s="307">
        <f t="shared" si="19"/>
        <v>0</v>
      </c>
      <c r="AI587" s="306">
        <f t="shared" si="19"/>
        <v>0</v>
      </c>
      <c r="AJ587" s="307">
        <f t="shared" si="19"/>
        <v>0</v>
      </c>
      <c r="AK587" s="306">
        <f t="shared" si="19"/>
        <v>0</v>
      </c>
      <c r="AL587" s="307">
        <f t="shared" si="19"/>
        <v>0</v>
      </c>
      <c r="AM587" s="306">
        <f t="shared" si="19"/>
        <v>1</v>
      </c>
      <c r="AN587" s="307">
        <f t="shared" si="19"/>
        <v>49.99</v>
      </c>
      <c r="AO587" s="306">
        <f t="shared" si="19"/>
        <v>0</v>
      </c>
      <c r="AP587" s="307">
        <f t="shared" si="19"/>
        <v>0</v>
      </c>
      <c r="AQ587" s="306">
        <f t="shared" si="19"/>
        <v>0</v>
      </c>
      <c r="AR587" s="307">
        <f t="shared" si="19"/>
        <v>0</v>
      </c>
      <c r="AS587" s="306">
        <f t="shared" si="19"/>
        <v>0</v>
      </c>
      <c r="AT587" s="307">
        <f t="shared" si="19"/>
        <v>0</v>
      </c>
      <c r="AU587" s="306">
        <f t="shared" si="19"/>
        <v>0</v>
      </c>
      <c r="AV587" s="307">
        <f t="shared" si="19"/>
        <v>0</v>
      </c>
      <c r="AW587" s="306">
        <f t="shared" si="19"/>
        <v>0</v>
      </c>
      <c r="AX587" s="307">
        <f t="shared" si="19"/>
        <v>0</v>
      </c>
      <c r="AY587" s="306">
        <f t="shared" si="19"/>
        <v>0</v>
      </c>
      <c r="AZ587" s="307">
        <f t="shared" si="19"/>
        <v>0</v>
      </c>
      <c r="BA587" s="306">
        <f t="shared" si="19"/>
        <v>3</v>
      </c>
      <c r="BB587" s="307">
        <f t="shared" si="19"/>
        <v>80.97</v>
      </c>
      <c r="BC587" s="306">
        <f t="shared" si="19"/>
        <v>0</v>
      </c>
      <c r="BD587" s="307">
        <f t="shared" si="19"/>
        <v>0</v>
      </c>
      <c r="BE587" s="306">
        <f t="shared" si="19"/>
        <v>2</v>
      </c>
      <c r="BF587" s="307">
        <f t="shared" si="19"/>
        <v>151.97999999999999</v>
      </c>
    </row>
    <row r="588" spans="2:58" ht="16" thickBot="1" x14ac:dyDescent="0.25">
      <c r="B588" s="762"/>
      <c r="C588" s="160">
        <f>SUM(C586,C578,C569,C561,C555,C552,C542)</f>
        <v>76033.3</v>
      </c>
      <c r="D588" s="160"/>
      <c r="E588" s="304"/>
      <c r="F588" s="294"/>
      <c r="G588" s="752" t="s">
        <v>29</v>
      </c>
      <c r="H588" s="752"/>
      <c r="I588" s="752" t="s">
        <v>30</v>
      </c>
      <c r="J588" s="752"/>
      <c r="K588" s="752" t="s">
        <v>31</v>
      </c>
      <c r="L588" s="752"/>
      <c r="M588" s="752" t="s">
        <v>32</v>
      </c>
      <c r="N588" s="752"/>
      <c r="O588" s="752" t="s">
        <v>33</v>
      </c>
      <c r="P588" s="752"/>
      <c r="Q588" s="752" t="s">
        <v>247</v>
      </c>
      <c r="R588" s="752"/>
      <c r="S588" s="752" t="s">
        <v>34</v>
      </c>
      <c r="T588" s="752"/>
      <c r="U588" s="752" t="s">
        <v>35</v>
      </c>
      <c r="V588" s="752"/>
      <c r="W588" s="752" t="s">
        <v>36</v>
      </c>
      <c r="X588" s="752"/>
      <c r="Y588" s="752" t="s">
        <v>37</v>
      </c>
      <c r="Z588" s="752"/>
      <c r="AA588" s="752" t="s">
        <v>38</v>
      </c>
      <c r="AB588" s="752"/>
      <c r="AC588" s="752" t="s">
        <v>39</v>
      </c>
      <c r="AD588" s="752"/>
      <c r="AE588" s="752" t="s">
        <v>40</v>
      </c>
      <c r="AF588" s="752"/>
      <c r="AG588" s="752" t="s">
        <v>41</v>
      </c>
      <c r="AH588" s="752"/>
      <c r="AI588" s="752" t="s">
        <v>42</v>
      </c>
      <c r="AJ588" s="752"/>
      <c r="AK588" s="752" t="s">
        <v>43</v>
      </c>
      <c r="AL588" s="752"/>
      <c r="AM588" s="752" t="s">
        <v>157</v>
      </c>
      <c r="AN588" s="752"/>
      <c r="AO588" s="752" t="s">
        <v>248</v>
      </c>
      <c r="AP588" s="752"/>
      <c r="AQ588" s="752" t="s">
        <v>249</v>
      </c>
      <c r="AR588" s="752"/>
      <c r="AS588" s="752" t="s">
        <v>150</v>
      </c>
      <c r="AT588" s="752"/>
      <c r="AU588" s="752" t="s">
        <v>151</v>
      </c>
      <c r="AV588" s="752"/>
      <c r="AW588" s="752" t="s">
        <v>44</v>
      </c>
      <c r="AX588" s="752"/>
      <c r="AY588" s="752" t="s">
        <v>250</v>
      </c>
      <c r="AZ588" s="752"/>
      <c r="BA588" s="752" t="s">
        <v>45</v>
      </c>
      <c r="BB588" s="752"/>
      <c r="BC588" s="752" t="s">
        <v>46</v>
      </c>
      <c r="BD588" s="752"/>
      <c r="BE588" s="752" t="s">
        <v>92</v>
      </c>
      <c r="BF588" s="752"/>
    </row>
    <row r="589" spans="2:58" ht="16" thickBot="1" x14ac:dyDescent="0.25">
      <c r="B589" s="282"/>
      <c r="C589" s="285"/>
      <c r="D589" s="275"/>
      <c r="E589" s="284"/>
      <c r="F589" s="293"/>
      <c r="G589" s="752" t="s">
        <v>50</v>
      </c>
      <c r="H589" s="752"/>
      <c r="I589" s="752" t="s">
        <v>51</v>
      </c>
      <c r="J589" s="752"/>
      <c r="K589" s="752" t="s">
        <v>51</v>
      </c>
      <c r="L589" s="752"/>
      <c r="M589" s="752" t="s">
        <v>52</v>
      </c>
      <c r="N589" s="752"/>
      <c r="O589" s="752">
        <v>180</v>
      </c>
      <c r="P589" s="752"/>
      <c r="Q589" s="752" t="s">
        <v>53</v>
      </c>
      <c r="R589" s="752"/>
      <c r="S589" s="752" t="s">
        <v>54</v>
      </c>
      <c r="T589" s="752"/>
      <c r="U589" s="752" t="s">
        <v>54</v>
      </c>
      <c r="V589" s="752"/>
      <c r="W589" s="752" t="s">
        <v>55</v>
      </c>
      <c r="X589" s="752"/>
      <c r="Y589" s="752" t="s">
        <v>54</v>
      </c>
      <c r="Z589" s="752"/>
      <c r="AA589" s="752" t="s">
        <v>54</v>
      </c>
      <c r="AB589" s="752"/>
      <c r="AC589" s="752" t="s">
        <v>56</v>
      </c>
      <c r="AD589" s="752"/>
      <c r="AE589" s="752" t="s">
        <v>57</v>
      </c>
      <c r="AF589" s="752"/>
      <c r="AG589" s="752" t="s">
        <v>57</v>
      </c>
      <c r="AH589" s="752"/>
      <c r="AI589" s="752" t="s">
        <v>58</v>
      </c>
      <c r="AJ589" s="752"/>
      <c r="AK589" s="752" t="s">
        <v>300</v>
      </c>
      <c r="AL589" s="752"/>
      <c r="AM589" s="752" t="s">
        <v>301</v>
      </c>
      <c r="AN589" s="752"/>
      <c r="AO589" s="752">
        <v>20</v>
      </c>
      <c r="AP589" s="752"/>
      <c r="AQ589" s="752">
        <v>20</v>
      </c>
      <c r="AR589" s="752"/>
      <c r="AS589" s="752" t="s">
        <v>57</v>
      </c>
      <c r="AT589" s="752"/>
      <c r="AU589" s="752" t="s">
        <v>302</v>
      </c>
      <c r="AV589" s="752"/>
      <c r="AW589" s="752">
        <v>100</v>
      </c>
      <c r="AX589" s="752"/>
      <c r="AY589" s="752">
        <v>100</v>
      </c>
      <c r="AZ589" s="752"/>
      <c r="BA589" s="752" t="s">
        <v>59</v>
      </c>
      <c r="BB589" s="752"/>
      <c r="BC589" s="752" t="s">
        <v>51</v>
      </c>
      <c r="BD589" s="752"/>
      <c r="BE589" s="752" t="s">
        <v>53</v>
      </c>
      <c r="BF589" s="752"/>
    </row>
    <row r="590" spans="2:58" ht="16" thickBot="1" x14ac:dyDescent="0.25">
      <c r="B590" s="162"/>
      <c r="C590" s="286"/>
      <c r="D590" s="273"/>
      <c r="E590" s="280"/>
      <c r="F590" s="305"/>
      <c r="G590" s="752">
        <v>151</v>
      </c>
      <c r="H590" s="752"/>
      <c r="I590" s="752">
        <v>167.99</v>
      </c>
      <c r="J590" s="752"/>
      <c r="K590" s="752">
        <v>144.99</v>
      </c>
      <c r="L590" s="752"/>
      <c r="M590" s="760">
        <v>169.99</v>
      </c>
      <c r="N590" s="760"/>
      <c r="O590" s="760">
        <v>274.99</v>
      </c>
      <c r="P590" s="760"/>
      <c r="Q590" s="760">
        <v>102.99</v>
      </c>
      <c r="R590" s="760"/>
      <c r="S590" s="752">
        <v>910.5</v>
      </c>
      <c r="T590" s="752"/>
      <c r="U590" s="752">
        <v>460.75</v>
      </c>
      <c r="V590" s="752"/>
      <c r="W590" s="752">
        <v>1048.95</v>
      </c>
      <c r="X590" s="752"/>
      <c r="Y590" s="752">
        <v>772.8</v>
      </c>
      <c r="Z590" s="752"/>
      <c r="AA590" s="752">
        <v>3450</v>
      </c>
      <c r="AB590" s="752"/>
      <c r="AC590" s="760">
        <v>89.99</v>
      </c>
      <c r="AD590" s="760"/>
      <c r="AE590" s="752">
        <v>39.99</v>
      </c>
      <c r="AF590" s="752"/>
      <c r="AG590" s="752">
        <v>498</v>
      </c>
      <c r="AH590" s="752"/>
      <c r="AI590" s="752">
        <v>4.99</v>
      </c>
      <c r="AJ590" s="752"/>
      <c r="AK590" s="752">
        <v>132.25</v>
      </c>
      <c r="AL590" s="752"/>
      <c r="AM590" s="752">
        <v>47.99</v>
      </c>
      <c r="AN590" s="752"/>
      <c r="AO590" s="752">
        <v>560</v>
      </c>
      <c r="AP590" s="752"/>
      <c r="AQ590" s="752">
        <v>560</v>
      </c>
      <c r="AR590" s="752"/>
      <c r="AS590" s="752">
        <v>613.5</v>
      </c>
      <c r="AT590" s="752"/>
      <c r="AU590" s="752">
        <v>313.89999999999998</v>
      </c>
      <c r="AV590" s="752"/>
      <c r="AW590" s="752">
        <v>405.8</v>
      </c>
      <c r="AX590" s="752"/>
      <c r="AY590" s="752">
        <v>218.99</v>
      </c>
      <c r="AZ590" s="752"/>
      <c r="BA590" s="752">
        <v>24.99</v>
      </c>
      <c r="BB590" s="752"/>
      <c r="BC590" s="752">
        <v>1425</v>
      </c>
      <c r="BD590" s="752"/>
      <c r="BE590" s="752">
        <v>54.99</v>
      </c>
      <c r="BF590" s="752"/>
    </row>
    <row r="591" spans="2:58" ht="16" thickBot="1" x14ac:dyDescent="0.25">
      <c r="B591" s="162"/>
      <c r="C591" s="753" t="str">
        <f>L591</f>
        <v>3 - 9 MARCH 2025</v>
      </c>
      <c r="D591" s="754"/>
      <c r="E591" s="754"/>
      <c r="F591" s="754"/>
      <c r="G591" s="755"/>
      <c r="H591" s="756"/>
      <c r="I591" s="163"/>
      <c r="J591" s="157"/>
      <c r="K591" s="157"/>
      <c r="L591" s="757" t="str">
        <f>AL591</f>
        <v>3 - 9 MARCH 2025</v>
      </c>
      <c r="M591" s="755"/>
      <c r="N591" s="755"/>
      <c r="O591" s="755"/>
      <c r="P591" s="755"/>
      <c r="Q591" s="755"/>
      <c r="R591" s="755"/>
      <c r="S591" s="755"/>
      <c r="T591" s="756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758"/>
      <c r="AH591" s="758"/>
      <c r="AI591" s="164"/>
      <c r="AJ591" s="157"/>
      <c r="AK591" s="157"/>
      <c r="AL591" s="759" t="str">
        <f>AW591</f>
        <v>3 - 9 MARCH 2025</v>
      </c>
      <c r="AM591" s="759"/>
      <c r="AN591" s="759"/>
      <c r="AO591" s="759"/>
      <c r="AP591" s="157"/>
      <c r="AQ591" s="157"/>
      <c r="AR591" s="157"/>
      <c r="AS591" s="157"/>
      <c r="AT591" s="157"/>
      <c r="AU591" s="157"/>
      <c r="AV591" s="157"/>
      <c r="AW591" s="757" t="str">
        <f>AW532</f>
        <v>3 - 9 MARCH 2025</v>
      </c>
      <c r="AX591" s="755" t="s">
        <v>28</v>
      </c>
      <c r="AY591" s="755"/>
      <c r="AZ591" s="755"/>
      <c r="BA591" s="755"/>
      <c r="BB591" s="755"/>
      <c r="BC591" s="755"/>
      <c r="BD591" s="756"/>
      <c r="BE591" s="157"/>
      <c r="BF591" s="157"/>
    </row>
    <row r="592" spans="2:58" ht="16" thickBot="1" x14ac:dyDescent="0.25"/>
    <row r="593" spans="2:58" ht="16" thickBot="1" x14ac:dyDescent="0.25">
      <c r="B593" s="156" t="s">
        <v>27</v>
      </c>
      <c r="C593" s="753" t="s">
        <v>829</v>
      </c>
      <c r="D593" s="754"/>
      <c r="E593" s="754"/>
      <c r="F593" s="754"/>
      <c r="G593" s="763"/>
      <c r="H593" s="764"/>
      <c r="I593" s="163"/>
      <c r="J593" s="157"/>
      <c r="K593" s="157"/>
      <c r="L593" s="765" t="str">
        <f>C593</f>
        <v>10 - 16 MARCH 2025</v>
      </c>
      <c r="M593" s="763"/>
      <c r="N593" s="763"/>
      <c r="O593" s="763"/>
      <c r="P593" s="763"/>
      <c r="Q593" s="763"/>
      <c r="R593" s="763"/>
      <c r="S593" s="763"/>
      <c r="T593" s="764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766"/>
      <c r="AH593" s="766"/>
      <c r="AI593" s="753" t="str">
        <f>L593</f>
        <v>10 - 16 MARCH 2025</v>
      </c>
      <c r="AJ593" s="754"/>
      <c r="AK593" s="754"/>
      <c r="AL593" s="754"/>
      <c r="AM593" s="754"/>
      <c r="AN593" s="754"/>
      <c r="AO593" s="767"/>
      <c r="AP593" s="157"/>
      <c r="AQ593" s="157"/>
      <c r="AR593" s="157"/>
      <c r="AS593" s="157"/>
      <c r="AT593" s="157"/>
      <c r="AU593" s="157"/>
      <c r="AV593" s="157"/>
      <c r="AW593" s="765" t="str">
        <f>AI593</f>
        <v>10 - 16 MARCH 2025</v>
      </c>
      <c r="AX593" s="763" t="s">
        <v>28</v>
      </c>
      <c r="AY593" s="763"/>
      <c r="AZ593" s="763"/>
      <c r="BA593" s="763"/>
      <c r="BB593" s="763"/>
      <c r="BC593" s="763"/>
      <c r="BD593" s="764"/>
      <c r="BE593" s="157"/>
      <c r="BF593" s="157"/>
    </row>
    <row r="594" spans="2:58" ht="16" thickBot="1" x14ac:dyDescent="0.25">
      <c r="B594" s="158"/>
      <c r="C594" s="161"/>
      <c r="D594" s="161"/>
      <c r="E594" s="157"/>
      <c r="F594" s="157"/>
      <c r="G594" s="752" t="s">
        <v>29</v>
      </c>
      <c r="H594" s="752"/>
      <c r="I594" s="752" t="s">
        <v>30</v>
      </c>
      <c r="J594" s="752"/>
      <c r="K594" s="752" t="s">
        <v>31</v>
      </c>
      <c r="L594" s="752"/>
      <c r="M594" s="752" t="s">
        <v>32</v>
      </c>
      <c r="N594" s="752"/>
      <c r="O594" s="752" t="s">
        <v>33</v>
      </c>
      <c r="P594" s="752"/>
      <c r="Q594" s="752" t="s">
        <v>247</v>
      </c>
      <c r="R594" s="752"/>
      <c r="S594" s="752" t="s">
        <v>34</v>
      </c>
      <c r="T594" s="752"/>
      <c r="U594" s="752" t="s">
        <v>35</v>
      </c>
      <c r="V594" s="752"/>
      <c r="W594" s="752" t="s">
        <v>36</v>
      </c>
      <c r="X594" s="752"/>
      <c r="Y594" s="752" t="s">
        <v>37</v>
      </c>
      <c r="Z594" s="752"/>
      <c r="AA594" s="752" t="s">
        <v>38</v>
      </c>
      <c r="AB594" s="752"/>
      <c r="AC594" s="752" t="s">
        <v>39</v>
      </c>
      <c r="AD594" s="752"/>
      <c r="AE594" s="752" t="s">
        <v>40</v>
      </c>
      <c r="AF594" s="752"/>
      <c r="AG594" s="752" t="s">
        <v>41</v>
      </c>
      <c r="AH594" s="752"/>
      <c r="AI594" s="752" t="s">
        <v>42</v>
      </c>
      <c r="AJ594" s="752"/>
      <c r="AK594" s="752" t="s">
        <v>43</v>
      </c>
      <c r="AL594" s="752"/>
      <c r="AM594" s="752" t="s">
        <v>157</v>
      </c>
      <c r="AN594" s="752"/>
      <c r="AO594" s="752" t="s">
        <v>248</v>
      </c>
      <c r="AP594" s="752"/>
      <c r="AQ594" s="752" t="s">
        <v>249</v>
      </c>
      <c r="AR594" s="752"/>
      <c r="AS594" s="752" t="s">
        <v>150</v>
      </c>
      <c r="AT594" s="752"/>
      <c r="AU594" s="752" t="s">
        <v>151</v>
      </c>
      <c r="AV594" s="752"/>
      <c r="AW594" s="752" t="s">
        <v>44</v>
      </c>
      <c r="AX594" s="752"/>
      <c r="AY594" s="752" t="s">
        <v>250</v>
      </c>
      <c r="AZ594" s="752"/>
      <c r="BA594" s="752" t="s">
        <v>45</v>
      </c>
      <c r="BB594" s="752"/>
      <c r="BC594" s="752" t="s">
        <v>46</v>
      </c>
      <c r="BD594" s="752"/>
      <c r="BE594" s="752" t="s">
        <v>92</v>
      </c>
      <c r="BF594" s="752"/>
    </row>
    <row r="595" spans="2:58" ht="16" thickBot="1" x14ac:dyDescent="0.25">
      <c r="B595" s="156" t="s">
        <v>47</v>
      </c>
      <c r="C595" s="156" t="s">
        <v>48</v>
      </c>
      <c r="D595" s="283"/>
      <c r="E595" s="271"/>
      <c r="F595" s="271" t="s">
        <v>49</v>
      </c>
      <c r="G595" s="752" t="s">
        <v>50</v>
      </c>
      <c r="H595" s="752"/>
      <c r="I595" s="752" t="s">
        <v>51</v>
      </c>
      <c r="J595" s="752"/>
      <c r="K595" s="752" t="s">
        <v>51</v>
      </c>
      <c r="L595" s="752"/>
      <c r="M595" s="752" t="s">
        <v>52</v>
      </c>
      <c r="N595" s="752"/>
      <c r="O595" s="752">
        <v>180</v>
      </c>
      <c r="P595" s="752"/>
      <c r="Q595" s="752" t="s">
        <v>53</v>
      </c>
      <c r="R595" s="752"/>
      <c r="S595" s="752" t="s">
        <v>54</v>
      </c>
      <c r="T595" s="752"/>
      <c r="U595" s="752" t="s">
        <v>54</v>
      </c>
      <c r="V595" s="752"/>
      <c r="W595" s="752" t="s">
        <v>55</v>
      </c>
      <c r="X595" s="752"/>
      <c r="Y595" s="752" t="s">
        <v>54</v>
      </c>
      <c r="Z595" s="752"/>
      <c r="AA595" s="752" t="s">
        <v>54</v>
      </c>
      <c r="AB595" s="752"/>
      <c r="AC595" s="752" t="s">
        <v>56</v>
      </c>
      <c r="AD595" s="752"/>
      <c r="AE595" s="752" t="s">
        <v>57</v>
      </c>
      <c r="AF595" s="752"/>
      <c r="AG595" s="752" t="s">
        <v>57</v>
      </c>
      <c r="AH595" s="752"/>
      <c r="AI595" s="752" t="s">
        <v>58</v>
      </c>
      <c r="AJ595" s="752"/>
      <c r="AK595" s="752" t="s">
        <v>300</v>
      </c>
      <c r="AL595" s="752"/>
      <c r="AM595" s="752" t="s">
        <v>301</v>
      </c>
      <c r="AN595" s="752"/>
      <c r="AO595" s="752">
        <v>20</v>
      </c>
      <c r="AP595" s="752"/>
      <c r="AQ595" s="752">
        <v>20</v>
      </c>
      <c r="AR595" s="752"/>
      <c r="AS595" s="752" t="s">
        <v>57</v>
      </c>
      <c r="AT595" s="752"/>
      <c r="AU595" s="752" t="s">
        <v>302</v>
      </c>
      <c r="AV595" s="752"/>
      <c r="AW595" s="752">
        <v>100</v>
      </c>
      <c r="AX595" s="752"/>
      <c r="AY595" s="752">
        <v>100</v>
      </c>
      <c r="AZ595" s="752"/>
      <c r="BA595" s="752" t="s">
        <v>59</v>
      </c>
      <c r="BB595" s="752"/>
      <c r="BC595" s="752" t="s">
        <v>51</v>
      </c>
      <c r="BD595" s="752"/>
      <c r="BE595" s="752" t="s">
        <v>53</v>
      </c>
      <c r="BF595" s="752"/>
    </row>
    <row r="596" spans="2:58" ht="16" thickBot="1" x14ac:dyDescent="0.25">
      <c r="B596" s="156"/>
      <c r="C596" s="156" t="s">
        <v>60</v>
      </c>
      <c r="D596" s="283"/>
      <c r="E596" s="271" t="s">
        <v>61</v>
      </c>
      <c r="F596" s="271" t="s">
        <v>62</v>
      </c>
      <c r="G596" s="752">
        <v>151</v>
      </c>
      <c r="H596" s="752"/>
      <c r="I596" s="752">
        <v>167.99</v>
      </c>
      <c r="J596" s="752"/>
      <c r="K596" s="752">
        <v>144.99</v>
      </c>
      <c r="L596" s="752"/>
      <c r="M596" s="760">
        <v>169.99</v>
      </c>
      <c r="N596" s="760"/>
      <c r="O596" s="760">
        <v>274.99</v>
      </c>
      <c r="P596" s="760"/>
      <c r="Q596" s="760">
        <v>135</v>
      </c>
      <c r="R596" s="760"/>
      <c r="S596" s="752">
        <v>910.5</v>
      </c>
      <c r="T596" s="752"/>
      <c r="U596" s="752">
        <v>460.75</v>
      </c>
      <c r="V596" s="752"/>
      <c r="W596" s="752">
        <v>1048.95</v>
      </c>
      <c r="X596" s="752"/>
      <c r="Y596" s="752">
        <v>772.8</v>
      </c>
      <c r="Z596" s="752"/>
      <c r="AA596" s="752">
        <v>3450</v>
      </c>
      <c r="AB596" s="752"/>
      <c r="AC596" s="760">
        <v>99.99</v>
      </c>
      <c r="AD596" s="760"/>
      <c r="AE596" s="752">
        <v>29.99</v>
      </c>
      <c r="AF596" s="752"/>
      <c r="AG596" s="752">
        <v>548</v>
      </c>
      <c r="AH596" s="752"/>
      <c r="AI596" s="752">
        <v>4.99</v>
      </c>
      <c r="AJ596" s="752"/>
      <c r="AK596" s="752">
        <v>132.25</v>
      </c>
      <c r="AL596" s="752"/>
      <c r="AM596" s="752">
        <v>47.99</v>
      </c>
      <c r="AN596" s="752"/>
      <c r="AO596" s="752">
        <v>560</v>
      </c>
      <c r="AP596" s="752"/>
      <c r="AQ596" s="752">
        <v>560</v>
      </c>
      <c r="AR596" s="752"/>
      <c r="AS596" s="752">
        <v>613.5</v>
      </c>
      <c r="AT596" s="752"/>
      <c r="AU596" s="752">
        <v>313.89999999999998</v>
      </c>
      <c r="AV596" s="752"/>
      <c r="AW596" s="752">
        <v>405.8</v>
      </c>
      <c r="AX596" s="752"/>
      <c r="AY596" s="752">
        <v>218.99</v>
      </c>
      <c r="AZ596" s="752"/>
      <c r="BA596" s="752">
        <v>24.99</v>
      </c>
      <c r="BB596" s="752"/>
      <c r="BC596" s="752">
        <v>1425</v>
      </c>
      <c r="BD596" s="752"/>
      <c r="BE596" s="752">
        <v>54.99</v>
      </c>
      <c r="BF596" s="752"/>
    </row>
    <row r="597" spans="2:58" ht="16" thickBot="1" x14ac:dyDescent="0.25">
      <c r="B597" s="272">
        <v>45726</v>
      </c>
      <c r="C597" s="274">
        <v>800</v>
      </c>
      <c r="D597" s="276"/>
      <c r="E597" s="278" t="s">
        <v>186</v>
      </c>
      <c r="F597" s="278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  <c r="AA597" s="271"/>
      <c r="AB597" s="271"/>
      <c r="AC597" s="271"/>
      <c r="AD597" s="271"/>
      <c r="AE597" s="271"/>
      <c r="AF597" s="271"/>
      <c r="AG597" s="271"/>
      <c r="AH597" s="271"/>
      <c r="AI597" s="271"/>
      <c r="AJ597" s="271"/>
      <c r="AK597" s="271"/>
      <c r="AL597" s="271"/>
      <c r="AM597" s="271"/>
      <c r="AN597" s="271"/>
      <c r="AO597" s="271"/>
      <c r="AP597" s="271"/>
      <c r="AQ597" s="271"/>
      <c r="AR597" s="271"/>
      <c r="AS597" s="271"/>
      <c r="AT597" s="271"/>
      <c r="AU597" s="271"/>
      <c r="AV597" s="271"/>
      <c r="AW597" s="271"/>
      <c r="AX597" s="271"/>
      <c r="AY597" s="271"/>
      <c r="AZ597" s="271"/>
      <c r="BA597" s="271"/>
      <c r="BB597" s="271"/>
      <c r="BC597" s="271"/>
      <c r="BD597" s="271"/>
      <c r="BE597" s="271"/>
      <c r="BF597" s="271"/>
    </row>
    <row r="598" spans="2:58" ht="16" thickBot="1" x14ac:dyDescent="0.25">
      <c r="B598" s="660"/>
      <c r="C598" s="275">
        <v>1549</v>
      </c>
      <c r="D598" s="661"/>
      <c r="E598" s="303" t="s">
        <v>625</v>
      </c>
      <c r="F598" s="303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  <c r="AA598" s="271"/>
      <c r="AB598" s="271"/>
      <c r="AC598" s="271"/>
      <c r="AD598" s="271"/>
      <c r="AE598" s="271"/>
      <c r="AF598" s="271"/>
      <c r="AG598" s="271"/>
      <c r="AH598" s="271"/>
      <c r="AI598" s="271"/>
      <c r="AJ598" s="271"/>
      <c r="AK598" s="271"/>
      <c r="AL598" s="271"/>
      <c r="AM598" s="271"/>
      <c r="AN598" s="271"/>
      <c r="AO598" s="271"/>
      <c r="AP598" s="271"/>
      <c r="AQ598" s="271"/>
      <c r="AR598" s="271"/>
      <c r="AS598" s="271"/>
      <c r="AT598" s="271"/>
      <c r="AU598" s="271"/>
      <c r="AV598" s="271"/>
      <c r="AW598" s="271"/>
      <c r="AX598" s="271"/>
      <c r="AY598" s="271"/>
      <c r="AZ598" s="271"/>
      <c r="BA598" s="271"/>
      <c r="BB598" s="271"/>
      <c r="BC598" s="271"/>
      <c r="BD598" s="271"/>
      <c r="BE598" s="271"/>
      <c r="BF598" s="271"/>
    </row>
    <row r="599" spans="2:58" ht="16" thickBot="1" x14ac:dyDescent="0.25">
      <c r="B599" s="660"/>
      <c r="C599" s="275">
        <v>180</v>
      </c>
      <c r="D599" s="661"/>
      <c r="E599" s="303" t="s">
        <v>334</v>
      </c>
      <c r="F599" s="303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  <c r="AA599" s="271"/>
      <c r="AB599" s="271"/>
      <c r="AC599" s="271"/>
      <c r="AD599" s="271"/>
      <c r="AE599" s="271"/>
      <c r="AF599" s="271"/>
      <c r="AG599" s="271"/>
      <c r="AH599" s="271"/>
      <c r="AI599" s="271"/>
      <c r="AJ599" s="271"/>
      <c r="AK599" s="271"/>
      <c r="AL599" s="271"/>
      <c r="AM599" s="271"/>
      <c r="AN599" s="271"/>
      <c r="AO599" s="271"/>
      <c r="AP599" s="271"/>
      <c r="AQ599" s="271"/>
      <c r="AR599" s="271"/>
      <c r="AS599" s="271"/>
      <c r="AT599" s="271"/>
      <c r="AU599" s="271"/>
      <c r="AV599" s="271"/>
      <c r="AW599" s="271"/>
      <c r="AX599" s="271"/>
      <c r="AY599" s="271"/>
      <c r="AZ599" s="271"/>
      <c r="BA599" s="271"/>
      <c r="BB599" s="271"/>
      <c r="BC599" s="271"/>
      <c r="BD599" s="271"/>
      <c r="BE599" s="271"/>
      <c r="BF599" s="271"/>
    </row>
    <row r="600" spans="2:58" ht="16" thickBot="1" x14ac:dyDescent="0.25">
      <c r="B600" s="660"/>
      <c r="C600" s="275">
        <v>1200</v>
      </c>
      <c r="D600" s="661"/>
      <c r="E600" s="303"/>
      <c r="F600" s="303" t="s">
        <v>17</v>
      </c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  <c r="AA600" s="271"/>
      <c r="AB600" s="271"/>
      <c r="AC600" s="271"/>
      <c r="AD600" s="271"/>
      <c r="AE600" s="271"/>
      <c r="AF600" s="271"/>
      <c r="AG600" s="271"/>
      <c r="AH600" s="271"/>
      <c r="AI600" s="271"/>
      <c r="AJ600" s="271"/>
      <c r="AK600" s="271"/>
      <c r="AL600" s="271"/>
      <c r="AM600" s="271"/>
      <c r="AN600" s="271"/>
      <c r="AO600" s="271">
        <v>20</v>
      </c>
      <c r="AP600" s="271">
        <v>600</v>
      </c>
      <c r="AQ600" s="271">
        <v>20</v>
      </c>
      <c r="AR600" s="271">
        <v>600</v>
      </c>
      <c r="AS600" s="271"/>
      <c r="AT600" s="271"/>
      <c r="AU600" s="271"/>
      <c r="AV600" s="271"/>
      <c r="AW600" s="271"/>
      <c r="AX600" s="271"/>
      <c r="AY600" s="271"/>
      <c r="AZ600" s="271"/>
      <c r="BA600" s="271"/>
      <c r="BB600" s="271"/>
      <c r="BC600" s="271"/>
      <c r="BD600" s="271"/>
      <c r="BE600" s="271"/>
      <c r="BF600" s="271"/>
    </row>
    <row r="601" spans="2:58" ht="16" thickBot="1" x14ac:dyDescent="0.25">
      <c r="B601" s="660"/>
      <c r="C601" s="275">
        <v>404.91</v>
      </c>
      <c r="D601" s="661"/>
      <c r="E601" s="303"/>
      <c r="F601" s="303" t="s">
        <v>14</v>
      </c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  <c r="AA601" s="271"/>
      <c r="AB601" s="271"/>
      <c r="AC601" s="271"/>
      <c r="AD601" s="271"/>
      <c r="AE601" s="271">
        <v>9</v>
      </c>
      <c r="AF601" s="271">
        <v>404.91</v>
      </c>
      <c r="AG601" s="271"/>
      <c r="AH601" s="271"/>
      <c r="AI601" s="271"/>
      <c r="AJ601" s="271"/>
      <c r="AK601" s="271"/>
      <c r="AL601" s="271"/>
      <c r="AM601" s="271"/>
      <c r="AN601" s="271"/>
      <c r="AO601" s="271"/>
      <c r="AP601" s="271"/>
      <c r="AQ601" s="271"/>
      <c r="AR601" s="271"/>
      <c r="AS601" s="271"/>
      <c r="AT601" s="271"/>
      <c r="AU601" s="271"/>
      <c r="AV601" s="271"/>
      <c r="AW601" s="271"/>
      <c r="AX601" s="271"/>
      <c r="AY601" s="271"/>
      <c r="AZ601" s="271"/>
      <c r="BA601" s="271"/>
      <c r="BB601" s="271"/>
      <c r="BC601" s="271"/>
      <c r="BD601" s="271"/>
      <c r="BE601" s="271"/>
      <c r="BF601" s="271"/>
    </row>
    <row r="602" spans="2:58" ht="16" thickBot="1" x14ac:dyDescent="0.25">
      <c r="B602" s="681" t="s">
        <v>20</v>
      </c>
      <c r="C602" s="275">
        <v>7112.6</v>
      </c>
      <c r="D602" s="277"/>
      <c r="E602" s="279"/>
      <c r="F602" s="279" t="s">
        <v>9</v>
      </c>
      <c r="G602" s="271">
        <v>7</v>
      </c>
      <c r="H602" s="271">
        <v>979.93</v>
      </c>
      <c r="I602" s="271">
        <v>2</v>
      </c>
      <c r="J602" s="271">
        <v>409.98</v>
      </c>
      <c r="K602" s="271">
        <v>8</v>
      </c>
      <c r="L602" s="271">
        <v>1455.92</v>
      </c>
      <c r="M602" s="271">
        <v>6</v>
      </c>
      <c r="N602" s="271">
        <v>1001.94</v>
      </c>
      <c r="O602" s="271">
        <v>6</v>
      </c>
      <c r="P602" s="271">
        <v>2160</v>
      </c>
      <c r="Q602" s="271"/>
      <c r="R602" s="271"/>
      <c r="S602" s="271"/>
      <c r="T602" s="271"/>
      <c r="U602" s="271"/>
      <c r="V602" s="271"/>
      <c r="W602" s="271">
        <v>4</v>
      </c>
      <c r="X602" s="271">
        <v>171.96</v>
      </c>
      <c r="Y602" s="271"/>
      <c r="Z602" s="271"/>
      <c r="AA602" s="271"/>
      <c r="AB602" s="271"/>
      <c r="AC602" s="271">
        <v>6</v>
      </c>
      <c r="AD602" s="271">
        <v>593.94000000000005</v>
      </c>
      <c r="AE602" s="271"/>
      <c r="AF602" s="271"/>
      <c r="AG602" s="271"/>
      <c r="AH602" s="271"/>
      <c r="AI602" s="271"/>
      <c r="AJ602" s="271"/>
      <c r="AK602" s="271"/>
      <c r="AL602" s="271"/>
      <c r="AM602" s="271"/>
      <c r="AN602" s="271"/>
      <c r="AO602" s="271"/>
      <c r="AP602" s="271"/>
      <c r="AQ602" s="271"/>
      <c r="AR602" s="271"/>
      <c r="AS602" s="271"/>
      <c r="AT602" s="271"/>
      <c r="AU602" s="271"/>
      <c r="AV602" s="271"/>
      <c r="AW602" s="271"/>
      <c r="AX602" s="271"/>
      <c r="AY602" s="271"/>
      <c r="AZ602" s="271"/>
      <c r="BA602" s="271">
        <v>1</v>
      </c>
      <c r="BB602" s="271">
        <v>26.99</v>
      </c>
      <c r="BC602" s="271"/>
      <c r="BD602" s="271"/>
      <c r="BE602" s="271"/>
      <c r="BF602" s="271"/>
    </row>
    <row r="603" spans="2:58" ht="16" thickBot="1" x14ac:dyDescent="0.25">
      <c r="B603" s="479"/>
      <c r="C603" s="680">
        <f>SUM(C597:C602)</f>
        <v>11246.51</v>
      </c>
      <c r="D603" s="159"/>
      <c r="E603" s="270"/>
      <c r="F603" s="281"/>
      <c r="G603" s="309"/>
      <c r="H603" s="310"/>
      <c r="I603" s="309"/>
      <c r="J603" s="310"/>
      <c r="K603" s="309"/>
      <c r="L603" s="310"/>
      <c r="M603" s="309"/>
      <c r="N603" s="310"/>
      <c r="O603" s="271"/>
      <c r="P603" s="271"/>
      <c r="Q603" s="310"/>
      <c r="R603" s="310"/>
      <c r="S603" s="309"/>
      <c r="T603" s="310"/>
      <c r="U603" s="309"/>
      <c r="V603" s="310"/>
      <c r="W603" s="309"/>
      <c r="X603" s="310"/>
      <c r="Y603" s="309"/>
      <c r="Z603" s="310"/>
      <c r="AA603" s="309"/>
      <c r="AB603" s="310"/>
      <c r="AC603" s="271"/>
      <c r="AD603" s="271"/>
      <c r="AE603" s="309"/>
      <c r="AF603" s="310"/>
      <c r="AG603" s="309"/>
      <c r="AH603" s="310"/>
      <c r="AI603" s="309"/>
      <c r="AJ603" s="310"/>
      <c r="AK603" s="309"/>
      <c r="AL603" s="310"/>
      <c r="AM603" s="309"/>
      <c r="AN603" s="310"/>
      <c r="AO603" s="309"/>
      <c r="AP603" s="310"/>
      <c r="AQ603" s="309"/>
      <c r="AR603" s="310"/>
      <c r="AS603" s="309"/>
      <c r="AT603" s="310"/>
      <c r="AU603" s="309"/>
      <c r="AV603" s="310"/>
      <c r="AW603" s="309"/>
      <c r="AX603" s="310"/>
      <c r="AY603" s="309"/>
      <c r="AZ603" s="310"/>
      <c r="BA603" s="271"/>
      <c r="BB603" s="271"/>
      <c r="BC603" s="271"/>
      <c r="BD603" s="271"/>
      <c r="BE603" s="271"/>
      <c r="BF603" s="271"/>
    </row>
    <row r="604" spans="2:58" ht="16" thickBot="1" x14ac:dyDescent="0.25">
      <c r="B604" s="289">
        <v>45727</v>
      </c>
      <c r="C604" s="275">
        <f>583.24+81+81</f>
        <v>745.24</v>
      </c>
      <c r="D604" s="277"/>
      <c r="E604" s="279" t="s">
        <v>498</v>
      </c>
      <c r="F604" s="279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  <c r="AA604" s="271"/>
      <c r="AB604" s="271"/>
      <c r="AC604" s="271"/>
      <c r="AD604" s="271"/>
      <c r="AE604" s="271"/>
      <c r="AF604" s="271"/>
      <c r="AG604" s="271"/>
      <c r="AH604" s="271"/>
      <c r="AI604" s="271"/>
      <c r="AJ604" s="271"/>
      <c r="AK604" s="271"/>
      <c r="AL604" s="271"/>
      <c r="AM604" s="271"/>
      <c r="AN604" s="271"/>
      <c r="AO604" s="271"/>
      <c r="AP604" s="271"/>
      <c r="AQ604" s="271"/>
      <c r="AR604" s="271"/>
      <c r="AS604" s="271"/>
      <c r="AT604" s="271"/>
      <c r="AU604" s="271"/>
      <c r="AV604" s="271"/>
      <c r="AW604" s="271"/>
      <c r="AX604" s="271"/>
      <c r="AY604" s="271"/>
      <c r="AZ604" s="271"/>
      <c r="BA604" s="271"/>
      <c r="BB604" s="271"/>
      <c r="BC604" s="271"/>
      <c r="BD604" s="271"/>
      <c r="BE604" s="271"/>
      <c r="BF604" s="271"/>
    </row>
    <row r="605" spans="2:58" ht="16" thickBot="1" x14ac:dyDescent="0.25">
      <c r="B605" s="289"/>
      <c r="C605" s="139">
        <v>359.92</v>
      </c>
      <c r="E605" s="575"/>
      <c r="F605" s="279" t="s">
        <v>833</v>
      </c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  <c r="AA605" s="271"/>
      <c r="AB605" s="271"/>
      <c r="AC605" s="271"/>
      <c r="AD605" s="271"/>
      <c r="AE605" s="271">
        <v>8</v>
      </c>
      <c r="AF605" s="271">
        <v>359.92</v>
      </c>
      <c r="AG605" s="271"/>
      <c r="AH605" s="271"/>
      <c r="AI605" s="271"/>
      <c r="AJ605" s="271"/>
      <c r="AK605" s="271"/>
      <c r="AL605" s="271"/>
      <c r="AM605" s="271"/>
      <c r="AN605" s="271"/>
      <c r="AO605" s="271"/>
      <c r="AP605" s="271"/>
      <c r="AQ605" s="271"/>
      <c r="AR605" s="271"/>
      <c r="AS605" s="271"/>
      <c r="AT605" s="271"/>
      <c r="AU605" s="271"/>
      <c r="AV605" s="271"/>
      <c r="AW605" s="271"/>
      <c r="AX605" s="271"/>
      <c r="AY605" s="271"/>
      <c r="AZ605" s="271"/>
      <c r="BA605" s="271"/>
      <c r="BB605" s="271"/>
      <c r="BC605" s="271"/>
      <c r="BD605" s="271"/>
      <c r="BE605" s="271"/>
      <c r="BF605" s="271"/>
    </row>
    <row r="606" spans="2:58" ht="16" thickBot="1" x14ac:dyDescent="0.25">
      <c r="B606" s="289"/>
      <c r="C606" s="4">
        <v>6523.64</v>
      </c>
      <c r="E606" s="142"/>
      <c r="F606" s="279" t="s">
        <v>834</v>
      </c>
      <c r="G606" s="271">
        <v>8</v>
      </c>
      <c r="H606" s="271">
        <v>1119.92</v>
      </c>
      <c r="I606" s="271">
        <v>2</v>
      </c>
      <c r="J606" s="271">
        <v>409.98</v>
      </c>
      <c r="K606" s="271">
        <v>6</v>
      </c>
      <c r="L606" s="271">
        <v>1091.94</v>
      </c>
      <c r="M606" s="271">
        <v>8</v>
      </c>
      <c r="N606" s="271">
        <v>1335.92</v>
      </c>
      <c r="O606" s="271">
        <v>5</v>
      </c>
      <c r="P606" s="271">
        <v>1800</v>
      </c>
      <c r="Q606" s="271"/>
      <c r="R606" s="271"/>
      <c r="S606" s="271"/>
      <c r="T606" s="271"/>
      <c r="U606" s="271"/>
      <c r="V606" s="271"/>
      <c r="W606" s="271">
        <v>4</v>
      </c>
      <c r="X606" s="271">
        <v>171.96</v>
      </c>
      <c r="Y606" s="271"/>
      <c r="Z606" s="271"/>
      <c r="AA606" s="271"/>
      <c r="AB606" s="271"/>
      <c r="AC606" s="271">
        <v>5</v>
      </c>
      <c r="AD606" s="271">
        <v>494.95</v>
      </c>
      <c r="AE606" s="271"/>
      <c r="AF606" s="271"/>
      <c r="AG606" s="271"/>
      <c r="AH606" s="271"/>
      <c r="AI606" s="271">
        <v>2</v>
      </c>
      <c r="AJ606" s="271">
        <v>11.98</v>
      </c>
      <c r="AK606" s="271"/>
      <c r="AL606" s="271"/>
      <c r="AM606" s="271"/>
      <c r="AN606" s="271"/>
      <c r="AO606" s="271"/>
      <c r="AP606" s="271"/>
      <c r="AQ606" s="271"/>
      <c r="AR606" s="271"/>
      <c r="AS606" s="271"/>
      <c r="AT606" s="271"/>
      <c r="AU606" s="271"/>
      <c r="AV606" s="271"/>
      <c r="AW606" s="271"/>
      <c r="AX606" s="271"/>
      <c r="AY606" s="271"/>
      <c r="AZ606" s="271"/>
      <c r="BA606" s="271">
        <v>1</v>
      </c>
      <c r="BB606" s="271">
        <v>26.99</v>
      </c>
      <c r="BC606" s="271"/>
      <c r="BD606" s="271"/>
      <c r="BE606" s="271"/>
      <c r="BF606" s="271"/>
    </row>
    <row r="607" spans="2:58" ht="16" thickBot="1" x14ac:dyDescent="0.25">
      <c r="B607" s="289"/>
      <c r="C607" s="146">
        <v>4771.7</v>
      </c>
      <c r="E607" s="147"/>
      <c r="F607" s="279" t="s">
        <v>835</v>
      </c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  <c r="AA607" s="271"/>
      <c r="AB607" s="271"/>
      <c r="AC607" s="271"/>
      <c r="AD607" s="271"/>
      <c r="AE607" s="271"/>
      <c r="AF607" s="271"/>
      <c r="AG607" s="271"/>
      <c r="AH607" s="271"/>
      <c r="AI607" s="271"/>
      <c r="AJ607" s="271"/>
      <c r="AK607" s="271"/>
      <c r="AL607" s="271"/>
      <c r="AM607" s="271"/>
      <c r="AN607" s="271"/>
      <c r="AO607" s="271"/>
      <c r="AP607" s="271"/>
      <c r="AQ607" s="271"/>
      <c r="AR607" s="271"/>
      <c r="AS607" s="271"/>
      <c r="AT607" s="271"/>
      <c r="AU607" s="271"/>
      <c r="AV607" s="271"/>
      <c r="AW607" s="271">
        <v>10</v>
      </c>
      <c r="AX607" s="271">
        <f>4771.7/2</f>
        <v>2385.85</v>
      </c>
      <c r="AY607" s="271">
        <v>10</v>
      </c>
      <c r="AZ607" s="271">
        <v>2385.85</v>
      </c>
      <c r="BA607" s="271"/>
      <c r="BB607" s="271"/>
      <c r="BC607" s="271"/>
      <c r="BD607" s="271"/>
      <c r="BE607" s="271"/>
      <c r="BF607" s="271"/>
    </row>
    <row r="608" spans="2:58" ht="16" thickBot="1" x14ac:dyDescent="0.25">
      <c r="B608" s="289" t="s">
        <v>90</v>
      </c>
      <c r="C608" s="275">
        <v>19333.8</v>
      </c>
      <c r="D608" s="277"/>
      <c r="E608" s="279"/>
      <c r="F608" s="279" t="s">
        <v>6</v>
      </c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>
        <v>4</v>
      </c>
      <c r="T608" s="271">
        <v>3174</v>
      </c>
      <c r="U608" s="271">
        <v>18</v>
      </c>
      <c r="V608" s="271">
        <v>9522</v>
      </c>
      <c r="W608" s="271"/>
      <c r="X608" s="271"/>
      <c r="Y608" s="271">
        <v>1</v>
      </c>
      <c r="Z608" s="271">
        <v>772.8</v>
      </c>
      <c r="AA608" s="271">
        <v>1</v>
      </c>
      <c r="AB608" s="271">
        <v>4025</v>
      </c>
      <c r="AC608" s="271"/>
      <c r="AD608" s="271"/>
      <c r="AE608" s="271"/>
      <c r="AF608" s="271"/>
      <c r="AG608" s="271"/>
      <c r="AH608" s="271"/>
      <c r="AI608" s="271"/>
      <c r="AJ608" s="271"/>
      <c r="AK608" s="271"/>
      <c r="AL608" s="271"/>
      <c r="AM608" s="271"/>
      <c r="AN608" s="271"/>
      <c r="AO608" s="271"/>
      <c r="AP608" s="271"/>
      <c r="AQ608" s="271"/>
      <c r="AR608" s="271"/>
      <c r="AS608" s="271"/>
      <c r="AT608" s="271"/>
      <c r="AU608" s="271"/>
      <c r="AV608" s="271"/>
      <c r="AW608" s="271"/>
      <c r="AX608" s="271"/>
      <c r="AY608" s="271"/>
      <c r="AZ608" s="271"/>
      <c r="BA608" s="271"/>
      <c r="BB608" s="271"/>
      <c r="BC608" s="271"/>
      <c r="BD608" s="271"/>
      <c r="BE608" s="271"/>
      <c r="BF608" s="271"/>
    </row>
    <row r="609" spans="2:58" ht="16" thickBot="1" x14ac:dyDescent="0.25">
      <c r="B609" s="292"/>
      <c r="C609" s="159">
        <f>SUM(C604:C608)</f>
        <v>31734.3</v>
      </c>
      <c r="D609" s="159"/>
      <c r="E609" s="270"/>
      <c r="F609" s="281"/>
      <c r="G609" s="309"/>
      <c r="H609" s="310"/>
      <c r="I609" s="309"/>
      <c r="J609" s="310"/>
      <c r="K609" s="309"/>
      <c r="L609" s="310"/>
      <c r="M609" s="309"/>
      <c r="N609" s="310"/>
      <c r="O609" s="271"/>
      <c r="P609" s="271"/>
      <c r="Q609" s="310"/>
      <c r="R609" s="310"/>
      <c r="S609" s="309"/>
      <c r="T609" s="310"/>
      <c r="U609" s="309"/>
      <c r="V609" s="310"/>
      <c r="W609" s="309"/>
      <c r="X609" s="310"/>
      <c r="Y609" s="309"/>
      <c r="Z609" s="310"/>
      <c r="AA609" s="309"/>
      <c r="AB609" s="310"/>
      <c r="AC609" s="271"/>
      <c r="AD609" s="271"/>
      <c r="AE609" s="309"/>
      <c r="AF609" s="310"/>
      <c r="AG609" s="309"/>
      <c r="AH609" s="310"/>
      <c r="AI609" s="309"/>
      <c r="AJ609" s="310"/>
      <c r="AK609" s="309"/>
      <c r="AL609" s="310"/>
      <c r="AM609" s="309"/>
      <c r="AN609" s="310"/>
      <c r="AO609" s="309"/>
      <c r="AP609" s="310"/>
      <c r="AQ609" s="309"/>
      <c r="AR609" s="310"/>
      <c r="AS609" s="309"/>
      <c r="AT609" s="310"/>
      <c r="AU609" s="309"/>
      <c r="AV609" s="310"/>
      <c r="AW609" s="309"/>
      <c r="AX609" s="310"/>
      <c r="AY609" s="309"/>
      <c r="AZ609" s="310"/>
      <c r="BA609" s="271"/>
      <c r="BB609" s="271"/>
      <c r="BC609" s="271"/>
      <c r="BD609" s="271"/>
      <c r="BE609" s="271"/>
      <c r="BF609" s="271"/>
    </row>
    <row r="610" spans="2:58" ht="16" thickBot="1" x14ac:dyDescent="0.25">
      <c r="B610" s="289">
        <v>45728</v>
      </c>
      <c r="C610" s="275">
        <v>1400</v>
      </c>
      <c r="D610" s="277"/>
      <c r="E610" s="279" t="s">
        <v>186</v>
      </c>
      <c r="F610" s="279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  <c r="AA610" s="271"/>
      <c r="AB610" s="271"/>
      <c r="AC610" s="271"/>
      <c r="AD610" s="271"/>
      <c r="AE610" s="271"/>
      <c r="AF610" s="271"/>
      <c r="AG610" s="271"/>
      <c r="AH610" s="271"/>
      <c r="AI610" s="271"/>
      <c r="AJ610" s="271"/>
      <c r="AK610" s="271"/>
      <c r="AL610" s="271"/>
      <c r="AM610" s="271"/>
      <c r="AN610" s="271"/>
      <c r="AO610" s="271"/>
      <c r="AP610" s="271"/>
      <c r="AQ610" s="271"/>
      <c r="AR610" s="271"/>
      <c r="AS610" s="271"/>
      <c r="AT610" s="271"/>
      <c r="AU610" s="271"/>
      <c r="AV610" s="271"/>
      <c r="AW610" s="271"/>
      <c r="AX610" s="271"/>
      <c r="AY610" s="271"/>
      <c r="AZ610" s="271"/>
      <c r="BA610" s="271"/>
      <c r="BB610" s="271"/>
      <c r="BC610" s="271"/>
      <c r="BD610" s="271"/>
      <c r="BE610" s="271"/>
      <c r="BF610" s="271"/>
    </row>
    <row r="611" spans="2:58" ht="16" thickBot="1" x14ac:dyDescent="0.25">
      <c r="B611" s="288" t="s">
        <v>22</v>
      </c>
      <c r="C611" s="287"/>
      <c r="D611" s="290"/>
      <c r="E611" s="290"/>
      <c r="F611" s="296"/>
      <c r="G611" s="309"/>
      <c r="H611" s="310"/>
      <c r="I611" s="309"/>
      <c r="J611" s="310"/>
      <c r="K611" s="309"/>
      <c r="L611" s="310"/>
      <c r="M611" s="309"/>
      <c r="N611" s="310"/>
      <c r="O611" s="271"/>
      <c r="P611" s="271"/>
      <c r="Q611" s="309"/>
      <c r="R611" s="310"/>
      <c r="S611" s="309"/>
      <c r="T611" s="310"/>
      <c r="U611" s="309"/>
      <c r="V611" s="310"/>
      <c r="W611" s="309"/>
      <c r="X611" s="310"/>
      <c r="Y611" s="309"/>
      <c r="Z611" s="310"/>
      <c r="AA611" s="309"/>
      <c r="AB611" s="310"/>
      <c r="AC611" s="271"/>
      <c r="AD611" s="271"/>
      <c r="AE611" s="309"/>
      <c r="AF611" s="310"/>
      <c r="AG611" s="309"/>
      <c r="AH611" s="310"/>
      <c r="AI611" s="309"/>
      <c r="AJ611" s="310"/>
      <c r="AK611" s="309"/>
      <c r="AL611" s="310"/>
      <c r="AM611" s="309"/>
      <c r="AN611" s="310"/>
      <c r="AO611" s="309"/>
      <c r="AP611" s="310"/>
      <c r="AQ611" s="309"/>
      <c r="AR611" s="310"/>
      <c r="AS611" s="309"/>
      <c r="AT611" s="310"/>
      <c r="AU611" s="309"/>
      <c r="AV611" s="310"/>
      <c r="AW611" s="309"/>
      <c r="AX611" s="310"/>
      <c r="AY611" s="309"/>
      <c r="AZ611" s="310"/>
      <c r="BA611" s="271"/>
      <c r="BB611" s="271"/>
      <c r="BC611" s="271"/>
      <c r="BD611" s="271"/>
      <c r="BE611" s="271"/>
      <c r="BF611" s="271"/>
    </row>
    <row r="612" spans="2:58" ht="16" thickBot="1" x14ac:dyDescent="0.25">
      <c r="B612" s="292"/>
      <c r="C612" s="159">
        <f>SUM(C610:C611)</f>
        <v>1400</v>
      </c>
      <c r="D612" s="159"/>
      <c r="E612" s="270"/>
      <c r="F612" s="297"/>
      <c r="G612" s="309"/>
      <c r="H612" s="310"/>
      <c r="I612" s="309"/>
      <c r="J612" s="310"/>
      <c r="K612" s="309"/>
      <c r="L612" s="310"/>
      <c r="M612" s="309"/>
      <c r="N612" s="310"/>
      <c r="O612" s="271"/>
      <c r="P612" s="271"/>
      <c r="Q612" s="310"/>
      <c r="R612" s="310"/>
      <c r="S612" s="309"/>
      <c r="T612" s="310"/>
      <c r="U612" s="309"/>
      <c r="V612" s="310"/>
      <c r="W612" s="309"/>
      <c r="X612" s="310"/>
      <c r="Y612" s="309"/>
      <c r="Z612" s="310"/>
      <c r="AA612" s="309"/>
      <c r="AB612" s="310"/>
      <c r="AC612" s="271"/>
      <c r="AD612" s="271"/>
      <c r="AE612" s="309"/>
      <c r="AF612" s="310"/>
      <c r="AG612" s="309"/>
      <c r="AH612" s="310"/>
      <c r="AI612" s="309"/>
      <c r="AJ612" s="310"/>
      <c r="AK612" s="309"/>
      <c r="AL612" s="310"/>
      <c r="AM612" s="309"/>
      <c r="AN612" s="310"/>
      <c r="AO612" s="309"/>
      <c r="AP612" s="310"/>
      <c r="AQ612" s="309"/>
      <c r="AR612" s="310"/>
      <c r="AS612" s="309"/>
      <c r="AT612" s="310"/>
      <c r="AU612" s="309"/>
      <c r="AV612" s="310"/>
      <c r="AW612" s="309"/>
      <c r="AX612" s="310"/>
      <c r="AY612" s="309"/>
      <c r="AZ612" s="310"/>
      <c r="BA612" s="271"/>
      <c r="BB612" s="271"/>
      <c r="BC612" s="271"/>
      <c r="BD612" s="271"/>
      <c r="BE612" s="271"/>
      <c r="BF612" s="271"/>
    </row>
    <row r="613" spans="2:58" ht="16" thickBot="1" x14ac:dyDescent="0.25">
      <c r="B613" s="289">
        <v>45729</v>
      </c>
      <c r="C613" s="295">
        <f>6290.62+145</f>
        <v>6435.62</v>
      </c>
      <c r="D613" s="275"/>
      <c r="E613" s="274"/>
      <c r="F613" s="301" t="s">
        <v>9</v>
      </c>
      <c r="G613" s="309">
        <v>8</v>
      </c>
      <c r="H613" s="310">
        <v>1119.92</v>
      </c>
      <c r="I613" s="309">
        <v>1</v>
      </c>
      <c r="J613" s="310">
        <v>204.99</v>
      </c>
      <c r="K613" s="309">
        <v>4</v>
      </c>
      <c r="L613" s="310">
        <v>727.96</v>
      </c>
      <c r="M613" s="309">
        <v>8</v>
      </c>
      <c r="N613" s="310">
        <v>1335.92</v>
      </c>
      <c r="O613" s="271">
        <v>5</v>
      </c>
      <c r="P613" s="271">
        <v>1800</v>
      </c>
      <c r="Q613" s="309">
        <v>1</v>
      </c>
      <c r="R613" s="310">
        <v>145</v>
      </c>
      <c r="S613" s="309"/>
      <c r="T613" s="310"/>
      <c r="U613" s="309"/>
      <c r="V613" s="310"/>
      <c r="W613" s="309">
        <v>4</v>
      </c>
      <c r="X613" s="310">
        <v>171.96</v>
      </c>
      <c r="Y613" s="309"/>
      <c r="Z613" s="310"/>
      <c r="AA613" s="309"/>
      <c r="AB613" s="310"/>
      <c r="AC613" s="271">
        <v>5</v>
      </c>
      <c r="AD613" s="271">
        <v>514.95000000000005</v>
      </c>
      <c r="AE613" s="309"/>
      <c r="AF613" s="310"/>
      <c r="AG613" s="309"/>
      <c r="AH613" s="310"/>
      <c r="AI613" s="309"/>
      <c r="AJ613" s="310"/>
      <c r="AK613" s="309"/>
      <c r="AL613" s="310"/>
      <c r="AM613" s="309"/>
      <c r="AN613" s="310"/>
      <c r="AO613" s="309"/>
      <c r="AP613" s="310"/>
      <c r="AQ613" s="309"/>
      <c r="AR613" s="310"/>
      <c r="AS613" s="309"/>
      <c r="AT613" s="310"/>
      <c r="AU613" s="309"/>
      <c r="AV613" s="310"/>
      <c r="AW613" s="309"/>
      <c r="AX613" s="310"/>
      <c r="AY613" s="309"/>
      <c r="AZ613" s="310"/>
      <c r="BA613" s="271">
        <v>1</v>
      </c>
      <c r="BB613" s="271">
        <v>26.99</v>
      </c>
      <c r="BC613" s="271"/>
      <c r="BD613" s="271"/>
      <c r="BE613" s="271">
        <v>1</v>
      </c>
      <c r="BF613" s="271">
        <v>75.989999999999995</v>
      </c>
    </row>
    <row r="614" spans="2:58" ht="16" thickBot="1" x14ac:dyDescent="0.25">
      <c r="B614" s="289"/>
      <c r="C614" s="295">
        <v>224.95</v>
      </c>
      <c r="D614" s="275"/>
      <c r="E614" s="275"/>
      <c r="F614" s="302" t="s">
        <v>14</v>
      </c>
      <c r="G614" s="309"/>
      <c r="H614" s="310"/>
      <c r="I614" s="309"/>
      <c r="J614" s="310"/>
      <c r="K614" s="309"/>
      <c r="L614" s="310"/>
      <c r="M614" s="309"/>
      <c r="N614" s="310"/>
      <c r="O614" s="271"/>
      <c r="P614" s="271"/>
      <c r="Q614" s="309"/>
      <c r="R614" s="310"/>
      <c r="S614" s="309"/>
      <c r="T614" s="310"/>
      <c r="U614" s="309"/>
      <c r="V614" s="310"/>
      <c r="W614" s="309"/>
      <c r="X614" s="310"/>
      <c r="Y614" s="309"/>
      <c r="Z614" s="310"/>
      <c r="AA614" s="309"/>
      <c r="AB614" s="310"/>
      <c r="AC614" s="271"/>
      <c r="AD614" s="271"/>
      <c r="AE614" s="309">
        <v>5</v>
      </c>
      <c r="AF614" s="310">
        <v>224.95</v>
      </c>
      <c r="AG614" s="309"/>
      <c r="AH614" s="310"/>
      <c r="AI614" s="309"/>
      <c r="AJ614" s="310"/>
      <c r="AK614" s="309"/>
      <c r="AL614" s="310"/>
      <c r="AM614" s="309"/>
      <c r="AN614" s="310"/>
      <c r="AO614" s="309"/>
      <c r="AP614" s="310"/>
      <c r="AQ614" s="309"/>
      <c r="AR614" s="310"/>
      <c r="AS614" s="309"/>
      <c r="AT614" s="310"/>
      <c r="AU614" s="309"/>
      <c r="AV614" s="310"/>
      <c r="AW614" s="309"/>
      <c r="AX614" s="310"/>
      <c r="AY614" s="309"/>
      <c r="AZ614" s="310"/>
      <c r="BA614" s="271"/>
      <c r="BB614" s="271"/>
      <c r="BC614" s="271"/>
      <c r="BD614" s="271"/>
      <c r="BE614" s="271"/>
      <c r="BF614" s="271"/>
    </row>
    <row r="615" spans="2:58" ht="16" thickBot="1" x14ac:dyDescent="0.25">
      <c r="B615" s="289"/>
      <c r="C615" s="295"/>
      <c r="D615" s="275"/>
      <c r="E615" s="275"/>
      <c r="F615" s="302"/>
      <c r="G615" s="309"/>
      <c r="H615" s="310"/>
      <c r="I615" s="309"/>
      <c r="J615" s="310"/>
      <c r="K615" s="309"/>
      <c r="L615" s="310"/>
      <c r="M615" s="309"/>
      <c r="N615" s="310"/>
      <c r="O615" s="271"/>
      <c r="P615" s="271"/>
      <c r="Q615" s="309"/>
      <c r="R615" s="310"/>
      <c r="S615" s="309"/>
      <c r="T615" s="310"/>
      <c r="U615" s="309"/>
      <c r="V615" s="310"/>
      <c r="W615" s="309"/>
      <c r="X615" s="310"/>
      <c r="Y615" s="309"/>
      <c r="Z615" s="310"/>
      <c r="AA615" s="309"/>
      <c r="AB615" s="310"/>
      <c r="AC615" s="271"/>
      <c r="AD615" s="271"/>
      <c r="AE615" s="309"/>
      <c r="AF615" s="310"/>
      <c r="AG615" s="309"/>
      <c r="AH615" s="310"/>
      <c r="AI615" s="309"/>
      <c r="AJ615" s="310"/>
      <c r="AK615" s="309"/>
      <c r="AL615" s="310"/>
      <c r="AM615" s="309"/>
      <c r="AN615" s="310"/>
      <c r="AO615" s="309"/>
      <c r="AP615" s="310"/>
      <c r="AQ615" s="309"/>
      <c r="AR615" s="310"/>
      <c r="AS615" s="309"/>
      <c r="AT615" s="310"/>
      <c r="AU615" s="309"/>
      <c r="AV615" s="310"/>
      <c r="AW615" s="309"/>
      <c r="AX615" s="310"/>
      <c r="AY615" s="309"/>
      <c r="AZ615" s="310"/>
      <c r="BA615" s="271"/>
      <c r="BB615" s="271"/>
      <c r="BC615" s="271"/>
      <c r="BD615" s="271"/>
      <c r="BE615" s="271"/>
      <c r="BF615" s="271"/>
    </row>
    <row r="616" spans="2:58" ht="16" thickBot="1" x14ac:dyDescent="0.25">
      <c r="B616" s="289" t="s">
        <v>23</v>
      </c>
      <c r="C616" s="295"/>
      <c r="D616" s="275"/>
      <c r="E616" s="275"/>
      <c r="F616" s="302"/>
      <c r="G616" s="309"/>
      <c r="H616" s="310"/>
      <c r="I616" s="309"/>
      <c r="J616" s="310"/>
      <c r="K616" s="309"/>
      <c r="L616" s="310"/>
      <c r="M616" s="309"/>
      <c r="N616" s="310"/>
      <c r="O616" s="271"/>
      <c r="P616" s="271"/>
      <c r="Q616" s="309"/>
      <c r="R616" s="310"/>
      <c r="S616" s="309"/>
      <c r="T616" s="310"/>
      <c r="U616" s="309"/>
      <c r="V616" s="310"/>
      <c r="W616" s="309"/>
      <c r="X616" s="310"/>
      <c r="Y616" s="309"/>
      <c r="Z616" s="310"/>
      <c r="AA616" s="309"/>
      <c r="AB616" s="310"/>
      <c r="AC616" s="271"/>
      <c r="AD616" s="271"/>
      <c r="AE616" s="309"/>
      <c r="AF616" s="310"/>
      <c r="AG616" s="309"/>
      <c r="AH616" s="310"/>
      <c r="AI616" s="309"/>
      <c r="AJ616" s="310"/>
      <c r="AK616" s="309"/>
      <c r="AL616" s="310"/>
      <c r="AM616" s="309"/>
      <c r="AN616" s="310"/>
      <c r="AO616" s="309"/>
      <c r="AP616" s="310"/>
      <c r="AQ616" s="309"/>
      <c r="AR616" s="310"/>
      <c r="AS616" s="309"/>
      <c r="AT616" s="310"/>
      <c r="AU616" s="309"/>
      <c r="AV616" s="310"/>
      <c r="AW616" s="309"/>
      <c r="AX616" s="310"/>
      <c r="AY616" s="309"/>
      <c r="AZ616" s="310"/>
      <c r="BA616" s="271"/>
      <c r="BB616" s="271"/>
      <c r="BC616" s="271"/>
      <c r="BD616" s="271"/>
      <c r="BE616" s="271"/>
      <c r="BF616" s="271"/>
    </row>
    <row r="617" spans="2:58" ht="16" thickBot="1" x14ac:dyDescent="0.25">
      <c r="B617" s="298"/>
      <c r="C617" s="656">
        <f>SUM(C613:C616)</f>
        <v>6660.57</v>
      </c>
      <c r="D617" s="656"/>
      <c r="E617" s="578"/>
      <c r="F617" s="553"/>
      <c r="G617" s="309"/>
      <c r="H617" s="310"/>
      <c r="I617" s="309"/>
      <c r="J617" s="310"/>
      <c r="K617" s="309"/>
      <c r="L617" s="310"/>
      <c r="M617" s="309"/>
      <c r="N617" s="310"/>
      <c r="O617" s="271"/>
      <c r="P617" s="271"/>
      <c r="Q617" s="309"/>
      <c r="R617" s="310"/>
      <c r="S617" s="309"/>
      <c r="T617" s="310"/>
      <c r="U617" s="309"/>
      <c r="V617" s="310"/>
      <c r="W617" s="309"/>
      <c r="X617" s="310"/>
      <c r="Y617" s="309"/>
      <c r="Z617" s="310"/>
      <c r="AA617" s="309"/>
      <c r="AB617" s="310"/>
      <c r="AC617" s="271"/>
      <c r="AD617" s="271"/>
      <c r="AE617" s="309"/>
      <c r="AF617" s="310"/>
      <c r="AG617" s="309"/>
      <c r="AH617" s="310"/>
      <c r="AI617" s="309"/>
      <c r="AJ617" s="310"/>
      <c r="AK617" s="309"/>
      <c r="AL617" s="310"/>
      <c r="AM617" s="309"/>
      <c r="AN617" s="310"/>
      <c r="AO617" s="309"/>
      <c r="AP617" s="310"/>
      <c r="AQ617" s="309"/>
      <c r="AR617" s="310"/>
      <c r="AS617" s="309"/>
      <c r="AT617" s="310"/>
      <c r="AU617" s="309"/>
      <c r="AV617" s="310"/>
      <c r="AW617" s="309"/>
      <c r="AX617" s="310"/>
      <c r="AY617" s="309"/>
      <c r="AZ617" s="310"/>
      <c r="BA617" s="271"/>
      <c r="BB617" s="271"/>
      <c r="BC617" s="271"/>
      <c r="BD617" s="271"/>
      <c r="BE617" s="271"/>
      <c r="BF617" s="271"/>
    </row>
    <row r="618" spans="2:58" ht="16" thickBot="1" x14ac:dyDescent="0.25">
      <c r="B618" s="479">
        <v>45730</v>
      </c>
      <c r="C618" s="299">
        <v>500</v>
      </c>
      <c r="D618" s="300"/>
      <c r="E618" s="274" t="s">
        <v>186</v>
      </c>
      <c r="F618" s="301"/>
      <c r="G618" s="309"/>
      <c r="H618" s="310"/>
      <c r="I618" s="309"/>
      <c r="J618" s="310"/>
      <c r="K618" s="309"/>
      <c r="L618" s="310"/>
      <c r="M618" s="309"/>
      <c r="N618" s="310"/>
      <c r="O618" s="271"/>
      <c r="P618" s="271"/>
      <c r="Q618" s="309"/>
      <c r="R618" s="310"/>
      <c r="S618" s="309"/>
      <c r="T618" s="310"/>
      <c r="U618" s="309"/>
      <c r="V618" s="310"/>
      <c r="W618" s="309"/>
      <c r="X618" s="310"/>
      <c r="Y618" s="309"/>
      <c r="Z618" s="310"/>
      <c r="AA618" s="309"/>
      <c r="AB618" s="310"/>
      <c r="AC618" s="271"/>
      <c r="AD618" s="271"/>
      <c r="AE618" s="309"/>
      <c r="AF618" s="310"/>
      <c r="AG618" s="309"/>
      <c r="AH618" s="310"/>
      <c r="AI618" s="309"/>
      <c r="AJ618" s="310"/>
      <c r="AK618" s="309"/>
      <c r="AL618" s="310"/>
      <c r="AM618" s="309"/>
      <c r="AN618" s="310"/>
      <c r="AO618" s="309"/>
      <c r="AP618" s="310"/>
      <c r="AQ618" s="309"/>
      <c r="AR618" s="310"/>
      <c r="AS618" s="309"/>
      <c r="AT618" s="310"/>
      <c r="AU618" s="309"/>
      <c r="AV618" s="310"/>
      <c r="AW618" s="309"/>
      <c r="AX618" s="310"/>
      <c r="AY618" s="309"/>
      <c r="AZ618" s="310"/>
      <c r="BA618" s="271"/>
      <c r="BB618" s="271"/>
      <c r="BC618" s="271"/>
      <c r="BD618" s="271"/>
      <c r="BE618" s="271"/>
      <c r="BF618" s="271"/>
    </row>
    <row r="619" spans="2:58" ht="16" thickBot="1" x14ac:dyDescent="0.25">
      <c r="B619" s="479"/>
      <c r="C619" s="299"/>
      <c r="D619" s="300"/>
      <c r="E619" s="275"/>
      <c r="F619" s="302"/>
      <c r="G619" s="309"/>
      <c r="H619" s="310"/>
      <c r="I619" s="309"/>
      <c r="J619" s="310"/>
      <c r="K619" s="309"/>
      <c r="L619" s="310"/>
      <c r="M619" s="309"/>
      <c r="N619" s="310"/>
      <c r="O619" s="271"/>
      <c r="P619" s="271"/>
      <c r="Q619" s="309"/>
      <c r="R619" s="310"/>
      <c r="S619" s="309"/>
      <c r="T619" s="310"/>
      <c r="U619" s="309"/>
      <c r="V619" s="310"/>
      <c r="W619" s="309"/>
      <c r="X619" s="310"/>
      <c r="Y619" s="309"/>
      <c r="Z619" s="310"/>
      <c r="AA619" s="309"/>
      <c r="AB619" s="310"/>
      <c r="AC619" s="271"/>
      <c r="AD619" s="271"/>
      <c r="AE619" s="309"/>
      <c r="AF619" s="310"/>
      <c r="AG619" s="309"/>
      <c r="AH619" s="310"/>
      <c r="AI619" s="309"/>
      <c r="AJ619" s="310"/>
      <c r="AK619" s="309"/>
      <c r="AL619" s="310"/>
      <c r="AM619" s="309"/>
      <c r="AN619" s="310"/>
      <c r="AO619" s="309"/>
      <c r="AP619" s="310"/>
      <c r="AQ619" s="309"/>
      <c r="AR619" s="310"/>
      <c r="AS619" s="309"/>
      <c r="AT619" s="310"/>
      <c r="AU619" s="309"/>
      <c r="AV619" s="310"/>
      <c r="AW619" s="309"/>
      <c r="AX619" s="310"/>
      <c r="AY619" s="309"/>
      <c r="AZ619" s="310"/>
      <c r="BA619" s="271"/>
      <c r="BB619" s="271"/>
      <c r="BC619" s="271"/>
      <c r="BD619" s="271"/>
      <c r="BE619" s="271"/>
      <c r="BF619" s="271"/>
    </row>
    <row r="620" spans="2:58" ht="16" thickBot="1" x14ac:dyDescent="0.25">
      <c r="B620" s="479"/>
      <c r="C620" s="299"/>
      <c r="D620" s="300"/>
      <c r="E620" s="275"/>
      <c r="F620" s="302"/>
      <c r="G620" s="309"/>
      <c r="H620" s="310"/>
      <c r="I620" s="309"/>
      <c r="J620" s="310"/>
      <c r="K620" s="309"/>
      <c r="L620" s="310"/>
      <c r="M620" s="309"/>
      <c r="N620" s="310"/>
      <c r="O620" s="271"/>
      <c r="P620" s="271"/>
      <c r="Q620" s="309"/>
      <c r="R620" s="310"/>
      <c r="S620" s="309"/>
      <c r="T620" s="310"/>
      <c r="U620" s="309"/>
      <c r="V620" s="310"/>
      <c r="W620" s="309"/>
      <c r="X620" s="310"/>
      <c r="Y620" s="309"/>
      <c r="Z620" s="310"/>
      <c r="AA620" s="309"/>
      <c r="AB620" s="310"/>
      <c r="AC620" s="271"/>
      <c r="AD620" s="271"/>
      <c r="AE620" s="309"/>
      <c r="AF620" s="310"/>
      <c r="AG620" s="309"/>
      <c r="AH620" s="310"/>
      <c r="AI620" s="309"/>
      <c r="AJ620" s="310"/>
      <c r="AK620" s="309"/>
      <c r="AL620" s="310"/>
      <c r="AM620" s="309"/>
      <c r="AN620" s="310"/>
      <c r="AO620" s="309"/>
      <c r="AP620" s="310"/>
      <c r="AQ620" s="309"/>
      <c r="AR620" s="310"/>
      <c r="AS620" s="309"/>
      <c r="AT620" s="310"/>
      <c r="AU620" s="309"/>
      <c r="AV620" s="310"/>
      <c r="AW620" s="309"/>
      <c r="AX620" s="310"/>
      <c r="AY620" s="309"/>
      <c r="AZ620" s="310"/>
      <c r="BA620" s="271"/>
      <c r="BB620" s="271"/>
      <c r="BC620" s="271"/>
      <c r="BD620" s="271"/>
      <c r="BE620" s="271"/>
      <c r="BF620" s="271"/>
    </row>
    <row r="621" spans="2:58" ht="16" thickBot="1" x14ac:dyDescent="0.25">
      <c r="B621" s="479"/>
      <c r="C621" s="299"/>
      <c r="D621" s="300"/>
      <c r="E621" s="275"/>
      <c r="F621" s="302"/>
      <c r="G621" s="309"/>
      <c r="H621" s="310"/>
      <c r="I621" s="309"/>
      <c r="J621" s="310"/>
      <c r="K621" s="309"/>
      <c r="L621" s="310"/>
      <c r="M621" s="309"/>
      <c r="N621" s="310"/>
      <c r="O621" s="271"/>
      <c r="P621" s="271"/>
      <c r="Q621" s="309"/>
      <c r="R621" s="310"/>
      <c r="S621" s="309"/>
      <c r="T621" s="310"/>
      <c r="U621" s="309"/>
      <c r="V621" s="310"/>
      <c r="W621" s="309"/>
      <c r="X621" s="310"/>
      <c r="Y621" s="309"/>
      <c r="Z621" s="310"/>
      <c r="AA621" s="309"/>
      <c r="AB621" s="310"/>
      <c r="AC621" s="271"/>
      <c r="AD621" s="271"/>
      <c r="AE621" s="309"/>
      <c r="AF621" s="310"/>
      <c r="AG621" s="309"/>
      <c r="AH621" s="310"/>
      <c r="AI621" s="309"/>
      <c r="AJ621" s="310"/>
      <c r="AK621" s="309"/>
      <c r="AL621" s="310"/>
      <c r="AM621" s="309"/>
      <c r="AN621" s="310"/>
      <c r="AO621" s="309"/>
      <c r="AP621" s="310"/>
      <c r="AQ621" s="309"/>
      <c r="AR621" s="310"/>
      <c r="AS621" s="309"/>
      <c r="AT621" s="310"/>
      <c r="AU621" s="309"/>
      <c r="AV621" s="310"/>
      <c r="AW621" s="309"/>
      <c r="AX621" s="310"/>
      <c r="AY621" s="309"/>
      <c r="AZ621" s="310"/>
      <c r="BA621" s="271"/>
      <c r="BB621" s="271"/>
      <c r="BC621" s="271"/>
      <c r="BD621" s="271"/>
      <c r="BE621" s="271"/>
      <c r="BF621" s="271"/>
    </row>
    <row r="622" spans="2:58" ht="16" thickBot="1" x14ac:dyDescent="0.25">
      <c r="B622" s="479"/>
      <c r="C622" s="657"/>
      <c r="D622" s="657"/>
      <c r="E622" s="285"/>
      <c r="F622" s="302"/>
      <c r="G622" s="309"/>
      <c r="H622" s="310"/>
      <c r="I622" s="309"/>
      <c r="J622" s="310"/>
      <c r="K622" s="309"/>
      <c r="L622" s="310"/>
      <c r="M622" s="309"/>
      <c r="N622" s="310"/>
      <c r="O622" s="271"/>
      <c r="P622" s="271"/>
      <c r="Q622" s="309"/>
      <c r="R622" s="310"/>
      <c r="S622" s="309"/>
      <c r="T622" s="310"/>
      <c r="U622" s="309"/>
      <c r="V622" s="310"/>
      <c r="W622" s="309"/>
      <c r="X622" s="310"/>
      <c r="Y622" s="309"/>
      <c r="Z622" s="310"/>
      <c r="AA622" s="309"/>
      <c r="AB622" s="310"/>
      <c r="AC622" s="271"/>
      <c r="AD622" s="271"/>
      <c r="AE622" s="309"/>
      <c r="AF622" s="310"/>
      <c r="AG622" s="309"/>
      <c r="AH622" s="310"/>
      <c r="AI622" s="309"/>
      <c r="AJ622" s="310"/>
      <c r="AK622" s="309"/>
      <c r="AL622" s="310"/>
      <c r="AM622" s="309"/>
      <c r="AN622" s="310"/>
      <c r="AO622" s="309"/>
      <c r="AP622" s="310"/>
      <c r="AQ622" s="309"/>
      <c r="AR622" s="310"/>
      <c r="AS622" s="309"/>
      <c r="AT622" s="310"/>
      <c r="AU622" s="309"/>
      <c r="AV622" s="310"/>
      <c r="AW622" s="309"/>
      <c r="AX622" s="310"/>
      <c r="AY622" s="309"/>
      <c r="AZ622" s="310"/>
      <c r="BA622" s="271"/>
      <c r="BB622" s="271"/>
      <c r="BC622" s="271"/>
      <c r="BD622" s="271"/>
      <c r="BE622" s="271"/>
      <c r="BF622" s="271"/>
    </row>
    <row r="623" spans="2:58" ht="16" thickBot="1" x14ac:dyDescent="0.25">
      <c r="B623" s="479" t="s">
        <v>24</v>
      </c>
      <c r="C623" s="299"/>
      <c r="D623" s="300"/>
      <c r="E623" s="275"/>
      <c r="F623" s="302"/>
      <c r="G623" s="309"/>
      <c r="H623" s="310"/>
      <c r="I623" s="309"/>
      <c r="J623" s="310"/>
      <c r="K623" s="309"/>
      <c r="L623" s="310"/>
      <c r="M623" s="309"/>
      <c r="N623" s="310"/>
      <c r="O623" s="271"/>
      <c r="P623" s="271"/>
      <c r="Q623" s="309"/>
      <c r="R623" s="310"/>
      <c r="S623" s="309"/>
      <c r="T623" s="310"/>
      <c r="U623" s="309"/>
      <c r="V623" s="310"/>
      <c r="W623" s="309"/>
      <c r="X623" s="310"/>
      <c r="Y623" s="309"/>
      <c r="Z623" s="310"/>
      <c r="AA623" s="309"/>
      <c r="AB623" s="310"/>
      <c r="AC623" s="271"/>
      <c r="AD623" s="271"/>
      <c r="AE623" s="309"/>
      <c r="AF623" s="310"/>
      <c r="AG623" s="309"/>
      <c r="AH623" s="310"/>
      <c r="AI623" s="309"/>
      <c r="AJ623" s="310"/>
      <c r="AK623" s="309"/>
      <c r="AL623" s="310"/>
      <c r="AM623" s="309"/>
      <c r="AN623" s="310"/>
      <c r="AO623" s="309"/>
      <c r="AP623" s="310"/>
      <c r="AQ623" s="309"/>
      <c r="AR623" s="310"/>
      <c r="AS623" s="309"/>
      <c r="AT623" s="310"/>
      <c r="AU623" s="309"/>
      <c r="AV623" s="310"/>
      <c r="AW623" s="309"/>
      <c r="AX623" s="310"/>
      <c r="AY623" s="309"/>
      <c r="AZ623" s="310"/>
      <c r="BA623" s="271"/>
      <c r="BB623" s="271"/>
      <c r="BC623" s="271"/>
      <c r="BD623" s="271"/>
      <c r="BE623" s="271"/>
      <c r="BF623" s="271"/>
    </row>
    <row r="624" spans="2:58" ht="16" thickBot="1" x14ac:dyDescent="0.25">
      <c r="B624" s="577"/>
      <c r="C624" s="159">
        <f>SUM(C618:C623)</f>
        <v>500</v>
      </c>
      <c r="D624" s="159"/>
      <c r="E624" s="270"/>
      <c r="F624" s="271"/>
      <c r="G624" s="309"/>
      <c r="H624" s="310"/>
      <c r="I624" s="309"/>
      <c r="J624" s="310"/>
      <c r="K624" s="309"/>
      <c r="L624" s="310"/>
      <c r="M624" s="309"/>
      <c r="N624" s="310"/>
      <c r="O624" s="271"/>
      <c r="P624" s="271"/>
      <c r="Q624" s="309"/>
      <c r="R624" s="310"/>
      <c r="S624" s="309"/>
      <c r="T624" s="310"/>
      <c r="U624" s="309"/>
      <c r="V624" s="310"/>
      <c r="W624" s="309"/>
      <c r="X624" s="310"/>
      <c r="Y624" s="309"/>
      <c r="Z624" s="310"/>
      <c r="AA624" s="309"/>
      <c r="AB624" s="310"/>
      <c r="AC624" s="271"/>
      <c r="AD624" s="271"/>
      <c r="AE624" s="309"/>
      <c r="AF624" s="310"/>
      <c r="AG624" s="309"/>
      <c r="AH624" s="310"/>
      <c r="AI624" s="309"/>
      <c r="AJ624" s="310"/>
      <c r="AK624" s="309"/>
      <c r="AL624" s="310"/>
      <c r="AM624" s="309"/>
      <c r="AN624" s="310"/>
      <c r="AO624" s="309"/>
      <c r="AP624" s="310"/>
      <c r="AQ624" s="309"/>
      <c r="AR624" s="310"/>
      <c r="AS624" s="309"/>
      <c r="AT624" s="310"/>
      <c r="AU624" s="309"/>
      <c r="AV624" s="310"/>
      <c r="AW624" s="309"/>
      <c r="AX624" s="310"/>
      <c r="AY624" s="309"/>
      <c r="AZ624" s="310"/>
      <c r="BA624" s="271"/>
      <c r="BB624" s="271"/>
      <c r="BC624" s="271"/>
      <c r="BD624" s="271"/>
      <c r="BE624" s="271"/>
      <c r="BF624" s="271"/>
    </row>
    <row r="625" spans="2:58" ht="16" thickBot="1" x14ac:dyDescent="0.25">
      <c r="B625" s="289">
        <v>45731</v>
      </c>
      <c r="C625" s="299">
        <v>1500</v>
      </c>
      <c r="D625" s="300"/>
      <c r="E625" s="274" t="s">
        <v>3</v>
      </c>
      <c r="F625" s="302"/>
      <c r="G625" s="309"/>
      <c r="H625" s="310"/>
      <c r="I625" s="309"/>
      <c r="J625" s="310"/>
      <c r="K625" s="309"/>
      <c r="L625" s="310"/>
      <c r="M625" s="309"/>
      <c r="N625" s="310"/>
      <c r="O625" s="271"/>
      <c r="P625" s="271"/>
      <c r="Q625" s="309"/>
      <c r="R625" s="310"/>
      <c r="S625" s="309"/>
      <c r="T625" s="310"/>
      <c r="U625" s="309"/>
      <c r="V625" s="310"/>
      <c r="W625" s="309"/>
      <c r="X625" s="310"/>
      <c r="Y625" s="309"/>
      <c r="Z625" s="310"/>
      <c r="AA625" s="309"/>
      <c r="AB625" s="310"/>
      <c r="AC625" s="271"/>
      <c r="AD625" s="271"/>
      <c r="AE625" s="309"/>
      <c r="AF625" s="310"/>
      <c r="AG625" s="309"/>
      <c r="AH625" s="310"/>
      <c r="AI625" s="309"/>
      <c r="AJ625" s="310"/>
      <c r="AK625" s="309"/>
      <c r="AL625" s="310"/>
      <c r="AM625" s="309"/>
      <c r="AN625" s="310"/>
      <c r="AO625" s="309"/>
      <c r="AP625" s="310"/>
      <c r="AQ625" s="309"/>
      <c r="AR625" s="310"/>
      <c r="AS625" s="309"/>
      <c r="AT625" s="310"/>
      <c r="AU625" s="309"/>
      <c r="AV625" s="310"/>
      <c r="AW625" s="309"/>
      <c r="AX625" s="310"/>
      <c r="AY625" s="309"/>
      <c r="AZ625" s="310"/>
      <c r="BA625" s="271"/>
      <c r="BB625" s="271"/>
      <c r="BC625" s="271"/>
      <c r="BD625" s="271"/>
      <c r="BE625" s="271"/>
      <c r="BF625" s="271"/>
    </row>
    <row r="626" spans="2:58" ht="16" thickBot="1" x14ac:dyDescent="0.25">
      <c r="B626" s="289"/>
      <c r="C626" s="299">
        <v>359.92</v>
      </c>
      <c r="D626" s="300"/>
      <c r="E626" s="275"/>
      <c r="F626" s="302" t="s">
        <v>14</v>
      </c>
      <c r="G626" s="309"/>
      <c r="H626" s="310"/>
      <c r="I626" s="309"/>
      <c r="J626" s="310"/>
      <c r="K626" s="309"/>
      <c r="L626" s="310"/>
      <c r="M626" s="309"/>
      <c r="N626" s="310"/>
      <c r="O626" s="271"/>
      <c r="P626" s="271"/>
      <c r="Q626" s="309"/>
      <c r="R626" s="310"/>
      <c r="S626" s="309"/>
      <c r="T626" s="310"/>
      <c r="U626" s="309"/>
      <c r="V626" s="310"/>
      <c r="W626" s="309"/>
      <c r="X626" s="310"/>
      <c r="Y626" s="309"/>
      <c r="Z626" s="310"/>
      <c r="AA626" s="309"/>
      <c r="AB626" s="310"/>
      <c r="AC626" s="271"/>
      <c r="AD626" s="271"/>
      <c r="AE626" s="309">
        <v>8</v>
      </c>
      <c r="AF626" s="310">
        <v>359.92</v>
      </c>
      <c r="AG626" s="309"/>
      <c r="AH626" s="310"/>
      <c r="AI626" s="309"/>
      <c r="AJ626" s="310"/>
      <c r="AK626" s="309"/>
      <c r="AL626" s="310"/>
      <c r="AM626" s="309"/>
      <c r="AN626" s="310"/>
      <c r="AO626" s="309"/>
      <c r="AP626" s="310"/>
      <c r="AQ626" s="309"/>
      <c r="AR626" s="310"/>
      <c r="AS626" s="309"/>
      <c r="AT626" s="310"/>
      <c r="AU626" s="309"/>
      <c r="AV626" s="310"/>
      <c r="AW626" s="309"/>
      <c r="AX626" s="310"/>
      <c r="AY626" s="309"/>
      <c r="AZ626" s="310"/>
      <c r="BA626" s="271"/>
      <c r="BB626" s="271"/>
      <c r="BC626" s="271"/>
      <c r="BD626" s="271"/>
      <c r="BE626" s="271"/>
      <c r="BF626" s="271"/>
    </row>
    <row r="627" spans="2:58" ht="16" thickBot="1" x14ac:dyDescent="0.25">
      <c r="B627" s="289"/>
      <c r="C627" s="299">
        <v>7462.66</v>
      </c>
      <c r="D627" s="300"/>
      <c r="E627" s="275"/>
      <c r="F627" s="302" t="s">
        <v>9</v>
      </c>
      <c r="G627" s="309">
        <v>9</v>
      </c>
      <c r="H627" s="310">
        <v>1259.9100000000001</v>
      </c>
      <c r="I627" s="309">
        <v>3</v>
      </c>
      <c r="J627" s="310">
        <v>614.97</v>
      </c>
      <c r="K627" s="309"/>
      <c r="L627" s="310"/>
      <c r="M627" s="309">
        <v>12</v>
      </c>
      <c r="N627" s="310">
        <v>2040</v>
      </c>
      <c r="O627" s="271">
        <v>6</v>
      </c>
      <c r="P627" s="271">
        <v>2399.94</v>
      </c>
      <c r="Q627" s="309">
        <v>1</v>
      </c>
      <c r="R627" s="310">
        <v>144.99</v>
      </c>
      <c r="S627" s="309"/>
      <c r="T627" s="310"/>
      <c r="U627" s="309"/>
      <c r="V627" s="310"/>
      <c r="W627" s="309">
        <v>6</v>
      </c>
      <c r="X627" s="310">
        <v>257.94</v>
      </c>
      <c r="Y627" s="309"/>
      <c r="Z627" s="310"/>
      <c r="AA627" s="309"/>
      <c r="AB627" s="310"/>
      <c r="AC627" s="271">
        <v>6</v>
      </c>
      <c r="AD627" s="271">
        <v>617.94000000000005</v>
      </c>
      <c r="AE627" s="309"/>
      <c r="AF627" s="310"/>
      <c r="AG627" s="309"/>
      <c r="AH627" s="310"/>
      <c r="AI627" s="309"/>
      <c r="AJ627" s="310"/>
      <c r="AK627" s="309"/>
      <c r="AL627" s="310"/>
      <c r="AM627" s="309">
        <v>1</v>
      </c>
      <c r="AN627" s="310">
        <v>49.99</v>
      </c>
      <c r="AO627" s="309"/>
      <c r="AP627" s="310"/>
      <c r="AQ627" s="309"/>
      <c r="AR627" s="310"/>
      <c r="AS627" s="309"/>
      <c r="AT627" s="310"/>
      <c r="AU627" s="309"/>
      <c r="AV627" s="310"/>
      <c r="AW627" s="309"/>
      <c r="AX627" s="310"/>
      <c r="AY627" s="309"/>
      <c r="AZ627" s="310"/>
      <c r="BA627" s="271">
        <v>1</v>
      </c>
      <c r="BB627" s="271">
        <v>26.99</v>
      </c>
      <c r="BC627" s="271"/>
      <c r="BD627" s="271"/>
      <c r="BE627" s="271"/>
      <c r="BF627" s="271"/>
    </row>
    <row r="628" spans="2:58" ht="16" thickBot="1" x14ac:dyDescent="0.25">
      <c r="B628" s="289"/>
      <c r="C628" s="299">
        <v>17855</v>
      </c>
      <c r="D628" s="300"/>
      <c r="E628" s="275" t="s">
        <v>12</v>
      </c>
      <c r="F628" s="302"/>
      <c r="G628" s="309"/>
      <c r="H628" s="310"/>
      <c r="I628" s="309"/>
      <c r="J628" s="310"/>
      <c r="K628" s="309"/>
      <c r="L628" s="310"/>
      <c r="M628" s="309"/>
      <c r="N628" s="310"/>
      <c r="O628" s="271"/>
      <c r="P628" s="271"/>
      <c r="Q628" s="309"/>
      <c r="R628" s="310"/>
      <c r="S628" s="309"/>
      <c r="T628" s="310"/>
      <c r="U628" s="309"/>
      <c r="V628" s="310"/>
      <c r="W628" s="309"/>
      <c r="X628" s="310"/>
      <c r="Y628" s="309"/>
      <c r="Z628" s="310"/>
      <c r="AA628" s="309"/>
      <c r="AB628" s="310"/>
      <c r="AC628" s="271"/>
      <c r="AD628" s="271"/>
      <c r="AE628" s="309"/>
      <c r="AF628" s="310"/>
      <c r="AG628" s="309"/>
      <c r="AH628" s="310"/>
      <c r="AI628" s="309"/>
      <c r="AJ628" s="310"/>
      <c r="AK628" s="309"/>
      <c r="AL628" s="310"/>
      <c r="AM628" s="309"/>
      <c r="AN628" s="310"/>
      <c r="AO628" s="309"/>
      <c r="AP628" s="310"/>
      <c r="AQ628" s="309"/>
      <c r="AR628" s="310"/>
      <c r="AS628" s="309"/>
      <c r="AT628" s="310"/>
      <c r="AU628" s="309"/>
      <c r="AV628" s="310"/>
      <c r="AW628" s="309"/>
      <c r="AX628" s="310"/>
      <c r="AY628" s="309"/>
      <c r="AZ628" s="310"/>
      <c r="BA628" s="271"/>
      <c r="BB628" s="271"/>
      <c r="BC628" s="271"/>
      <c r="BD628" s="271"/>
      <c r="BE628" s="271"/>
      <c r="BF628" s="271"/>
    </row>
    <row r="629" spans="2:58" ht="16" thickBot="1" x14ac:dyDescent="0.25">
      <c r="B629" s="289"/>
      <c r="C629" s="299"/>
      <c r="D629" s="300"/>
      <c r="E629" s="275"/>
      <c r="F629" s="302"/>
      <c r="G629" s="309"/>
      <c r="H629" s="310"/>
      <c r="I629" s="309"/>
      <c r="J629" s="310"/>
      <c r="K629" s="309"/>
      <c r="L629" s="310"/>
      <c r="M629" s="309"/>
      <c r="N629" s="310"/>
      <c r="O629" s="271"/>
      <c r="P629" s="271"/>
      <c r="Q629" s="309"/>
      <c r="R629" s="310"/>
      <c r="S629" s="309"/>
      <c r="T629" s="310"/>
      <c r="U629" s="309"/>
      <c r="V629" s="310"/>
      <c r="W629" s="309"/>
      <c r="X629" s="310"/>
      <c r="Y629" s="309"/>
      <c r="Z629" s="310"/>
      <c r="AA629" s="309"/>
      <c r="AB629" s="310"/>
      <c r="AC629" s="271"/>
      <c r="AD629" s="271"/>
      <c r="AE629" s="309"/>
      <c r="AF629" s="310"/>
      <c r="AG629" s="309"/>
      <c r="AH629" s="310"/>
      <c r="AI629" s="309"/>
      <c r="AJ629" s="310"/>
      <c r="AK629" s="309"/>
      <c r="AL629" s="310"/>
      <c r="AM629" s="309"/>
      <c r="AN629" s="310"/>
      <c r="AO629" s="309"/>
      <c r="AP629" s="310"/>
      <c r="AQ629" s="309"/>
      <c r="AR629" s="310"/>
      <c r="AS629" s="309"/>
      <c r="AT629" s="310"/>
      <c r="AU629" s="309"/>
      <c r="AV629" s="310"/>
      <c r="AW629" s="309"/>
      <c r="AX629" s="310"/>
      <c r="AY629" s="309"/>
      <c r="AZ629" s="310"/>
      <c r="BA629" s="271"/>
      <c r="BB629" s="271"/>
      <c r="BC629" s="271"/>
      <c r="BD629" s="271"/>
      <c r="BE629" s="271"/>
      <c r="BF629" s="271"/>
    </row>
    <row r="630" spans="2:58" ht="16" thickBot="1" x14ac:dyDescent="0.25">
      <c r="B630" s="289"/>
      <c r="C630" s="299"/>
      <c r="D630" s="300"/>
      <c r="E630" s="275"/>
      <c r="F630" s="302"/>
      <c r="G630" s="309"/>
      <c r="H630" s="310"/>
      <c r="I630" s="309"/>
      <c r="J630" s="310"/>
      <c r="K630" s="309"/>
      <c r="L630" s="310"/>
      <c r="M630" s="309"/>
      <c r="N630" s="310"/>
      <c r="O630" s="271"/>
      <c r="P630" s="271"/>
      <c r="Q630" s="309"/>
      <c r="R630" s="310"/>
      <c r="S630" s="309"/>
      <c r="T630" s="310"/>
      <c r="U630" s="309"/>
      <c r="V630" s="310"/>
      <c r="W630" s="309"/>
      <c r="X630" s="310"/>
      <c r="Y630" s="309"/>
      <c r="Z630" s="310"/>
      <c r="AA630" s="309"/>
      <c r="AB630" s="310"/>
      <c r="AC630" s="271"/>
      <c r="AD630" s="271"/>
      <c r="AE630" s="309"/>
      <c r="AF630" s="310"/>
      <c r="AG630" s="309"/>
      <c r="AH630" s="310"/>
      <c r="AI630" s="309"/>
      <c r="AJ630" s="310"/>
      <c r="AK630" s="309"/>
      <c r="AL630" s="310"/>
      <c r="AM630" s="309"/>
      <c r="AN630" s="310"/>
      <c r="AO630" s="309"/>
      <c r="AP630" s="310"/>
      <c r="AQ630" s="309"/>
      <c r="AR630" s="310"/>
      <c r="AS630" s="309"/>
      <c r="AT630" s="310"/>
      <c r="AU630" s="309"/>
      <c r="AV630" s="310"/>
      <c r="AW630" s="309"/>
      <c r="AX630" s="310"/>
      <c r="AY630" s="309"/>
      <c r="AZ630" s="310"/>
      <c r="BA630" s="271"/>
      <c r="BB630" s="271"/>
      <c r="BC630" s="271"/>
      <c r="BD630" s="271"/>
      <c r="BE630" s="271"/>
      <c r="BF630" s="271"/>
    </row>
    <row r="631" spans="2:58" ht="16" thickBot="1" x14ac:dyDescent="0.25">
      <c r="B631" s="289"/>
      <c r="C631" s="299"/>
      <c r="D631" s="300"/>
      <c r="E631" s="275"/>
      <c r="F631" s="302"/>
      <c r="G631" s="309"/>
      <c r="H631" s="310"/>
      <c r="I631" s="309"/>
      <c r="J631" s="310"/>
      <c r="K631" s="309"/>
      <c r="L631" s="310"/>
      <c r="M631" s="309"/>
      <c r="N631" s="310"/>
      <c r="O631" s="271"/>
      <c r="P631" s="271"/>
      <c r="Q631" s="309"/>
      <c r="R631" s="310"/>
      <c r="S631" s="309"/>
      <c r="T631" s="310"/>
      <c r="U631" s="309"/>
      <c r="V631" s="310"/>
      <c r="W631" s="309"/>
      <c r="X631" s="310"/>
      <c r="Y631" s="309"/>
      <c r="Z631" s="310"/>
      <c r="AA631" s="309"/>
      <c r="AB631" s="310"/>
      <c r="AC631" s="271"/>
      <c r="AD631" s="271"/>
      <c r="AE631" s="309"/>
      <c r="AF631" s="310"/>
      <c r="AG631" s="309"/>
      <c r="AH631" s="310"/>
      <c r="AI631" s="309"/>
      <c r="AJ631" s="310"/>
      <c r="AK631" s="309"/>
      <c r="AL631" s="310"/>
      <c r="AM631" s="309"/>
      <c r="AN631" s="310"/>
      <c r="AO631" s="309"/>
      <c r="AP631" s="310"/>
      <c r="AQ631" s="309"/>
      <c r="AR631" s="310"/>
      <c r="AS631" s="309"/>
      <c r="AT631" s="310"/>
      <c r="AU631" s="309"/>
      <c r="AV631" s="310"/>
      <c r="AW631" s="309"/>
      <c r="AX631" s="310"/>
      <c r="AY631" s="309"/>
      <c r="AZ631" s="310"/>
      <c r="BA631" s="271"/>
      <c r="BB631" s="271"/>
      <c r="BC631" s="271"/>
      <c r="BD631" s="271"/>
      <c r="BE631" s="271"/>
      <c r="BF631" s="271"/>
    </row>
    <row r="632" spans="2:58" ht="16" thickBot="1" x14ac:dyDescent="0.25">
      <c r="B632" s="288" t="s">
        <v>25</v>
      </c>
      <c r="C632" s="284"/>
      <c r="D632" s="291"/>
      <c r="E632" s="290"/>
      <c r="F632" s="293"/>
      <c r="G632" s="309"/>
      <c r="H632" s="310"/>
      <c r="I632" s="309"/>
      <c r="J632" s="310"/>
      <c r="K632" s="309"/>
      <c r="L632" s="310"/>
      <c r="M632" s="309"/>
      <c r="N632" s="310"/>
      <c r="O632" s="271"/>
      <c r="P632" s="271"/>
      <c r="Q632" s="309"/>
      <c r="R632" s="310"/>
      <c r="S632" s="309"/>
      <c r="T632" s="310"/>
      <c r="U632" s="309"/>
      <c r="V632" s="310"/>
      <c r="W632" s="309"/>
      <c r="X632" s="310"/>
      <c r="Y632" s="309"/>
      <c r="Z632" s="310"/>
      <c r="AA632" s="309"/>
      <c r="AB632" s="310"/>
      <c r="AC632" s="271"/>
      <c r="AD632" s="271"/>
      <c r="AE632" s="309"/>
      <c r="AF632" s="310"/>
      <c r="AG632" s="309"/>
      <c r="AH632" s="310"/>
      <c r="AI632" s="309"/>
      <c r="AJ632" s="310"/>
      <c r="AK632" s="309"/>
      <c r="AL632" s="310"/>
      <c r="AM632" s="309"/>
      <c r="AN632" s="310"/>
      <c r="AO632" s="309"/>
      <c r="AP632" s="310"/>
      <c r="AQ632" s="309"/>
      <c r="AR632" s="310"/>
      <c r="AS632" s="309"/>
      <c r="AT632" s="310"/>
      <c r="AU632" s="309"/>
      <c r="AV632" s="310"/>
      <c r="AW632" s="309"/>
      <c r="AX632" s="310"/>
      <c r="AY632" s="309"/>
      <c r="AZ632" s="310"/>
      <c r="BA632" s="271"/>
      <c r="BB632" s="271"/>
      <c r="BC632" s="271"/>
      <c r="BD632" s="271"/>
      <c r="BE632" s="271"/>
      <c r="BF632" s="271"/>
    </row>
    <row r="633" spans="2:58" ht="16" thickBot="1" x14ac:dyDescent="0.25">
      <c r="B633" s="668"/>
      <c r="C633" s="640">
        <f>SUM(C625:C632)</f>
        <v>27177.58</v>
      </c>
      <c r="D633" s="159"/>
      <c r="E633" s="270"/>
      <c r="F633" s="271"/>
      <c r="G633" s="309"/>
      <c r="H633" s="310"/>
      <c r="I633" s="309"/>
      <c r="J633" s="310"/>
      <c r="K633" s="309"/>
      <c r="L633" s="310"/>
      <c r="M633" s="309"/>
      <c r="N633" s="310"/>
      <c r="O633" s="271"/>
      <c r="P633" s="271"/>
      <c r="Q633" s="309"/>
      <c r="R633" s="310"/>
      <c r="S633" s="309"/>
      <c r="T633" s="310"/>
      <c r="U633" s="309"/>
      <c r="V633" s="310"/>
      <c r="W633" s="309"/>
      <c r="X633" s="310"/>
      <c r="Y633" s="309"/>
      <c r="Z633" s="310"/>
      <c r="AA633" s="309"/>
      <c r="AB633" s="310"/>
      <c r="AC633" s="271"/>
      <c r="AD633" s="271"/>
      <c r="AE633" s="309"/>
      <c r="AF633" s="310"/>
      <c r="AG633" s="309"/>
      <c r="AH633" s="310"/>
      <c r="AI633" s="309"/>
      <c r="AJ633" s="310"/>
      <c r="AK633" s="309"/>
      <c r="AL633" s="310"/>
      <c r="AM633" s="309"/>
      <c r="AN633" s="310"/>
      <c r="AO633" s="309"/>
      <c r="AP633" s="310"/>
      <c r="AQ633" s="309"/>
      <c r="AR633" s="310"/>
      <c r="AS633" s="309"/>
      <c r="AT633" s="310"/>
      <c r="AU633" s="309"/>
      <c r="AV633" s="310"/>
      <c r="AW633" s="309"/>
      <c r="AX633" s="310"/>
      <c r="AY633" s="309"/>
      <c r="AZ633" s="310"/>
      <c r="BA633" s="271"/>
      <c r="BB633" s="271"/>
      <c r="BC633" s="271"/>
      <c r="BD633" s="271"/>
      <c r="BE633" s="271"/>
      <c r="BF633" s="271"/>
    </row>
    <row r="634" spans="2:58" ht="16" thickBot="1" x14ac:dyDescent="0.25">
      <c r="B634" s="479">
        <v>45732</v>
      </c>
      <c r="C634" s="657">
        <f>85.98+109</f>
        <v>194.98000000000002</v>
      </c>
      <c r="D634" s="641"/>
      <c r="E634" s="274" t="s">
        <v>411</v>
      </c>
      <c r="F634" s="301"/>
      <c r="G634" s="550"/>
      <c r="H634" s="310"/>
      <c r="I634" s="309"/>
      <c r="J634" s="310"/>
      <c r="K634" s="309"/>
      <c r="L634" s="310"/>
      <c r="M634" s="309"/>
      <c r="N634" s="310"/>
      <c r="O634" s="271"/>
      <c r="P634" s="271"/>
      <c r="Q634" s="309"/>
      <c r="R634" s="310"/>
      <c r="S634" s="309"/>
      <c r="T634" s="310"/>
      <c r="U634" s="309"/>
      <c r="V634" s="310"/>
      <c r="W634" s="309"/>
      <c r="X634" s="310"/>
      <c r="Y634" s="309"/>
      <c r="Z634" s="310"/>
      <c r="AA634" s="309"/>
      <c r="AB634" s="310"/>
      <c r="AC634" s="271"/>
      <c r="AD634" s="271"/>
      <c r="AE634" s="309"/>
      <c r="AF634" s="310"/>
      <c r="AG634" s="309"/>
      <c r="AH634" s="310"/>
      <c r="AI634" s="309"/>
      <c r="AJ634" s="310"/>
      <c r="AK634" s="309"/>
      <c r="AL634" s="310"/>
      <c r="AM634" s="309"/>
      <c r="AN634" s="310"/>
      <c r="AO634" s="309"/>
      <c r="AP634" s="310"/>
      <c r="AQ634" s="309"/>
      <c r="AR634" s="310"/>
      <c r="AS634" s="309"/>
      <c r="AT634" s="310"/>
      <c r="AU634" s="309"/>
      <c r="AV634" s="310"/>
      <c r="AW634" s="309"/>
      <c r="AX634" s="310"/>
      <c r="AY634" s="309"/>
      <c r="AZ634" s="310"/>
      <c r="BA634" s="271"/>
      <c r="BB634" s="271"/>
      <c r="BC634" s="271"/>
      <c r="BD634" s="271"/>
      <c r="BE634" s="271"/>
      <c r="BF634" s="271"/>
    </row>
    <row r="635" spans="2:58" ht="16" thickBot="1" x14ac:dyDescent="0.25">
      <c r="B635" s="479"/>
      <c r="C635" s="657">
        <v>1116</v>
      </c>
      <c r="D635" s="657"/>
      <c r="E635" s="285"/>
      <c r="F635" s="302" t="s">
        <v>763</v>
      </c>
      <c r="G635" s="550"/>
      <c r="H635" s="310"/>
      <c r="I635" s="309"/>
      <c r="J635" s="310"/>
      <c r="K635" s="309">
        <v>6</v>
      </c>
      <c r="L635" s="310">
        <v>1116</v>
      </c>
      <c r="M635" s="309"/>
      <c r="N635" s="310"/>
      <c r="O635" s="271"/>
      <c r="P635" s="271"/>
      <c r="Q635" s="309"/>
      <c r="R635" s="310"/>
      <c r="S635" s="309"/>
      <c r="T635" s="310"/>
      <c r="U635" s="309"/>
      <c r="V635" s="310"/>
      <c r="W635" s="309"/>
      <c r="X635" s="310"/>
      <c r="Y635" s="309"/>
      <c r="Z635" s="310"/>
      <c r="AA635" s="309"/>
      <c r="AB635" s="310"/>
      <c r="AC635" s="271"/>
      <c r="AD635" s="271"/>
      <c r="AE635" s="309"/>
      <c r="AF635" s="310"/>
      <c r="AG635" s="309"/>
      <c r="AH635" s="310"/>
      <c r="AI635" s="309"/>
      <c r="AJ635" s="310"/>
      <c r="AK635" s="309"/>
      <c r="AL635" s="310"/>
      <c r="AM635" s="309"/>
      <c r="AN635" s="310"/>
      <c r="AO635" s="309"/>
      <c r="AP635" s="310"/>
      <c r="AQ635" s="309"/>
      <c r="AR635" s="310"/>
      <c r="AS635" s="309"/>
      <c r="AT635" s="310"/>
      <c r="AU635" s="309"/>
      <c r="AV635" s="310"/>
      <c r="AW635" s="309"/>
      <c r="AX635" s="310"/>
      <c r="AY635" s="309"/>
      <c r="AZ635" s="310"/>
      <c r="BA635" s="271"/>
      <c r="BB635" s="271"/>
      <c r="BC635" s="271"/>
      <c r="BD635" s="271"/>
      <c r="BE635" s="271"/>
      <c r="BF635" s="271"/>
    </row>
    <row r="636" spans="2:58" ht="16" thickBot="1" x14ac:dyDescent="0.25">
      <c r="B636" s="479"/>
      <c r="C636" s="657"/>
      <c r="D636" s="657"/>
      <c r="E636" s="285"/>
      <c r="F636" s="302"/>
      <c r="G636" s="550"/>
      <c r="H636" s="310"/>
      <c r="I636" s="309"/>
      <c r="J636" s="310"/>
      <c r="K636" s="309"/>
      <c r="L636" s="310"/>
      <c r="M636" s="309"/>
      <c r="N636" s="310"/>
      <c r="O636" s="271"/>
      <c r="P636" s="271"/>
      <c r="Q636" s="309"/>
      <c r="R636" s="310"/>
      <c r="S636" s="309"/>
      <c r="T636" s="310"/>
      <c r="U636" s="309"/>
      <c r="V636" s="310"/>
      <c r="W636" s="309"/>
      <c r="X636" s="310"/>
      <c r="Y636" s="309"/>
      <c r="Z636" s="310"/>
      <c r="AA636" s="309"/>
      <c r="AB636" s="310"/>
      <c r="AC636" s="271"/>
      <c r="AD636" s="271"/>
      <c r="AE636" s="309"/>
      <c r="AF636" s="310"/>
      <c r="AG636" s="309"/>
      <c r="AH636" s="310"/>
      <c r="AI636" s="309"/>
      <c r="AJ636" s="310"/>
      <c r="AK636" s="309"/>
      <c r="AL636" s="310"/>
      <c r="AM636" s="309"/>
      <c r="AN636" s="310"/>
      <c r="AO636" s="309"/>
      <c r="AP636" s="310"/>
      <c r="AQ636" s="309"/>
      <c r="AR636" s="310"/>
      <c r="AS636" s="309"/>
      <c r="AT636" s="310"/>
      <c r="AU636" s="309"/>
      <c r="AV636" s="310"/>
      <c r="AW636" s="309"/>
      <c r="AX636" s="310"/>
      <c r="AY636" s="309"/>
      <c r="AZ636" s="310"/>
      <c r="BA636" s="271"/>
      <c r="BB636" s="271"/>
      <c r="BC636" s="271"/>
      <c r="BD636" s="271"/>
      <c r="BE636" s="271"/>
      <c r="BF636" s="271"/>
    </row>
    <row r="637" spans="2:58" ht="16" thickBot="1" x14ac:dyDescent="0.25">
      <c r="B637" s="479"/>
      <c r="C637" s="657"/>
      <c r="D637" s="657"/>
      <c r="E637" s="285"/>
      <c r="F637" s="302"/>
      <c r="G637" s="550"/>
      <c r="H637" s="310"/>
      <c r="I637" s="309"/>
      <c r="J637" s="310"/>
      <c r="K637" s="309"/>
      <c r="L637" s="310"/>
      <c r="M637" s="309"/>
      <c r="N637" s="310"/>
      <c r="O637" s="271"/>
      <c r="P637" s="271"/>
      <c r="Q637" s="309"/>
      <c r="R637" s="310"/>
      <c r="S637" s="309"/>
      <c r="T637" s="310"/>
      <c r="U637" s="309"/>
      <c r="V637" s="310"/>
      <c r="W637" s="309"/>
      <c r="X637" s="310"/>
      <c r="Y637" s="309"/>
      <c r="Z637" s="310"/>
      <c r="AA637" s="309"/>
      <c r="AB637" s="310"/>
      <c r="AC637" s="271"/>
      <c r="AD637" s="271"/>
      <c r="AE637" s="309"/>
      <c r="AF637" s="310"/>
      <c r="AG637" s="309"/>
      <c r="AH637" s="310"/>
      <c r="AI637" s="309"/>
      <c r="AJ637" s="310"/>
      <c r="AK637" s="309"/>
      <c r="AL637" s="310"/>
      <c r="AM637" s="309"/>
      <c r="AN637" s="310"/>
      <c r="AO637" s="309"/>
      <c r="AP637" s="310"/>
      <c r="AQ637" s="309"/>
      <c r="AR637" s="310"/>
      <c r="AS637" s="309"/>
      <c r="AT637" s="310"/>
      <c r="AU637" s="309"/>
      <c r="AV637" s="310"/>
      <c r="AW637" s="309"/>
      <c r="AX637" s="310"/>
      <c r="AY637" s="309"/>
      <c r="AZ637" s="310"/>
      <c r="BA637" s="271"/>
      <c r="BB637" s="271"/>
      <c r="BC637" s="271"/>
      <c r="BD637" s="271"/>
      <c r="BE637" s="271"/>
      <c r="BF637" s="271"/>
    </row>
    <row r="638" spans="2:58" ht="16" thickBot="1" x14ac:dyDescent="0.25">
      <c r="B638" s="479"/>
      <c r="C638" s="657"/>
      <c r="D638" s="657"/>
      <c r="E638" s="285"/>
      <c r="F638" s="302"/>
      <c r="G638" s="550"/>
      <c r="H638" s="310"/>
      <c r="I638" s="309"/>
      <c r="J638" s="310"/>
      <c r="K638" s="309"/>
      <c r="L638" s="310"/>
      <c r="M638" s="309"/>
      <c r="N638" s="310"/>
      <c r="O638" s="271"/>
      <c r="P638" s="271"/>
      <c r="Q638" s="309"/>
      <c r="R638" s="310"/>
      <c r="S638" s="309"/>
      <c r="T638" s="310"/>
      <c r="U638" s="309"/>
      <c r="V638" s="310"/>
      <c r="W638" s="309"/>
      <c r="X638" s="310"/>
      <c r="Y638" s="309"/>
      <c r="Z638" s="310"/>
      <c r="AA638" s="309"/>
      <c r="AB638" s="310"/>
      <c r="AC638" s="271"/>
      <c r="AD638" s="271"/>
      <c r="AE638" s="309"/>
      <c r="AF638" s="310"/>
      <c r="AG638" s="309"/>
      <c r="AH638" s="310"/>
      <c r="AI638" s="309"/>
      <c r="AJ638" s="310"/>
      <c r="AK638" s="309"/>
      <c r="AL638" s="310"/>
      <c r="AM638" s="309"/>
      <c r="AN638" s="310"/>
      <c r="AO638" s="309"/>
      <c r="AP638" s="310"/>
      <c r="AQ638" s="309"/>
      <c r="AR638" s="310"/>
      <c r="AS638" s="309"/>
      <c r="AT638" s="310"/>
      <c r="AU638" s="309"/>
      <c r="AV638" s="310"/>
      <c r="AW638" s="309"/>
      <c r="AX638" s="310"/>
      <c r="AY638" s="309"/>
      <c r="AZ638" s="310"/>
      <c r="BA638" s="271"/>
      <c r="BB638" s="271"/>
      <c r="BC638" s="271"/>
      <c r="BD638" s="271"/>
      <c r="BE638" s="271"/>
      <c r="BF638" s="271"/>
    </row>
    <row r="639" spans="2:58" ht="16" thickBot="1" x14ac:dyDescent="0.25">
      <c r="B639" s="479"/>
      <c r="C639" s="657"/>
      <c r="D639" s="657"/>
      <c r="E639" s="285"/>
      <c r="F639" s="302"/>
      <c r="G639" s="550"/>
      <c r="H639" s="310"/>
      <c r="I639" s="309"/>
      <c r="J639" s="310"/>
      <c r="K639" s="309"/>
      <c r="L639" s="310"/>
      <c r="M639" s="309"/>
      <c r="N639" s="310"/>
      <c r="O639" s="271"/>
      <c r="P639" s="271"/>
      <c r="Q639" s="309"/>
      <c r="R639" s="310"/>
      <c r="S639" s="309"/>
      <c r="T639" s="310"/>
      <c r="U639" s="309"/>
      <c r="V639" s="310"/>
      <c r="W639" s="309"/>
      <c r="X639" s="310"/>
      <c r="Y639" s="309"/>
      <c r="Z639" s="310"/>
      <c r="AA639" s="309"/>
      <c r="AB639" s="310"/>
      <c r="AC639" s="271"/>
      <c r="AD639" s="271"/>
      <c r="AE639" s="309"/>
      <c r="AF639" s="310"/>
      <c r="AG639" s="309"/>
      <c r="AH639" s="310"/>
      <c r="AI639" s="309"/>
      <c r="AJ639" s="310"/>
      <c r="AK639" s="309"/>
      <c r="AL639" s="310"/>
      <c r="AM639" s="309"/>
      <c r="AN639" s="310"/>
      <c r="AO639" s="309"/>
      <c r="AP639" s="310"/>
      <c r="AQ639" s="309"/>
      <c r="AR639" s="310"/>
      <c r="AS639" s="309"/>
      <c r="AT639" s="310"/>
      <c r="AU639" s="309"/>
      <c r="AV639" s="310"/>
      <c r="AW639" s="309"/>
      <c r="AX639" s="310"/>
      <c r="AY639" s="309"/>
      <c r="AZ639" s="310"/>
      <c r="BA639" s="271"/>
      <c r="BB639" s="271"/>
      <c r="BC639" s="271"/>
      <c r="BD639" s="271"/>
      <c r="BE639" s="271"/>
      <c r="BF639" s="271"/>
    </row>
    <row r="640" spans="2:58" ht="16" thickBot="1" x14ac:dyDescent="0.25">
      <c r="B640" s="549" t="s">
        <v>26</v>
      </c>
      <c r="C640" s="554"/>
      <c r="D640" s="291"/>
      <c r="E640" s="290"/>
      <c r="F640" s="293"/>
      <c r="G640" s="550"/>
      <c r="H640" s="310"/>
      <c r="I640" s="309"/>
      <c r="J640" s="310"/>
      <c r="K640" s="309"/>
      <c r="L640" s="310"/>
      <c r="M640" s="309"/>
      <c r="N640" s="310"/>
      <c r="O640" s="271"/>
      <c r="P640" s="271"/>
      <c r="Q640" s="309"/>
      <c r="R640" s="310"/>
      <c r="S640" s="309"/>
      <c r="T640" s="310"/>
      <c r="U640" s="309"/>
      <c r="V640" s="310"/>
      <c r="W640" s="309"/>
      <c r="X640" s="310"/>
      <c r="Y640" s="309"/>
      <c r="Z640" s="310"/>
      <c r="AA640" s="309"/>
      <c r="AB640" s="310"/>
      <c r="AC640" s="271"/>
      <c r="AD640" s="271"/>
      <c r="AE640" s="309"/>
      <c r="AF640" s="310"/>
      <c r="AG640" s="309"/>
      <c r="AH640" s="310"/>
      <c r="AI640" s="309"/>
      <c r="AJ640" s="310"/>
      <c r="AK640" s="309"/>
      <c r="AL640" s="310"/>
      <c r="AM640" s="309"/>
      <c r="AN640" s="310"/>
      <c r="AO640" s="309"/>
      <c r="AP640" s="310"/>
      <c r="AQ640" s="309"/>
      <c r="AR640" s="310"/>
      <c r="AS640" s="309"/>
      <c r="AT640" s="310"/>
      <c r="AU640" s="309"/>
      <c r="AV640" s="310"/>
      <c r="AW640" s="309"/>
      <c r="AX640" s="310"/>
      <c r="AY640" s="309"/>
      <c r="AZ640" s="310"/>
      <c r="BA640" s="271"/>
      <c r="BB640" s="271"/>
      <c r="BC640" s="271"/>
      <c r="BD640" s="271"/>
      <c r="BE640" s="271"/>
      <c r="BF640" s="271"/>
    </row>
    <row r="641" spans="2:58" ht="16" thickBot="1" x14ac:dyDescent="0.25">
      <c r="B641" s="292"/>
      <c r="C641" s="551">
        <f>SUM(C634:C640)</f>
        <v>1310.98</v>
      </c>
      <c r="D641" s="551"/>
      <c r="E641" s="552"/>
      <c r="F641" s="553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  <c r="AA641" s="271"/>
      <c r="AB641" s="271"/>
      <c r="AC641" s="271"/>
      <c r="AD641" s="271"/>
      <c r="AE641" s="309"/>
      <c r="AF641" s="310"/>
      <c r="AG641" s="309"/>
      <c r="AH641" s="310"/>
      <c r="AI641" s="309"/>
      <c r="AJ641" s="310"/>
      <c r="AK641" s="309"/>
      <c r="AL641" s="310"/>
      <c r="AM641" s="309"/>
      <c r="AN641" s="310"/>
      <c r="AO641" s="309"/>
      <c r="AP641" s="310"/>
      <c r="AQ641" s="309"/>
      <c r="AR641" s="310"/>
      <c r="AS641" s="309"/>
      <c r="AT641" s="310"/>
      <c r="AU641" s="309"/>
      <c r="AV641" s="310"/>
      <c r="AW641" s="309"/>
      <c r="AX641" s="310"/>
      <c r="AY641" s="309"/>
      <c r="AZ641" s="310"/>
      <c r="BA641" s="271"/>
      <c r="BB641" s="271"/>
      <c r="BC641" s="271"/>
      <c r="BD641" s="271"/>
      <c r="BE641" s="271"/>
      <c r="BF641" s="271"/>
    </row>
    <row r="642" spans="2:58" ht="16" thickBot="1" x14ac:dyDescent="0.25">
      <c r="B642" s="761" t="s">
        <v>329</v>
      </c>
      <c r="C642" s="311"/>
      <c r="D642" s="312"/>
      <c r="E642" s="285"/>
      <c r="F642" s="302"/>
      <c r="G642" s="306">
        <f t="shared" ref="G642:AD642" si="20">SUM(G603:G640)</f>
        <v>25</v>
      </c>
      <c r="H642" s="307">
        <f t="shared" si="20"/>
        <v>3499.75</v>
      </c>
      <c r="I642" s="306">
        <f t="shared" si="20"/>
        <v>6</v>
      </c>
      <c r="J642" s="307">
        <f t="shared" si="20"/>
        <v>1229.94</v>
      </c>
      <c r="K642" s="306">
        <f t="shared" si="20"/>
        <v>16</v>
      </c>
      <c r="L642" s="307">
        <f t="shared" si="20"/>
        <v>2935.9</v>
      </c>
      <c r="M642" s="306">
        <f t="shared" si="20"/>
        <v>28</v>
      </c>
      <c r="N642" s="307">
        <f t="shared" si="20"/>
        <v>4711.84</v>
      </c>
      <c r="O642" s="308">
        <f t="shared" si="20"/>
        <v>16</v>
      </c>
      <c r="P642" s="308">
        <f t="shared" si="20"/>
        <v>5999.9400000000005</v>
      </c>
      <c r="Q642" s="306">
        <f t="shared" si="20"/>
        <v>2</v>
      </c>
      <c r="R642" s="307">
        <f t="shared" si="20"/>
        <v>289.99</v>
      </c>
      <c r="S642" s="306">
        <f t="shared" si="20"/>
        <v>4</v>
      </c>
      <c r="T642" s="307">
        <f t="shared" si="20"/>
        <v>3174</v>
      </c>
      <c r="U642" s="306">
        <f t="shared" si="20"/>
        <v>18</v>
      </c>
      <c r="V642" s="307">
        <f t="shared" si="20"/>
        <v>9522</v>
      </c>
      <c r="W642" s="306">
        <f t="shared" si="20"/>
        <v>14</v>
      </c>
      <c r="X642" s="307">
        <f t="shared" si="20"/>
        <v>601.86</v>
      </c>
      <c r="Y642" s="306">
        <f t="shared" si="20"/>
        <v>1</v>
      </c>
      <c r="Z642" s="307">
        <f t="shared" si="20"/>
        <v>772.8</v>
      </c>
      <c r="AA642" s="306">
        <f t="shared" si="20"/>
        <v>1</v>
      </c>
      <c r="AB642" s="307">
        <f t="shared" si="20"/>
        <v>4025</v>
      </c>
      <c r="AC642" s="308">
        <f t="shared" si="20"/>
        <v>16</v>
      </c>
      <c r="AD642" s="308">
        <f t="shared" si="20"/>
        <v>1627.8400000000001</v>
      </c>
      <c r="AE642" s="306">
        <f t="shared" ref="AE642:BF642" si="21">SUM(AE603:AE641)</f>
        <v>21</v>
      </c>
      <c r="AF642" s="307">
        <f t="shared" si="21"/>
        <v>944.79</v>
      </c>
      <c r="AG642" s="306">
        <f t="shared" si="21"/>
        <v>0</v>
      </c>
      <c r="AH642" s="307">
        <f t="shared" si="21"/>
        <v>0</v>
      </c>
      <c r="AI642" s="306">
        <f t="shared" si="21"/>
        <v>2</v>
      </c>
      <c r="AJ642" s="307">
        <f t="shared" si="21"/>
        <v>11.98</v>
      </c>
      <c r="AK642" s="306">
        <f t="shared" si="21"/>
        <v>0</v>
      </c>
      <c r="AL642" s="307">
        <f t="shared" si="21"/>
        <v>0</v>
      </c>
      <c r="AM642" s="306">
        <f t="shared" si="21"/>
        <v>1</v>
      </c>
      <c r="AN642" s="307">
        <f t="shared" si="21"/>
        <v>49.99</v>
      </c>
      <c r="AO642" s="306">
        <f t="shared" si="21"/>
        <v>0</v>
      </c>
      <c r="AP642" s="307">
        <f t="shared" si="21"/>
        <v>0</v>
      </c>
      <c r="AQ642" s="306">
        <f t="shared" si="21"/>
        <v>0</v>
      </c>
      <c r="AR642" s="307">
        <f t="shared" si="21"/>
        <v>0</v>
      </c>
      <c r="AS642" s="306">
        <f t="shared" si="21"/>
        <v>0</v>
      </c>
      <c r="AT642" s="307">
        <f t="shared" si="21"/>
        <v>0</v>
      </c>
      <c r="AU642" s="306">
        <f t="shared" si="21"/>
        <v>0</v>
      </c>
      <c r="AV642" s="307">
        <f t="shared" si="21"/>
        <v>0</v>
      </c>
      <c r="AW642" s="306">
        <f t="shared" si="21"/>
        <v>10</v>
      </c>
      <c r="AX642" s="307">
        <f t="shared" si="21"/>
        <v>2385.85</v>
      </c>
      <c r="AY642" s="306">
        <f t="shared" si="21"/>
        <v>10</v>
      </c>
      <c r="AZ642" s="307">
        <f t="shared" si="21"/>
        <v>2385.85</v>
      </c>
      <c r="BA642" s="306">
        <f t="shared" si="21"/>
        <v>3</v>
      </c>
      <c r="BB642" s="307">
        <f t="shared" si="21"/>
        <v>80.97</v>
      </c>
      <c r="BC642" s="306">
        <f t="shared" si="21"/>
        <v>0</v>
      </c>
      <c r="BD642" s="307">
        <f t="shared" si="21"/>
        <v>0</v>
      </c>
      <c r="BE642" s="306">
        <f t="shared" si="21"/>
        <v>1</v>
      </c>
      <c r="BF642" s="307">
        <f t="shared" si="21"/>
        <v>75.989999999999995</v>
      </c>
    </row>
    <row r="643" spans="2:58" ht="16" thickBot="1" x14ac:dyDescent="0.25">
      <c r="B643" s="762"/>
      <c r="C643" s="160">
        <f>SUM(C641,C633,C624,C617,C612,C609,C603)</f>
        <v>80029.94</v>
      </c>
      <c r="D643" s="160"/>
      <c r="E643" s="304"/>
      <c r="F643" s="294"/>
      <c r="G643" s="752" t="s">
        <v>29</v>
      </c>
      <c r="H643" s="752"/>
      <c r="I643" s="752" t="s">
        <v>30</v>
      </c>
      <c r="J643" s="752"/>
      <c r="K643" s="752" t="s">
        <v>31</v>
      </c>
      <c r="L643" s="752"/>
      <c r="M643" s="752" t="s">
        <v>32</v>
      </c>
      <c r="N643" s="752"/>
      <c r="O643" s="752" t="s">
        <v>33</v>
      </c>
      <c r="P643" s="752"/>
      <c r="Q643" s="752" t="s">
        <v>247</v>
      </c>
      <c r="R643" s="752"/>
      <c r="S643" s="752" t="s">
        <v>34</v>
      </c>
      <c r="T643" s="752"/>
      <c r="U643" s="752" t="s">
        <v>35</v>
      </c>
      <c r="V643" s="752"/>
      <c r="W643" s="752" t="s">
        <v>36</v>
      </c>
      <c r="X643" s="752"/>
      <c r="Y643" s="752" t="s">
        <v>37</v>
      </c>
      <c r="Z643" s="752"/>
      <c r="AA643" s="752" t="s">
        <v>38</v>
      </c>
      <c r="AB643" s="752"/>
      <c r="AC643" s="752" t="s">
        <v>39</v>
      </c>
      <c r="AD643" s="752"/>
      <c r="AE643" s="752" t="s">
        <v>40</v>
      </c>
      <c r="AF643" s="752"/>
      <c r="AG643" s="752" t="s">
        <v>41</v>
      </c>
      <c r="AH643" s="752"/>
      <c r="AI643" s="752" t="s">
        <v>42</v>
      </c>
      <c r="AJ643" s="752"/>
      <c r="AK643" s="752" t="s">
        <v>43</v>
      </c>
      <c r="AL643" s="752"/>
      <c r="AM643" s="752" t="s">
        <v>157</v>
      </c>
      <c r="AN643" s="752"/>
      <c r="AO643" s="752" t="s">
        <v>248</v>
      </c>
      <c r="AP643" s="752"/>
      <c r="AQ643" s="752" t="s">
        <v>249</v>
      </c>
      <c r="AR643" s="752"/>
      <c r="AS643" s="752" t="s">
        <v>150</v>
      </c>
      <c r="AT643" s="752"/>
      <c r="AU643" s="752" t="s">
        <v>151</v>
      </c>
      <c r="AV643" s="752"/>
      <c r="AW643" s="752" t="s">
        <v>44</v>
      </c>
      <c r="AX643" s="752"/>
      <c r="AY643" s="752" t="s">
        <v>250</v>
      </c>
      <c r="AZ643" s="752"/>
      <c r="BA643" s="752" t="s">
        <v>45</v>
      </c>
      <c r="BB643" s="752"/>
      <c r="BC643" s="752" t="s">
        <v>46</v>
      </c>
      <c r="BD643" s="752"/>
      <c r="BE643" s="752" t="s">
        <v>92</v>
      </c>
      <c r="BF643" s="752"/>
    </row>
    <row r="644" spans="2:58" ht="16" thickBot="1" x14ac:dyDescent="0.25">
      <c r="B644" s="282"/>
      <c r="C644" s="285"/>
      <c r="D644" s="275"/>
      <c r="E644" s="284"/>
      <c r="F644" s="293"/>
      <c r="G644" s="752" t="s">
        <v>50</v>
      </c>
      <c r="H644" s="752"/>
      <c r="I644" s="752" t="s">
        <v>51</v>
      </c>
      <c r="J644" s="752"/>
      <c r="K644" s="752" t="s">
        <v>51</v>
      </c>
      <c r="L644" s="752"/>
      <c r="M644" s="752" t="s">
        <v>52</v>
      </c>
      <c r="N644" s="752"/>
      <c r="O644" s="752">
        <v>180</v>
      </c>
      <c r="P644" s="752"/>
      <c r="Q644" s="752" t="s">
        <v>53</v>
      </c>
      <c r="R644" s="752"/>
      <c r="S644" s="752" t="s">
        <v>54</v>
      </c>
      <c r="T644" s="752"/>
      <c r="U644" s="752" t="s">
        <v>54</v>
      </c>
      <c r="V644" s="752"/>
      <c r="W644" s="752" t="s">
        <v>55</v>
      </c>
      <c r="X644" s="752"/>
      <c r="Y644" s="752" t="s">
        <v>54</v>
      </c>
      <c r="Z644" s="752"/>
      <c r="AA644" s="752" t="s">
        <v>54</v>
      </c>
      <c r="AB644" s="752"/>
      <c r="AC644" s="752" t="s">
        <v>56</v>
      </c>
      <c r="AD644" s="752"/>
      <c r="AE644" s="752" t="s">
        <v>57</v>
      </c>
      <c r="AF644" s="752"/>
      <c r="AG644" s="752" t="s">
        <v>57</v>
      </c>
      <c r="AH644" s="752"/>
      <c r="AI644" s="752" t="s">
        <v>58</v>
      </c>
      <c r="AJ644" s="752"/>
      <c r="AK644" s="752" t="s">
        <v>300</v>
      </c>
      <c r="AL644" s="752"/>
      <c r="AM644" s="752" t="s">
        <v>301</v>
      </c>
      <c r="AN644" s="752"/>
      <c r="AO644" s="752">
        <v>20</v>
      </c>
      <c r="AP644" s="752"/>
      <c r="AQ644" s="752">
        <v>20</v>
      </c>
      <c r="AR644" s="752"/>
      <c r="AS644" s="752" t="s">
        <v>57</v>
      </c>
      <c r="AT644" s="752"/>
      <c r="AU644" s="752" t="s">
        <v>302</v>
      </c>
      <c r="AV644" s="752"/>
      <c r="AW644" s="752">
        <v>100</v>
      </c>
      <c r="AX644" s="752"/>
      <c r="AY644" s="752">
        <v>100</v>
      </c>
      <c r="AZ644" s="752"/>
      <c r="BA644" s="752" t="s">
        <v>59</v>
      </c>
      <c r="BB644" s="752"/>
      <c r="BC644" s="752" t="s">
        <v>51</v>
      </c>
      <c r="BD644" s="752"/>
      <c r="BE644" s="752" t="s">
        <v>53</v>
      </c>
      <c r="BF644" s="752"/>
    </row>
    <row r="645" spans="2:58" ht="16" thickBot="1" x14ac:dyDescent="0.25">
      <c r="B645" s="162"/>
      <c r="C645" s="286"/>
      <c r="D645" s="273"/>
      <c r="E645" s="280"/>
      <c r="F645" s="305"/>
      <c r="G645" s="752">
        <v>151</v>
      </c>
      <c r="H645" s="752"/>
      <c r="I645" s="752">
        <v>167.99</v>
      </c>
      <c r="J645" s="752"/>
      <c r="K645" s="752">
        <v>144.99</v>
      </c>
      <c r="L645" s="752"/>
      <c r="M645" s="760">
        <v>169.99</v>
      </c>
      <c r="N645" s="760"/>
      <c r="O645" s="760">
        <v>274.99</v>
      </c>
      <c r="P645" s="760"/>
      <c r="Q645" s="760">
        <v>102.99</v>
      </c>
      <c r="R645" s="760"/>
      <c r="S645" s="752">
        <v>910.5</v>
      </c>
      <c r="T645" s="752"/>
      <c r="U645" s="752">
        <v>460.75</v>
      </c>
      <c r="V645" s="752"/>
      <c r="W645" s="752">
        <v>1048.95</v>
      </c>
      <c r="X645" s="752"/>
      <c r="Y645" s="752">
        <v>772.8</v>
      </c>
      <c r="Z645" s="752"/>
      <c r="AA645" s="752">
        <v>3450</v>
      </c>
      <c r="AB645" s="752"/>
      <c r="AC645" s="760">
        <v>89.99</v>
      </c>
      <c r="AD645" s="760"/>
      <c r="AE645" s="752">
        <v>39.99</v>
      </c>
      <c r="AF645" s="752"/>
      <c r="AG645" s="752">
        <v>498</v>
      </c>
      <c r="AH645" s="752"/>
      <c r="AI645" s="752">
        <v>4.99</v>
      </c>
      <c r="AJ645" s="752"/>
      <c r="AK645" s="752">
        <v>132.25</v>
      </c>
      <c r="AL645" s="752"/>
      <c r="AM645" s="752">
        <v>47.99</v>
      </c>
      <c r="AN645" s="752"/>
      <c r="AO645" s="752">
        <v>560</v>
      </c>
      <c r="AP645" s="752"/>
      <c r="AQ645" s="752">
        <v>560</v>
      </c>
      <c r="AR645" s="752"/>
      <c r="AS645" s="752">
        <v>613.5</v>
      </c>
      <c r="AT645" s="752"/>
      <c r="AU645" s="752">
        <v>313.89999999999998</v>
      </c>
      <c r="AV645" s="752"/>
      <c r="AW645" s="752">
        <v>405.8</v>
      </c>
      <c r="AX645" s="752"/>
      <c r="AY645" s="752">
        <v>218.99</v>
      </c>
      <c r="AZ645" s="752"/>
      <c r="BA645" s="752">
        <v>24.99</v>
      </c>
      <c r="BB645" s="752"/>
      <c r="BC645" s="752">
        <v>1425</v>
      </c>
      <c r="BD645" s="752"/>
      <c r="BE645" s="752">
        <v>54.99</v>
      </c>
      <c r="BF645" s="752"/>
    </row>
    <row r="646" spans="2:58" ht="16" thickBot="1" x14ac:dyDescent="0.25">
      <c r="B646" s="162"/>
      <c r="C646" s="753" t="str">
        <f>L646</f>
        <v>10 - 16 MARCH 2025</v>
      </c>
      <c r="D646" s="754"/>
      <c r="E646" s="754"/>
      <c r="F646" s="754"/>
      <c r="G646" s="755"/>
      <c r="H646" s="756"/>
      <c r="I646" s="163"/>
      <c r="J646" s="157"/>
      <c r="K646" s="157"/>
      <c r="L646" s="757" t="str">
        <f>AL646</f>
        <v>10 - 16 MARCH 2025</v>
      </c>
      <c r="M646" s="755"/>
      <c r="N646" s="755"/>
      <c r="O646" s="755"/>
      <c r="P646" s="755"/>
      <c r="Q646" s="755"/>
      <c r="R646" s="755"/>
      <c r="S646" s="755"/>
      <c r="T646" s="756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758"/>
      <c r="AH646" s="758"/>
      <c r="AI646" s="164"/>
      <c r="AJ646" s="157"/>
      <c r="AK646" s="157"/>
      <c r="AL646" s="759" t="str">
        <f>AW646</f>
        <v>10 - 16 MARCH 2025</v>
      </c>
      <c r="AM646" s="759"/>
      <c r="AN646" s="759"/>
      <c r="AO646" s="759"/>
      <c r="AP646" s="157"/>
      <c r="AQ646" s="157"/>
      <c r="AR646" s="157"/>
      <c r="AS646" s="157"/>
      <c r="AT646" s="157"/>
      <c r="AU646" s="157"/>
      <c r="AV646" s="157"/>
      <c r="AW646" s="757" t="str">
        <f>AW593</f>
        <v>10 - 16 MARCH 2025</v>
      </c>
      <c r="AX646" s="755" t="s">
        <v>28</v>
      </c>
      <c r="AY646" s="755"/>
      <c r="AZ646" s="755"/>
      <c r="BA646" s="755"/>
      <c r="BB646" s="755"/>
      <c r="BC646" s="755"/>
      <c r="BD646" s="756"/>
      <c r="BE646" s="157"/>
      <c r="BF646" s="157"/>
    </row>
    <row r="647" spans="2:58" ht="16" thickBot="1" x14ac:dyDescent="0.25"/>
    <row r="648" spans="2:58" ht="16" thickBot="1" x14ac:dyDescent="0.25">
      <c r="B648" s="156" t="s">
        <v>27</v>
      </c>
      <c r="C648" s="753" t="s">
        <v>855</v>
      </c>
      <c r="D648" s="754"/>
      <c r="E648" s="754"/>
      <c r="F648" s="754"/>
      <c r="G648" s="763"/>
      <c r="H648" s="764"/>
      <c r="I648" s="163"/>
      <c r="J648" s="157"/>
      <c r="K648" s="157"/>
      <c r="L648" s="765" t="str">
        <f>C648</f>
        <v>17 - 23 MARCH 2025</v>
      </c>
      <c r="M648" s="763"/>
      <c r="N648" s="763"/>
      <c r="O648" s="763"/>
      <c r="P648" s="763"/>
      <c r="Q648" s="763"/>
      <c r="R648" s="763"/>
      <c r="S648" s="763"/>
      <c r="T648" s="764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766"/>
      <c r="AH648" s="766"/>
      <c r="AI648" s="753" t="str">
        <f>L648</f>
        <v>17 - 23 MARCH 2025</v>
      </c>
      <c r="AJ648" s="754"/>
      <c r="AK648" s="754"/>
      <c r="AL648" s="754"/>
      <c r="AM648" s="754"/>
      <c r="AN648" s="754"/>
      <c r="AO648" s="767"/>
      <c r="AP648" s="157"/>
      <c r="AQ648" s="157"/>
      <c r="AR648" s="157"/>
      <c r="AS648" s="157"/>
      <c r="AT648" s="157"/>
      <c r="AU648" s="157"/>
      <c r="AV648" s="157"/>
      <c r="AW648" s="765" t="str">
        <f>AI648</f>
        <v>17 - 23 MARCH 2025</v>
      </c>
      <c r="AX648" s="763" t="s">
        <v>28</v>
      </c>
      <c r="AY648" s="763"/>
      <c r="AZ648" s="763"/>
      <c r="BA648" s="763"/>
      <c r="BB648" s="763"/>
      <c r="BC648" s="763"/>
      <c r="BD648" s="764"/>
      <c r="BE648" s="157"/>
      <c r="BF648" s="157"/>
    </row>
    <row r="649" spans="2:58" ht="16" thickBot="1" x14ac:dyDescent="0.25">
      <c r="B649" s="158"/>
      <c r="C649" s="161"/>
      <c r="D649" s="161"/>
      <c r="E649" s="157"/>
      <c r="F649" s="157"/>
      <c r="G649" s="752" t="s">
        <v>29</v>
      </c>
      <c r="H649" s="752"/>
      <c r="I649" s="752" t="s">
        <v>30</v>
      </c>
      <c r="J649" s="752"/>
      <c r="K649" s="752" t="s">
        <v>31</v>
      </c>
      <c r="L649" s="752"/>
      <c r="M649" s="752" t="s">
        <v>32</v>
      </c>
      <c r="N649" s="752"/>
      <c r="O649" s="752" t="s">
        <v>33</v>
      </c>
      <c r="P649" s="752"/>
      <c r="Q649" s="752" t="s">
        <v>247</v>
      </c>
      <c r="R649" s="752"/>
      <c r="S649" s="752" t="s">
        <v>34</v>
      </c>
      <c r="T649" s="752"/>
      <c r="U649" s="752" t="s">
        <v>35</v>
      </c>
      <c r="V649" s="752"/>
      <c r="W649" s="752" t="s">
        <v>36</v>
      </c>
      <c r="X649" s="752"/>
      <c r="Y649" s="752" t="s">
        <v>37</v>
      </c>
      <c r="Z649" s="752"/>
      <c r="AA649" s="752" t="s">
        <v>38</v>
      </c>
      <c r="AB649" s="752"/>
      <c r="AC649" s="752" t="s">
        <v>39</v>
      </c>
      <c r="AD649" s="752"/>
      <c r="AE649" s="752" t="s">
        <v>40</v>
      </c>
      <c r="AF649" s="752"/>
      <c r="AG649" s="752" t="s">
        <v>41</v>
      </c>
      <c r="AH649" s="752"/>
      <c r="AI649" s="752" t="s">
        <v>42</v>
      </c>
      <c r="AJ649" s="752"/>
      <c r="AK649" s="752" t="s">
        <v>43</v>
      </c>
      <c r="AL649" s="752"/>
      <c r="AM649" s="752" t="s">
        <v>157</v>
      </c>
      <c r="AN649" s="752"/>
      <c r="AO649" s="752" t="s">
        <v>248</v>
      </c>
      <c r="AP649" s="752"/>
      <c r="AQ649" s="752" t="s">
        <v>249</v>
      </c>
      <c r="AR649" s="752"/>
      <c r="AS649" s="752" t="s">
        <v>150</v>
      </c>
      <c r="AT649" s="752"/>
      <c r="AU649" s="752" t="s">
        <v>151</v>
      </c>
      <c r="AV649" s="752"/>
      <c r="AW649" s="752" t="s">
        <v>44</v>
      </c>
      <c r="AX649" s="752"/>
      <c r="AY649" s="752" t="s">
        <v>250</v>
      </c>
      <c r="AZ649" s="752"/>
      <c r="BA649" s="752" t="s">
        <v>45</v>
      </c>
      <c r="BB649" s="752"/>
      <c r="BC649" s="752" t="s">
        <v>46</v>
      </c>
      <c r="BD649" s="752"/>
      <c r="BE649" s="752" t="s">
        <v>92</v>
      </c>
      <c r="BF649" s="752"/>
    </row>
    <row r="650" spans="2:58" ht="16" thickBot="1" x14ac:dyDescent="0.25">
      <c r="B650" s="156" t="s">
        <v>47</v>
      </c>
      <c r="C650" s="156" t="s">
        <v>48</v>
      </c>
      <c r="D650" s="283"/>
      <c r="E650" s="271"/>
      <c r="F650" s="271" t="s">
        <v>49</v>
      </c>
      <c r="G650" s="752" t="s">
        <v>50</v>
      </c>
      <c r="H650" s="752"/>
      <c r="I650" s="752" t="s">
        <v>51</v>
      </c>
      <c r="J650" s="752"/>
      <c r="K650" s="752" t="s">
        <v>51</v>
      </c>
      <c r="L650" s="752"/>
      <c r="M650" s="752" t="s">
        <v>52</v>
      </c>
      <c r="N650" s="752"/>
      <c r="O650" s="752">
        <v>180</v>
      </c>
      <c r="P650" s="752"/>
      <c r="Q650" s="752" t="s">
        <v>53</v>
      </c>
      <c r="R650" s="752"/>
      <c r="S650" s="752" t="s">
        <v>54</v>
      </c>
      <c r="T650" s="752"/>
      <c r="U650" s="752" t="s">
        <v>54</v>
      </c>
      <c r="V650" s="752"/>
      <c r="W650" s="752" t="s">
        <v>55</v>
      </c>
      <c r="X650" s="752"/>
      <c r="Y650" s="752" t="s">
        <v>54</v>
      </c>
      <c r="Z650" s="752"/>
      <c r="AA650" s="752" t="s">
        <v>54</v>
      </c>
      <c r="AB650" s="752"/>
      <c r="AC650" s="752" t="s">
        <v>56</v>
      </c>
      <c r="AD650" s="752"/>
      <c r="AE650" s="752" t="s">
        <v>57</v>
      </c>
      <c r="AF650" s="752"/>
      <c r="AG650" s="752" t="s">
        <v>57</v>
      </c>
      <c r="AH650" s="752"/>
      <c r="AI650" s="752" t="s">
        <v>58</v>
      </c>
      <c r="AJ650" s="752"/>
      <c r="AK650" s="752" t="s">
        <v>300</v>
      </c>
      <c r="AL650" s="752"/>
      <c r="AM650" s="752" t="s">
        <v>301</v>
      </c>
      <c r="AN650" s="752"/>
      <c r="AO650" s="752">
        <v>20</v>
      </c>
      <c r="AP650" s="752"/>
      <c r="AQ650" s="752">
        <v>20</v>
      </c>
      <c r="AR650" s="752"/>
      <c r="AS650" s="752" t="s">
        <v>57</v>
      </c>
      <c r="AT650" s="752"/>
      <c r="AU650" s="752" t="s">
        <v>302</v>
      </c>
      <c r="AV650" s="752"/>
      <c r="AW650" s="752">
        <v>100</v>
      </c>
      <c r="AX650" s="752"/>
      <c r="AY650" s="752">
        <v>100</v>
      </c>
      <c r="AZ650" s="752"/>
      <c r="BA650" s="752" t="s">
        <v>59</v>
      </c>
      <c r="BB650" s="752"/>
      <c r="BC650" s="752" t="s">
        <v>51</v>
      </c>
      <c r="BD650" s="752"/>
      <c r="BE650" s="752" t="s">
        <v>53</v>
      </c>
      <c r="BF650" s="752"/>
    </row>
    <row r="651" spans="2:58" ht="16" thickBot="1" x14ac:dyDescent="0.25">
      <c r="B651" s="156"/>
      <c r="C651" s="156" t="s">
        <v>60</v>
      </c>
      <c r="D651" s="283"/>
      <c r="E651" s="271" t="s">
        <v>61</v>
      </c>
      <c r="F651" s="271" t="s">
        <v>62</v>
      </c>
      <c r="G651" s="752">
        <v>151</v>
      </c>
      <c r="H651" s="752"/>
      <c r="I651" s="752">
        <v>167.99</v>
      </c>
      <c r="J651" s="752"/>
      <c r="K651" s="752">
        <v>144.99</v>
      </c>
      <c r="L651" s="752"/>
      <c r="M651" s="760">
        <v>169.99</v>
      </c>
      <c r="N651" s="760"/>
      <c r="O651" s="760">
        <v>274.99</v>
      </c>
      <c r="P651" s="760"/>
      <c r="Q651" s="760">
        <v>135</v>
      </c>
      <c r="R651" s="760"/>
      <c r="S651" s="752">
        <v>910.5</v>
      </c>
      <c r="T651" s="752"/>
      <c r="U651" s="752">
        <v>460.75</v>
      </c>
      <c r="V651" s="752"/>
      <c r="W651" s="752">
        <v>1048.95</v>
      </c>
      <c r="X651" s="752"/>
      <c r="Y651" s="752">
        <v>772.8</v>
      </c>
      <c r="Z651" s="752"/>
      <c r="AA651" s="752">
        <v>3450</v>
      </c>
      <c r="AB651" s="752"/>
      <c r="AC651" s="760">
        <v>99.99</v>
      </c>
      <c r="AD651" s="760"/>
      <c r="AE651" s="752">
        <v>29.99</v>
      </c>
      <c r="AF651" s="752"/>
      <c r="AG651" s="752">
        <v>548</v>
      </c>
      <c r="AH651" s="752"/>
      <c r="AI651" s="752">
        <v>4.99</v>
      </c>
      <c r="AJ651" s="752"/>
      <c r="AK651" s="752">
        <v>132.25</v>
      </c>
      <c r="AL651" s="752"/>
      <c r="AM651" s="752">
        <v>47.99</v>
      </c>
      <c r="AN651" s="752"/>
      <c r="AO651" s="752">
        <v>560</v>
      </c>
      <c r="AP651" s="752"/>
      <c r="AQ651" s="752">
        <v>560</v>
      </c>
      <c r="AR651" s="752"/>
      <c r="AS651" s="752">
        <v>613.5</v>
      </c>
      <c r="AT651" s="752"/>
      <c r="AU651" s="752">
        <v>313.89999999999998</v>
      </c>
      <c r="AV651" s="752"/>
      <c r="AW651" s="752">
        <v>405.8</v>
      </c>
      <c r="AX651" s="752"/>
      <c r="AY651" s="752">
        <v>218.99</v>
      </c>
      <c r="AZ651" s="752"/>
      <c r="BA651" s="752">
        <v>24.99</v>
      </c>
      <c r="BB651" s="752"/>
      <c r="BC651" s="752">
        <v>1425</v>
      </c>
      <c r="BD651" s="752"/>
      <c r="BE651" s="752">
        <v>54.99</v>
      </c>
      <c r="BF651" s="752"/>
    </row>
    <row r="652" spans="2:58" ht="16" thickBot="1" x14ac:dyDescent="0.25">
      <c r="B652" s="272">
        <v>45733</v>
      </c>
      <c r="C652" s="274">
        <v>1500</v>
      </c>
      <c r="D652" s="276"/>
      <c r="E652" s="278" t="s">
        <v>186</v>
      </c>
      <c r="F652" s="278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  <c r="AA652" s="271"/>
      <c r="AB652" s="271"/>
      <c r="AC652" s="271"/>
      <c r="AD652" s="271"/>
      <c r="AE652" s="271"/>
      <c r="AF652" s="271"/>
      <c r="AG652" s="271"/>
      <c r="AH652" s="271"/>
      <c r="AI652" s="271"/>
      <c r="AJ652" s="271"/>
      <c r="AK652" s="271"/>
      <c r="AL652" s="271"/>
      <c r="AM652" s="271"/>
      <c r="AN652" s="271"/>
      <c r="AO652" s="271"/>
      <c r="AP652" s="271"/>
      <c r="AQ652" s="271"/>
      <c r="AR652" s="271"/>
      <c r="AS652" s="271"/>
      <c r="AT652" s="271"/>
      <c r="AU652" s="271"/>
      <c r="AV652" s="271"/>
      <c r="AW652" s="271"/>
      <c r="AX652" s="271"/>
      <c r="AY652" s="271"/>
      <c r="AZ652" s="271"/>
      <c r="BA652" s="271"/>
      <c r="BB652" s="271"/>
      <c r="BC652" s="271"/>
      <c r="BD652" s="271"/>
      <c r="BE652" s="271"/>
      <c r="BF652" s="271"/>
    </row>
    <row r="653" spans="2:58" ht="16" thickBot="1" x14ac:dyDescent="0.25">
      <c r="B653" s="660"/>
      <c r="C653" s="275">
        <v>505</v>
      </c>
      <c r="D653" s="661"/>
      <c r="E653" s="303"/>
      <c r="F653" s="303" t="s">
        <v>763</v>
      </c>
      <c r="G653" s="271"/>
      <c r="H653" s="271"/>
      <c r="I653" s="271">
        <v>2</v>
      </c>
      <c r="J653" s="271">
        <v>150</v>
      </c>
      <c r="K653" s="271">
        <v>1</v>
      </c>
      <c r="L653" s="271">
        <v>185</v>
      </c>
      <c r="M653" s="271">
        <v>1</v>
      </c>
      <c r="N653" s="271">
        <v>170</v>
      </c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  <c r="AA653" s="271"/>
      <c r="AB653" s="271"/>
      <c r="AC653" s="271"/>
      <c r="AD653" s="271"/>
      <c r="AE653" s="271"/>
      <c r="AF653" s="271"/>
      <c r="AG653" s="271"/>
      <c r="AH653" s="271"/>
      <c r="AI653" s="271"/>
      <c r="AJ653" s="271"/>
      <c r="AK653" s="271"/>
      <c r="AL653" s="271"/>
      <c r="AM653" s="271"/>
      <c r="AN653" s="271"/>
      <c r="AO653" s="271"/>
      <c r="AP653" s="271"/>
      <c r="AQ653" s="271"/>
      <c r="AR653" s="271"/>
      <c r="AS653" s="271"/>
      <c r="AT653" s="271"/>
      <c r="AU653" s="271"/>
      <c r="AV653" s="271"/>
      <c r="AW653" s="271"/>
      <c r="AX653" s="271"/>
      <c r="AY653" s="271"/>
      <c r="AZ653" s="271"/>
      <c r="BA653" s="271"/>
      <c r="BB653" s="271"/>
      <c r="BC653" s="271"/>
      <c r="BD653" s="271"/>
      <c r="BE653" s="271"/>
      <c r="BF653" s="271"/>
    </row>
    <row r="654" spans="2:58" ht="16" thickBot="1" x14ac:dyDescent="0.25">
      <c r="B654" s="660"/>
      <c r="C654" s="275">
        <v>105.98</v>
      </c>
      <c r="D654" s="661"/>
      <c r="E654" s="303" t="s">
        <v>411</v>
      </c>
      <c r="F654" s="303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  <c r="AA654" s="271"/>
      <c r="AB654" s="271"/>
      <c r="AC654" s="271"/>
      <c r="AD654" s="271"/>
      <c r="AE654" s="271"/>
      <c r="AF654" s="271"/>
      <c r="AG654" s="271"/>
      <c r="AH654" s="271"/>
      <c r="AI654" s="271"/>
      <c r="AJ654" s="271"/>
      <c r="AK654" s="271"/>
      <c r="AL654" s="271"/>
      <c r="AM654" s="271"/>
      <c r="AN654" s="271"/>
      <c r="AO654" s="271"/>
      <c r="AP654" s="271"/>
      <c r="AQ654" s="271"/>
      <c r="AR654" s="271"/>
      <c r="AS654" s="271"/>
      <c r="AT654" s="271"/>
      <c r="AU654" s="271"/>
      <c r="AV654" s="271"/>
      <c r="AW654" s="271"/>
      <c r="AX654" s="271"/>
      <c r="AY654" s="271"/>
      <c r="AZ654" s="271"/>
      <c r="BA654" s="271"/>
      <c r="BB654" s="271"/>
      <c r="BC654" s="271"/>
      <c r="BD654" s="271"/>
      <c r="BE654" s="271"/>
      <c r="BF654" s="271"/>
    </row>
    <row r="655" spans="2:58" ht="16" thickBot="1" x14ac:dyDescent="0.25">
      <c r="B655" s="660"/>
      <c r="C655" s="275">
        <v>700</v>
      </c>
      <c r="D655" s="661"/>
      <c r="E655" s="303" t="s">
        <v>499</v>
      </c>
      <c r="F655" s="303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  <c r="AA655" s="271"/>
      <c r="AB655" s="271"/>
      <c r="AC655" s="271"/>
      <c r="AD655" s="271"/>
      <c r="AE655" s="271"/>
      <c r="AF655" s="271"/>
      <c r="AG655" s="271"/>
      <c r="AH655" s="271"/>
      <c r="AI655" s="271"/>
      <c r="AJ655" s="271"/>
      <c r="AK655" s="271"/>
      <c r="AL655" s="271"/>
      <c r="AM655" s="271"/>
      <c r="AN655" s="271"/>
      <c r="AO655" s="271"/>
      <c r="AP655" s="271"/>
      <c r="AQ655" s="271"/>
      <c r="AR655" s="271"/>
      <c r="AS655" s="271"/>
      <c r="AT655" s="271"/>
      <c r="AU655" s="271"/>
      <c r="AV655" s="271"/>
      <c r="AW655" s="271"/>
      <c r="AX655" s="271"/>
      <c r="AY655" s="271"/>
      <c r="AZ655" s="271"/>
      <c r="BA655" s="271"/>
      <c r="BB655" s="271"/>
      <c r="BC655" s="271"/>
      <c r="BD655" s="271"/>
      <c r="BE655" s="271"/>
      <c r="BF655" s="271"/>
    </row>
    <row r="656" spans="2:58" ht="16" thickBot="1" x14ac:dyDescent="0.25">
      <c r="B656" s="660"/>
      <c r="C656" s="275">
        <v>241.12</v>
      </c>
      <c r="D656" s="661"/>
      <c r="E656" s="303"/>
      <c r="F656" s="303" t="s">
        <v>279</v>
      </c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>
        <v>8</v>
      </c>
      <c r="T656" s="271">
        <v>239.92</v>
      </c>
      <c r="U656" s="271"/>
      <c r="V656" s="271"/>
      <c r="W656" s="271"/>
      <c r="X656" s="271"/>
      <c r="Y656" s="271"/>
      <c r="Z656" s="271"/>
      <c r="AA656" s="271"/>
      <c r="AB656" s="271"/>
      <c r="AC656" s="271"/>
      <c r="AD656" s="271"/>
      <c r="AE656" s="271"/>
      <c r="AF656" s="271"/>
      <c r="AG656" s="271"/>
      <c r="AH656" s="271"/>
      <c r="AI656" s="271"/>
      <c r="AJ656" s="271"/>
      <c r="AK656" s="271"/>
      <c r="AL656" s="271"/>
      <c r="AM656" s="271"/>
      <c r="AN656" s="271"/>
      <c r="AO656" s="271"/>
      <c r="AP656" s="271"/>
      <c r="AQ656" s="271"/>
      <c r="AR656" s="271"/>
      <c r="AS656" s="271"/>
      <c r="AT656" s="271"/>
      <c r="AU656" s="271"/>
      <c r="AV656" s="271"/>
      <c r="AW656" s="271"/>
      <c r="AX656" s="271"/>
      <c r="AY656" s="271"/>
      <c r="AZ656" s="271"/>
      <c r="BA656" s="271"/>
      <c r="BB656" s="271"/>
      <c r="BC656" s="271"/>
      <c r="BD656" s="271"/>
      <c r="BE656" s="271"/>
      <c r="BF656" s="271"/>
    </row>
    <row r="657" spans="2:58" ht="16" thickBot="1" x14ac:dyDescent="0.25">
      <c r="B657" s="660"/>
      <c r="C657" s="275">
        <v>778</v>
      </c>
      <c r="D657" s="661"/>
      <c r="E657" s="303" t="s">
        <v>11</v>
      </c>
      <c r="F657" s="303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  <c r="AA657" s="271"/>
      <c r="AB657" s="271"/>
      <c r="AC657" s="271"/>
      <c r="AD657" s="271"/>
      <c r="AE657" s="271"/>
      <c r="AF657" s="271"/>
      <c r="AG657" s="271"/>
      <c r="AH657" s="271"/>
      <c r="AI657" s="271"/>
      <c r="AJ657" s="271"/>
      <c r="AK657" s="271"/>
      <c r="AL657" s="271"/>
      <c r="AM657" s="271"/>
      <c r="AN657" s="271"/>
      <c r="AO657" s="271"/>
      <c r="AP657" s="271"/>
      <c r="AQ657" s="271"/>
      <c r="AR657" s="271"/>
      <c r="AS657" s="271"/>
      <c r="AT657" s="271"/>
      <c r="AU657" s="271"/>
      <c r="AV657" s="271"/>
      <c r="AW657" s="271"/>
      <c r="AX657" s="271"/>
      <c r="AY657" s="271"/>
      <c r="AZ657" s="271"/>
      <c r="BA657" s="271"/>
      <c r="BB657" s="271"/>
      <c r="BC657" s="271"/>
      <c r="BD657" s="271"/>
      <c r="BE657" s="271"/>
      <c r="BF657" s="271"/>
    </row>
    <row r="658" spans="2:58" ht="16" thickBot="1" x14ac:dyDescent="0.25">
      <c r="B658" s="660"/>
      <c r="C658" s="275">
        <v>359.92</v>
      </c>
      <c r="D658" s="661"/>
      <c r="E658" s="303"/>
      <c r="F658" s="303" t="s">
        <v>14</v>
      </c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  <c r="AA658" s="271"/>
      <c r="AB658" s="271"/>
      <c r="AC658" s="271"/>
      <c r="AD658" s="271"/>
      <c r="AE658" s="271">
        <v>8</v>
      </c>
      <c r="AF658" s="271">
        <v>359.92</v>
      </c>
      <c r="AG658" s="271"/>
      <c r="AH658" s="271"/>
      <c r="AI658" s="271"/>
      <c r="AJ658" s="271"/>
      <c r="AK658" s="271"/>
      <c r="AL658" s="271"/>
      <c r="AM658" s="271"/>
      <c r="AN658" s="271"/>
      <c r="AO658" s="271"/>
      <c r="AP658" s="271"/>
      <c r="AQ658" s="271"/>
      <c r="AR658" s="271"/>
      <c r="AS658" s="271"/>
      <c r="AT658" s="271"/>
      <c r="AU658" s="271"/>
      <c r="AV658" s="271"/>
      <c r="AW658" s="271"/>
      <c r="AX658" s="271"/>
      <c r="AY658" s="271"/>
      <c r="AZ658" s="271"/>
      <c r="BA658" s="271"/>
      <c r="BB658" s="271"/>
      <c r="BC658" s="271"/>
      <c r="BD658" s="271"/>
      <c r="BE658" s="271"/>
      <c r="BF658" s="271"/>
    </row>
    <row r="659" spans="2:58" ht="16" thickBot="1" x14ac:dyDescent="0.25">
      <c r="B659" s="660"/>
      <c r="C659" s="275">
        <v>573</v>
      </c>
      <c r="D659" s="661"/>
      <c r="E659" s="303" t="s">
        <v>637</v>
      </c>
      <c r="F659" s="303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  <c r="AA659" s="271"/>
      <c r="AB659" s="271"/>
      <c r="AC659" s="271"/>
      <c r="AD659" s="271"/>
      <c r="AE659" s="271"/>
      <c r="AF659" s="271"/>
      <c r="AG659" s="271"/>
      <c r="AH659" s="271"/>
      <c r="AI659" s="271"/>
      <c r="AJ659" s="271"/>
      <c r="AK659" s="271"/>
      <c r="AL659" s="271"/>
      <c r="AM659" s="271"/>
      <c r="AN659" s="271"/>
      <c r="AO659" s="271"/>
      <c r="AP659" s="271"/>
      <c r="AQ659" s="271"/>
      <c r="AR659" s="271"/>
      <c r="AS659" s="271"/>
      <c r="AT659" s="271"/>
      <c r="AU659" s="271"/>
      <c r="AV659" s="271"/>
      <c r="AW659" s="271"/>
      <c r="AX659" s="271"/>
      <c r="AY659" s="271"/>
      <c r="AZ659" s="271"/>
      <c r="BA659" s="271"/>
      <c r="BB659" s="271"/>
      <c r="BC659" s="271"/>
      <c r="BD659" s="271"/>
      <c r="BE659" s="271"/>
      <c r="BF659" s="271"/>
    </row>
    <row r="660" spans="2:58" ht="16" thickBot="1" x14ac:dyDescent="0.25">
      <c r="B660" s="660"/>
      <c r="C660" s="275">
        <v>8474.49</v>
      </c>
      <c r="D660" s="661"/>
      <c r="E660" s="303"/>
      <c r="F660" s="303" t="s">
        <v>9</v>
      </c>
      <c r="G660" s="271">
        <v>9</v>
      </c>
      <c r="H660" s="271">
        <v>1259.9100000000001</v>
      </c>
      <c r="I660" s="271">
        <v>2</v>
      </c>
      <c r="J660" s="271">
        <v>409.98</v>
      </c>
      <c r="K660" s="271">
        <v>10</v>
      </c>
      <c r="L660" s="271">
        <v>1819.9</v>
      </c>
      <c r="M660" s="271">
        <v>12</v>
      </c>
      <c r="N660" s="271">
        <v>2003.88</v>
      </c>
      <c r="O660" s="271">
        <v>5</v>
      </c>
      <c r="P660" s="271">
        <v>1800</v>
      </c>
      <c r="Q660" s="271"/>
      <c r="R660" s="271"/>
      <c r="S660" s="271"/>
      <c r="T660" s="271"/>
      <c r="U660" s="271"/>
      <c r="V660" s="271"/>
      <c r="W660" s="271">
        <v>4</v>
      </c>
      <c r="X660" s="271">
        <v>171.96</v>
      </c>
      <c r="Y660" s="271"/>
      <c r="Z660" s="271"/>
      <c r="AA660" s="271"/>
      <c r="AB660" s="271"/>
      <c r="AC660" s="271">
        <v>6</v>
      </c>
      <c r="AD660" s="271">
        <v>593.94000000000005</v>
      </c>
      <c r="AE660" s="271"/>
      <c r="AF660" s="271"/>
      <c r="AG660" s="271"/>
      <c r="AH660" s="271"/>
      <c r="AI660" s="271"/>
      <c r="AJ660" s="271"/>
      <c r="AK660" s="271"/>
      <c r="AL660" s="271"/>
      <c r="AM660" s="271"/>
      <c r="AN660" s="271"/>
      <c r="AO660" s="271"/>
      <c r="AP660" s="271"/>
      <c r="AQ660" s="271"/>
      <c r="AR660" s="271"/>
      <c r="AS660" s="271"/>
      <c r="AT660" s="271"/>
      <c r="AU660" s="271"/>
      <c r="AV660" s="271"/>
      <c r="AW660" s="271"/>
      <c r="AX660" s="271"/>
      <c r="AY660" s="271"/>
      <c r="AZ660" s="271"/>
      <c r="BA660" s="271">
        <v>1</v>
      </c>
      <c r="BB660" s="271">
        <v>26.99</v>
      </c>
      <c r="BC660" s="271"/>
      <c r="BD660" s="271"/>
      <c r="BE660" s="271">
        <v>1</v>
      </c>
      <c r="BF660" s="271">
        <v>75.989999999999995</v>
      </c>
    </row>
    <row r="661" spans="2:58" ht="16" thickBot="1" x14ac:dyDescent="0.25">
      <c r="B661" s="660"/>
      <c r="C661" s="275">
        <v>759</v>
      </c>
      <c r="D661" s="661"/>
      <c r="E661" s="303" t="s">
        <v>396</v>
      </c>
      <c r="F661" s="303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  <c r="AA661" s="271"/>
      <c r="AB661" s="271"/>
      <c r="AC661" s="271"/>
      <c r="AD661" s="271"/>
      <c r="AE661" s="271"/>
      <c r="AF661" s="271"/>
      <c r="AG661" s="271"/>
      <c r="AH661" s="271"/>
      <c r="AI661" s="271"/>
      <c r="AJ661" s="271"/>
      <c r="AK661" s="271"/>
      <c r="AL661" s="271"/>
      <c r="AM661" s="271"/>
      <c r="AN661" s="271"/>
      <c r="AO661" s="271"/>
      <c r="AP661" s="271"/>
      <c r="AQ661" s="271"/>
      <c r="AR661" s="271"/>
      <c r="AS661" s="271"/>
      <c r="AT661" s="271"/>
      <c r="AU661" s="271"/>
      <c r="AV661" s="271"/>
      <c r="AW661" s="271"/>
      <c r="AX661" s="271"/>
      <c r="AY661" s="271"/>
      <c r="AZ661" s="271"/>
      <c r="BA661" s="271"/>
      <c r="BB661" s="271"/>
      <c r="BC661" s="271"/>
      <c r="BD661" s="271"/>
      <c r="BE661" s="271"/>
      <c r="BF661" s="271"/>
    </row>
    <row r="662" spans="2:58" ht="16" thickBot="1" x14ac:dyDescent="0.25">
      <c r="B662" s="660"/>
      <c r="C662" s="275">
        <v>1517.45</v>
      </c>
      <c r="D662" s="661"/>
      <c r="E662" s="303"/>
      <c r="F662" s="303" t="s">
        <v>343</v>
      </c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  <c r="AA662" s="271"/>
      <c r="AB662" s="271"/>
      <c r="AC662" s="271"/>
      <c r="AD662" s="271"/>
      <c r="AE662" s="271"/>
      <c r="AF662" s="271"/>
      <c r="AG662" s="271"/>
      <c r="AH662" s="271"/>
      <c r="AI662" s="271"/>
      <c r="AJ662" s="271"/>
      <c r="AK662" s="271"/>
      <c r="AL662" s="271"/>
      <c r="AM662" s="271"/>
      <c r="AN662" s="271"/>
      <c r="AO662" s="271"/>
      <c r="AP662" s="271"/>
      <c r="AQ662" s="271"/>
      <c r="AR662" s="271"/>
      <c r="AS662" s="271"/>
      <c r="AT662" s="271"/>
      <c r="AU662" s="271"/>
      <c r="AV662" s="271"/>
      <c r="AW662" s="271">
        <v>3</v>
      </c>
      <c r="AX662" s="271">
        <v>915.77</v>
      </c>
      <c r="AY662" s="271">
        <v>3</v>
      </c>
      <c r="AZ662" s="271">
        <v>601.67999999999995</v>
      </c>
      <c r="BA662" s="271"/>
      <c r="BB662" s="271"/>
      <c r="BC662" s="271"/>
      <c r="BD662" s="271"/>
      <c r="BE662" s="271"/>
      <c r="BF662" s="271"/>
    </row>
    <row r="663" spans="2:58" ht="16" thickBot="1" x14ac:dyDescent="0.25">
      <c r="B663" s="681" t="s">
        <v>20</v>
      </c>
      <c r="C663" s="275">
        <v>18571.13</v>
      </c>
      <c r="D663" s="277"/>
      <c r="E663" s="279"/>
      <c r="F663" s="279" t="s">
        <v>6</v>
      </c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>
        <v>4</v>
      </c>
      <c r="T663" s="271">
        <v>3174</v>
      </c>
      <c r="U663" s="271">
        <v>15</v>
      </c>
      <c r="V663" s="271">
        <v>7935</v>
      </c>
      <c r="W663" s="271"/>
      <c r="X663" s="271"/>
      <c r="Y663" s="271">
        <v>1</v>
      </c>
      <c r="Z663" s="271">
        <v>772.8</v>
      </c>
      <c r="AA663" s="271">
        <v>1</v>
      </c>
      <c r="AB663" s="271">
        <v>4025</v>
      </c>
      <c r="AC663" s="271"/>
      <c r="AD663" s="271"/>
      <c r="AE663" s="271"/>
      <c r="AF663" s="271"/>
      <c r="AG663" s="271"/>
      <c r="AH663" s="271"/>
      <c r="AI663" s="271"/>
      <c r="AJ663" s="271"/>
      <c r="AK663" s="271"/>
      <c r="AL663" s="271"/>
      <c r="AM663" s="271"/>
      <c r="AN663" s="271"/>
      <c r="AO663" s="271"/>
      <c r="AP663" s="271"/>
      <c r="AQ663" s="271"/>
      <c r="AR663" s="271"/>
      <c r="AS663" s="271"/>
      <c r="AT663" s="271"/>
      <c r="AU663" s="271">
        <v>2</v>
      </c>
      <c r="AV663" s="271">
        <f>408.14+416.19</f>
        <v>824.32999999999993</v>
      </c>
      <c r="AW663" s="271"/>
      <c r="AX663" s="271"/>
      <c r="AY663" s="271"/>
      <c r="AZ663" s="271"/>
      <c r="BA663" s="271"/>
      <c r="BB663" s="271"/>
      <c r="BC663" s="271"/>
      <c r="BD663" s="271"/>
      <c r="BE663" s="271"/>
      <c r="BF663" s="271"/>
    </row>
    <row r="664" spans="2:58" ht="16" thickBot="1" x14ac:dyDescent="0.25">
      <c r="B664" s="479"/>
      <c r="C664" s="680">
        <f>SUM(C652:C663)</f>
        <v>34085.089999999997</v>
      </c>
      <c r="D664" s="159"/>
      <c r="E664" s="270"/>
      <c r="F664" s="281"/>
      <c r="G664" s="309"/>
      <c r="H664" s="310"/>
      <c r="I664" s="309"/>
      <c r="J664" s="310"/>
      <c r="K664" s="309"/>
      <c r="L664" s="310"/>
      <c r="M664" s="309"/>
      <c r="N664" s="310"/>
      <c r="O664" s="271"/>
      <c r="P664" s="271"/>
      <c r="Q664" s="310"/>
      <c r="R664" s="310"/>
      <c r="S664" s="309"/>
      <c r="T664" s="310"/>
      <c r="U664" s="309"/>
      <c r="V664" s="310"/>
      <c r="W664" s="309"/>
      <c r="X664" s="310"/>
      <c r="Y664" s="309"/>
      <c r="Z664" s="310"/>
      <c r="AA664" s="309"/>
      <c r="AB664" s="310"/>
      <c r="AC664" s="271"/>
      <c r="AD664" s="271"/>
      <c r="AE664" s="309"/>
      <c r="AF664" s="310"/>
      <c r="AG664" s="309"/>
      <c r="AH664" s="310"/>
      <c r="AI664" s="309"/>
      <c r="AJ664" s="310"/>
      <c r="AK664" s="309"/>
      <c r="AL664" s="310"/>
      <c r="AM664" s="309"/>
      <c r="AN664" s="310"/>
      <c r="AO664" s="309"/>
      <c r="AP664" s="310"/>
      <c r="AQ664" s="309"/>
      <c r="AR664" s="310"/>
      <c r="AS664" s="309"/>
      <c r="AT664" s="310"/>
      <c r="AU664" s="309"/>
      <c r="AV664" s="310"/>
      <c r="AW664" s="309"/>
      <c r="AX664" s="310"/>
      <c r="AY664" s="309"/>
      <c r="AZ664" s="310"/>
      <c r="BA664" s="271"/>
      <c r="BB664" s="271"/>
      <c r="BC664" s="271"/>
      <c r="BD664" s="271"/>
      <c r="BE664" s="271"/>
      <c r="BF664" s="271"/>
    </row>
    <row r="665" spans="2:58" ht="16" thickBot="1" x14ac:dyDescent="0.25">
      <c r="B665" s="289">
        <v>45734</v>
      </c>
      <c r="C665" s="275">
        <f>1138.37+81+81</f>
        <v>1300.3699999999999</v>
      </c>
      <c r="D665" s="277"/>
      <c r="E665" s="279" t="s">
        <v>296</v>
      </c>
      <c r="F665" s="279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  <c r="AA665" s="271"/>
      <c r="AB665" s="271"/>
      <c r="AC665" s="271"/>
      <c r="AD665" s="271"/>
      <c r="AE665" s="271"/>
      <c r="AF665" s="271"/>
      <c r="AG665" s="271"/>
      <c r="AH665" s="271"/>
      <c r="AI665" s="271"/>
      <c r="AJ665" s="271"/>
      <c r="AK665" s="271"/>
      <c r="AL665" s="271"/>
      <c r="AM665" s="271"/>
      <c r="AN665" s="271"/>
      <c r="AO665" s="271"/>
      <c r="AP665" s="271"/>
      <c r="AQ665" s="271"/>
      <c r="AR665" s="271"/>
      <c r="AS665" s="271"/>
      <c r="AT665" s="271"/>
      <c r="AU665" s="271"/>
      <c r="AV665" s="271"/>
      <c r="AW665" s="271"/>
      <c r="AX665" s="271"/>
      <c r="AY665" s="271"/>
      <c r="AZ665" s="271"/>
      <c r="BA665" s="271"/>
      <c r="BB665" s="271"/>
      <c r="BC665" s="271"/>
      <c r="BD665" s="271"/>
      <c r="BE665" s="271"/>
      <c r="BF665" s="271"/>
    </row>
    <row r="666" spans="2:58" ht="16" thickBot="1" x14ac:dyDescent="0.25">
      <c r="B666" s="289"/>
      <c r="C666" s="139">
        <v>133</v>
      </c>
      <c r="E666" s="575" t="s">
        <v>377</v>
      </c>
      <c r="F666" s="279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  <c r="AA666" s="271"/>
      <c r="AB666" s="271"/>
      <c r="AC666" s="271"/>
      <c r="AD666" s="271"/>
      <c r="AE666" s="271"/>
      <c r="AF666" s="271"/>
      <c r="AG666" s="271"/>
      <c r="AH666" s="271"/>
      <c r="AI666" s="271"/>
      <c r="AJ666" s="271"/>
      <c r="AK666" s="271"/>
      <c r="AL666" s="271"/>
      <c r="AM666" s="271"/>
      <c r="AN666" s="271"/>
      <c r="AO666" s="271"/>
      <c r="AP666" s="271"/>
      <c r="AQ666" s="271"/>
      <c r="AR666" s="271"/>
      <c r="AS666" s="271"/>
      <c r="AT666" s="271"/>
      <c r="AU666" s="271"/>
      <c r="AV666" s="271"/>
      <c r="AW666" s="271"/>
      <c r="AX666" s="271"/>
      <c r="AY666" s="271"/>
      <c r="AZ666" s="271"/>
      <c r="BA666" s="271"/>
      <c r="BB666" s="271"/>
      <c r="BC666" s="271"/>
      <c r="BD666" s="271"/>
      <c r="BE666" s="271"/>
      <c r="BF666" s="271"/>
    </row>
    <row r="667" spans="2:58" ht="16" thickBot="1" x14ac:dyDescent="0.25">
      <c r="B667" s="289"/>
      <c r="C667" s="4">
        <v>314.93</v>
      </c>
      <c r="E667" s="142"/>
      <c r="F667" s="279" t="s">
        <v>14</v>
      </c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  <c r="AA667" s="271"/>
      <c r="AB667" s="271"/>
      <c r="AC667" s="271"/>
      <c r="AD667" s="271"/>
      <c r="AE667" s="271">
        <v>7</v>
      </c>
      <c r="AF667" s="271">
        <v>314.93</v>
      </c>
      <c r="AG667" s="271"/>
      <c r="AH667" s="271"/>
      <c r="AI667" s="271"/>
      <c r="AJ667" s="271"/>
      <c r="AK667" s="271"/>
      <c r="AL667" s="271"/>
      <c r="AM667" s="271"/>
      <c r="AN667" s="271"/>
      <c r="AO667" s="271"/>
      <c r="AP667" s="271"/>
      <c r="AQ667" s="271"/>
      <c r="AR667" s="271"/>
      <c r="AS667" s="271"/>
      <c r="AT667" s="271"/>
      <c r="AU667" s="271"/>
      <c r="AV667" s="271"/>
      <c r="AW667" s="271"/>
      <c r="AX667" s="271"/>
      <c r="AY667" s="271"/>
      <c r="AZ667" s="271"/>
      <c r="BA667" s="271"/>
      <c r="BB667" s="271"/>
      <c r="BC667" s="271"/>
      <c r="BD667" s="271"/>
      <c r="BE667" s="271"/>
      <c r="BF667" s="271"/>
    </row>
    <row r="668" spans="2:58" ht="16" thickBot="1" x14ac:dyDescent="0.25">
      <c r="B668" s="289"/>
      <c r="C668" s="146">
        <v>7198.61</v>
      </c>
      <c r="E668" s="147"/>
      <c r="F668" s="279" t="s">
        <v>9</v>
      </c>
      <c r="G668" s="271">
        <v>8</v>
      </c>
      <c r="H668" s="271">
        <v>1119.92</v>
      </c>
      <c r="I668" s="271">
        <v>2</v>
      </c>
      <c r="J668" s="271">
        <v>409.98</v>
      </c>
      <c r="K668" s="271">
        <v>7</v>
      </c>
      <c r="L668" s="271">
        <v>1273.93</v>
      </c>
      <c r="M668" s="271">
        <v>10</v>
      </c>
      <c r="N668" s="271">
        <v>1669.9</v>
      </c>
      <c r="O668" s="271">
        <v>14</v>
      </c>
      <c r="P668" s="271">
        <v>1750</v>
      </c>
      <c r="Q668" s="271">
        <v>1</v>
      </c>
      <c r="R668" s="271">
        <v>144.99</v>
      </c>
      <c r="S668" s="271"/>
      <c r="T668" s="271"/>
      <c r="U668" s="271"/>
      <c r="V668" s="271"/>
      <c r="W668" s="271">
        <v>4</v>
      </c>
      <c r="X668" s="271">
        <v>171.96</v>
      </c>
      <c r="Y668" s="271"/>
      <c r="Z668" s="271"/>
      <c r="AA668" s="271"/>
      <c r="AB668" s="271"/>
      <c r="AC668" s="271">
        <v>5</v>
      </c>
      <c r="AD668" s="271">
        <v>494.95</v>
      </c>
      <c r="AE668" s="271"/>
      <c r="AF668" s="271"/>
      <c r="AG668" s="271"/>
      <c r="AH668" s="271"/>
      <c r="AI668" s="271"/>
      <c r="AJ668" s="271"/>
      <c r="AK668" s="271"/>
      <c r="AL668" s="271"/>
      <c r="AM668" s="271"/>
      <c r="AN668" s="271"/>
      <c r="AO668" s="271"/>
      <c r="AP668" s="271"/>
      <c r="AQ668" s="271"/>
      <c r="AR668" s="271"/>
      <c r="AS668" s="271"/>
      <c r="AT668" s="271"/>
      <c r="AU668" s="271"/>
      <c r="AV668" s="271"/>
      <c r="AW668" s="271"/>
      <c r="AX668" s="271"/>
      <c r="AY668" s="271"/>
      <c r="AZ668" s="271"/>
      <c r="BA668" s="271">
        <v>1</v>
      </c>
      <c r="BB668" s="271">
        <v>26.99</v>
      </c>
      <c r="BC668" s="271"/>
      <c r="BD668" s="271"/>
      <c r="BE668" s="271">
        <v>1</v>
      </c>
      <c r="BF668" s="271">
        <v>75.989999999999995</v>
      </c>
    </row>
    <row r="669" spans="2:58" ht="16" thickBot="1" x14ac:dyDescent="0.25">
      <c r="B669" s="289"/>
      <c r="C669" s="4">
        <v>819.4</v>
      </c>
      <c r="E669" s="142" t="s">
        <v>637</v>
      </c>
      <c r="F669" s="279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  <c r="AA669" s="271"/>
      <c r="AB669" s="271"/>
      <c r="AC669" s="271"/>
      <c r="AD669" s="271"/>
      <c r="AE669" s="271"/>
      <c r="AF669" s="271"/>
      <c r="AG669" s="271"/>
      <c r="AH669" s="271"/>
      <c r="AI669" s="271"/>
      <c r="AJ669" s="271"/>
      <c r="AK669" s="271"/>
      <c r="AL669" s="271"/>
      <c r="AM669" s="271"/>
      <c r="AN669" s="271"/>
      <c r="AO669" s="271"/>
      <c r="AP669" s="271"/>
      <c r="AQ669" s="271"/>
      <c r="AR669" s="271"/>
      <c r="AS669" s="271"/>
      <c r="AT669" s="271"/>
      <c r="AU669" s="271"/>
      <c r="AV669" s="271"/>
      <c r="AW669" s="271"/>
      <c r="AX669" s="271"/>
      <c r="AY669" s="271"/>
      <c r="AZ669" s="271"/>
      <c r="BA669" s="271"/>
      <c r="BB669" s="271"/>
      <c r="BC669" s="271"/>
      <c r="BD669" s="271"/>
      <c r="BE669" s="271"/>
      <c r="BF669" s="271"/>
    </row>
    <row r="670" spans="2:58" ht="16" thickBot="1" x14ac:dyDescent="0.25">
      <c r="B670" s="289"/>
      <c r="C670" s="4"/>
      <c r="E670" s="142"/>
      <c r="F670" s="279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  <c r="AA670" s="271"/>
      <c r="AB670" s="271"/>
      <c r="AC670" s="271"/>
      <c r="AD670" s="271"/>
      <c r="AE670" s="271"/>
      <c r="AF670" s="271"/>
      <c r="AG670" s="271"/>
      <c r="AH670" s="271"/>
      <c r="AI670" s="271"/>
      <c r="AJ670" s="271"/>
      <c r="AK670" s="271"/>
      <c r="AL670" s="271"/>
      <c r="AM670" s="271"/>
      <c r="AN670" s="271"/>
      <c r="AO670" s="271"/>
      <c r="AP670" s="271"/>
      <c r="AQ670" s="271"/>
      <c r="AR670" s="271"/>
      <c r="AS670" s="271"/>
      <c r="AT670" s="271"/>
      <c r="AU670" s="271"/>
      <c r="AV670" s="271"/>
      <c r="AW670" s="271"/>
      <c r="AX670" s="271"/>
      <c r="AY670" s="271"/>
      <c r="AZ670" s="271"/>
      <c r="BA670" s="271"/>
      <c r="BB670" s="271"/>
      <c r="BC670" s="271"/>
      <c r="BD670" s="271"/>
      <c r="BE670" s="271"/>
      <c r="BF670" s="271"/>
    </row>
    <row r="671" spans="2:58" ht="16" thickBot="1" x14ac:dyDescent="0.25">
      <c r="B671" s="289"/>
      <c r="C671" s="275"/>
      <c r="D671" s="277"/>
      <c r="E671" s="279"/>
      <c r="F671" s="279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  <c r="AA671" s="271"/>
      <c r="AB671" s="271"/>
      <c r="AC671" s="271"/>
      <c r="AD671" s="271"/>
      <c r="AE671" s="271"/>
      <c r="AF671" s="271"/>
      <c r="AG671" s="271"/>
      <c r="AH671" s="271"/>
      <c r="AI671" s="271"/>
      <c r="AJ671" s="271"/>
      <c r="AK671" s="271"/>
      <c r="AL671" s="271"/>
      <c r="AM671" s="271"/>
      <c r="AN671" s="271"/>
      <c r="AO671" s="271"/>
      <c r="AP671" s="271"/>
      <c r="AQ671" s="271"/>
      <c r="AR671" s="271"/>
      <c r="AS671" s="271"/>
      <c r="AT671" s="271"/>
      <c r="AU671" s="271"/>
      <c r="AV671" s="271"/>
      <c r="AW671" s="271"/>
      <c r="AX671" s="271"/>
      <c r="AY671" s="271"/>
      <c r="AZ671" s="271"/>
      <c r="BA671" s="271"/>
      <c r="BB671" s="271"/>
      <c r="BC671" s="271"/>
      <c r="BD671" s="271"/>
      <c r="BE671" s="271"/>
      <c r="BF671" s="271"/>
    </row>
    <row r="672" spans="2:58" ht="16" thickBot="1" x14ac:dyDescent="0.25">
      <c r="B672" s="289"/>
      <c r="C672" s="275"/>
      <c r="D672" s="277"/>
      <c r="E672" s="279"/>
      <c r="F672" s="279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  <c r="AA672" s="271"/>
      <c r="AB672" s="271"/>
      <c r="AC672" s="271"/>
      <c r="AD672" s="271"/>
      <c r="AE672" s="271"/>
      <c r="AF672" s="271"/>
      <c r="AG672" s="271"/>
      <c r="AH672" s="271"/>
      <c r="AI672" s="271"/>
      <c r="AJ672" s="271"/>
      <c r="AK672" s="271"/>
      <c r="AL672" s="271"/>
      <c r="AM672" s="271"/>
      <c r="AN672" s="271"/>
      <c r="AO672" s="271"/>
      <c r="AP672" s="271"/>
      <c r="AQ672" s="271"/>
      <c r="AR672" s="271"/>
      <c r="AS672" s="271"/>
      <c r="AT672" s="271"/>
      <c r="AU672" s="271"/>
      <c r="AV672" s="271"/>
      <c r="AW672" s="271"/>
      <c r="AX672" s="271"/>
      <c r="AY672" s="271"/>
      <c r="AZ672" s="271"/>
      <c r="BA672" s="271"/>
      <c r="BB672" s="271"/>
      <c r="BC672" s="271"/>
      <c r="BD672" s="271"/>
      <c r="BE672" s="271"/>
      <c r="BF672" s="271"/>
    </row>
    <row r="673" spans="2:58" ht="16" thickBot="1" x14ac:dyDescent="0.25">
      <c r="B673" s="289" t="s">
        <v>90</v>
      </c>
      <c r="C673" s="275"/>
      <c r="D673" s="277"/>
      <c r="E673" s="279"/>
      <c r="F673" s="279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  <c r="AA673" s="271"/>
      <c r="AB673" s="271"/>
      <c r="AC673" s="271"/>
      <c r="AD673" s="271"/>
      <c r="AE673" s="271"/>
      <c r="AF673" s="271"/>
      <c r="AG673" s="271"/>
      <c r="AH673" s="271"/>
      <c r="AI673" s="271"/>
      <c r="AJ673" s="271"/>
      <c r="AK673" s="271"/>
      <c r="AL673" s="271"/>
      <c r="AM673" s="271"/>
      <c r="AN673" s="271"/>
      <c r="AO673" s="271"/>
      <c r="AP673" s="271"/>
      <c r="AQ673" s="271"/>
      <c r="AR673" s="271"/>
      <c r="AS673" s="271"/>
      <c r="AT673" s="271"/>
      <c r="AU673" s="271"/>
      <c r="AV673" s="271"/>
      <c r="AW673" s="271"/>
      <c r="AX673" s="271"/>
      <c r="AY673" s="271"/>
      <c r="AZ673" s="271"/>
      <c r="BA673" s="271"/>
      <c r="BB673" s="271"/>
      <c r="BC673" s="271"/>
      <c r="BD673" s="271"/>
      <c r="BE673" s="271"/>
      <c r="BF673" s="271"/>
    </row>
    <row r="674" spans="2:58" ht="16" thickBot="1" x14ac:dyDescent="0.25">
      <c r="B674" s="292"/>
      <c r="C674" s="159">
        <f>SUM(C665:C673)</f>
        <v>9766.31</v>
      </c>
      <c r="D674" s="159"/>
      <c r="E674" s="270"/>
      <c r="F674" s="281"/>
      <c r="G674" s="309"/>
      <c r="H674" s="310"/>
      <c r="I674" s="309"/>
      <c r="J674" s="310"/>
      <c r="K674" s="309"/>
      <c r="L674" s="310"/>
      <c r="M674" s="309"/>
      <c r="N674" s="310"/>
      <c r="O674" s="271"/>
      <c r="P674" s="271"/>
      <c r="Q674" s="310"/>
      <c r="R674" s="310"/>
      <c r="S674" s="309"/>
      <c r="T674" s="310"/>
      <c r="U674" s="309"/>
      <c r="V674" s="310"/>
      <c r="W674" s="309"/>
      <c r="X674" s="310"/>
      <c r="Y674" s="309"/>
      <c r="Z674" s="310"/>
      <c r="AA674" s="309"/>
      <c r="AB674" s="310"/>
      <c r="AC674" s="271"/>
      <c r="AD674" s="271"/>
      <c r="AE674" s="309"/>
      <c r="AF674" s="310"/>
      <c r="AG674" s="309"/>
      <c r="AH674" s="310"/>
      <c r="AI674" s="309"/>
      <c r="AJ674" s="310"/>
      <c r="AK674" s="309"/>
      <c r="AL674" s="310"/>
      <c r="AM674" s="309"/>
      <c r="AN674" s="310"/>
      <c r="AO674" s="309"/>
      <c r="AP674" s="310"/>
      <c r="AQ674" s="309"/>
      <c r="AR674" s="310"/>
      <c r="AS674" s="309"/>
      <c r="AT674" s="310"/>
      <c r="AU674" s="309"/>
      <c r="AV674" s="310"/>
      <c r="AW674" s="309"/>
      <c r="AX674" s="310"/>
      <c r="AY674" s="309"/>
      <c r="AZ674" s="310"/>
      <c r="BA674" s="271"/>
      <c r="BB674" s="271"/>
      <c r="BC674" s="271"/>
      <c r="BD674" s="271"/>
      <c r="BE674" s="271"/>
      <c r="BF674" s="271"/>
    </row>
    <row r="675" spans="2:58" ht="16" thickBot="1" x14ac:dyDescent="0.25">
      <c r="B675" s="289">
        <v>45735</v>
      </c>
      <c r="C675" s="275">
        <v>800</v>
      </c>
      <c r="D675" s="277"/>
      <c r="E675" s="279" t="s">
        <v>186</v>
      </c>
      <c r="F675" s="279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  <c r="AA675" s="271"/>
      <c r="AB675" s="271"/>
      <c r="AC675" s="271"/>
      <c r="AD675" s="271"/>
      <c r="AE675" s="271"/>
      <c r="AF675" s="271"/>
      <c r="AG675" s="271"/>
      <c r="AH675" s="271"/>
      <c r="AI675" s="271"/>
      <c r="AJ675" s="271"/>
      <c r="AK675" s="271"/>
      <c r="AL675" s="271"/>
      <c r="AM675" s="271"/>
      <c r="AN675" s="271"/>
      <c r="AO675" s="271"/>
      <c r="AP675" s="271"/>
      <c r="AQ675" s="271"/>
      <c r="AR675" s="271"/>
      <c r="AS675" s="271"/>
      <c r="AT675" s="271"/>
      <c r="AU675" s="271"/>
      <c r="AV675" s="271"/>
      <c r="AW675" s="271"/>
      <c r="AX675" s="271"/>
      <c r="AY675" s="271"/>
      <c r="AZ675" s="271"/>
      <c r="BA675" s="271"/>
      <c r="BB675" s="271"/>
      <c r="BC675" s="271"/>
      <c r="BD675" s="271"/>
      <c r="BE675" s="271"/>
      <c r="BF675" s="271"/>
    </row>
    <row r="676" spans="2:58" ht="16" thickBot="1" x14ac:dyDescent="0.25">
      <c r="B676" s="288" t="s">
        <v>22</v>
      </c>
      <c r="C676" s="287"/>
      <c r="D676" s="290"/>
      <c r="E676" s="290"/>
      <c r="F676" s="296"/>
      <c r="G676" s="309"/>
      <c r="H676" s="310"/>
      <c r="I676" s="309"/>
      <c r="J676" s="310"/>
      <c r="K676" s="309"/>
      <c r="L676" s="310"/>
      <c r="M676" s="309"/>
      <c r="N676" s="310"/>
      <c r="O676" s="271"/>
      <c r="P676" s="271"/>
      <c r="Q676" s="309"/>
      <c r="R676" s="310"/>
      <c r="S676" s="309"/>
      <c r="T676" s="310"/>
      <c r="U676" s="309"/>
      <c r="V676" s="310"/>
      <c r="W676" s="309"/>
      <c r="X676" s="310"/>
      <c r="Y676" s="309"/>
      <c r="Z676" s="310"/>
      <c r="AA676" s="309"/>
      <c r="AB676" s="310"/>
      <c r="AC676" s="271"/>
      <c r="AD676" s="271"/>
      <c r="AE676" s="309"/>
      <c r="AF676" s="310"/>
      <c r="AG676" s="309"/>
      <c r="AH676" s="310"/>
      <c r="AI676" s="309"/>
      <c r="AJ676" s="310"/>
      <c r="AK676" s="309"/>
      <c r="AL676" s="310"/>
      <c r="AM676" s="309"/>
      <c r="AN676" s="310"/>
      <c r="AO676" s="309"/>
      <c r="AP676" s="310"/>
      <c r="AQ676" s="309"/>
      <c r="AR676" s="310"/>
      <c r="AS676" s="309"/>
      <c r="AT676" s="310"/>
      <c r="AU676" s="309"/>
      <c r="AV676" s="310"/>
      <c r="AW676" s="309"/>
      <c r="AX676" s="310"/>
      <c r="AY676" s="309"/>
      <c r="AZ676" s="310"/>
      <c r="BA676" s="271"/>
      <c r="BB676" s="271"/>
      <c r="BC676" s="271"/>
      <c r="BD676" s="271"/>
      <c r="BE676" s="271"/>
      <c r="BF676" s="271"/>
    </row>
    <row r="677" spans="2:58" ht="16" thickBot="1" x14ac:dyDescent="0.25">
      <c r="B677" s="292"/>
      <c r="C677" s="159">
        <f>SUM(C675:C676)</f>
        <v>800</v>
      </c>
      <c r="D677" s="159"/>
      <c r="E677" s="270"/>
      <c r="F677" s="297"/>
      <c r="G677" s="309"/>
      <c r="H677" s="310"/>
      <c r="I677" s="309"/>
      <c r="J677" s="310"/>
      <c r="K677" s="309"/>
      <c r="L677" s="310"/>
      <c r="M677" s="309"/>
      <c r="N677" s="310"/>
      <c r="O677" s="271"/>
      <c r="P677" s="271"/>
      <c r="Q677" s="310"/>
      <c r="R677" s="310"/>
      <c r="S677" s="309"/>
      <c r="T677" s="310"/>
      <c r="U677" s="309"/>
      <c r="V677" s="310"/>
      <c r="W677" s="309"/>
      <c r="X677" s="310"/>
      <c r="Y677" s="309"/>
      <c r="Z677" s="310"/>
      <c r="AA677" s="309"/>
      <c r="AB677" s="310"/>
      <c r="AC677" s="271"/>
      <c r="AD677" s="271"/>
      <c r="AE677" s="309"/>
      <c r="AF677" s="310"/>
      <c r="AG677" s="309"/>
      <c r="AH677" s="310"/>
      <c r="AI677" s="309"/>
      <c r="AJ677" s="310"/>
      <c r="AK677" s="309"/>
      <c r="AL677" s="310"/>
      <c r="AM677" s="309"/>
      <c r="AN677" s="310"/>
      <c r="AO677" s="309"/>
      <c r="AP677" s="310"/>
      <c r="AQ677" s="309"/>
      <c r="AR677" s="310"/>
      <c r="AS677" s="309"/>
      <c r="AT677" s="310"/>
      <c r="AU677" s="309"/>
      <c r="AV677" s="310"/>
      <c r="AW677" s="309"/>
      <c r="AX677" s="310"/>
      <c r="AY677" s="309"/>
      <c r="AZ677" s="310"/>
      <c r="BA677" s="271"/>
      <c r="BB677" s="271"/>
      <c r="BC677" s="271"/>
      <c r="BD677" s="271"/>
      <c r="BE677" s="271"/>
      <c r="BF677" s="271"/>
    </row>
    <row r="678" spans="2:58" ht="16" thickBot="1" x14ac:dyDescent="0.25">
      <c r="B678" s="289">
        <v>45736</v>
      </c>
      <c r="C678" s="295">
        <v>800</v>
      </c>
      <c r="D678" s="275"/>
      <c r="E678" s="274" t="s">
        <v>424</v>
      </c>
      <c r="F678" s="301"/>
      <c r="G678" s="309"/>
      <c r="H678" s="310"/>
      <c r="I678" s="309"/>
      <c r="J678" s="310"/>
      <c r="K678" s="309"/>
      <c r="L678" s="310"/>
      <c r="M678" s="309"/>
      <c r="N678" s="310"/>
      <c r="O678" s="271"/>
      <c r="P678" s="271"/>
      <c r="Q678" s="309"/>
      <c r="R678" s="310"/>
      <c r="S678" s="309"/>
      <c r="T678" s="310"/>
      <c r="U678" s="309"/>
      <c r="V678" s="310"/>
      <c r="W678" s="309"/>
      <c r="X678" s="310"/>
      <c r="Y678" s="309"/>
      <c r="Z678" s="310"/>
      <c r="AA678" s="309"/>
      <c r="AB678" s="310"/>
      <c r="AC678" s="271"/>
      <c r="AD678" s="271"/>
      <c r="AE678" s="309"/>
      <c r="AF678" s="310"/>
      <c r="AG678" s="309"/>
      <c r="AH678" s="310"/>
      <c r="AI678" s="309"/>
      <c r="AJ678" s="310"/>
      <c r="AK678" s="309"/>
      <c r="AL678" s="310"/>
      <c r="AM678" s="309"/>
      <c r="AN678" s="310"/>
      <c r="AO678" s="309"/>
      <c r="AP678" s="310"/>
      <c r="AQ678" s="309"/>
      <c r="AR678" s="310"/>
      <c r="AS678" s="309"/>
      <c r="AT678" s="310"/>
      <c r="AU678" s="309"/>
      <c r="AV678" s="310"/>
      <c r="AW678" s="309"/>
      <c r="AX678" s="310"/>
      <c r="AY678" s="309"/>
      <c r="AZ678" s="310"/>
      <c r="BA678" s="271"/>
      <c r="BB678" s="271"/>
      <c r="BC678" s="271"/>
      <c r="BD678" s="271"/>
      <c r="BE678" s="271"/>
      <c r="BF678" s="271"/>
    </row>
    <row r="679" spans="2:58" ht="16" thickBot="1" x14ac:dyDescent="0.25">
      <c r="B679" s="289"/>
      <c r="C679" s="295">
        <v>4906.7299999999996</v>
      </c>
      <c r="D679" s="275"/>
      <c r="E679" s="275"/>
      <c r="F679" s="302" t="s">
        <v>834</v>
      </c>
      <c r="G679" s="309">
        <v>4</v>
      </c>
      <c r="H679" s="310">
        <v>559.96</v>
      </c>
      <c r="I679" s="309">
        <v>2</v>
      </c>
      <c r="J679" s="310">
        <v>409.98</v>
      </c>
      <c r="K679" s="309">
        <v>4</v>
      </c>
      <c r="L679" s="310">
        <v>727.96</v>
      </c>
      <c r="M679" s="309">
        <v>4</v>
      </c>
      <c r="N679" s="310">
        <v>667.96</v>
      </c>
      <c r="O679" s="271">
        <v>12</v>
      </c>
      <c r="P679" s="271">
        <v>1560</v>
      </c>
      <c r="Q679" s="309"/>
      <c r="R679" s="310"/>
      <c r="S679" s="309"/>
      <c r="T679" s="310"/>
      <c r="U679" s="309"/>
      <c r="V679" s="310"/>
      <c r="W679" s="309">
        <v>6</v>
      </c>
      <c r="X679" s="310">
        <v>299.94</v>
      </c>
      <c r="Y679" s="309"/>
      <c r="Z679" s="310"/>
      <c r="AA679" s="309"/>
      <c r="AB679" s="310"/>
      <c r="AC679" s="271">
        <v>6</v>
      </c>
      <c r="AD679" s="271">
        <v>593.94000000000005</v>
      </c>
      <c r="AE679" s="309"/>
      <c r="AF679" s="310"/>
      <c r="AG679" s="309"/>
      <c r="AH679" s="310"/>
      <c r="AI679" s="309"/>
      <c r="AJ679" s="310"/>
      <c r="AK679" s="309"/>
      <c r="AL679" s="310"/>
      <c r="AM679" s="309"/>
      <c r="AN679" s="310"/>
      <c r="AO679" s="309"/>
      <c r="AP679" s="310"/>
      <c r="AQ679" s="309"/>
      <c r="AR679" s="310"/>
      <c r="AS679" s="309"/>
      <c r="AT679" s="310"/>
      <c r="AU679" s="309"/>
      <c r="AV679" s="310"/>
      <c r="AW679" s="309"/>
      <c r="AX679" s="310"/>
      <c r="AY679" s="309"/>
      <c r="AZ679" s="310"/>
      <c r="BA679" s="271"/>
      <c r="BB679" s="271"/>
      <c r="BC679" s="271"/>
      <c r="BD679" s="271"/>
      <c r="BE679" s="271"/>
      <c r="BF679" s="271"/>
    </row>
    <row r="680" spans="2:58" ht="16" thickBot="1" x14ac:dyDescent="0.25">
      <c r="B680" s="289"/>
      <c r="C680" s="295">
        <v>7157.54</v>
      </c>
      <c r="D680" s="275"/>
      <c r="E680" s="275"/>
      <c r="F680" s="302" t="s">
        <v>835</v>
      </c>
      <c r="G680" s="309"/>
      <c r="H680" s="310"/>
      <c r="I680" s="309"/>
      <c r="J680" s="310"/>
      <c r="K680" s="309"/>
      <c r="L680" s="310"/>
      <c r="M680" s="309"/>
      <c r="N680" s="310"/>
      <c r="O680" s="271"/>
      <c r="P680" s="271"/>
      <c r="Q680" s="309"/>
      <c r="R680" s="310"/>
      <c r="S680" s="309"/>
      <c r="T680" s="310"/>
      <c r="U680" s="309"/>
      <c r="V680" s="310"/>
      <c r="W680" s="309"/>
      <c r="X680" s="310"/>
      <c r="Y680" s="309"/>
      <c r="Z680" s="310"/>
      <c r="AA680" s="309"/>
      <c r="AB680" s="310"/>
      <c r="AC680" s="271"/>
      <c r="AD680" s="271"/>
      <c r="AE680" s="309"/>
      <c r="AF680" s="310"/>
      <c r="AG680" s="309"/>
      <c r="AH680" s="310"/>
      <c r="AI680" s="309"/>
      <c r="AJ680" s="310"/>
      <c r="AK680" s="309"/>
      <c r="AL680" s="310"/>
      <c r="AM680" s="309"/>
      <c r="AN680" s="310"/>
      <c r="AO680" s="309"/>
      <c r="AP680" s="310"/>
      <c r="AQ680" s="309"/>
      <c r="AR680" s="310"/>
      <c r="AS680" s="309"/>
      <c r="AT680" s="310"/>
      <c r="AU680" s="309"/>
      <c r="AV680" s="310"/>
      <c r="AW680" s="309">
        <v>15</v>
      </c>
      <c r="AX680" s="310">
        <f>7157.54/2</f>
        <v>3578.77</v>
      </c>
      <c r="AY680" s="309">
        <v>15</v>
      </c>
      <c r="AZ680" s="310">
        <v>3578.77</v>
      </c>
      <c r="BA680" s="271"/>
      <c r="BB680" s="271"/>
      <c r="BC680" s="271"/>
      <c r="BD680" s="271"/>
      <c r="BE680" s="271"/>
      <c r="BF680" s="271">
        <v>3</v>
      </c>
    </row>
    <row r="681" spans="2:58" ht="16" thickBot="1" x14ac:dyDescent="0.25">
      <c r="B681" s="289" t="s">
        <v>23</v>
      </c>
      <c r="C681" s="295"/>
      <c r="D681" s="275"/>
      <c r="E681" s="275"/>
      <c r="F681" s="302"/>
      <c r="G681" s="309"/>
      <c r="H681" s="310"/>
      <c r="I681" s="309"/>
      <c r="J681" s="310"/>
      <c r="K681" s="309"/>
      <c r="L681" s="310"/>
      <c r="M681" s="309"/>
      <c r="N681" s="310"/>
      <c r="O681" s="271"/>
      <c r="P681" s="271"/>
      <c r="Q681" s="309"/>
      <c r="R681" s="310"/>
      <c r="S681" s="309"/>
      <c r="T681" s="310"/>
      <c r="U681" s="309"/>
      <c r="V681" s="310"/>
      <c r="W681" s="309"/>
      <c r="X681" s="310"/>
      <c r="Y681" s="309"/>
      <c r="Z681" s="310"/>
      <c r="AA681" s="309"/>
      <c r="AB681" s="310"/>
      <c r="AC681" s="271"/>
      <c r="AD681" s="271"/>
      <c r="AE681" s="309"/>
      <c r="AF681" s="310"/>
      <c r="AG681" s="309"/>
      <c r="AH681" s="310"/>
      <c r="AI681" s="309"/>
      <c r="AJ681" s="310"/>
      <c r="AK681" s="309"/>
      <c r="AL681" s="310"/>
      <c r="AM681" s="309"/>
      <c r="AN681" s="310"/>
      <c r="AO681" s="309"/>
      <c r="AP681" s="310"/>
      <c r="AQ681" s="309"/>
      <c r="AR681" s="310"/>
      <c r="AS681" s="309"/>
      <c r="AT681" s="310"/>
      <c r="AU681" s="309"/>
      <c r="AV681" s="310"/>
      <c r="AW681" s="309"/>
      <c r="AX681" s="310"/>
      <c r="AY681" s="309"/>
      <c r="AZ681" s="310"/>
      <c r="BA681" s="271"/>
      <c r="BB681" s="271"/>
      <c r="BC681" s="271"/>
      <c r="BD681" s="271"/>
      <c r="BE681" s="271"/>
      <c r="BF681" s="271"/>
    </row>
    <row r="682" spans="2:58" ht="16" thickBot="1" x14ac:dyDescent="0.25">
      <c r="B682" s="298"/>
      <c r="C682" s="656">
        <f>SUM(C678:C681)</f>
        <v>12864.27</v>
      </c>
      <c r="D682" s="656"/>
      <c r="E682" s="578"/>
      <c r="F682" s="553"/>
      <c r="G682" s="309"/>
      <c r="H682" s="310"/>
      <c r="I682" s="309"/>
      <c r="J682" s="310"/>
      <c r="K682" s="309"/>
      <c r="L682" s="310"/>
      <c r="M682" s="309"/>
      <c r="N682" s="310"/>
      <c r="O682" s="271"/>
      <c r="P682" s="271"/>
      <c r="Q682" s="309"/>
      <c r="R682" s="310"/>
      <c r="S682" s="309"/>
      <c r="T682" s="310"/>
      <c r="U682" s="309"/>
      <c r="V682" s="310"/>
      <c r="W682" s="309"/>
      <c r="X682" s="310"/>
      <c r="Y682" s="309"/>
      <c r="Z682" s="310"/>
      <c r="AA682" s="309"/>
      <c r="AB682" s="310"/>
      <c r="AC682" s="271"/>
      <c r="AD682" s="271"/>
      <c r="AE682" s="309"/>
      <c r="AF682" s="310"/>
      <c r="AG682" s="309"/>
      <c r="AH682" s="310"/>
      <c r="AI682" s="309"/>
      <c r="AJ682" s="310"/>
      <c r="AK682" s="309"/>
      <c r="AL682" s="310"/>
      <c r="AM682" s="309"/>
      <c r="AN682" s="310"/>
      <c r="AO682" s="309"/>
      <c r="AP682" s="310"/>
      <c r="AQ682" s="309"/>
      <c r="AR682" s="310"/>
      <c r="AS682" s="309"/>
      <c r="AT682" s="310"/>
      <c r="AU682" s="309"/>
      <c r="AV682" s="310"/>
      <c r="AW682" s="309"/>
      <c r="AX682" s="310"/>
      <c r="AY682" s="309"/>
      <c r="AZ682" s="310"/>
      <c r="BA682" s="271"/>
      <c r="BB682" s="271"/>
      <c r="BC682" s="271"/>
      <c r="BD682" s="271"/>
      <c r="BE682" s="271"/>
      <c r="BF682" s="271"/>
    </row>
    <row r="683" spans="2:58" ht="16" thickBot="1" x14ac:dyDescent="0.25">
      <c r="B683" s="479">
        <v>45737</v>
      </c>
      <c r="C683" s="299">
        <v>800</v>
      </c>
      <c r="D683" s="300"/>
      <c r="E683" s="274"/>
      <c r="F683" s="301"/>
      <c r="G683" s="309"/>
      <c r="H683" s="310"/>
      <c r="I683" s="309"/>
      <c r="J683" s="310"/>
      <c r="K683" s="309"/>
      <c r="L683" s="310"/>
      <c r="M683" s="309"/>
      <c r="N683" s="310"/>
      <c r="O683" s="271"/>
      <c r="P683" s="271"/>
      <c r="Q683" s="309"/>
      <c r="R683" s="310"/>
      <c r="S683" s="309"/>
      <c r="T683" s="310"/>
      <c r="U683" s="309"/>
      <c r="V683" s="310"/>
      <c r="W683" s="309"/>
      <c r="X683" s="310"/>
      <c r="Y683" s="309"/>
      <c r="Z683" s="310"/>
      <c r="AA683" s="309"/>
      <c r="AB683" s="310"/>
      <c r="AC683" s="271"/>
      <c r="AD683" s="271"/>
      <c r="AE683" s="309"/>
      <c r="AF683" s="310"/>
      <c r="AG683" s="309"/>
      <c r="AH683" s="310"/>
      <c r="AI683" s="309"/>
      <c r="AJ683" s="310"/>
      <c r="AK683" s="309"/>
      <c r="AL683" s="310"/>
      <c r="AM683" s="309"/>
      <c r="AN683" s="310"/>
      <c r="AO683" s="309"/>
      <c r="AP683" s="310"/>
      <c r="AQ683" s="309"/>
      <c r="AR683" s="310"/>
      <c r="AS683" s="309"/>
      <c r="AT683" s="310"/>
      <c r="AU683" s="309"/>
      <c r="AV683" s="310"/>
      <c r="AW683" s="309"/>
      <c r="AX683" s="310"/>
      <c r="AY683" s="309"/>
      <c r="AZ683" s="310"/>
      <c r="BA683" s="271"/>
      <c r="BB683" s="271"/>
      <c r="BC683" s="271"/>
      <c r="BD683" s="271"/>
      <c r="BE683" s="271"/>
      <c r="BF683" s="271"/>
    </row>
    <row r="684" spans="2:58" ht="16" thickBot="1" x14ac:dyDescent="0.25">
      <c r="B684" s="479"/>
      <c r="C684" s="299"/>
      <c r="D684" s="300"/>
      <c r="E684" s="275"/>
      <c r="F684" s="302"/>
      <c r="G684" s="309"/>
      <c r="H684" s="310"/>
      <c r="I684" s="309"/>
      <c r="J684" s="310"/>
      <c r="K684" s="309"/>
      <c r="L684" s="310"/>
      <c r="M684" s="309"/>
      <c r="N684" s="310"/>
      <c r="O684" s="271"/>
      <c r="P684" s="271"/>
      <c r="Q684" s="309"/>
      <c r="R684" s="310"/>
      <c r="S684" s="309"/>
      <c r="T684" s="310"/>
      <c r="U684" s="309"/>
      <c r="V684" s="310"/>
      <c r="W684" s="309"/>
      <c r="X684" s="310"/>
      <c r="Y684" s="309"/>
      <c r="Z684" s="310"/>
      <c r="AA684" s="309"/>
      <c r="AB684" s="310"/>
      <c r="AC684" s="271"/>
      <c r="AD684" s="271"/>
      <c r="AE684" s="309"/>
      <c r="AF684" s="310"/>
      <c r="AG684" s="309"/>
      <c r="AH684" s="310"/>
      <c r="AI684" s="309"/>
      <c r="AJ684" s="310"/>
      <c r="AK684" s="309"/>
      <c r="AL684" s="310"/>
      <c r="AM684" s="309"/>
      <c r="AN684" s="310"/>
      <c r="AO684" s="309"/>
      <c r="AP684" s="310"/>
      <c r="AQ684" s="309"/>
      <c r="AR684" s="310"/>
      <c r="AS684" s="309"/>
      <c r="AT684" s="310"/>
      <c r="AU684" s="309"/>
      <c r="AV684" s="310"/>
      <c r="AW684" s="309"/>
      <c r="AX684" s="310"/>
      <c r="AY684" s="309"/>
      <c r="AZ684" s="310"/>
      <c r="BA684" s="271"/>
      <c r="BB684" s="271"/>
      <c r="BC684" s="271"/>
      <c r="BD684" s="271"/>
      <c r="BE684" s="271"/>
      <c r="BF684" s="271"/>
    </row>
    <row r="685" spans="2:58" ht="16" thickBot="1" x14ac:dyDescent="0.25">
      <c r="B685" s="479"/>
      <c r="C685" s="299"/>
      <c r="D685" s="300"/>
      <c r="E685" s="275"/>
      <c r="F685" s="302"/>
      <c r="G685" s="309"/>
      <c r="H685" s="310"/>
      <c r="I685" s="309"/>
      <c r="J685" s="310"/>
      <c r="K685" s="309"/>
      <c r="L685" s="310"/>
      <c r="M685" s="309"/>
      <c r="N685" s="310"/>
      <c r="O685" s="271"/>
      <c r="P685" s="271"/>
      <c r="Q685" s="309"/>
      <c r="R685" s="310"/>
      <c r="S685" s="309"/>
      <c r="T685" s="310"/>
      <c r="U685" s="309"/>
      <c r="V685" s="310"/>
      <c r="W685" s="309"/>
      <c r="X685" s="310"/>
      <c r="Y685" s="309"/>
      <c r="Z685" s="310"/>
      <c r="AA685" s="309"/>
      <c r="AB685" s="310"/>
      <c r="AC685" s="271"/>
      <c r="AD685" s="271"/>
      <c r="AE685" s="309"/>
      <c r="AF685" s="310"/>
      <c r="AG685" s="309"/>
      <c r="AH685" s="310"/>
      <c r="AI685" s="309"/>
      <c r="AJ685" s="310"/>
      <c r="AK685" s="309"/>
      <c r="AL685" s="310"/>
      <c r="AM685" s="309"/>
      <c r="AN685" s="310"/>
      <c r="AO685" s="309"/>
      <c r="AP685" s="310"/>
      <c r="AQ685" s="309"/>
      <c r="AR685" s="310"/>
      <c r="AS685" s="309"/>
      <c r="AT685" s="310"/>
      <c r="AU685" s="309"/>
      <c r="AV685" s="310"/>
      <c r="AW685" s="309"/>
      <c r="AX685" s="310"/>
      <c r="AY685" s="309"/>
      <c r="AZ685" s="310"/>
      <c r="BA685" s="271"/>
      <c r="BB685" s="271"/>
      <c r="BC685" s="271"/>
      <c r="BD685" s="271"/>
      <c r="BE685" s="271"/>
      <c r="BF685" s="271"/>
    </row>
    <row r="686" spans="2:58" ht="16" thickBot="1" x14ac:dyDescent="0.25">
      <c r="B686" s="479"/>
      <c r="C686" s="299"/>
      <c r="D686" s="300"/>
      <c r="E686" s="275"/>
      <c r="F686" s="302"/>
      <c r="G686" s="309"/>
      <c r="H686" s="310"/>
      <c r="I686" s="309"/>
      <c r="J686" s="310"/>
      <c r="K686" s="309"/>
      <c r="L686" s="310"/>
      <c r="M686" s="309"/>
      <c r="N686" s="310"/>
      <c r="O686" s="271"/>
      <c r="P686" s="271"/>
      <c r="Q686" s="309"/>
      <c r="R686" s="310"/>
      <c r="S686" s="309"/>
      <c r="T686" s="310"/>
      <c r="U686" s="309"/>
      <c r="V686" s="310"/>
      <c r="W686" s="309"/>
      <c r="X686" s="310"/>
      <c r="Y686" s="309"/>
      <c r="Z686" s="310"/>
      <c r="AA686" s="309"/>
      <c r="AB686" s="310"/>
      <c r="AC686" s="271"/>
      <c r="AD686" s="271"/>
      <c r="AE686" s="309"/>
      <c r="AF686" s="310"/>
      <c r="AG686" s="309"/>
      <c r="AH686" s="310"/>
      <c r="AI686" s="309"/>
      <c r="AJ686" s="310"/>
      <c r="AK686" s="309"/>
      <c r="AL686" s="310"/>
      <c r="AM686" s="309"/>
      <c r="AN686" s="310"/>
      <c r="AO686" s="309"/>
      <c r="AP686" s="310"/>
      <c r="AQ686" s="309"/>
      <c r="AR686" s="310"/>
      <c r="AS686" s="309"/>
      <c r="AT686" s="310"/>
      <c r="AU686" s="309"/>
      <c r="AV686" s="310"/>
      <c r="AW686" s="309"/>
      <c r="AX686" s="310"/>
      <c r="AY686" s="309"/>
      <c r="AZ686" s="310"/>
      <c r="BA686" s="271"/>
      <c r="BB686" s="271"/>
      <c r="BC686" s="271"/>
      <c r="BD686" s="271"/>
      <c r="BE686" s="271"/>
      <c r="BF686" s="271"/>
    </row>
    <row r="687" spans="2:58" ht="16" thickBot="1" x14ac:dyDescent="0.25">
      <c r="B687" s="479"/>
      <c r="C687" s="657"/>
      <c r="D687" s="657"/>
      <c r="E687" s="285"/>
      <c r="F687" s="302"/>
      <c r="G687" s="309"/>
      <c r="H687" s="310"/>
      <c r="I687" s="309"/>
      <c r="J687" s="310"/>
      <c r="K687" s="309"/>
      <c r="L687" s="310"/>
      <c r="M687" s="309"/>
      <c r="N687" s="310"/>
      <c r="O687" s="271"/>
      <c r="P687" s="271"/>
      <c r="Q687" s="309"/>
      <c r="R687" s="310"/>
      <c r="S687" s="309"/>
      <c r="T687" s="310"/>
      <c r="U687" s="309"/>
      <c r="V687" s="310"/>
      <c r="W687" s="309"/>
      <c r="X687" s="310"/>
      <c r="Y687" s="309"/>
      <c r="Z687" s="310"/>
      <c r="AA687" s="309"/>
      <c r="AB687" s="310"/>
      <c r="AC687" s="271"/>
      <c r="AD687" s="271"/>
      <c r="AE687" s="309"/>
      <c r="AF687" s="310"/>
      <c r="AG687" s="309"/>
      <c r="AH687" s="310"/>
      <c r="AI687" s="309"/>
      <c r="AJ687" s="310"/>
      <c r="AK687" s="309"/>
      <c r="AL687" s="310"/>
      <c r="AM687" s="309"/>
      <c r="AN687" s="310"/>
      <c r="AO687" s="309"/>
      <c r="AP687" s="310"/>
      <c r="AQ687" s="309"/>
      <c r="AR687" s="310"/>
      <c r="AS687" s="309"/>
      <c r="AT687" s="310"/>
      <c r="AU687" s="309"/>
      <c r="AV687" s="310"/>
      <c r="AW687" s="309"/>
      <c r="AX687" s="310"/>
      <c r="AY687" s="309"/>
      <c r="AZ687" s="310"/>
      <c r="BA687" s="271"/>
      <c r="BB687" s="271"/>
      <c r="BC687" s="271"/>
      <c r="BD687" s="271"/>
      <c r="BE687" s="271"/>
      <c r="BF687" s="271"/>
    </row>
    <row r="688" spans="2:58" ht="16" thickBot="1" x14ac:dyDescent="0.25">
      <c r="B688" s="479" t="s">
        <v>24</v>
      </c>
      <c r="C688" s="299"/>
      <c r="D688" s="300"/>
      <c r="E688" s="275"/>
      <c r="F688" s="302"/>
      <c r="G688" s="309"/>
      <c r="H688" s="310"/>
      <c r="I688" s="309"/>
      <c r="J688" s="310"/>
      <c r="K688" s="309"/>
      <c r="L688" s="310"/>
      <c r="M688" s="309"/>
      <c r="N688" s="310"/>
      <c r="O688" s="271"/>
      <c r="P688" s="271"/>
      <c r="Q688" s="309"/>
      <c r="R688" s="310"/>
      <c r="S688" s="309"/>
      <c r="T688" s="310"/>
      <c r="U688" s="309"/>
      <c r="V688" s="310"/>
      <c r="W688" s="309"/>
      <c r="X688" s="310"/>
      <c r="Y688" s="309"/>
      <c r="Z688" s="310"/>
      <c r="AA688" s="309"/>
      <c r="AB688" s="310"/>
      <c r="AC688" s="271"/>
      <c r="AD688" s="271"/>
      <c r="AE688" s="309"/>
      <c r="AF688" s="310"/>
      <c r="AG688" s="309"/>
      <c r="AH688" s="310"/>
      <c r="AI688" s="309"/>
      <c r="AJ688" s="310"/>
      <c r="AK688" s="309"/>
      <c r="AL688" s="310"/>
      <c r="AM688" s="309"/>
      <c r="AN688" s="310"/>
      <c r="AO688" s="309"/>
      <c r="AP688" s="310"/>
      <c r="AQ688" s="309"/>
      <c r="AR688" s="310"/>
      <c r="AS688" s="309"/>
      <c r="AT688" s="310"/>
      <c r="AU688" s="309"/>
      <c r="AV688" s="310"/>
      <c r="AW688" s="309"/>
      <c r="AX688" s="310"/>
      <c r="AY688" s="309"/>
      <c r="AZ688" s="310"/>
      <c r="BA688" s="271"/>
      <c r="BB688" s="271"/>
      <c r="BC688" s="271"/>
      <c r="BD688" s="271"/>
      <c r="BE688" s="271"/>
      <c r="BF688" s="271"/>
    </row>
    <row r="689" spans="2:58" ht="16" thickBot="1" x14ac:dyDescent="0.25">
      <c r="B689" s="577"/>
      <c r="C689" s="159">
        <f>SUM(C683:C688)</f>
        <v>800</v>
      </c>
      <c r="D689" s="159"/>
      <c r="E689" s="270"/>
      <c r="F689" s="271"/>
      <c r="G689" s="309"/>
      <c r="H689" s="310"/>
      <c r="I689" s="309"/>
      <c r="J689" s="310"/>
      <c r="K689" s="309"/>
      <c r="L689" s="310"/>
      <c r="M689" s="309"/>
      <c r="N689" s="310"/>
      <c r="O689" s="271"/>
      <c r="P689" s="271"/>
      <c r="Q689" s="309"/>
      <c r="R689" s="310"/>
      <c r="S689" s="309"/>
      <c r="T689" s="310"/>
      <c r="U689" s="309"/>
      <c r="V689" s="310"/>
      <c r="W689" s="309"/>
      <c r="X689" s="310"/>
      <c r="Y689" s="309"/>
      <c r="Z689" s="310"/>
      <c r="AA689" s="309"/>
      <c r="AB689" s="310"/>
      <c r="AC689" s="271"/>
      <c r="AD689" s="271"/>
      <c r="AE689" s="309"/>
      <c r="AF689" s="310"/>
      <c r="AG689" s="309"/>
      <c r="AH689" s="310"/>
      <c r="AI689" s="309"/>
      <c r="AJ689" s="310"/>
      <c r="AK689" s="309"/>
      <c r="AL689" s="310"/>
      <c r="AM689" s="309"/>
      <c r="AN689" s="310"/>
      <c r="AO689" s="309"/>
      <c r="AP689" s="310"/>
      <c r="AQ689" s="309"/>
      <c r="AR689" s="310"/>
      <c r="AS689" s="309"/>
      <c r="AT689" s="310"/>
      <c r="AU689" s="309"/>
      <c r="AV689" s="310"/>
      <c r="AW689" s="309"/>
      <c r="AX689" s="310"/>
      <c r="AY689" s="309"/>
      <c r="AZ689" s="310"/>
      <c r="BA689" s="271"/>
      <c r="BB689" s="271"/>
      <c r="BC689" s="271"/>
      <c r="BD689" s="271"/>
      <c r="BE689" s="271"/>
      <c r="BF689" s="271"/>
    </row>
    <row r="690" spans="2:58" ht="16" thickBot="1" x14ac:dyDescent="0.25">
      <c r="B690" s="289">
        <v>45738</v>
      </c>
      <c r="C690" s="299"/>
      <c r="D690" s="300"/>
      <c r="E690" s="274"/>
      <c r="F690" s="302"/>
      <c r="G690" s="309"/>
      <c r="H690" s="310"/>
      <c r="I690" s="309"/>
      <c r="J690" s="310"/>
      <c r="K690" s="309"/>
      <c r="L690" s="310"/>
      <c r="M690" s="309"/>
      <c r="N690" s="310"/>
      <c r="O690" s="271"/>
      <c r="P690" s="271"/>
      <c r="Q690" s="309"/>
      <c r="R690" s="310"/>
      <c r="S690" s="309"/>
      <c r="T690" s="310"/>
      <c r="U690" s="309"/>
      <c r="V690" s="310"/>
      <c r="W690" s="309"/>
      <c r="X690" s="310"/>
      <c r="Y690" s="309"/>
      <c r="Z690" s="310"/>
      <c r="AA690" s="309"/>
      <c r="AB690" s="310"/>
      <c r="AC690" s="271"/>
      <c r="AD690" s="271"/>
      <c r="AE690" s="309"/>
      <c r="AF690" s="310"/>
      <c r="AG690" s="309"/>
      <c r="AH690" s="310"/>
      <c r="AI690" s="309"/>
      <c r="AJ690" s="310"/>
      <c r="AK690" s="309"/>
      <c r="AL690" s="310"/>
      <c r="AM690" s="309"/>
      <c r="AN690" s="310"/>
      <c r="AO690" s="309"/>
      <c r="AP690" s="310"/>
      <c r="AQ690" s="309"/>
      <c r="AR690" s="310"/>
      <c r="AS690" s="309"/>
      <c r="AT690" s="310"/>
      <c r="AU690" s="309"/>
      <c r="AV690" s="310"/>
      <c r="AW690" s="309"/>
      <c r="AX690" s="310"/>
      <c r="AY690" s="309"/>
      <c r="AZ690" s="310"/>
      <c r="BA690" s="271"/>
      <c r="BB690" s="271"/>
      <c r="BC690" s="271"/>
      <c r="BD690" s="271"/>
      <c r="BE690" s="271"/>
      <c r="BF690" s="271"/>
    </row>
    <row r="691" spans="2:58" ht="16" thickBot="1" x14ac:dyDescent="0.25">
      <c r="B691" s="289"/>
      <c r="C691" s="299"/>
      <c r="D691" s="300"/>
      <c r="E691" s="275"/>
      <c r="F691" s="302"/>
      <c r="G691" s="309"/>
      <c r="H691" s="310"/>
      <c r="I691" s="309"/>
      <c r="J691" s="310"/>
      <c r="K691" s="309"/>
      <c r="L691" s="310"/>
      <c r="M691" s="309"/>
      <c r="N691" s="310"/>
      <c r="O691" s="271"/>
      <c r="P691" s="271"/>
      <c r="Q691" s="309"/>
      <c r="R691" s="310"/>
      <c r="S691" s="309"/>
      <c r="T691" s="310"/>
      <c r="U691" s="309"/>
      <c r="V691" s="310"/>
      <c r="W691" s="309"/>
      <c r="X691" s="310"/>
      <c r="Y691" s="309"/>
      <c r="Z691" s="310"/>
      <c r="AA691" s="309"/>
      <c r="AB691" s="310"/>
      <c r="AC691" s="271"/>
      <c r="AD691" s="271"/>
      <c r="AE691" s="309"/>
      <c r="AF691" s="310"/>
      <c r="AG691" s="309"/>
      <c r="AH691" s="310"/>
      <c r="AI691" s="309"/>
      <c r="AJ691" s="310"/>
      <c r="AK691" s="309"/>
      <c r="AL691" s="310"/>
      <c r="AM691" s="309"/>
      <c r="AN691" s="310"/>
      <c r="AO691" s="309"/>
      <c r="AP691" s="310"/>
      <c r="AQ691" s="309"/>
      <c r="AR691" s="310"/>
      <c r="AS691" s="309"/>
      <c r="AT691" s="310"/>
      <c r="AU691" s="309"/>
      <c r="AV691" s="310"/>
      <c r="AW691" s="309"/>
      <c r="AX691" s="310"/>
      <c r="AY691" s="309"/>
      <c r="AZ691" s="310"/>
      <c r="BA691" s="271"/>
      <c r="BB691" s="271"/>
      <c r="BC691" s="271"/>
      <c r="BD691" s="271"/>
      <c r="BE691" s="271"/>
      <c r="BF691" s="271"/>
    </row>
    <row r="692" spans="2:58" ht="16" thickBot="1" x14ac:dyDescent="0.25">
      <c r="B692" s="289"/>
      <c r="C692" s="299"/>
      <c r="D692" s="300"/>
      <c r="E692" s="275"/>
      <c r="F692" s="302"/>
      <c r="G692" s="309"/>
      <c r="H692" s="310"/>
      <c r="I692" s="309"/>
      <c r="J692" s="310"/>
      <c r="K692" s="309"/>
      <c r="L692" s="310"/>
      <c r="M692" s="309"/>
      <c r="N692" s="310"/>
      <c r="O692" s="271"/>
      <c r="P692" s="271"/>
      <c r="Q692" s="309"/>
      <c r="R692" s="310"/>
      <c r="S692" s="309"/>
      <c r="T692" s="310"/>
      <c r="U692" s="309"/>
      <c r="V692" s="310"/>
      <c r="W692" s="309"/>
      <c r="X692" s="310"/>
      <c r="Y692" s="309"/>
      <c r="Z692" s="310"/>
      <c r="AA692" s="309"/>
      <c r="AB692" s="310"/>
      <c r="AC692" s="271"/>
      <c r="AD692" s="271"/>
      <c r="AE692" s="309"/>
      <c r="AF692" s="310"/>
      <c r="AG692" s="309"/>
      <c r="AH692" s="310"/>
      <c r="AI692" s="309"/>
      <c r="AJ692" s="310"/>
      <c r="AK692" s="309"/>
      <c r="AL692" s="310"/>
      <c r="AM692" s="309"/>
      <c r="AN692" s="310"/>
      <c r="AO692" s="309"/>
      <c r="AP692" s="310"/>
      <c r="AQ692" s="309"/>
      <c r="AR692" s="310"/>
      <c r="AS692" s="309"/>
      <c r="AT692" s="310"/>
      <c r="AU692" s="309"/>
      <c r="AV692" s="310"/>
      <c r="AW692" s="309"/>
      <c r="AX692" s="310"/>
      <c r="AY692" s="309"/>
      <c r="AZ692" s="310"/>
      <c r="BA692" s="271"/>
      <c r="BB692" s="271"/>
      <c r="BC692" s="271"/>
      <c r="BD692" s="271"/>
      <c r="BE692" s="271"/>
      <c r="BF692" s="271"/>
    </row>
    <row r="693" spans="2:58" ht="16" thickBot="1" x14ac:dyDescent="0.25">
      <c r="B693" s="289"/>
      <c r="C693" s="299"/>
      <c r="D693" s="300"/>
      <c r="E693" s="275"/>
      <c r="F693" s="302"/>
      <c r="G693" s="309"/>
      <c r="H693" s="310"/>
      <c r="I693" s="309"/>
      <c r="J693" s="310"/>
      <c r="K693" s="309"/>
      <c r="L693" s="310"/>
      <c r="M693" s="309"/>
      <c r="N693" s="310"/>
      <c r="O693" s="271"/>
      <c r="P693" s="271"/>
      <c r="Q693" s="309"/>
      <c r="R693" s="310"/>
      <c r="S693" s="309"/>
      <c r="T693" s="310"/>
      <c r="U693" s="309"/>
      <c r="V693" s="310"/>
      <c r="W693" s="309"/>
      <c r="X693" s="310"/>
      <c r="Y693" s="309"/>
      <c r="Z693" s="310"/>
      <c r="AA693" s="309"/>
      <c r="AB693" s="310"/>
      <c r="AC693" s="271"/>
      <c r="AD693" s="271"/>
      <c r="AE693" s="309"/>
      <c r="AF693" s="310"/>
      <c r="AG693" s="309"/>
      <c r="AH693" s="310"/>
      <c r="AI693" s="309"/>
      <c r="AJ693" s="310"/>
      <c r="AK693" s="309"/>
      <c r="AL693" s="310"/>
      <c r="AM693" s="309"/>
      <c r="AN693" s="310"/>
      <c r="AO693" s="309"/>
      <c r="AP693" s="310"/>
      <c r="AQ693" s="309"/>
      <c r="AR693" s="310"/>
      <c r="AS693" s="309"/>
      <c r="AT693" s="310"/>
      <c r="AU693" s="309"/>
      <c r="AV693" s="310"/>
      <c r="AW693" s="309"/>
      <c r="AX693" s="310"/>
      <c r="AY693" s="309"/>
      <c r="AZ693" s="310"/>
      <c r="BA693" s="271"/>
      <c r="BB693" s="271"/>
      <c r="BC693" s="271"/>
      <c r="BD693" s="271"/>
      <c r="BE693" s="271"/>
      <c r="BF693" s="271"/>
    </row>
    <row r="694" spans="2:58" ht="16" thickBot="1" x14ac:dyDescent="0.25">
      <c r="B694" s="289"/>
      <c r="C694" s="299"/>
      <c r="D694" s="300"/>
      <c r="E694" s="275"/>
      <c r="F694" s="302"/>
      <c r="G694" s="309"/>
      <c r="H694" s="310"/>
      <c r="I694" s="309"/>
      <c r="J694" s="310"/>
      <c r="K694" s="309"/>
      <c r="L694" s="310"/>
      <c r="M694" s="309"/>
      <c r="N694" s="310"/>
      <c r="O694" s="271"/>
      <c r="P694" s="271"/>
      <c r="Q694" s="309"/>
      <c r="R694" s="310"/>
      <c r="S694" s="309"/>
      <c r="T694" s="310"/>
      <c r="U694" s="309"/>
      <c r="V694" s="310"/>
      <c r="W694" s="309"/>
      <c r="X694" s="310"/>
      <c r="Y694" s="309"/>
      <c r="Z694" s="310"/>
      <c r="AA694" s="309"/>
      <c r="AB694" s="310"/>
      <c r="AC694" s="271"/>
      <c r="AD694" s="271"/>
      <c r="AE694" s="309"/>
      <c r="AF694" s="310"/>
      <c r="AG694" s="309"/>
      <c r="AH694" s="310"/>
      <c r="AI694" s="309"/>
      <c r="AJ694" s="310"/>
      <c r="AK694" s="309"/>
      <c r="AL694" s="310"/>
      <c r="AM694" s="309"/>
      <c r="AN694" s="310"/>
      <c r="AO694" s="309"/>
      <c r="AP694" s="310"/>
      <c r="AQ694" s="309"/>
      <c r="AR694" s="310"/>
      <c r="AS694" s="309"/>
      <c r="AT694" s="310"/>
      <c r="AU694" s="309"/>
      <c r="AV694" s="310"/>
      <c r="AW694" s="309"/>
      <c r="AX694" s="310"/>
      <c r="AY694" s="309"/>
      <c r="AZ694" s="310"/>
      <c r="BA694" s="271"/>
      <c r="BB694" s="271"/>
      <c r="BC694" s="271"/>
      <c r="BD694" s="271"/>
      <c r="BE694" s="271"/>
      <c r="BF694" s="271"/>
    </row>
    <row r="695" spans="2:58" ht="16" thickBot="1" x14ac:dyDescent="0.25">
      <c r="B695" s="289"/>
      <c r="C695" s="299"/>
      <c r="D695" s="300"/>
      <c r="E695" s="275"/>
      <c r="F695" s="302"/>
      <c r="G695" s="309"/>
      <c r="H695" s="310"/>
      <c r="I695" s="309"/>
      <c r="J695" s="310"/>
      <c r="K695" s="309"/>
      <c r="L695" s="310"/>
      <c r="M695" s="309"/>
      <c r="N695" s="310"/>
      <c r="O695" s="271"/>
      <c r="P695" s="271"/>
      <c r="Q695" s="309"/>
      <c r="R695" s="310"/>
      <c r="S695" s="309"/>
      <c r="T695" s="310"/>
      <c r="U695" s="309"/>
      <c r="V695" s="310"/>
      <c r="W695" s="309"/>
      <c r="X695" s="310"/>
      <c r="Y695" s="309"/>
      <c r="Z695" s="310"/>
      <c r="AA695" s="309"/>
      <c r="AB695" s="310"/>
      <c r="AC695" s="271"/>
      <c r="AD695" s="271"/>
      <c r="AE695" s="309"/>
      <c r="AF695" s="310"/>
      <c r="AG695" s="309"/>
      <c r="AH695" s="310"/>
      <c r="AI695" s="309"/>
      <c r="AJ695" s="310"/>
      <c r="AK695" s="309"/>
      <c r="AL695" s="310"/>
      <c r="AM695" s="309"/>
      <c r="AN695" s="310"/>
      <c r="AO695" s="309"/>
      <c r="AP695" s="310"/>
      <c r="AQ695" s="309"/>
      <c r="AR695" s="310"/>
      <c r="AS695" s="309"/>
      <c r="AT695" s="310"/>
      <c r="AU695" s="309"/>
      <c r="AV695" s="310"/>
      <c r="AW695" s="309"/>
      <c r="AX695" s="310"/>
      <c r="AY695" s="309"/>
      <c r="AZ695" s="310"/>
      <c r="BA695" s="271"/>
      <c r="BB695" s="271"/>
      <c r="BC695" s="271"/>
      <c r="BD695" s="271"/>
      <c r="BE695" s="271"/>
      <c r="BF695" s="271"/>
    </row>
    <row r="696" spans="2:58" ht="16" thickBot="1" x14ac:dyDescent="0.25">
      <c r="B696" s="289"/>
      <c r="C696" s="299"/>
      <c r="D696" s="300"/>
      <c r="E696" s="275"/>
      <c r="F696" s="302"/>
      <c r="G696" s="309"/>
      <c r="H696" s="310"/>
      <c r="I696" s="309"/>
      <c r="J696" s="310"/>
      <c r="K696" s="309"/>
      <c r="L696" s="310"/>
      <c r="M696" s="309"/>
      <c r="N696" s="310"/>
      <c r="O696" s="271"/>
      <c r="P696" s="271"/>
      <c r="Q696" s="309"/>
      <c r="R696" s="310"/>
      <c r="S696" s="309"/>
      <c r="T696" s="310"/>
      <c r="U696" s="309"/>
      <c r="V696" s="310"/>
      <c r="W696" s="309"/>
      <c r="X696" s="310"/>
      <c r="Y696" s="309"/>
      <c r="Z696" s="310"/>
      <c r="AA696" s="309"/>
      <c r="AB696" s="310"/>
      <c r="AC696" s="271"/>
      <c r="AD696" s="271"/>
      <c r="AE696" s="309"/>
      <c r="AF696" s="310"/>
      <c r="AG696" s="309"/>
      <c r="AH696" s="310"/>
      <c r="AI696" s="309"/>
      <c r="AJ696" s="310"/>
      <c r="AK696" s="309"/>
      <c r="AL696" s="310"/>
      <c r="AM696" s="309"/>
      <c r="AN696" s="310"/>
      <c r="AO696" s="309"/>
      <c r="AP696" s="310"/>
      <c r="AQ696" s="309"/>
      <c r="AR696" s="310"/>
      <c r="AS696" s="309"/>
      <c r="AT696" s="310"/>
      <c r="AU696" s="309"/>
      <c r="AV696" s="310"/>
      <c r="AW696" s="309"/>
      <c r="AX696" s="310"/>
      <c r="AY696" s="309"/>
      <c r="AZ696" s="310"/>
      <c r="BA696" s="271"/>
      <c r="BB696" s="271"/>
      <c r="BC696" s="271"/>
      <c r="BD696" s="271"/>
      <c r="BE696" s="271"/>
      <c r="BF696" s="271"/>
    </row>
    <row r="697" spans="2:58" ht="16" thickBot="1" x14ac:dyDescent="0.25">
      <c r="B697" s="288" t="s">
        <v>25</v>
      </c>
      <c r="C697" s="284"/>
      <c r="D697" s="291"/>
      <c r="E697" s="290"/>
      <c r="F697" s="293"/>
      <c r="G697" s="309"/>
      <c r="H697" s="310"/>
      <c r="I697" s="309"/>
      <c r="J697" s="310"/>
      <c r="K697" s="309"/>
      <c r="L697" s="310"/>
      <c r="M697" s="309"/>
      <c r="N697" s="310"/>
      <c r="O697" s="271"/>
      <c r="P697" s="271"/>
      <c r="Q697" s="309"/>
      <c r="R697" s="310"/>
      <c r="S697" s="309"/>
      <c r="T697" s="310"/>
      <c r="U697" s="309"/>
      <c r="V697" s="310"/>
      <c r="W697" s="309"/>
      <c r="X697" s="310"/>
      <c r="Y697" s="309"/>
      <c r="Z697" s="310"/>
      <c r="AA697" s="309"/>
      <c r="AB697" s="310"/>
      <c r="AC697" s="271"/>
      <c r="AD697" s="271"/>
      <c r="AE697" s="309"/>
      <c r="AF697" s="310"/>
      <c r="AG697" s="309"/>
      <c r="AH697" s="310"/>
      <c r="AI697" s="309"/>
      <c r="AJ697" s="310"/>
      <c r="AK697" s="309"/>
      <c r="AL697" s="310"/>
      <c r="AM697" s="309"/>
      <c r="AN697" s="310"/>
      <c r="AO697" s="309"/>
      <c r="AP697" s="310"/>
      <c r="AQ697" s="309"/>
      <c r="AR697" s="310"/>
      <c r="AS697" s="309"/>
      <c r="AT697" s="310"/>
      <c r="AU697" s="309"/>
      <c r="AV697" s="310"/>
      <c r="AW697" s="309"/>
      <c r="AX697" s="310"/>
      <c r="AY697" s="309"/>
      <c r="AZ697" s="310"/>
      <c r="BA697" s="271"/>
      <c r="BB697" s="271"/>
      <c r="BC697" s="271"/>
      <c r="BD697" s="271"/>
      <c r="BE697" s="271"/>
      <c r="BF697" s="271"/>
    </row>
    <row r="698" spans="2:58" ht="16" thickBot="1" x14ac:dyDescent="0.25">
      <c r="B698" s="668"/>
      <c r="C698" s="640">
        <f>SUM(C690:C697)</f>
        <v>0</v>
      </c>
      <c r="D698" s="159"/>
      <c r="E698" s="270"/>
      <c r="F698" s="271"/>
      <c r="G698" s="309"/>
      <c r="H698" s="310"/>
      <c r="I698" s="309"/>
      <c r="J698" s="310"/>
      <c r="K698" s="309"/>
      <c r="L698" s="310"/>
      <c r="M698" s="309"/>
      <c r="N698" s="310"/>
      <c r="O698" s="271"/>
      <c r="P698" s="271"/>
      <c r="Q698" s="309"/>
      <c r="R698" s="310"/>
      <c r="S698" s="309"/>
      <c r="T698" s="310"/>
      <c r="U698" s="309"/>
      <c r="V698" s="310"/>
      <c r="W698" s="309"/>
      <c r="X698" s="310"/>
      <c r="Y698" s="309"/>
      <c r="Z698" s="310"/>
      <c r="AA698" s="309"/>
      <c r="AB698" s="310"/>
      <c r="AC698" s="271"/>
      <c r="AD698" s="271"/>
      <c r="AE698" s="309"/>
      <c r="AF698" s="310"/>
      <c r="AG698" s="309"/>
      <c r="AH698" s="310"/>
      <c r="AI698" s="309"/>
      <c r="AJ698" s="310"/>
      <c r="AK698" s="309"/>
      <c r="AL698" s="310"/>
      <c r="AM698" s="309"/>
      <c r="AN698" s="310"/>
      <c r="AO698" s="309"/>
      <c r="AP698" s="310"/>
      <c r="AQ698" s="309"/>
      <c r="AR698" s="310"/>
      <c r="AS698" s="309"/>
      <c r="AT698" s="310"/>
      <c r="AU698" s="309"/>
      <c r="AV698" s="310"/>
      <c r="AW698" s="309"/>
      <c r="AX698" s="310"/>
      <c r="AY698" s="309"/>
      <c r="AZ698" s="310"/>
      <c r="BA698" s="271"/>
      <c r="BB698" s="271"/>
      <c r="BC698" s="271"/>
      <c r="BD698" s="271"/>
      <c r="BE698" s="271"/>
      <c r="BF698" s="271"/>
    </row>
    <row r="699" spans="2:58" ht="16" thickBot="1" x14ac:dyDescent="0.25">
      <c r="B699" s="479">
        <v>45739</v>
      </c>
      <c r="C699" s="657">
        <f>404.91+249.95</f>
        <v>654.86</v>
      </c>
      <c r="D699" s="641"/>
      <c r="E699" s="274"/>
      <c r="F699" s="301" t="s">
        <v>833</v>
      </c>
      <c r="G699" s="550"/>
      <c r="H699" s="310"/>
      <c r="I699" s="309"/>
      <c r="J699" s="310"/>
      <c r="K699" s="309"/>
      <c r="L699" s="310"/>
      <c r="M699" s="309"/>
      <c r="N699" s="310"/>
      <c r="O699" s="271"/>
      <c r="P699" s="271"/>
      <c r="Q699" s="309"/>
      <c r="R699" s="310"/>
      <c r="S699" s="309"/>
      <c r="T699" s="310"/>
      <c r="U699" s="309"/>
      <c r="V699" s="310"/>
      <c r="W699" s="309"/>
      <c r="X699" s="310"/>
      <c r="Y699" s="309"/>
      <c r="Z699" s="310"/>
      <c r="AA699" s="309"/>
      <c r="AB699" s="310"/>
      <c r="AC699" s="271"/>
      <c r="AD699" s="271"/>
      <c r="AE699" s="309">
        <v>9</v>
      </c>
      <c r="AF699" s="310">
        <v>404.91</v>
      </c>
      <c r="AG699" s="309"/>
      <c r="AH699" s="310"/>
      <c r="AI699" s="309"/>
      <c r="AJ699" s="310"/>
      <c r="AK699" s="309"/>
      <c r="AL699" s="310"/>
      <c r="AM699" s="309"/>
      <c r="AN699" s="310"/>
      <c r="AO699" s="309"/>
      <c r="AP699" s="310"/>
      <c r="AQ699" s="309"/>
      <c r="AR699" s="310"/>
      <c r="AS699" s="309"/>
      <c r="AT699" s="310"/>
      <c r="AU699" s="309"/>
      <c r="AV699" s="310"/>
      <c r="AW699" s="309"/>
      <c r="AX699" s="310"/>
      <c r="AY699" s="309"/>
      <c r="AZ699" s="310"/>
      <c r="BA699" s="271"/>
      <c r="BB699" s="271"/>
      <c r="BC699" s="271"/>
      <c r="BD699" s="271"/>
      <c r="BE699" s="271"/>
      <c r="BF699" s="271"/>
    </row>
    <row r="700" spans="2:58" ht="16" thickBot="1" x14ac:dyDescent="0.25">
      <c r="B700" s="479"/>
      <c r="C700" s="657">
        <v>9647.24</v>
      </c>
      <c r="D700" s="657"/>
      <c r="E700" s="285"/>
      <c r="F700" s="302" t="s">
        <v>834</v>
      </c>
      <c r="G700" s="550">
        <v>10</v>
      </c>
      <c r="H700" s="310">
        <v>1399.9</v>
      </c>
      <c r="I700" s="309">
        <v>2</v>
      </c>
      <c r="J700" s="310">
        <v>409.98</v>
      </c>
      <c r="K700" s="309">
        <v>9</v>
      </c>
      <c r="L700" s="310">
        <v>1637.91</v>
      </c>
      <c r="M700" s="309">
        <v>12</v>
      </c>
      <c r="N700" s="310">
        <v>2063.88</v>
      </c>
      <c r="O700" s="271">
        <v>21</v>
      </c>
      <c r="P700" s="271">
        <v>2624.79</v>
      </c>
      <c r="Q700" s="309">
        <v>1</v>
      </c>
      <c r="R700" s="310">
        <v>144.99</v>
      </c>
      <c r="S700" s="309"/>
      <c r="T700" s="310"/>
      <c r="U700" s="309"/>
      <c r="V700" s="310"/>
      <c r="W700" s="309">
        <v>6</v>
      </c>
      <c r="X700" s="310">
        <v>257.94</v>
      </c>
      <c r="Y700" s="309"/>
      <c r="Z700" s="310"/>
      <c r="AA700" s="309"/>
      <c r="AB700" s="310"/>
      <c r="AC700" s="271">
        <v>7</v>
      </c>
      <c r="AD700" s="271">
        <v>692.93</v>
      </c>
      <c r="AE700" s="309"/>
      <c r="AF700" s="310"/>
      <c r="AG700" s="309"/>
      <c r="AH700" s="310"/>
      <c r="AI700" s="309"/>
      <c r="AJ700" s="310"/>
      <c r="AK700" s="309"/>
      <c r="AL700" s="310"/>
      <c r="AM700" s="309"/>
      <c r="AN700" s="310"/>
      <c r="AO700" s="309"/>
      <c r="AP700" s="310"/>
      <c r="AQ700" s="309"/>
      <c r="AR700" s="310"/>
      <c r="AS700" s="309"/>
      <c r="AT700" s="310"/>
      <c r="AU700" s="309"/>
      <c r="AV700" s="310"/>
      <c r="AW700" s="309"/>
      <c r="AX700" s="310"/>
      <c r="AY700" s="309"/>
      <c r="AZ700" s="310"/>
      <c r="BA700" s="271">
        <v>1</v>
      </c>
      <c r="BB700" s="271">
        <v>26.99</v>
      </c>
      <c r="BC700" s="271"/>
      <c r="BD700" s="271"/>
      <c r="BE700" s="271">
        <v>1</v>
      </c>
      <c r="BF700" s="271">
        <v>75.989999999999995</v>
      </c>
    </row>
    <row r="701" spans="2:58" ht="16" thickBot="1" x14ac:dyDescent="0.25">
      <c r="B701" s="479"/>
      <c r="C701" s="657"/>
      <c r="D701" s="657"/>
      <c r="E701" s="285"/>
      <c r="F701" s="302"/>
      <c r="G701" s="550"/>
      <c r="H701" s="310"/>
      <c r="I701" s="309"/>
      <c r="J701" s="310"/>
      <c r="K701" s="309"/>
      <c r="L701" s="310"/>
      <c r="M701" s="309"/>
      <c r="N701" s="310"/>
      <c r="O701" s="271"/>
      <c r="P701" s="271"/>
      <c r="Q701" s="309"/>
      <c r="R701" s="310"/>
      <c r="S701" s="309"/>
      <c r="T701" s="310"/>
      <c r="U701" s="309"/>
      <c r="V701" s="310"/>
      <c r="W701" s="309"/>
      <c r="X701" s="310"/>
      <c r="Y701" s="309"/>
      <c r="Z701" s="310"/>
      <c r="AA701" s="309"/>
      <c r="AB701" s="310"/>
      <c r="AC701" s="271"/>
      <c r="AD701" s="271"/>
      <c r="AE701" s="309"/>
      <c r="AF701" s="310"/>
      <c r="AG701" s="309"/>
      <c r="AH701" s="310"/>
      <c r="AI701" s="309"/>
      <c r="AJ701" s="310"/>
      <c r="AK701" s="309"/>
      <c r="AL701" s="310"/>
      <c r="AM701" s="309"/>
      <c r="AN701" s="310"/>
      <c r="AO701" s="309"/>
      <c r="AP701" s="310"/>
      <c r="AQ701" s="309"/>
      <c r="AR701" s="310"/>
      <c r="AS701" s="309"/>
      <c r="AT701" s="310"/>
      <c r="AU701" s="309"/>
      <c r="AV701" s="310"/>
      <c r="AW701" s="309"/>
      <c r="AX701" s="310"/>
      <c r="AY701" s="309"/>
      <c r="AZ701" s="310"/>
      <c r="BA701" s="271"/>
      <c r="BB701" s="271"/>
      <c r="BC701" s="271"/>
      <c r="BD701" s="271"/>
      <c r="BE701" s="271"/>
      <c r="BF701" s="271"/>
    </row>
    <row r="702" spans="2:58" ht="16" thickBot="1" x14ac:dyDescent="0.25">
      <c r="B702" s="479"/>
      <c r="C702" s="657"/>
      <c r="D702" s="657"/>
      <c r="E702" s="285"/>
      <c r="F702" s="302"/>
      <c r="G702" s="550"/>
      <c r="H702" s="310"/>
      <c r="I702" s="309"/>
      <c r="J702" s="310"/>
      <c r="K702" s="309"/>
      <c r="L702" s="310"/>
      <c r="M702" s="309"/>
      <c r="N702" s="310"/>
      <c r="O702" s="271"/>
      <c r="P702" s="271"/>
      <c r="Q702" s="309"/>
      <c r="R702" s="310"/>
      <c r="S702" s="309"/>
      <c r="T702" s="310"/>
      <c r="U702" s="309"/>
      <c r="V702" s="310"/>
      <c r="W702" s="309"/>
      <c r="X702" s="310"/>
      <c r="Y702" s="309"/>
      <c r="Z702" s="310"/>
      <c r="AA702" s="309"/>
      <c r="AB702" s="310"/>
      <c r="AC702" s="271"/>
      <c r="AD702" s="271"/>
      <c r="AE702" s="309"/>
      <c r="AF702" s="310"/>
      <c r="AG702" s="309"/>
      <c r="AH702" s="310"/>
      <c r="AI702" s="309"/>
      <c r="AJ702" s="310"/>
      <c r="AK702" s="309"/>
      <c r="AL702" s="310"/>
      <c r="AM702" s="309"/>
      <c r="AN702" s="310"/>
      <c r="AO702" s="309"/>
      <c r="AP702" s="310"/>
      <c r="AQ702" s="309"/>
      <c r="AR702" s="310"/>
      <c r="AS702" s="309"/>
      <c r="AT702" s="310"/>
      <c r="AU702" s="309"/>
      <c r="AV702" s="310"/>
      <c r="AW702" s="309"/>
      <c r="AX702" s="310"/>
      <c r="AY702" s="309"/>
      <c r="AZ702" s="310"/>
      <c r="BA702" s="271"/>
      <c r="BB702" s="271"/>
      <c r="BC702" s="271"/>
      <c r="BD702" s="271"/>
      <c r="BE702" s="271"/>
      <c r="BF702" s="271"/>
    </row>
    <row r="703" spans="2:58" ht="16" thickBot="1" x14ac:dyDescent="0.25">
      <c r="B703" s="479"/>
      <c r="C703" s="657"/>
      <c r="D703" s="657"/>
      <c r="E703" s="285"/>
      <c r="F703" s="302"/>
      <c r="G703" s="550"/>
      <c r="H703" s="310"/>
      <c r="I703" s="309"/>
      <c r="J703" s="310"/>
      <c r="K703" s="309"/>
      <c r="L703" s="310"/>
      <c r="M703" s="309"/>
      <c r="N703" s="310"/>
      <c r="O703" s="271"/>
      <c r="P703" s="271"/>
      <c r="Q703" s="309"/>
      <c r="R703" s="310"/>
      <c r="S703" s="309"/>
      <c r="T703" s="310"/>
      <c r="U703" s="309"/>
      <c r="V703" s="310"/>
      <c r="W703" s="309"/>
      <c r="X703" s="310"/>
      <c r="Y703" s="309"/>
      <c r="Z703" s="310"/>
      <c r="AA703" s="309"/>
      <c r="AB703" s="310"/>
      <c r="AC703" s="271"/>
      <c r="AD703" s="271"/>
      <c r="AE703" s="309"/>
      <c r="AF703" s="310"/>
      <c r="AG703" s="309"/>
      <c r="AH703" s="310"/>
      <c r="AI703" s="309"/>
      <c r="AJ703" s="310"/>
      <c r="AK703" s="309"/>
      <c r="AL703" s="310"/>
      <c r="AM703" s="309"/>
      <c r="AN703" s="310"/>
      <c r="AO703" s="309"/>
      <c r="AP703" s="310"/>
      <c r="AQ703" s="309"/>
      <c r="AR703" s="310"/>
      <c r="AS703" s="309"/>
      <c r="AT703" s="310"/>
      <c r="AU703" s="309"/>
      <c r="AV703" s="310"/>
      <c r="AW703" s="309"/>
      <c r="AX703" s="310"/>
      <c r="AY703" s="309"/>
      <c r="AZ703" s="310"/>
      <c r="BA703" s="271"/>
      <c r="BB703" s="271"/>
      <c r="BC703" s="271"/>
      <c r="BD703" s="271"/>
      <c r="BE703" s="271"/>
      <c r="BF703" s="271"/>
    </row>
    <row r="704" spans="2:58" ht="16" thickBot="1" x14ac:dyDescent="0.25">
      <c r="B704" s="479"/>
      <c r="C704" s="657"/>
      <c r="D704" s="657"/>
      <c r="E704" s="285"/>
      <c r="F704" s="302"/>
      <c r="G704" s="550"/>
      <c r="H704" s="310"/>
      <c r="I704" s="309"/>
      <c r="J704" s="310"/>
      <c r="K704" s="309"/>
      <c r="L704" s="310"/>
      <c r="M704" s="309"/>
      <c r="N704" s="310"/>
      <c r="O704" s="271"/>
      <c r="P704" s="271"/>
      <c r="Q704" s="309"/>
      <c r="R704" s="310"/>
      <c r="S704" s="309"/>
      <c r="T704" s="310"/>
      <c r="U704" s="309"/>
      <c r="V704" s="310"/>
      <c r="W704" s="309"/>
      <c r="X704" s="310"/>
      <c r="Y704" s="309"/>
      <c r="Z704" s="310"/>
      <c r="AA704" s="309"/>
      <c r="AB704" s="310"/>
      <c r="AC704" s="271"/>
      <c r="AD704" s="271"/>
      <c r="AE704" s="309"/>
      <c r="AF704" s="310"/>
      <c r="AG704" s="309"/>
      <c r="AH704" s="310"/>
      <c r="AI704" s="309"/>
      <c r="AJ704" s="310"/>
      <c r="AK704" s="309"/>
      <c r="AL704" s="310"/>
      <c r="AM704" s="309"/>
      <c r="AN704" s="310"/>
      <c r="AO704" s="309"/>
      <c r="AP704" s="310"/>
      <c r="AQ704" s="309"/>
      <c r="AR704" s="310"/>
      <c r="AS704" s="309"/>
      <c r="AT704" s="310"/>
      <c r="AU704" s="309"/>
      <c r="AV704" s="310"/>
      <c r="AW704" s="309"/>
      <c r="AX704" s="310"/>
      <c r="AY704" s="309"/>
      <c r="AZ704" s="310"/>
      <c r="BA704" s="271"/>
      <c r="BB704" s="271"/>
      <c r="BC704" s="271"/>
      <c r="BD704" s="271"/>
      <c r="BE704" s="271"/>
      <c r="BF704" s="271"/>
    </row>
    <row r="705" spans="2:58" ht="16" thickBot="1" x14ac:dyDescent="0.25">
      <c r="B705" s="549" t="s">
        <v>26</v>
      </c>
      <c r="C705" s="554"/>
      <c r="D705" s="291"/>
      <c r="E705" s="290"/>
      <c r="F705" s="293"/>
      <c r="G705" s="550"/>
      <c r="H705" s="310"/>
      <c r="I705" s="309"/>
      <c r="J705" s="310"/>
      <c r="K705" s="309"/>
      <c r="L705" s="310"/>
      <c r="M705" s="309"/>
      <c r="N705" s="310"/>
      <c r="O705" s="271"/>
      <c r="P705" s="271"/>
      <c r="Q705" s="309"/>
      <c r="R705" s="310"/>
      <c r="S705" s="309"/>
      <c r="T705" s="310"/>
      <c r="U705" s="309"/>
      <c r="V705" s="310"/>
      <c r="W705" s="309"/>
      <c r="X705" s="310"/>
      <c r="Y705" s="309"/>
      <c r="Z705" s="310"/>
      <c r="AA705" s="309"/>
      <c r="AB705" s="310"/>
      <c r="AC705" s="271"/>
      <c r="AD705" s="271"/>
      <c r="AE705" s="309"/>
      <c r="AF705" s="310"/>
      <c r="AG705" s="309"/>
      <c r="AH705" s="310"/>
      <c r="AI705" s="309"/>
      <c r="AJ705" s="310"/>
      <c r="AK705" s="309"/>
      <c r="AL705" s="310"/>
      <c r="AM705" s="309"/>
      <c r="AN705" s="310"/>
      <c r="AO705" s="309"/>
      <c r="AP705" s="310"/>
      <c r="AQ705" s="309"/>
      <c r="AR705" s="310"/>
      <c r="AS705" s="309"/>
      <c r="AT705" s="310"/>
      <c r="AU705" s="309"/>
      <c r="AV705" s="310"/>
      <c r="AW705" s="309"/>
      <c r="AX705" s="310"/>
      <c r="AY705" s="309"/>
      <c r="AZ705" s="310"/>
      <c r="BA705" s="271"/>
      <c r="BB705" s="271"/>
      <c r="BC705" s="271"/>
      <c r="BD705" s="271"/>
      <c r="BE705" s="271"/>
      <c r="BF705" s="271"/>
    </row>
    <row r="706" spans="2:58" ht="16" thickBot="1" x14ac:dyDescent="0.25">
      <c r="B706" s="292"/>
      <c r="C706" s="551">
        <f>SUM(C699:C705)</f>
        <v>10302.1</v>
      </c>
      <c r="D706" s="551"/>
      <c r="E706" s="552"/>
      <c r="F706" s="553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  <c r="AA706" s="271"/>
      <c r="AB706" s="271"/>
      <c r="AC706" s="271"/>
      <c r="AD706" s="271"/>
      <c r="AE706" s="309"/>
      <c r="AF706" s="310"/>
      <c r="AG706" s="309"/>
      <c r="AH706" s="310"/>
      <c r="AI706" s="309"/>
      <c r="AJ706" s="310"/>
      <c r="AK706" s="309"/>
      <c r="AL706" s="310"/>
      <c r="AM706" s="309"/>
      <c r="AN706" s="310"/>
      <c r="AO706" s="309"/>
      <c r="AP706" s="310"/>
      <c r="AQ706" s="309"/>
      <c r="AR706" s="310"/>
      <c r="AS706" s="309"/>
      <c r="AT706" s="310"/>
      <c r="AU706" s="309"/>
      <c r="AV706" s="310"/>
      <c r="AW706" s="309"/>
      <c r="AX706" s="310"/>
      <c r="AY706" s="309"/>
      <c r="AZ706" s="310"/>
      <c r="BA706" s="271"/>
      <c r="BB706" s="271"/>
      <c r="BC706" s="271"/>
      <c r="BD706" s="271"/>
      <c r="BE706" s="271"/>
      <c r="BF706" s="271"/>
    </row>
    <row r="707" spans="2:58" ht="16" thickBot="1" x14ac:dyDescent="0.25">
      <c r="B707" s="761" t="s">
        <v>329</v>
      </c>
      <c r="C707" s="311"/>
      <c r="D707" s="312"/>
      <c r="E707" s="285"/>
      <c r="F707" s="302"/>
      <c r="G707" s="306">
        <f t="shared" ref="G707:AD707" si="22">SUM(G664:G705)</f>
        <v>22</v>
      </c>
      <c r="H707" s="307">
        <f t="shared" si="22"/>
        <v>3079.78</v>
      </c>
      <c r="I707" s="306">
        <f t="shared" si="22"/>
        <v>6</v>
      </c>
      <c r="J707" s="307">
        <f t="shared" si="22"/>
        <v>1229.94</v>
      </c>
      <c r="K707" s="306">
        <f t="shared" si="22"/>
        <v>20</v>
      </c>
      <c r="L707" s="307">
        <f t="shared" si="22"/>
        <v>3639.8</v>
      </c>
      <c r="M707" s="306">
        <f t="shared" si="22"/>
        <v>26</v>
      </c>
      <c r="N707" s="307">
        <f t="shared" si="22"/>
        <v>4401.74</v>
      </c>
      <c r="O707" s="308">
        <f t="shared" si="22"/>
        <v>47</v>
      </c>
      <c r="P707" s="308">
        <f t="shared" si="22"/>
        <v>5934.79</v>
      </c>
      <c r="Q707" s="306">
        <f t="shared" si="22"/>
        <v>2</v>
      </c>
      <c r="R707" s="307">
        <f t="shared" si="22"/>
        <v>289.98</v>
      </c>
      <c r="S707" s="306">
        <f t="shared" si="22"/>
        <v>0</v>
      </c>
      <c r="T707" s="307">
        <f t="shared" si="22"/>
        <v>0</v>
      </c>
      <c r="U707" s="306">
        <f t="shared" si="22"/>
        <v>0</v>
      </c>
      <c r="V707" s="307">
        <f t="shared" si="22"/>
        <v>0</v>
      </c>
      <c r="W707" s="306">
        <f t="shared" si="22"/>
        <v>16</v>
      </c>
      <c r="X707" s="307">
        <f t="shared" si="22"/>
        <v>729.83999999999992</v>
      </c>
      <c r="Y707" s="306">
        <f t="shared" si="22"/>
        <v>0</v>
      </c>
      <c r="Z707" s="307">
        <f t="shared" si="22"/>
        <v>0</v>
      </c>
      <c r="AA707" s="306">
        <f t="shared" si="22"/>
        <v>0</v>
      </c>
      <c r="AB707" s="307">
        <f t="shared" si="22"/>
        <v>0</v>
      </c>
      <c r="AC707" s="308">
        <f t="shared" si="22"/>
        <v>18</v>
      </c>
      <c r="AD707" s="308">
        <f t="shared" si="22"/>
        <v>1781.8200000000002</v>
      </c>
      <c r="AE707" s="306">
        <f t="shared" ref="AE707:BF707" si="23">SUM(AE664:AE706)</f>
        <v>16</v>
      </c>
      <c r="AF707" s="307">
        <f t="shared" si="23"/>
        <v>719.84</v>
      </c>
      <c r="AG707" s="306">
        <f t="shared" si="23"/>
        <v>0</v>
      </c>
      <c r="AH707" s="307">
        <f t="shared" si="23"/>
        <v>0</v>
      </c>
      <c r="AI707" s="306">
        <f t="shared" si="23"/>
        <v>0</v>
      </c>
      <c r="AJ707" s="307">
        <f t="shared" si="23"/>
        <v>0</v>
      </c>
      <c r="AK707" s="306">
        <f t="shared" si="23"/>
        <v>0</v>
      </c>
      <c r="AL707" s="307">
        <f t="shared" si="23"/>
        <v>0</v>
      </c>
      <c r="AM707" s="306">
        <f t="shared" si="23"/>
        <v>0</v>
      </c>
      <c r="AN707" s="307">
        <f t="shared" si="23"/>
        <v>0</v>
      </c>
      <c r="AO707" s="306">
        <f t="shared" si="23"/>
        <v>0</v>
      </c>
      <c r="AP707" s="307">
        <f t="shared" si="23"/>
        <v>0</v>
      </c>
      <c r="AQ707" s="306">
        <f t="shared" si="23"/>
        <v>0</v>
      </c>
      <c r="AR707" s="307">
        <f t="shared" si="23"/>
        <v>0</v>
      </c>
      <c r="AS707" s="306">
        <f t="shared" si="23"/>
        <v>0</v>
      </c>
      <c r="AT707" s="307">
        <f t="shared" si="23"/>
        <v>0</v>
      </c>
      <c r="AU707" s="306">
        <f t="shared" si="23"/>
        <v>0</v>
      </c>
      <c r="AV707" s="307">
        <f t="shared" si="23"/>
        <v>0</v>
      </c>
      <c r="AW707" s="306">
        <f t="shared" si="23"/>
        <v>15</v>
      </c>
      <c r="AX707" s="307">
        <f t="shared" si="23"/>
        <v>3578.77</v>
      </c>
      <c r="AY707" s="306">
        <f t="shared" si="23"/>
        <v>15</v>
      </c>
      <c r="AZ707" s="307">
        <f t="shared" si="23"/>
        <v>3578.77</v>
      </c>
      <c r="BA707" s="306">
        <f t="shared" si="23"/>
        <v>2</v>
      </c>
      <c r="BB707" s="307">
        <f t="shared" si="23"/>
        <v>53.98</v>
      </c>
      <c r="BC707" s="306">
        <f t="shared" si="23"/>
        <v>0</v>
      </c>
      <c r="BD707" s="307">
        <f t="shared" si="23"/>
        <v>0</v>
      </c>
      <c r="BE707" s="306">
        <f t="shared" si="23"/>
        <v>2</v>
      </c>
      <c r="BF707" s="307">
        <f t="shared" si="23"/>
        <v>154.97999999999999</v>
      </c>
    </row>
    <row r="708" spans="2:58" ht="16" thickBot="1" x14ac:dyDescent="0.25">
      <c r="B708" s="762"/>
      <c r="C708" s="160">
        <f>SUM(C706,C698,C689,C682,C677,C674,C664)</f>
        <v>68617.76999999999</v>
      </c>
      <c r="D708" s="160"/>
      <c r="E708" s="304"/>
      <c r="F708" s="294"/>
      <c r="G708" s="752" t="s">
        <v>29</v>
      </c>
      <c r="H708" s="752"/>
      <c r="I708" s="752" t="s">
        <v>30</v>
      </c>
      <c r="J708" s="752"/>
      <c r="K708" s="752" t="s">
        <v>31</v>
      </c>
      <c r="L708" s="752"/>
      <c r="M708" s="752" t="s">
        <v>32</v>
      </c>
      <c r="N708" s="752"/>
      <c r="O708" s="752" t="s">
        <v>33</v>
      </c>
      <c r="P708" s="752"/>
      <c r="Q708" s="752" t="s">
        <v>247</v>
      </c>
      <c r="R708" s="752"/>
      <c r="S708" s="752" t="s">
        <v>34</v>
      </c>
      <c r="T708" s="752"/>
      <c r="U708" s="752" t="s">
        <v>35</v>
      </c>
      <c r="V708" s="752"/>
      <c r="W708" s="752" t="s">
        <v>36</v>
      </c>
      <c r="X708" s="752"/>
      <c r="Y708" s="752" t="s">
        <v>37</v>
      </c>
      <c r="Z708" s="752"/>
      <c r="AA708" s="752" t="s">
        <v>38</v>
      </c>
      <c r="AB708" s="752"/>
      <c r="AC708" s="752" t="s">
        <v>39</v>
      </c>
      <c r="AD708" s="752"/>
      <c r="AE708" s="752" t="s">
        <v>40</v>
      </c>
      <c r="AF708" s="752"/>
      <c r="AG708" s="752" t="s">
        <v>41</v>
      </c>
      <c r="AH708" s="752"/>
      <c r="AI708" s="752" t="s">
        <v>42</v>
      </c>
      <c r="AJ708" s="752"/>
      <c r="AK708" s="752" t="s">
        <v>43</v>
      </c>
      <c r="AL708" s="752"/>
      <c r="AM708" s="752" t="s">
        <v>157</v>
      </c>
      <c r="AN708" s="752"/>
      <c r="AO708" s="752" t="s">
        <v>248</v>
      </c>
      <c r="AP708" s="752"/>
      <c r="AQ708" s="752" t="s">
        <v>249</v>
      </c>
      <c r="AR708" s="752"/>
      <c r="AS708" s="752" t="s">
        <v>150</v>
      </c>
      <c r="AT708" s="752"/>
      <c r="AU708" s="752" t="s">
        <v>151</v>
      </c>
      <c r="AV708" s="752"/>
      <c r="AW708" s="752" t="s">
        <v>44</v>
      </c>
      <c r="AX708" s="752"/>
      <c r="AY708" s="752" t="s">
        <v>250</v>
      </c>
      <c r="AZ708" s="752"/>
      <c r="BA708" s="752" t="s">
        <v>45</v>
      </c>
      <c r="BB708" s="752"/>
      <c r="BC708" s="752" t="s">
        <v>46</v>
      </c>
      <c r="BD708" s="752"/>
      <c r="BE708" s="752" t="s">
        <v>92</v>
      </c>
      <c r="BF708" s="752"/>
    </row>
    <row r="709" spans="2:58" ht="16" thickBot="1" x14ac:dyDescent="0.25">
      <c r="B709" s="282"/>
      <c r="C709" s="285"/>
      <c r="D709" s="275"/>
      <c r="E709" s="284"/>
      <c r="F709" s="293"/>
      <c r="G709" s="752" t="s">
        <v>50</v>
      </c>
      <c r="H709" s="752"/>
      <c r="I709" s="752" t="s">
        <v>51</v>
      </c>
      <c r="J709" s="752"/>
      <c r="K709" s="752" t="s">
        <v>51</v>
      </c>
      <c r="L709" s="752"/>
      <c r="M709" s="752" t="s">
        <v>52</v>
      </c>
      <c r="N709" s="752"/>
      <c r="O709" s="752">
        <v>180</v>
      </c>
      <c r="P709" s="752"/>
      <c r="Q709" s="752" t="s">
        <v>53</v>
      </c>
      <c r="R709" s="752"/>
      <c r="S709" s="752" t="s">
        <v>54</v>
      </c>
      <c r="T709" s="752"/>
      <c r="U709" s="752" t="s">
        <v>54</v>
      </c>
      <c r="V709" s="752"/>
      <c r="W709" s="752" t="s">
        <v>55</v>
      </c>
      <c r="X709" s="752"/>
      <c r="Y709" s="752" t="s">
        <v>54</v>
      </c>
      <c r="Z709" s="752"/>
      <c r="AA709" s="752" t="s">
        <v>54</v>
      </c>
      <c r="AB709" s="752"/>
      <c r="AC709" s="752" t="s">
        <v>56</v>
      </c>
      <c r="AD709" s="752"/>
      <c r="AE709" s="752" t="s">
        <v>57</v>
      </c>
      <c r="AF709" s="752"/>
      <c r="AG709" s="752" t="s">
        <v>57</v>
      </c>
      <c r="AH709" s="752"/>
      <c r="AI709" s="752" t="s">
        <v>58</v>
      </c>
      <c r="AJ709" s="752"/>
      <c r="AK709" s="752" t="s">
        <v>300</v>
      </c>
      <c r="AL709" s="752"/>
      <c r="AM709" s="752" t="s">
        <v>301</v>
      </c>
      <c r="AN709" s="752"/>
      <c r="AO709" s="752">
        <v>20</v>
      </c>
      <c r="AP709" s="752"/>
      <c r="AQ709" s="752">
        <v>20</v>
      </c>
      <c r="AR709" s="752"/>
      <c r="AS709" s="752" t="s">
        <v>57</v>
      </c>
      <c r="AT709" s="752"/>
      <c r="AU709" s="752" t="s">
        <v>302</v>
      </c>
      <c r="AV709" s="752"/>
      <c r="AW709" s="752">
        <v>100</v>
      </c>
      <c r="AX709" s="752"/>
      <c r="AY709" s="752">
        <v>100</v>
      </c>
      <c r="AZ709" s="752"/>
      <c r="BA709" s="752" t="s">
        <v>59</v>
      </c>
      <c r="BB709" s="752"/>
      <c r="BC709" s="752" t="s">
        <v>51</v>
      </c>
      <c r="BD709" s="752"/>
      <c r="BE709" s="752" t="s">
        <v>53</v>
      </c>
      <c r="BF709" s="752"/>
    </row>
    <row r="710" spans="2:58" ht="16" thickBot="1" x14ac:dyDescent="0.25">
      <c r="B710" s="162"/>
      <c r="C710" s="286"/>
      <c r="D710" s="273"/>
      <c r="E710" s="280"/>
      <c r="F710" s="305"/>
      <c r="G710" s="752">
        <v>151</v>
      </c>
      <c r="H710" s="752"/>
      <c r="I710" s="752">
        <v>167.99</v>
      </c>
      <c r="J710" s="752"/>
      <c r="K710" s="752">
        <v>144.99</v>
      </c>
      <c r="L710" s="752"/>
      <c r="M710" s="760">
        <v>169.99</v>
      </c>
      <c r="N710" s="760"/>
      <c r="O710" s="760">
        <v>274.99</v>
      </c>
      <c r="P710" s="760"/>
      <c r="Q710" s="760">
        <v>102.99</v>
      </c>
      <c r="R710" s="760"/>
      <c r="S710" s="752">
        <v>910.5</v>
      </c>
      <c r="T710" s="752"/>
      <c r="U710" s="752">
        <v>460.75</v>
      </c>
      <c r="V710" s="752"/>
      <c r="W710" s="752">
        <v>1048.95</v>
      </c>
      <c r="X710" s="752"/>
      <c r="Y710" s="752">
        <v>772.8</v>
      </c>
      <c r="Z710" s="752"/>
      <c r="AA710" s="752">
        <v>3450</v>
      </c>
      <c r="AB710" s="752"/>
      <c r="AC710" s="760">
        <v>89.99</v>
      </c>
      <c r="AD710" s="760"/>
      <c r="AE710" s="752">
        <v>39.99</v>
      </c>
      <c r="AF710" s="752"/>
      <c r="AG710" s="752">
        <v>498</v>
      </c>
      <c r="AH710" s="752"/>
      <c r="AI710" s="752">
        <v>4.99</v>
      </c>
      <c r="AJ710" s="752"/>
      <c r="AK710" s="752">
        <v>132.25</v>
      </c>
      <c r="AL710" s="752"/>
      <c r="AM710" s="752">
        <v>47.99</v>
      </c>
      <c r="AN710" s="752"/>
      <c r="AO710" s="752">
        <v>560</v>
      </c>
      <c r="AP710" s="752"/>
      <c r="AQ710" s="752">
        <v>560</v>
      </c>
      <c r="AR710" s="752"/>
      <c r="AS710" s="752">
        <v>613.5</v>
      </c>
      <c r="AT710" s="752"/>
      <c r="AU710" s="752">
        <v>313.89999999999998</v>
      </c>
      <c r="AV710" s="752"/>
      <c r="AW710" s="752">
        <v>405.8</v>
      </c>
      <c r="AX710" s="752"/>
      <c r="AY710" s="752">
        <v>218.99</v>
      </c>
      <c r="AZ710" s="752"/>
      <c r="BA710" s="752">
        <v>24.99</v>
      </c>
      <c r="BB710" s="752"/>
      <c r="BC710" s="752">
        <v>1425</v>
      </c>
      <c r="BD710" s="752"/>
      <c r="BE710" s="752">
        <v>54.99</v>
      </c>
      <c r="BF710" s="752"/>
    </row>
    <row r="711" spans="2:58" ht="16" thickBot="1" x14ac:dyDescent="0.25">
      <c r="B711" s="162"/>
      <c r="C711" s="753" t="str">
        <f>L711</f>
        <v>17 - 23 MARCH 2025</v>
      </c>
      <c r="D711" s="754"/>
      <c r="E711" s="754"/>
      <c r="F711" s="754"/>
      <c r="G711" s="755"/>
      <c r="H711" s="756"/>
      <c r="I711" s="163"/>
      <c r="J711" s="157"/>
      <c r="K711" s="157"/>
      <c r="L711" s="757" t="str">
        <f>AL711</f>
        <v>17 - 23 MARCH 2025</v>
      </c>
      <c r="M711" s="755"/>
      <c r="N711" s="755"/>
      <c r="O711" s="755"/>
      <c r="P711" s="755"/>
      <c r="Q711" s="755"/>
      <c r="R711" s="755"/>
      <c r="S711" s="755"/>
      <c r="T711" s="756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758"/>
      <c r="AH711" s="758"/>
      <c r="AI711" s="164"/>
      <c r="AJ711" s="157"/>
      <c r="AK711" s="157"/>
      <c r="AL711" s="759" t="str">
        <f>AW711</f>
        <v>17 - 23 MARCH 2025</v>
      </c>
      <c r="AM711" s="759"/>
      <c r="AN711" s="759"/>
      <c r="AO711" s="759"/>
      <c r="AP711" s="157"/>
      <c r="AQ711" s="157"/>
      <c r="AR711" s="157"/>
      <c r="AS711" s="157"/>
      <c r="AT711" s="157"/>
      <c r="AU711" s="157"/>
      <c r="AV711" s="157"/>
      <c r="AW711" s="757" t="str">
        <f>AW648</f>
        <v>17 - 23 MARCH 2025</v>
      </c>
      <c r="AX711" s="755" t="s">
        <v>28</v>
      </c>
      <c r="AY711" s="755"/>
      <c r="AZ711" s="755"/>
      <c r="BA711" s="755"/>
      <c r="BB711" s="755"/>
      <c r="BC711" s="755"/>
      <c r="BD711" s="756"/>
      <c r="BE711" s="157"/>
      <c r="BF711" s="157"/>
    </row>
    <row r="712" spans="2:58" ht="16" thickBot="1" x14ac:dyDescent="0.25"/>
    <row r="713" spans="2:58" ht="16" thickBot="1" x14ac:dyDescent="0.25">
      <c r="B713" s="156" t="s">
        <v>27</v>
      </c>
      <c r="C713" s="753" t="s">
        <v>891</v>
      </c>
      <c r="D713" s="754"/>
      <c r="E713" s="754"/>
      <c r="F713" s="754"/>
      <c r="G713" s="763"/>
      <c r="H713" s="764"/>
      <c r="I713" s="163"/>
      <c r="J713" s="157"/>
      <c r="K713" s="157"/>
      <c r="L713" s="765" t="str">
        <f>C713</f>
        <v>24 - 30 MARCH 2025</v>
      </c>
      <c r="M713" s="763"/>
      <c r="N713" s="763"/>
      <c r="O713" s="763"/>
      <c r="P713" s="763"/>
      <c r="Q713" s="763"/>
      <c r="R713" s="763"/>
      <c r="S713" s="763"/>
      <c r="T713" s="764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766"/>
      <c r="AH713" s="766"/>
      <c r="AI713" s="753" t="str">
        <f>L713</f>
        <v>24 - 30 MARCH 2025</v>
      </c>
      <c r="AJ713" s="754"/>
      <c r="AK713" s="754"/>
      <c r="AL713" s="754"/>
      <c r="AM713" s="754"/>
      <c r="AN713" s="754"/>
      <c r="AO713" s="767"/>
      <c r="AP713" s="157"/>
      <c r="AQ713" s="157"/>
      <c r="AR713" s="157"/>
      <c r="AS713" s="157"/>
      <c r="AT713" s="157"/>
      <c r="AU713" s="157"/>
      <c r="AV713" s="157"/>
      <c r="AW713" s="765" t="str">
        <f>AI713</f>
        <v>24 - 30 MARCH 2025</v>
      </c>
      <c r="AX713" s="763" t="s">
        <v>28</v>
      </c>
      <c r="AY713" s="763"/>
      <c r="AZ713" s="763"/>
      <c r="BA713" s="763"/>
      <c r="BB713" s="763"/>
      <c r="BC713" s="763"/>
      <c r="BD713" s="764"/>
      <c r="BE713" s="157"/>
      <c r="BF713" s="157"/>
    </row>
    <row r="714" spans="2:58" ht="16" thickBot="1" x14ac:dyDescent="0.25">
      <c r="B714" s="158"/>
      <c r="C714" s="161"/>
      <c r="D714" s="161"/>
      <c r="E714" s="157"/>
      <c r="F714" s="157"/>
      <c r="G714" s="752" t="s">
        <v>29</v>
      </c>
      <c r="H714" s="752"/>
      <c r="I714" s="752" t="s">
        <v>30</v>
      </c>
      <c r="J714" s="752"/>
      <c r="K714" s="752" t="s">
        <v>31</v>
      </c>
      <c r="L714" s="752"/>
      <c r="M714" s="752" t="s">
        <v>32</v>
      </c>
      <c r="N714" s="752"/>
      <c r="O714" s="752" t="s">
        <v>33</v>
      </c>
      <c r="P714" s="752"/>
      <c r="Q714" s="752" t="s">
        <v>247</v>
      </c>
      <c r="R714" s="752"/>
      <c r="S714" s="752" t="s">
        <v>34</v>
      </c>
      <c r="T714" s="752"/>
      <c r="U714" s="752" t="s">
        <v>35</v>
      </c>
      <c r="V714" s="752"/>
      <c r="W714" s="752" t="s">
        <v>36</v>
      </c>
      <c r="X714" s="752"/>
      <c r="Y714" s="752" t="s">
        <v>37</v>
      </c>
      <c r="Z714" s="752"/>
      <c r="AA714" s="752" t="s">
        <v>38</v>
      </c>
      <c r="AB714" s="752"/>
      <c r="AC714" s="752" t="s">
        <v>39</v>
      </c>
      <c r="AD714" s="752"/>
      <c r="AE714" s="752" t="s">
        <v>40</v>
      </c>
      <c r="AF714" s="752"/>
      <c r="AG714" s="752" t="s">
        <v>41</v>
      </c>
      <c r="AH714" s="752"/>
      <c r="AI714" s="752" t="s">
        <v>42</v>
      </c>
      <c r="AJ714" s="752"/>
      <c r="AK714" s="752" t="s">
        <v>43</v>
      </c>
      <c r="AL714" s="752"/>
      <c r="AM714" s="752" t="s">
        <v>157</v>
      </c>
      <c r="AN714" s="752"/>
      <c r="AO714" s="752" t="s">
        <v>248</v>
      </c>
      <c r="AP714" s="752"/>
      <c r="AQ714" s="752" t="s">
        <v>249</v>
      </c>
      <c r="AR714" s="752"/>
      <c r="AS714" s="752" t="s">
        <v>150</v>
      </c>
      <c r="AT714" s="752"/>
      <c r="AU714" s="752" t="s">
        <v>151</v>
      </c>
      <c r="AV714" s="752"/>
      <c r="AW714" s="752" t="s">
        <v>44</v>
      </c>
      <c r="AX714" s="752"/>
      <c r="AY714" s="752" t="s">
        <v>250</v>
      </c>
      <c r="AZ714" s="752"/>
      <c r="BA714" s="752" t="s">
        <v>45</v>
      </c>
      <c r="BB714" s="752"/>
      <c r="BC714" s="752" t="s">
        <v>46</v>
      </c>
      <c r="BD714" s="752"/>
      <c r="BE714" s="752" t="s">
        <v>92</v>
      </c>
      <c r="BF714" s="752"/>
    </row>
    <row r="715" spans="2:58" ht="16" thickBot="1" x14ac:dyDescent="0.25">
      <c r="B715" s="156" t="s">
        <v>47</v>
      </c>
      <c r="C715" s="156" t="s">
        <v>48</v>
      </c>
      <c r="D715" s="283"/>
      <c r="E715" s="271"/>
      <c r="F715" s="271" t="s">
        <v>49</v>
      </c>
      <c r="G715" s="752" t="s">
        <v>50</v>
      </c>
      <c r="H715" s="752"/>
      <c r="I715" s="752" t="s">
        <v>51</v>
      </c>
      <c r="J715" s="752"/>
      <c r="K715" s="752" t="s">
        <v>51</v>
      </c>
      <c r="L715" s="752"/>
      <c r="M715" s="752" t="s">
        <v>52</v>
      </c>
      <c r="N715" s="752"/>
      <c r="O715" s="752">
        <v>180</v>
      </c>
      <c r="P715" s="752"/>
      <c r="Q715" s="752" t="s">
        <v>53</v>
      </c>
      <c r="R715" s="752"/>
      <c r="S715" s="752" t="s">
        <v>54</v>
      </c>
      <c r="T715" s="752"/>
      <c r="U715" s="752" t="s">
        <v>54</v>
      </c>
      <c r="V715" s="752"/>
      <c r="W715" s="752" t="s">
        <v>55</v>
      </c>
      <c r="X715" s="752"/>
      <c r="Y715" s="752" t="s">
        <v>54</v>
      </c>
      <c r="Z715" s="752"/>
      <c r="AA715" s="752" t="s">
        <v>54</v>
      </c>
      <c r="AB715" s="752"/>
      <c r="AC715" s="752" t="s">
        <v>56</v>
      </c>
      <c r="AD715" s="752"/>
      <c r="AE715" s="752" t="s">
        <v>57</v>
      </c>
      <c r="AF715" s="752"/>
      <c r="AG715" s="752" t="s">
        <v>57</v>
      </c>
      <c r="AH715" s="752"/>
      <c r="AI715" s="752" t="s">
        <v>58</v>
      </c>
      <c r="AJ715" s="752"/>
      <c r="AK715" s="752" t="s">
        <v>300</v>
      </c>
      <c r="AL715" s="752"/>
      <c r="AM715" s="752" t="s">
        <v>301</v>
      </c>
      <c r="AN715" s="752"/>
      <c r="AO715" s="752">
        <v>20</v>
      </c>
      <c r="AP715" s="752"/>
      <c r="AQ715" s="752">
        <v>20</v>
      </c>
      <c r="AR715" s="752"/>
      <c r="AS715" s="752" t="s">
        <v>57</v>
      </c>
      <c r="AT715" s="752"/>
      <c r="AU715" s="752" t="s">
        <v>302</v>
      </c>
      <c r="AV715" s="752"/>
      <c r="AW715" s="752">
        <v>100</v>
      </c>
      <c r="AX715" s="752"/>
      <c r="AY715" s="752">
        <v>100</v>
      </c>
      <c r="AZ715" s="752"/>
      <c r="BA715" s="752" t="s">
        <v>59</v>
      </c>
      <c r="BB715" s="752"/>
      <c r="BC715" s="752" t="s">
        <v>51</v>
      </c>
      <c r="BD715" s="752"/>
      <c r="BE715" s="752" t="s">
        <v>53</v>
      </c>
      <c r="BF715" s="752"/>
    </row>
    <row r="716" spans="2:58" ht="16" thickBot="1" x14ac:dyDescent="0.25">
      <c r="B716" s="156"/>
      <c r="C716" s="156" t="s">
        <v>60</v>
      </c>
      <c r="D716" s="283"/>
      <c r="E716" s="271" t="s">
        <v>61</v>
      </c>
      <c r="F716" s="271" t="s">
        <v>62</v>
      </c>
      <c r="G716" s="752">
        <v>151</v>
      </c>
      <c r="H716" s="752"/>
      <c r="I716" s="752">
        <v>167.99</v>
      </c>
      <c r="J716" s="752"/>
      <c r="K716" s="752">
        <v>144.99</v>
      </c>
      <c r="L716" s="752"/>
      <c r="M716" s="760">
        <v>169.99</v>
      </c>
      <c r="N716" s="760"/>
      <c r="O716" s="760">
        <v>274.99</v>
      </c>
      <c r="P716" s="760"/>
      <c r="Q716" s="760">
        <v>135</v>
      </c>
      <c r="R716" s="760"/>
      <c r="S716" s="752">
        <v>910.5</v>
      </c>
      <c r="T716" s="752"/>
      <c r="U716" s="752">
        <v>460.75</v>
      </c>
      <c r="V716" s="752"/>
      <c r="W716" s="752">
        <v>1048.95</v>
      </c>
      <c r="X716" s="752"/>
      <c r="Y716" s="752">
        <v>772.8</v>
      </c>
      <c r="Z716" s="752"/>
      <c r="AA716" s="752">
        <v>3450</v>
      </c>
      <c r="AB716" s="752"/>
      <c r="AC716" s="760">
        <v>99.99</v>
      </c>
      <c r="AD716" s="760"/>
      <c r="AE716" s="752">
        <v>29.99</v>
      </c>
      <c r="AF716" s="752"/>
      <c r="AG716" s="752">
        <v>548</v>
      </c>
      <c r="AH716" s="752"/>
      <c r="AI716" s="752">
        <v>4.99</v>
      </c>
      <c r="AJ716" s="752"/>
      <c r="AK716" s="752">
        <v>132.25</v>
      </c>
      <c r="AL716" s="752"/>
      <c r="AM716" s="752">
        <v>47.99</v>
      </c>
      <c r="AN716" s="752"/>
      <c r="AO716" s="752">
        <v>560</v>
      </c>
      <c r="AP716" s="752"/>
      <c r="AQ716" s="752">
        <v>560</v>
      </c>
      <c r="AR716" s="752"/>
      <c r="AS716" s="752">
        <v>613.5</v>
      </c>
      <c r="AT716" s="752"/>
      <c r="AU716" s="752">
        <v>313.89999999999998</v>
      </c>
      <c r="AV716" s="752"/>
      <c r="AW716" s="752">
        <v>405.8</v>
      </c>
      <c r="AX716" s="752"/>
      <c r="AY716" s="752">
        <v>218.99</v>
      </c>
      <c r="AZ716" s="752"/>
      <c r="BA716" s="752">
        <v>24.99</v>
      </c>
      <c r="BB716" s="752"/>
      <c r="BC716" s="752">
        <v>1425</v>
      </c>
      <c r="BD716" s="752"/>
      <c r="BE716" s="752">
        <v>54.99</v>
      </c>
      <c r="BF716" s="752"/>
    </row>
    <row r="717" spans="2:58" ht="16" thickBot="1" x14ac:dyDescent="0.25">
      <c r="B717" s="272">
        <v>45740</v>
      </c>
      <c r="C717" s="274">
        <v>91.99</v>
      </c>
      <c r="D717" s="276"/>
      <c r="E717" s="278" t="s">
        <v>411</v>
      </c>
      <c r="F717" s="278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  <c r="AA717" s="271"/>
      <c r="AB717" s="271"/>
      <c r="AC717" s="271"/>
      <c r="AD717" s="271"/>
      <c r="AE717" s="271"/>
      <c r="AF717" s="271"/>
      <c r="AG717" s="271"/>
      <c r="AH717" s="271"/>
      <c r="AI717" s="271"/>
      <c r="AJ717" s="271"/>
      <c r="AK717" s="271"/>
      <c r="AL717" s="271"/>
      <c r="AM717" s="271"/>
      <c r="AN717" s="271"/>
      <c r="AO717" s="271"/>
      <c r="AP717" s="271"/>
      <c r="AQ717" s="271"/>
      <c r="AR717" s="271"/>
      <c r="AS717" s="271"/>
      <c r="AT717" s="271"/>
      <c r="AU717" s="271"/>
      <c r="AV717" s="271"/>
      <c r="AW717" s="271"/>
      <c r="AX717" s="271"/>
      <c r="AY717" s="271"/>
      <c r="AZ717" s="271"/>
      <c r="BA717" s="271"/>
      <c r="BB717" s="271"/>
      <c r="BC717" s="271"/>
      <c r="BD717" s="271"/>
      <c r="BE717" s="271"/>
      <c r="BF717" s="271"/>
    </row>
    <row r="718" spans="2:58" ht="16" thickBot="1" x14ac:dyDescent="0.25">
      <c r="B718" s="660"/>
      <c r="C718" s="275">
        <v>301.13</v>
      </c>
      <c r="D718" s="661"/>
      <c r="E718" s="303" t="s">
        <v>279</v>
      </c>
      <c r="F718" s="303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  <c r="AA718" s="271"/>
      <c r="AB718" s="271"/>
      <c r="AC718" s="271"/>
      <c r="AD718" s="271"/>
      <c r="AE718" s="271"/>
      <c r="AF718" s="271"/>
      <c r="AG718" s="271"/>
      <c r="AH718" s="271"/>
      <c r="AI718" s="271"/>
      <c r="AJ718" s="271"/>
      <c r="AK718" s="271"/>
      <c r="AL718" s="271"/>
      <c r="AM718" s="271"/>
      <c r="AN718" s="271"/>
      <c r="AO718" s="271"/>
      <c r="AP718" s="271"/>
      <c r="AQ718" s="271"/>
      <c r="AR718" s="271"/>
      <c r="AS718" s="271"/>
      <c r="AT718" s="271"/>
      <c r="AU718" s="271"/>
      <c r="AV718" s="271"/>
      <c r="AW718" s="271"/>
      <c r="AX718" s="271"/>
      <c r="AY718" s="271"/>
      <c r="AZ718" s="271"/>
      <c r="BA718" s="271"/>
      <c r="BB718" s="271"/>
      <c r="BC718" s="271"/>
      <c r="BD718" s="271"/>
      <c r="BE718" s="271"/>
      <c r="BF718" s="271"/>
    </row>
    <row r="719" spans="2:58" ht="16" thickBot="1" x14ac:dyDescent="0.25">
      <c r="B719" s="660"/>
      <c r="C719" s="275">
        <v>404.91</v>
      </c>
      <c r="D719" s="661"/>
      <c r="E719" s="303"/>
      <c r="F719" s="303" t="s">
        <v>14</v>
      </c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  <c r="AA719" s="271"/>
      <c r="AB719" s="271"/>
      <c r="AC719" s="271"/>
      <c r="AD719" s="271"/>
      <c r="AE719" s="271">
        <v>9</v>
      </c>
      <c r="AF719" s="271">
        <v>404.91</v>
      </c>
      <c r="AG719" s="271"/>
      <c r="AH719" s="271"/>
      <c r="AI719" s="271"/>
      <c r="AJ719" s="271"/>
      <c r="AK719" s="271"/>
      <c r="AL719" s="271"/>
      <c r="AM719" s="271"/>
      <c r="AN719" s="271"/>
      <c r="AO719" s="271"/>
      <c r="AP719" s="271"/>
      <c r="AQ719" s="271"/>
      <c r="AR719" s="271"/>
      <c r="AS719" s="271"/>
      <c r="AT719" s="271"/>
      <c r="AU719" s="271"/>
      <c r="AV719" s="271"/>
      <c r="AW719" s="271"/>
      <c r="AX719" s="271"/>
      <c r="AY719" s="271"/>
      <c r="AZ719" s="271"/>
      <c r="BA719" s="271"/>
      <c r="BB719" s="271"/>
      <c r="BC719" s="271"/>
      <c r="BD719" s="271"/>
      <c r="BE719" s="271"/>
      <c r="BF719" s="271"/>
    </row>
    <row r="720" spans="2:58" ht="16" thickBot="1" x14ac:dyDescent="0.25">
      <c r="B720" s="660"/>
      <c r="C720" s="275">
        <v>7646.45</v>
      </c>
      <c r="D720" s="661"/>
      <c r="E720" s="303"/>
      <c r="F720" s="303" t="s">
        <v>9</v>
      </c>
      <c r="G720" s="271">
        <v>9</v>
      </c>
      <c r="H720" s="271">
        <v>1259.9100000000001</v>
      </c>
      <c r="I720" s="271">
        <v>2</v>
      </c>
      <c r="J720" s="271">
        <v>419.98</v>
      </c>
      <c r="K720" s="271">
        <v>8</v>
      </c>
      <c r="L720" s="271">
        <v>1455.92</v>
      </c>
      <c r="M720" s="271">
        <v>10</v>
      </c>
      <c r="N720" s="271">
        <v>1719.9</v>
      </c>
      <c r="O720" s="271">
        <v>15</v>
      </c>
      <c r="P720" s="271">
        <v>1874.85</v>
      </c>
      <c r="Q720" s="271"/>
      <c r="R720" s="271"/>
      <c r="S720" s="271"/>
      <c r="T720" s="271"/>
      <c r="U720" s="271"/>
      <c r="V720" s="271"/>
      <c r="W720" s="271">
        <v>2</v>
      </c>
      <c r="X720" s="271">
        <v>85.98</v>
      </c>
      <c r="Y720" s="271"/>
      <c r="Z720" s="271"/>
      <c r="AA720" s="271"/>
      <c r="AB720" s="271"/>
      <c r="AC720" s="271">
        <v>7</v>
      </c>
      <c r="AD720" s="271">
        <v>692.93</v>
      </c>
      <c r="AE720" s="271"/>
      <c r="AF720" s="271"/>
      <c r="AG720" s="271"/>
      <c r="AH720" s="271"/>
      <c r="AI720" s="271"/>
      <c r="AJ720" s="271"/>
      <c r="AK720" s="271"/>
      <c r="AL720" s="271"/>
      <c r="AM720" s="271">
        <v>1</v>
      </c>
      <c r="AN720" s="271">
        <v>49.99</v>
      </c>
      <c r="AO720" s="271"/>
      <c r="AP720" s="271"/>
      <c r="AQ720" s="271"/>
      <c r="AR720" s="271"/>
      <c r="AS720" s="271"/>
      <c r="AT720" s="271"/>
      <c r="AU720" s="271"/>
      <c r="AV720" s="271"/>
      <c r="AW720" s="271"/>
      <c r="AX720" s="271"/>
      <c r="AY720" s="271"/>
      <c r="AZ720" s="271"/>
      <c r="BA720" s="271">
        <v>1</v>
      </c>
      <c r="BB720" s="271">
        <v>26.99</v>
      </c>
      <c r="BC720" s="271"/>
      <c r="BD720" s="271"/>
      <c r="BE720" s="271"/>
      <c r="BF720" s="271"/>
    </row>
    <row r="721" spans="2:58" ht="16" thickBot="1" x14ac:dyDescent="0.25">
      <c r="B721" s="660"/>
      <c r="C721" s="275">
        <v>16974</v>
      </c>
      <c r="D721" s="661"/>
      <c r="E721" s="303"/>
      <c r="F721" s="303" t="s">
        <v>6</v>
      </c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>
        <v>4</v>
      </c>
      <c r="T721" s="271">
        <v>3174</v>
      </c>
      <c r="U721" s="271">
        <v>15</v>
      </c>
      <c r="V721" s="271">
        <v>7935</v>
      </c>
      <c r="W721" s="271"/>
      <c r="X721" s="271"/>
      <c r="Y721" s="271"/>
      <c r="Z721" s="271"/>
      <c r="AA721" s="271">
        <v>1</v>
      </c>
      <c r="AB721" s="271">
        <v>4025</v>
      </c>
      <c r="AC721" s="271"/>
      <c r="AD721" s="271"/>
      <c r="AE721" s="271"/>
      <c r="AF721" s="271"/>
      <c r="AG721" s="271"/>
      <c r="AH721" s="271"/>
      <c r="AI721" s="271"/>
      <c r="AJ721" s="271"/>
      <c r="AK721" s="271"/>
      <c r="AL721" s="271"/>
      <c r="AM721" s="271"/>
      <c r="AN721" s="271"/>
      <c r="AO721" s="271"/>
      <c r="AP721" s="271"/>
      <c r="AQ721" s="271"/>
      <c r="AR721" s="271"/>
      <c r="AS721" s="271"/>
      <c r="AT721" s="271"/>
      <c r="AU721" s="271"/>
      <c r="AV721" s="271"/>
      <c r="AW721" s="271"/>
      <c r="AX721" s="271"/>
      <c r="AY721" s="271"/>
      <c r="AZ721" s="271"/>
      <c r="BA721" s="271"/>
      <c r="BB721" s="271"/>
      <c r="BC721" s="271"/>
      <c r="BD721" s="271"/>
      <c r="BE721" s="271"/>
      <c r="BF721" s="271"/>
    </row>
    <row r="722" spans="2:58" ht="16" thickBot="1" x14ac:dyDescent="0.25">
      <c r="B722" s="681" t="s">
        <v>20</v>
      </c>
      <c r="C722" s="275"/>
      <c r="D722" s="277"/>
      <c r="E722" s="279"/>
      <c r="F722" s="279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  <c r="AA722" s="271"/>
      <c r="AB722" s="271"/>
      <c r="AC722" s="271"/>
      <c r="AD722" s="271"/>
      <c r="AE722" s="271"/>
      <c r="AF722" s="271"/>
      <c r="AG722" s="271"/>
      <c r="AH722" s="271"/>
      <c r="AI722" s="271"/>
      <c r="AJ722" s="271"/>
      <c r="AK722" s="271"/>
      <c r="AL722" s="271"/>
      <c r="AM722" s="271"/>
      <c r="AN722" s="271"/>
      <c r="AO722" s="271"/>
      <c r="AP722" s="271"/>
      <c r="AQ722" s="271"/>
      <c r="AR722" s="271"/>
      <c r="AS722" s="271"/>
      <c r="AT722" s="271"/>
      <c r="AU722" s="271"/>
      <c r="AV722" s="271"/>
      <c r="AW722" s="271"/>
      <c r="AX722" s="271"/>
      <c r="AY722" s="271"/>
      <c r="AZ722" s="271"/>
      <c r="BA722" s="271"/>
      <c r="BB722" s="271"/>
      <c r="BC722" s="271"/>
      <c r="BD722" s="271"/>
      <c r="BE722" s="271"/>
      <c r="BF722" s="271"/>
    </row>
    <row r="723" spans="2:58" ht="16" thickBot="1" x14ac:dyDescent="0.25">
      <c r="B723" s="479"/>
      <c r="C723" s="680">
        <f>SUM(C717:C722)</f>
        <v>25418.48</v>
      </c>
      <c r="D723" s="159"/>
      <c r="E723" s="270"/>
      <c r="F723" s="281"/>
      <c r="G723" s="309"/>
      <c r="H723" s="310"/>
      <c r="I723" s="309"/>
      <c r="J723" s="310"/>
      <c r="K723" s="309"/>
      <c r="L723" s="310"/>
      <c r="M723" s="309"/>
      <c r="N723" s="310"/>
      <c r="O723" s="271"/>
      <c r="P723" s="271"/>
      <c r="Q723" s="310"/>
      <c r="R723" s="310"/>
      <c r="S723" s="309"/>
      <c r="T723" s="310"/>
      <c r="U723" s="309"/>
      <c r="V723" s="310"/>
      <c r="W723" s="309"/>
      <c r="X723" s="310"/>
      <c r="Y723" s="309"/>
      <c r="Z723" s="310"/>
      <c r="AA723" s="309"/>
      <c r="AB723" s="310"/>
      <c r="AC723" s="271"/>
      <c r="AD723" s="271"/>
      <c r="AE723" s="309"/>
      <c r="AF723" s="310"/>
      <c r="AG723" s="309"/>
      <c r="AH723" s="310"/>
      <c r="AI723" s="309"/>
      <c r="AJ723" s="310"/>
      <c r="AK723" s="309"/>
      <c r="AL723" s="310"/>
      <c r="AM723" s="309"/>
      <c r="AN723" s="310"/>
      <c r="AO723" s="309"/>
      <c r="AP723" s="310"/>
      <c r="AQ723" s="309"/>
      <c r="AR723" s="310"/>
      <c r="AS723" s="309"/>
      <c r="AT723" s="310"/>
      <c r="AU723" s="309"/>
      <c r="AV723" s="310"/>
      <c r="AW723" s="309"/>
      <c r="AX723" s="310"/>
      <c r="AY723" s="309"/>
      <c r="AZ723" s="310"/>
      <c r="BA723" s="271"/>
      <c r="BB723" s="271"/>
      <c r="BC723" s="271"/>
      <c r="BD723" s="271"/>
      <c r="BE723" s="271"/>
      <c r="BF723" s="271"/>
    </row>
    <row r="724" spans="2:58" ht="16" thickBot="1" x14ac:dyDescent="0.25">
      <c r="B724" s="289">
        <v>45741</v>
      </c>
      <c r="C724" s="275">
        <f>1299.61+500+162</f>
        <v>1961.61</v>
      </c>
      <c r="D724" s="277"/>
      <c r="E724" s="279" t="s">
        <v>498</v>
      </c>
      <c r="F724" s="279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  <c r="AA724" s="271"/>
      <c r="AB724" s="271"/>
      <c r="AC724" s="271"/>
      <c r="AD724" s="271"/>
      <c r="AE724" s="271"/>
      <c r="AF724" s="271"/>
      <c r="AG724" s="271"/>
      <c r="AH724" s="271"/>
      <c r="AI724" s="271"/>
      <c r="AJ724" s="271"/>
      <c r="AK724" s="271"/>
      <c r="AL724" s="271"/>
      <c r="AM724" s="271"/>
      <c r="AN724" s="271"/>
      <c r="AO724" s="271"/>
      <c r="AP724" s="271"/>
      <c r="AQ724" s="271"/>
      <c r="AR724" s="271"/>
      <c r="AS724" s="271"/>
      <c r="AT724" s="271"/>
      <c r="AU724" s="271"/>
      <c r="AV724" s="271"/>
      <c r="AW724" s="271"/>
      <c r="AX724" s="271"/>
      <c r="AY724" s="271"/>
      <c r="AZ724" s="271"/>
      <c r="BA724" s="271"/>
      <c r="BB724" s="271"/>
      <c r="BC724" s="271"/>
      <c r="BD724" s="271"/>
      <c r="BE724" s="271"/>
      <c r="BF724" s="271"/>
    </row>
    <row r="725" spans="2:58" ht="16" thickBot="1" x14ac:dyDescent="0.25">
      <c r="B725" s="289"/>
      <c r="C725" s="139">
        <v>50</v>
      </c>
      <c r="E725" s="575" t="s">
        <v>377</v>
      </c>
      <c r="F725" s="279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  <c r="AA725" s="271"/>
      <c r="AB725" s="271"/>
      <c r="AC725" s="271"/>
      <c r="AD725" s="271"/>
      <c r="AE725" s="271"/>
      <c r="AF725" s="271"/>
      <c r="AG725" s="271"/>
      <c r="AH725" s="271"/>
      <c r="AI725" s="271"/>
      <c r="AJ725" s="271"/>
      <c r="AK725" s="271"/>
      <c r="AL725" s="271"/>
      <c r="AM725" s="271"/>
      <c r="AN725" s="271"/>
      <c r="AO725" s="271"/>
      <c r="AP725" s="271"/>
      <c r="AQ725" s="271"/>
      <c r="AR725" s="271"/>
      <c r="AS725" s="271"/>
      <c r="AT725" s="271"/>
      <c r="AU725" s="271"/>
      <c r="AV725" s="271"/>
      <c r="AW725" s="271"/>
      <c r="AX725" s="271"/>
      <c r="AY725" s="271"/>
      <c r="AZ725" s="271"/>
      <c r="BA725" s="271"/>
      <c r="BB725" s="271"/>
      <c r="BC725" s="271"/>
      <c r="BD725" s="271"/>
      <c r="BE725" s="271"/>
      <c r="BF725" s="271"/>
    </row>
    <row r="726" spans="2:58" ht="16" thickBot="1" x14ac:dyDescent="0.25">
      <c r="B726" s="289"/>
      <c r="C726" s="4">
        <v>256</v>
      </c>
      <c r="E726" s="142" t="s">
        <v>334</v>
      </c>
      <c r="F726" s="279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  <c r="AA726" s="271"/>
      <c r="AB726" s="271"/>
      <c r="AC726" s="271"/>
      <c r="AD726" s="271"/>
      <c r="AE726" s="271"/>
      <c r="AF726" s="271"/>
      <c r="AG726" s="271"/>
      <c r="AH726" s="271"/>
      <c r="AI726" s="271"/>
      <c r="AJ726" s="271"/>
      <c r="AK726" s="271"/>
      <c r="AL726" s="271"/>
      <c r="AM726" s="271"/>
      <c r="AN726" s="271"/>
      <c r="AO726" s="271"/>
      <c r="AP726" s="271"/>
      <c r="AQ726" s="271"/>
      <c r="AR726" s="271"/>
      <c r="AS726" s="271"/>
      <c r="AT726" s="271"/>
      <c r="AU726" s="271"/>
      <c r="AV726" s="271"/>
      <c r="AW726" s="271"/>
      <c r="AX726" s="271"/>
      <c r="AY726" s="271"/>
      <c r="AZ726" s="271"/>
      <c r="BA726" s="271"/>
      <c r="BB726" s="271"/>
      <c r="BC726" s="271"/>
      <c r="BD726" s="271"/>
      <c r="BE726" s="271"/>
      <c r="BF726" s="271"/>
    </row>
    <row r="727" spans="2:58" ht="16" thickBot="1" x14ac:dyDescent="0.25">
      <c r="B727" s="289"/>
      <c r="C727" s="146">
        <v>98</v>
      </c>
      <c r="E727" s="147" t="s">
        <v>411</v>
      </c>
      <c r="F727" s="279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  <c r="AA727" s="271"/>
      <c r="AB727" s="271"/>
      <c r="AC727" s="271"/>
      <c r="AD727" s="271"/>
      <c r="AE727" s="271"/>
      <c r="AF727" s="271"/>
      <c r="AG727" s="271"/>
      <c r="AH727" s="271"/>
      <c r="AI727" s="271"/>
      <c r="AJ727" s="271"/>
      <c r="AK727" s="271"/>
      <c r="AL727" s="271"/>
      <c r="AM727" s="271"/>
      <c r="AN727" s="271"/>
      <c r="AO727" s="271"/>
      <c r="AP727" s="271"/>
      <c r="AQ727" s="271"/>
      <c r="AR727" s="271"/>
      <c r="AS727" s="271"/>
      <c r="AT727" s="271"/>
      <c r="AU727" s="271"/>
      <c r="AV727" s="271"/>
      <c r="AW727" s="271"/>
      <c r="AX727" s="271"/>
      <c r="AY727" s="271"/>
      <c r="AZ727" s="271"/>
      <c r="BA727" s="271"/>
      <c r="BB727" s="271"/>
      <c r="BC727" s="271"/>
      <c r="BD727" s="271"/>
      <c r="BE727" s="271"/>
      <c r="BF727" s="271"/>
    </row>
    <row r="728" spans="2:58" ht="16" thickBot="1" x14ac:dyDescent="0.25">
      <c r="B728" s="289"/>
      <c r="C728" s="4">
        <v>480</v>
      </c>
      <c r="E728" s="142" t="s">
        <v>396</v>
      </c>
      <c r="F728" s="279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  <c r="AA728" s="271"/>
      <c r="AB728" s="271"/>
      <c r="AC728" s="271"/>
      <c r="AD728" s="271"/>
      <c r="AE728" s="271"/>
      <c r="AF728" s="271"/>
      <c r="AG728" s="271"/>
      <c r="AH728" s="271"/>
      <c r="AI728" s="271"/>
      <c r="AJ728" s="271"/>
      <c r="AK728" s="271"/>
      <c r="AL728" s="271"/>
      <c r="AM728" s="271"/>
      <c r="AN728" s="271"/>
      <c r="AO728" s="271"/>
      <c r="AP728" s="271"/>
      <c r="AQ728" s="271"/>
      <c r="AR728" s="271"/>
      <c r="AS728" s="271"/>
      <c r="AT728" s="271"/>
      <c r="AU728" s="271"/>
      <c r="AV728" s="271"/>
      <c r="AW728" s="271"/>
      <c r="AX728" s="271"/>
      <c r="AY728" s="271"/>
      <c r="AZ728" s="271"/>
      <c r="BA728" s="271"/>
      <c r="BB728" s="271"/>
      <c r="BC728" s="271"/>
      <c r="BD728" s="271"/>
      <c r="BE728" s="271"/>
      <c r="BF728" s="271"/>
    </row>
    <row r="729" spans="2:58" ht="16" thickBot="1" x14ac:dyDescent="0.25">
      <c r="B729" s="289"/>
      <c r="C729" s="4">
        <v>575</v>
      </c>
      <c r="E729" s="142"/>
      <c r="F729" s="279" t="s">
        <v>777</v>
      </c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  <c r="AA729" s="271"/>
      <c r="AB729" s="271"/>
      <c r="AC729" s="271"/>
      <c r="AD729" s="271"/>
      <c r="AE729" s="271"/>
      <c r="AF729" s="271"/>
      <c r="AG729" s="271">
        <v>1</v>
      </c>
      <c r="AH729" s="271">
        <v>575</v>
      </c>
      <c r="AI729" s="271"/>
      <c r="AJ729" s="271"/>
      <c r="AK729" s="271"/>
      <c r="AL729" s="271"/>
      <c r="AM729" s="271"/>
      <c r="AN729" s="271"/>
      <c r="AO729" s="271"/>
      <c r="AP729" s="271"/>
      <c r="AQ729" s="271"/>
      <c r="AR729" s="271"/>
      <c r="AS729" s="271"/>
      <c r="AT729" s="271"/>
      <c r="AU729" s="271"/>
      <c r="AV729" s="271"/>
      <c r="AW729" s="271"/>
      <c r="AX729" s="271"/>
      <c r="AY729" s="271"/>
      <c r="AZ729" s="271"/>
      <c r="BA729" s="271"/>
      <c r="BB729" s="271"/>
      <c r="BC729" s="271"/>
      <c r="BD729" s="271"/>
      <c r="BE729" s="271"/>
      <c r="BF729" s="271"/>
    </row>
    <row r="730" spans="2:58" ht="16" thickBot="1" x14ac:dyDescent="0.25">
      <c r="B730" s="289"/>
      <c r="C730" s="275">
        <v>600</v>
      </c>
      <c r="D730" s="277"/>
      <c r="E730" s="279"/>
      <c r="F730" s="279" t="s">
        <v>17</v>
      </c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  <c r="AA730" s="271"/>
      <c r="AB730" s="271"/>
      <c r="AC730" s="271"/>
      <c r="AD730" s="271"/>
      <c r="AE730" s="271"/>
      <c r="AF730" s="271"/>
      <c r="AG730" s="271"/>
      <c r="AH730" s="271"/>
      <c r="AI730" s="271"/>
      <c r="AJ730" s="271"/>
      <c r="AK730" s="271"/>
      <c r="AL730" s="271"/>
      <c r="AM730" s="271"/>
      <c r="AN730" s="271"/>
      <c r="AO730" s="271">
        <v>20</v>
      </c>
      <c r="AP730" s="271">
        <v>300</v>
      </c>
      <c r="AQ730" s="271">
        <v>20</v>
      </c>
      <c r="AR730" s="271">
        <v>300</v>
      </c>
      <c r="AS730" s="271"/>
      <c r="AT730" s="271"/>
      <c r="AU730" s="271"/>
      <c r="AV730" s="271"/>
      <c r="AW730" s="271"/>
      <c r="AX730" s="271"/>
      <c r="AY730" s="271"/>
      <c r="AZ730" s="271"/>
      <c r="BA730" s="271"/>
      <c r="BB730" s="271"/>
      <c r="BC730" s="271"/>
      <c r="BD730" s="271"/>
      <c r="BE730" s="271"/>
      <c r="BF730" s="271"/>
    </row>
    <row r="731" spans="2:58" ht="16" thickBot="1" x14ac:dyDescent="0.25">
      <c r="B731" s="289"/>
      <c r="C731" s="275">
        <v>404.91</v>
      </c>
      <c r="D731" s="277"/>
      <c r="E731" s="279"/>
      <c r="F731" s="279" t="s">
        <v>14</v>
      </c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  <c r="AA731" s="271"/>
      <c r="AB731" s="271"/>
      <c r="AC731" s="271"/>
      <c r="AD731" s="271"/>
      <c r="AE731" s="271">
        <v>9</v>
      </c>
      <c r="AF731" s="271">
        <v>404.91</v>
      </c>
      <c r="AG731" s="271"/>
      <c r="AH731" s="271"/>
      <c r="AI731" s="271"/>
      <c r="AJ731" s="271"/>
      <c r="AK731" s="271"/>
      <c r="AL731" s="271"/>
      <c r="AM731" s="271"/>
      <c r="AN731" s="271"/>
      <c r="AO731" s="271"/>
      <c r="AP731" s="271"/>
      <c r="AQ731" s="271"/>
      <c r="AR731" s="271"/>
      <c r="AS731" s="271"/>
      <c r="AT731" s="271"/>
      <c r="AU731" s="271"/>
      <c r="AV731" s="271"/>
      <c r="AW731" s="271"/>
      <c r="AX731" s="271"/>
      <c r="AY731" s="271"/>
      <c r="AZ731" s="271"/>
      <c r="BA731" s="271"/>
      <c r="BB731" s="271"/>
      <c r="BC731" s="271"/>
      <c r="BD731" s="271"/>
      <c r="BE731" s="271"/>
      <c r="BF731" s="271"/>
    </row>
    <row r="732" spans="2:58" ht="16" thickBot="1" x14ac:dyDescent="0.25">
      <c r="B732" s="289"/>
      <c r="C732" s="275">
        <v>1327.8</v>
      </c>
      <c r="D732" s="277"/>
      <c r="E732" s="279"/>
      <c r="F732" s="279" t="s">
        <v>11</v>
      </c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  <c r="AA732" s="271"/>
      <c r="AB732" s="271"/>
      <c r="AC732" s="271"/>
      <c r="AD732" s="271"/>
      <c r="AE732" s="271"/>
      <c r="AF732" s="271"/>
      <c r="AG732" s="271"/>
      <c r="AH732" s="271"/>
      <c r="AI732" s="271"/>
      <c r="AJ732" s="271"/>
      <c r="AK732" s="271">
        <v>5</v>
      </c>
      <c r="AL732" s="271">
        <v>849.75</v>
      </c>
      <c r="AM732" s="271"/>
      <c r="AN732" s="271"/>
      <c r="AO732" s="271"/>
      <c r="AP732" s="271"/>
      <c r="AQ732" s="271"/>
      <c r="AR732" s="271"/>
      <c r="AS732" s="271"/>
      <c r="AT732" s="271"/>
      <c r="AU732" s="271"/>
      <c r="AV732" s="271"/>
      <c r="AW732" s="271"/>
      <c r="AX732" s="271"/>
      <c r="AY732" s="271"/>
      <c r="AZ732" s="271"/>
      <c r="BA732" s="271"/>
      <c r="BB732" s="271"/>
      <c r="BC732" s="271"/>
      <c r="BD732" s="271"/>
      <c r="BE732" s="271"/>
      <c r="BF732" s="271"/>
    </row>
    <row r="733" spans="2:58" ht="16" thickBot="1" x14ac:dyDescent="0.25">
      <c r="B733" s="289" t="s">
        <v>90</v>
      </c>
      <c r="C733" s="275">
        <v>8418.33</v>
      </c>
      <c r="D733" s="277"/>
      <c r="E733" s="279"/>
      <c r="F733" s="279" t="s">
        <v>9</v>
      </c>
      <c r="G733" s="271">
        <v>9</v>
      </c>
      <c r="H733" s="271">
        <v>1259.9100000000001</v>
      </c>
      <c r="I733" s="271">
        <v>2</v>
      </c>
      <c r="J733" s="271">
        <v>419.98</v>
      </c>
      <c r="K733" s="271">
        <v>8</v>
      </c>
      <c r="L733" s="271">
        <v>1455.92</v>
      </c>
      <c r="M733" s="271">
        <v>10</v>
      </c>
      <c r="N733" s="271">
        <v>1719.9</v>
      </c>
      <c r="O733" s="271">
        <v>18</v>
      </c>
      <c r="P733" s="271">
        <v>2249.8200000000002</v>
      </c>
      <c r="Q733" s="271">
        <v>1</v>
      </c>
      <c r="R733" s="271">
        <v>144.99</v>
      </c>
      <c r="S733" s="271"/>
      <c r="T733" s="271"/>
      <c r="U733" s="271"/>
      <c r="V733" s="271"/>
      <c r="W733" s="271">
        <v>6</v>
      </c>
      <c r="X733" s="271">
        <v>257.94</v>
      </c>
      <c r="Y733" s="271"/>
      <c r="Z733" s="271"/>
      <c r="AA733" s="271"/>
      <c r="AB733" s="271"/>
      <c r="AC733" s="271">
        <v>5</v>
      </c>
      <c r="AD733" s="271">
        <v>494.95</v>
      </c>
      <c r="AE733" s="271"/>
      <c r="AF733" s="271"/>
      <c r="AG733" s="271"/>
      <c r="AH733" s="271"/>
      <c r="AI733" s="271"/>
      <c r="AJ733" s="271"/>
      <c r="AK733" s="271"/>
      <c r="AL733" s="271"/>
      <c r="AM733" s="271"/>
      <c r="AN733" s="271"/>
      <c r="AO733" s="271"/>
      <c r="AP733" s="271"/>
      <c r="AQ733" s="271"/>
      <c r="AR733" s="271"/>
      <c r="AS733" s="271"/>
      <c r="AT733" s="271"/>
      <c r="AU733" s="271"/>
      <c r="AV733" s="271"/>
      <c r="AW733" s="271"/>
      <c r="AX733" s="271"/>
      <c r="AY733" s="271"/>
      <c r="AZ733" s="271"/>
      <c r="BA733" s="271">
        <v>1</v>
      </c>
      <c r="BB733" s="271">
        <v>26.99</v>
      </c>
      <c r="BC733" s="271"/>
      <c r="BD733" s="271"/>
      <c r="BE733" s="271">
        <v>1</v>
      </c>
      <c r="BF733" s="271">
        <v>75.989999999999995</v>
      </c>
    </row>
    <row r="734" spans="2:58" ht="16" thickBot="1" x14ac:dyDescent="0.25">
      <c r="B734" s="292"/>
      <c r="C734" s="159">
        <f>SUM(C724:C733)</f>
        <v>14171.65</v>
      </c>
      <c r="D734" s="159"/>
      <c r="E734" s="270"/>
      <c r="F734" s="281"/>
      <c r="G734" s="309"/>
      <c r="H734" s="310"/>
      <c r="I734" s="309"/>
      <c r="J734" s="310"/>
      <c r="K734" s="309"/>
      <c r="L734" s="310"/>
      <c r="M734" s="309"/>
      <c r="N734" s="310"/>
      <c r="O734" s="271"/>
      <c r="P734" s="271"/>
      <c r="Q734" s="310"/>
      <c r="R734" s="310"/>
      <c r="S734" s="309"/>
      <c r="T734" s="310"/>
      <c r="U734" s="309"/>
      <c r="V734" s="310"/>
      <c r="W734" s="309"/>
      <c r="X734" s="310"/>
      <c r="Y734" s="309"/>
      <c r="Z734" s="310"/>
      <c r="AA734" s="309"/>
      <c r="AB734" s="310"/>
      <c r="AC734" s="271"/>
      <c r="AD734" s="271"/>
      <c r="AE734" s="309"/>
      <c r="AF734" s="310"/>
      <c r="AG734" s="309"/>
      <c r="AH734" s="310"/>
      <c r="AI734" s="309"/>
      <c r="AJ734" s="310"/>
      <c r="AK734" s="309"/>
      <c r="AL734" s="310"/>
      <c r="AM734" s="309"/>
      <c r="AN734" s="310"/>
      <c r="AO734" s="309"/>
      <c r="AP734" s="310"/>
      <c r="AQ734" s="309"/>
      <c r="AR734" s="310"/>
      <c r="AS734" s="309"/>
      <c r="AT734" s="310"/>
      <c r="AU734" s="309"/>
      <c r="AV734" s="310"/>
      <c r="AW734" s="309"/>
      <c r="AX734" s="310"/>
      <c r="AY734" s="309"/>
      <c r="AZ734" s="310"/>
      <c r="BA734" s="271"/>
      <c r="BB734" s="271"/>
      <c r="BC734" s="271"/>
      <c r="BD734" s="271"/>
      <c r="BE734" s="271"/>
      <c r="BF734" s="271"/>
    </row>
    <row r="735" spans="2:58" ht="16" thickBot="1" x14ac:dyDescent="0.25">
      <c r="B735" s="289">
        <v>45742</v>
      </c>
      <c r="C735" s="275">
        <v>800</v>
      </c>
      <c r="D735" s="277"/>
      <c r="E735" s="279" t="s">
        <v>186</v>
      </c>
      <c r="F735" s="279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  <c r="AA735" s="271"/>
      <c r="AB735" s="271"/>
      <c r="AC735" s="271"/>
      <c r="AD735" s="271"/>
      <c r="AE735" s="271"/>
      <c r="AF735" s="271"/>
      <c r="AG735" s="271"/>
      <c r="AH735" s="271"/>
      <c r="AI735" s="271"/>
      <c r="AJ735" s="271"/>
      <c r="AK735" s="271"/>
      <c r="AL735" s="271"/>
      <c r="AM735" s="271"/>
      <c r="AN735" s="271"/>
      <c r="AO735" s="271"/>
      <c r="AP735" s="271"/>
      <c r="AQ735" s="271"/>
      <c r="AR735" s="271"/>
      <c r="AS735" s="271"/>
      <c r="AT735" s="271"/>
      <c r="AU735" s="271"/>
      <c r="AV735" s="271"/>
      <c r="AW735" s="271"/>
      <c r="AX735" s="271"/>
      <c r="AY735" s="271"/>
      <c r="AZ735" s="271"/>
      <c r="BA735" s="271"/>
      <c r="BB735" s="271"/>
      <c r="BC735" s="271"/>
      <c r="BD735" s="271"/>
      <c r="BE735" s="271"/>
      <c r="BF735" s="271"/>
    </row>
    <row r="736" spans="2:58" ht="16" thickBot="1" x14ac:dyDescent="0.25">
      <c r="B736" s="288" t="s">
        <v>22</v>
      </c>
      <c r="C736" s="287"/>
      <c r="D736" s="290"/>
      <c r="E736" s="290"/>
      <c r="F736" s="296"/>
      <c r="G736" s="309"/>
      <c r="H736" s="310"/>
      <c r="I736" s="309"/>
      <c r="J736" s="310"/>
      <c r="K736" s="309"/>
      <c r="L736" s="310"/>
      <c r="M736" s="309"/>
      <c r="N736" s="310"/>
      <c r="O736" s="271"/>
      <c r="P736" s="271"/>
      <c r="Q736" s="309"/>
      <c r="R736" s="310"/>
      <c r="S736" s="309"/>
      <c r="T736" s="310"/>
      <c r="U736" s="309"/>
      <c r="V736" s="310"/>
      <c r="W736" s="309"/>
      <c r="X736" s="310"/>
      <c r="Y736" s="309"/>
      <c r="Z736" s="310"/>
      <c r="AA736" s="309"/>
      <c r="AB736" s="310"/>
      <c r="AC736" s="271"/>
      <c r="AD736" s="271"/>
      <c r="AE736" s="309"/>
      <c r="AF736" s="310"/>
      <c r="AG736" s="309"/>
      <c r="AH736" s="310"/>
      <c r="AI736" s="309"/>
      <c r="AJ736" s="310"/>
      <c r="AK736" s="309"/>
      <c r="AL736" s="310"/>
      <c r="AM736" s="309"/>
      <c r="AN736" s="310"/>
      <c r="AO736" s="309"/>
      <c r="AP736" s="310"/>
      <c r="AQ736" s="309"/>
      <c r="AR736" s="310"/>
      <c r="AS736" s="309"/>
      <c r="AT736" s="310"/>
      <c r="AU736" s="309"/>
      <c r="AV736" s="310"/>
      <c r="AW736" s="309"/>
      <c r="AX736" s="310"/>
      <c r="AY736" s="309"/>
      <c r="AZ736" s="310"/>
      <c r="BA736" s="271"/>
      <c r="BB736" s="271"/>
      <c r="BC736" s="271"/>
      <c r="BD736" s="271"/>
      <c r="BE736" s="271"/>
      <c r="BF736" s="271"/>
    </row>
    <row r="737" spans="2:58" ht="16" thickBot="1" x14ac:dyDescent="0.25">
      <c r="B737" s="292"/>
      <c r="C737" s="159">
        <f>SUM(C735:C736)</f>
        <v>800</v>
      </c>
      <c r="D737" s="159"/>
      <c r="E737" s="270"/>
      <c r="F737" s="297"/>
      <c r="G737" s="309"/>
      <c r="H737" s="310"/>
      <c r="I737" s="309"/>
      <c r="J737" s="310"/>
      <c r="K737" s="309"/>
      <c r="L737" s="310"/>
      <c r="M737" s="309"/>
      <c r="N737" s="310"/>
      <c r="O737" s="271"/>
      <c r="P737" s="271"/>
      <c r="Q737" s="310"/>
      <c r="R737" s="310"/>
      <c r="S737" s="309"/>
      <c r="T737" s="310"/>
      <c r="U737" s="309"/>
      <c r="V737" s="310"/>
      <c r="W737" s="309"/>
      <c r="X737" s="310"/>
      <c r="Y737" s="309"/>
      <c r="Z737" s="310"/>
      <c r="AA737" s="309"/>
      <c r="AB737" s="310"/>
      <c r="AC737" s="271"/>
      <c r="AD737" s="271"/>
      <c r="AE737" s="309"/>
      <c r="AF737" s="310"/>
      <c r="AG737" s="309"/>
      <c r="AH737" s="310"/>
      <c r="AI737" s="309"/>
      <c r="AJ737" s="310"/>
      <c r="AK737" s="309"/>
      <c r="AL737" s="310"/>
      <c r="AM737" s="309"/>
      <c r="AN737" s="310"/>
      <c r="AO737" s="309"/>
      <c r="AP737" s="310"/>
      <c r="AQ737" s="309"/>
      <c r="AR737" s="310"/>
      <c r="AS737" s="309"/>
      <c r="AT737" s="310"/>
      <c r="AU737" s="309"/>
      <c r="AV737" s="310"/>
      <c r="AW737" s="309"/>
      <c r="AX737" s="310"/>
      <c r="AY737" s="309"/>
      <c r="AZ737" s="310"/>
      <c r="BA737" s="271"/>
      <c r="BB737" s="271"/>
      <c r="BC737" s="271"/>
      <c r="BD737" s="271"/>
      <c r="BE737" s="271"/>
      <c r="BF737" s="271"/>
    </row>
    <row r="738" spans="2:58" ht="16" thickBot="1" x14ac:dyDescent="0.25">
      <c r="B738" s="289">
        <v>45743</v>
      </c>
      <c r="C738" s="295">
        <v>850</v>
      </c>
      <c r="D738" s="275"/>
      <c r="E738" s="274" t="s">
        <v>663</v>
      </c>
      <c r="F738" s="301"/>
      <c r="G738" s="309"/>
      <c r="H738" s="310"/>
      <c r="I738" s="309"/>
      <c r="J738" s="310"/>
      <c r="K738" s="309"/>
      <c r="L738" s="310"/>
      <c r="M738" s="309"/>
      <c r="N738" s="310"/>
      <c r="O738" s="271"/>
      <c r="P738" s="271"/>
      <c r="Q738" s="309"/>
      <c r="R738" s="310"/>
      <c r="S738" s="309"/>
      <c r="T738" s="310"/>
      <c r="U738" s="309"/>
      <c r="V738" s="310"/>
      <c r="W738" s="309"/>
      <c r="X738" s="310"/>
      <c r="Y738" s="309"/>
      <c r="Z738" s="310"/>
      <c r="AA738" s="309"/>
      <c r="AB738" s="310"/>
      <c r="AC738" s="271"/>
      <c r="AD738" s="271"/>
      <c r="AE738" s="309"/>
      <c r="AF738" s="310"/>
      <c r="AG738" s="309"/>
      <c r="AH738" s="310"/>
      <c r="AI738" s="309"/>
      <c r="AJ738" s="310"/>
      <c r="AK738" s="309"/>
      <c r="AL738" s="310"/>
      <c r="AM738" s="309"/>
      <c r="AN738" s="310"/>
      <c r="AO738" s="309"/>
      <c r="AP738" s="310"/>
      <c r="AQ738" s="309"/>
      <c r="AR738" s="310"/>
      <c r="AS738" s="309"/>
      <c r="AT738" s="310"/>
      <c r="AU738" s="309"/>
      <c r="AV738" s="310"/>
      <c r="AW738" s="309"/>
      <c r="AX738" s="310"/>
      <c r="AY738" s="309"/>
      <c r="AZ738" s="310"/>
      <c r="BA738" s="271"/>
      <c r="BB738" s="271"/>
      <c r="BC738" s="271"/>
      <c r="BD738" s="271"/>
      <c r="BE738" s="271"/>
      <c r="BF738" s="271"/>
    </row>
    <row r="739" spans="2:58" ht="16" thickBot="1" x14ac:dyDescent="0.25">
      <c r="B739" s="289"/>
      <c r="C739" s="295">
        <v>404.91</v>
      </c>
      <c r="D739" s="275"/>
      <c r="E739" s="275"/>
      <c r="F739" s="302" t="s">
        <v>14</v>
      </c>
      <c r="G739" s="309"/>
      <c r="H739" s="310"/>
      <c r="I739" s="309"/>
      <c r="J739" s="310"/>
      <c r="K739" s="309"/>
      <c r="L739" s="310"/>
      <c r="M739" s="309"/>
      <c r="N739" s="310"/>
      <c r="O739" s="271"/>
      <c r="P739" s="271"/>
      <c r="Q739" s="309"/>
      <c r="R739" s="310"/>
      <c r="S739" s="309"/>
      <c r="T739" s="310"/>
      <c r="U739" s="309"/>
      <c r="V739" s="310"/>
      <c r="W739" s="309"/>
      <c r="X739" s="310"/>
      <c r="Y739" s="309"/>
      <c r="Z739" s="310"/>
      <c r="AA739" s="309"/>
      <c r="AB739" s="310"/>
      <c r="AC739" s="271"/>
      <c r="AD739" s="271"/>
      <c r="AE739" s="309">
        <v>9</v>
      </c>
      <c r="AF739" s="310">
        <v>404.91</v>
      </c>
      <c r="AG739" s="309"/>
      <c r="AH739" s="310"/>
      <c r="AI739" s="309"/>
      <c r="AJ739" s="310"/>
      <c r="AK739" s="309"/>
      <c r="AL739" s="310"/>
      <c r="AM739" s="309"/>
      <c r="AN739" s="310"/>
      <c r="AO739" s="309"/>
      <c r="AP739" s="310"/>
      <c r="AQ739" s="309"/>
      <c r="AR739" s="310"/>
      <c r="AS739" s="309"/>
      <c r="AT739" s="310"/>
      <c r="AU739" s="309"/>
      <c r="AV739" s="310"/>
      <c r="AW739" s="309"/>
      <c r="AX739" s="310"/>
      <c r="AY739" s="309"/>
      <c r="AZ739" s="310"/>
      <c r="BA739" s="271"/>
      <c r="BB739" s="271"/>
      <c r="BC739" s="271"/>
      <c r="BD739" s="271"/>
      <c r="BE739" s="271"/>
      <c r="BF739" s="271"/>
    </row>
    <row r="740" spans="2:58" ht="16" thickBot="1" x14ac:dyDescent="0.25">
      <c r="B740" s="289"/>
      <c r="C740" s="295">
        <v>7935.61</v>
      </c>
      <c r="D740" s="275"/>
      <c r="E740" s="275"/>
      <c r="F740" s="302" t="s">
        <v>9</v>
      </c>
      <c r="G740" s="309">
        <v>9</v>
      </c>
      <c r="H740" s="310">
        <v>1232.9100000000001</v>
      </c>
      <c r="I740" s="309">
        <v>3</v>
      </c>
      <c r="J740" s="310">
        <v>629.97</v>
      </c>
      <c r="K740" s="309">
        <v>6</v>
      </c>
      <c r="L740" s="310">
        <v>1091.94</v>
      </c>
      <c r="M740" s="309">
        <v>10</v>
      </c>
      <c r="N740" s="310">
        <v>1719.9</v>
      </c>
      <c r="O740" s="271">
        <v>18</v>
      </c>
      <c r="P740" s="271">
        <v>2250</v>
      </c>
      <c r="Q740" s="309">
        <v>1</v>
      </c>
      <c r="R740" s="310">
        <v>144.99</v>
      </c>
      <c r="S740" s="309"/>
      <c r="T740" s="310"/>
      <c r="U740" s="309"/>
      <c r="V740" s="310"/>
      <c r="W740" s="309">
        <v>2</v>
      </c>
      <c r="X740" s="310">
        <v>85.98</v>
      </c>
      <c r="Y740" s="309"/>
      <c r="Z740" s="310"/>
      <c r="AA740" s="309"/>
      <c r="AB740" s="310"/>
      <c r="AC740" s="271">
        <v>7</v>
      </c>
      <c r="AD740" s="271">
        <v>692.93</v>
      </c>
      <c r="AE740" s="309"/>
      <c r="AF740" s="310"/>
      <c r="AG740" s="309"/>
      <c r="AH740" s="310"/>
      <c r="AI740" s="309"/>
      <c r="AJ740" s="310"/>
      <c r="AK740" s="309"/>
      <c r="AL740" s="310"/>
      <c r="AM740" s="309"/>
      <c r="AN740" s="310"/>
      <c r="AO740" s="309"/>
      <c r="AP740" s="310"/>
      <c r="AQ740" s="309"/>
      <c r="AR740" s="310"/>
      <c r="AS740" s="309"/>
      <c r="AT740" s="310"/>
      <c r="AU740" s="309"/>
      <c r="AV740" s="310"/>
      <c r="AW740" s="309"/>
      <c r="AX740" s="310"/>
      <c r="AY740" s="309"/>
      <c r="AZ740" s="310"/>
      <c r="BA740" s="271">
        <v>1</v>
      </c>
      <c r="BB740" s="271">
        <v>26.99</v>
      </c>
      <c r="BC740" s="271"/>
      <c r="BD740" s="271"/>
      <c r="BE740" s="271"/>
      <c r="BF740" s="271"/>
    </row>
    <row r="741" spans="2:58" ht="16" thickBot="1" x14ac:dyDescent="0.25">
      <c r="B741" s="289" t="s">
        <v>23</v>
      </c>
      <c r="C741" s="295">
        <v>7157.54</v>
      </c>
      <c r="D741" s="275"/>
      <c r="E741" s="275"/>
      <c r="F741" s="302" t="s">
        <v>311</v>
      </c>
      <c r="G741" s="309"/>
      <c r="H741" s="310"/>
      <c r="I741" s="309"/>
      <c r="J741" s="310"/>
      <c r="K741" s="309"/>
      <c r="L741" s="310"/>
      <c r="M741" s="309"/>
      <c r="N741" s="310"/>
      <c r="O741" s="271"/>
      <c r="P741" s="271"/>
      <c r="Q741" s="309"/>
      <c r="R741" s="310"/>
      <c r="S741" s="309"/>
      <c r="T741" s="310"/>
      <c r="U741" s="309"/>
      <c r="V741" s="310"/>
      <c r="W741" s="309"/>
      <c r="X741" s="310"/>
      <c r="Y741" s="309"/>
      <c r="Z741" s="310"/>
      <c r="AA741" s="309"/>
      <c r="AB741" s="310"/>
      <c r="AC741" s="271"/>
      <c r="AD741" s="271"/>
      <c r="AE741" s="309"/>
      <c r="AF741" s="310"/>
      <c r="AG741" s="309"/>
      <c r="AH741" s="310"/>
      <c r="AI741" s="309"/>
      <c r="AJ741" s="310"/>
      <c r="AK741" s="309"/>
      <c r="AL741" s="310"/>
      <c r="AM741" s="309"/>
      <c r="AN741" s="310"/>
      <c r="AO741" s="309"/>
      <c r="AP741" s="310"/>
      <c r="AQ741" s="309"/>
      <c r="AR741" s="310"/>
      <c r="AS741" s="309"/>
      <c r="AT741" s="310"/>
      <c r="AU741" s="309"/>
      <c r="AV741" s="310"/>
      <c r="AW741" s="309">
        <v>15</v>
      </c>
      <c r="AX741" s="310">
        <f>7157.54/2</f>
        <v>3578.77</v>
      </c>
      <c r="AY741" s="309">
        <v>15</v>
      </c>
      <c r="AZ741" s="310">
        <v>3578.77</v>
      </c>
      <c r="BA741" s="271"/>
      <c r="BB741" s="271"/>
      <c r="BC741" s="271"/>
      <c r="BD741" s="271"/>
      <c r="BE741" s="271"/>
      <c r="BF741" s="271"/>
    </row>
    <row r="742" spans="2:58" ht="16" thickBot="1" x14ac:dyDescent="0.25">
      <c r="B742" s="298"/>
      <c r="C742" s="656">
        <f>SUM(C738:C741)</f>
        <v>16348.060000000001</v>
      </c>
      <c r="D742" s="656"/>
      <c r="E742" s="578"/>
      <c r="F742" s="553"/>
      <c r="G742" s="309"/>
      <c r="H742" s="310"/>
      <c r="I742" s="309"/>
      <c r="J742" s="310"/>
      <c r="K742" s="309"/>
      <c r="L742" s="310"/>
      <c r="M742" s="309"/>
      <c r="N742" s="310"/>
      <c r="O742" s="271"/>
      <c r="P742" s="271"/>
      <c r="Q742" s="309"/>
      <c r="R742" s="310"/>
      <c r="S742" s="309"/>
      <c r="T742" s="310"/>
      <c r="U742" s="309"/>
      <c r="V742" s="310"/>
      <c r="W742" s="309"/>
      <c r="X742" s="310"/>
      <c r="Y742" s="309"/>
      <c r="Z742" s="310"/>
      <c r="AA742" s="309"/>
      <c r="AB742" s="310"/>
      <c r="AC742" s="271"/>
      <c r="AD742" s="271"/>
      <c r="AE742" s="309"/>
      <c r="AF742" s="310"/>
      <c r="AG742" s="309"/>
      <c r="AH742" s="310"/>
      <c r="AI742" s="309"/>
      <c r="AJ742" s="310"/>
      <c r="AK742" s="309"/>
      <c r="AL742" s="310"/>
      <c r="AM742" s="309"/>
      <c r="AN742" s="310"/>
      <c r="AO742" s="309"/>
      <c r="AP742" s="310"/>
      <c r="AQ742" s="309"/>
      <c r="AR742" s="310"/>
      <c r="AS742" s="309"/>
      <c r="AT742" s="310"/>
      <c r="AU742" s="309"/>
      <c r="AV742" s="310"/>
      <c r="AW742" s="309"/>
      <c r="AX742" s="310"/>
      <c r="AY742" s="309"/>
      <c r="AZ742" s="310"/>
      <c r="BA742" s="271"/>
      <c r="BB742" s="271"/>
      <c r="BC742" s="271"/>
      <c r="BD742" s="271"/>
      <c r="BE742" s="271"/>
      <c r="BF742" s="271"/>
    </row>
    <row r="743" spans="2:58" ht="16" thickBot="1" x14ac:dyDescent="0.25">
      <c r="B743" s="479">
        <v>45744</v>
      </c>
      <c r="C743" s="299">
        <v>800</v>
      </c>
      <c r="D743" s="300"/>
      <c r="E743" s="274" t="s">
        <v>186</v>
      </c>
      <c r="F743" s="301"/>
      <c r="G743" s="309"/>
      <c r="H743" s="310"/>
      <c r="I743" s="309"/>
      <c r="J743" s="310"/>
      <c r="K743" s="309"/>
      <c r="L743" s="310"/>
      <c r="M743" s="309"/>
      <c r="N743" s="310"/>
      <c r="O743" s="271"/>
      <c r="P743" s="271"/>
      <c r="Q743" s="309"/>
      <c r="R743" s="310"/>
      <c r="S743" s="309"/>
      <c r="T743" s="310"/>
      <c r="U743" s="309"/>
      <c r="V743" s="310"/>
      <c r="W743" s="309"/>
      <c r="X743" s="310"/>
      <c r="Y743" s="309"/>
      <c r="Z743" s="310"/>
      <c r="AA743" s="309"/>
      <c r="AB743" s="310"/>
      <c r="AC743" s="271"/>
      <c r="AD743" s="271"/>
      <c r="AE743" s="309"/>
      <c r="AF743" s="310"/>
      <c r="AG743" s="309"/>
      <c r="AH743" s="310"/>
      <c r="AI743" s="309"/>
      <c r="AJ743" s="310"/>
      <c r="AK743" s="309"/>
      <c r="AL743" s="310"/>
      <c r="AM743" s="309"/>
      <c r="AN743" s="310"/>
      <c r="AO743" s="309"/>
      <c r="AP743" s="310"/>
      <c r="AQ743" s="309"/>
      <c r="AR743" s="310"/>
      <c r="AS743" s="309"/>
      <c r="AT743" s="310"/>
      <c r="AU743" s="309"/>
      <c r="AV743" s="310"/>
      <c r="AW743" s="309"/>
      <c r="AX743" s="310"/>
      <c r="AY743" s="309"/>
      <c r="AZ743" s="310"/>
      <c r="BA743" s="271"/>
      <c r="BB743" s="271"/>
      <c r="BC743" s="271"/>
      <c r="BD743" s="271"/>
      <c r="BE743" s="271"/>
      <c r="BF743" s="271"/>
    </row>
    <row r="744" spans="2:58" ht="16" thickBot="1" x14ac:dyDescent="0.25">
      <c r="B744" s="479"/>
      <c r="C744" s="299">
        <v>360</v>
      </c>
      <c r="D744" s="300"/>
      <c r="E744" s="275" t="s">
        <v>637</v>
      </c>
      <c r="F744" s="302"/>
      <c r="G744" s="309"/>
      <c r="H744" s="310"/>
      <c r="I744" s="309"/>
      <c r="J744" s="310"/>
      <c r="K744" s="309"/>
      <c r="L744" s="310"/>
      <c r="M744" s="309"/>
      <c r="N744" s="310"/>
      <c r="O744" s="271"/>
      <c r="P744" s="271"/>
      <c r="Q744" s="309"/>
      <c r="R744" s="310"/>
      <c r="S744" s="309"/>
      <c r="T744" s="310"/>
      <c r="U744" s="309"/>
      <c r="V744" s="310"/>
      <c r="W744" s="309"/>
      <c r="X744" s="310"/>
      <c r="Y744" s="309"/>
      <c r="Z744" s="310"/>
      <c r="AA744" s="309"/>
      <c r="AB744" s="310"/>
      <c r="AC744" s="271"/>
      <c r="AD744" s="271"/>
      <c r="AE744" s="309"/>
      <c r="AF744" s="310"/>
      <c r="AG744" s="309"/>
      <c r="AH744" s="310"/>
      <c r="AI744" s="309"/>
      <c r="AJ744" s="310"/>
      <c r="AK744" s="309"/>
      <c r="AL744" s="310"/>
      <c r="AM744" s="309"/>
      <c r="AN744" s="310"/>
      <c r="AO744" s="309"/>
      <c r="AP744" s="310"/>
      <c r="AQ744" s="309"/>
      <c r="AR744" s="310"/>
      <c r="AS744" s="309"/>
      <c r="AT744" s="310"/>
      <c r="AU744" s="309"/>
      <c r="AV744" s="310"/>
      <c r="AW744" s="309"/>
      <c r="AX744" s="310"/>
      <c r="AY744" s="309"/>
      <c r="AZ744" s="310"/>
      <c r="BA744" s="271"/>
      <c r="BB744" s="271"/>
      <c r="BC744" s="271"/>
      <c r="BD744" s="271"/>
      <c r="BE744" s="271"/>
      <c r="BF744" s="271"/>
    </row>
    <row r="745" spans="2:58" ht="16" thickBot="1" x14ac:dyDescent="0.25">
      <c r="B745" s="479"/>
      <c r="C745" s="299">
        <v>4358</v>
      </c>
      <c r="D745" s="300"/>
      <c r="E745" s="275"/>
      <c r="F745" s="302" t="s">
        <v>6</v>
      </c>
      <c r="G745" s="309"/>
      <c r="H745" s="310"/>
      <c r="I745" s="309"/>
      <c r="J745" s="310"/>
      <c r="K745" s="309"/>
      <c r="L745" s="310"/>
      <c r="M745" s="309"/>
      <c r="N745" s="310"/>
      <c r="O745" s="271"/>
      <c r="P745" s="271"/>
      <c r="Q745" s="309"/>
      <c r="R745" s="310"/>
      <c r="S745" s="309"/>
      <c r="T745" s="310"/>
      <c r="U745" s="309"/>
      <c r="V745" s="310"/>
      <c r="W745" s="309"/>
      <c r="X745" s="310"/>
      <c r="Y745" s="309"/>
      <c r="Z745" s="310"/>
      <c r="AA745" s="309">
        <v>1</v>
      </c>
      <c r="AB745" s="310">
        <v>4358</v>
      </c>
      <c r="AC745" s="271"/>
      <c r="AD745" s="271"/>
      <c r="AE745" s="309"/>
      <c r="AF745" s="310"/>
      <c r="AG745" s="309"/>
      <c r="AH745" s="310"/>
      <c r="AI745" s="309"/>
      <c r="AJ745" s="310"/>
      <c r="AK745" s="309"/>
      <c r="AL745" s="310"/>
      <c r="AM745" s="309"/>
      <c r="AN745" s="310"/>
      <c r="AO745" s="309"/>
      <c r="AP745" s="310"/>
      <c r="AQ745" s="309"/>
      <c r="AR745" s="310"/>
      <c r="AS745" s="309"/>
      <c r="AT745" s="310"/>
      <c r="AU745" s="309"/>
      <c r="AV745" s="310"/>
      <c r="AW745" s="309"/>
      <c r="AX745" s="310"/>
      <c r="AY745" s="309"/>
      <c r="AZ745" s="310"/>
      <c r="BA745" s="271"/>
      <c r="BB745" s="271"/>
      <c r="BC745" s="271"/>
      <c r="BD745" s="271"/>
      <c r="BE745" s="271"/>
      <c r="BF745" s="271"/>
    </row>
    <row r="746" spans="2:58" ht="16" thickBot="1" x14ac:dyDescent="0.25">
      <c r="B746" s="479"/>
      <c r="C746" s="299"/>
      <c r="D746" s="300"/>
      <c r="E746" s="275"/>
      <c r="F746" s="302"/>
      <c r="G746" s="309"/>
      <c r="H746" s="310"/>
      <c r="I746" s="309"/>
      <c r="J746" s="310"/>
      <c r="K746" s="309"/>
      <c r="L746" s="310"/>
      <c r="M746" s="309"/>
      <c r="N746" s="310"/>
      <c r="O746" s="271"/>
      <c r="P746" s="271"/>
      <c r="Q746" s="309"/>
      <c r="R746" s="310"/>
      <c r="S746" s="309"/>
      <c r="T746" s="310"/>
      <c r="U746" s="309"/>
      <c r="V746" s="310"/>
      <c r="W746" s="309"/>
      <c r="X746" s="310"/>
      <c r="Y746" s="309"/>
      <c r="Z746" s="310"/>
      <c r="AA746" s="309"/>
      <c r="AB746" s="310"/>
      <c r="AC746" s="271"/>
      <c r="AD746" s="271"/>
      <c r="AE746" s="309"/>
      <c r="AF746" s="310"/>
      <c r="AG746" s="309"/>
      <c r="AH746" s="310"/>
      <c r="AI746" s="309"/>
      <c r="AJ746" s="310"/>
      <c r="AK746" s="309"/>
      <c r="AL746" s="310"/>
      <c r="AM746" s="309"/>
      <c r="AN746" s="310"/>
      <c r="AO746" s="309"/>
      <c r="AP746" s="310"/>
      <c r="AQ746" s="309"/>
      <c r="AR746" s="310"/>
      <c r="AS746" s="309"/>
      <c r="AT746" s="310"/>
      <c r="AU746" s="309"/>
      <c r="AV746" s="310"/>
      <c r="AW746" s="309"/>
      <c r="AX746" s="310"/>
      <c r="AY746" s="309"/>
      <c r="AZ746" s="310"/>
      <c r="BA746" s="271"/>
      <c r="BB746" s="271"/>
      <c r="BC746" s="271"/>
      <c r="BD746" s="271"/>
      <c r="BE746" s="271"/>
      <c r="BF746" s="271"/>
    </row>
    <row r="747" spans="2:58" ht="16" thickBot="1" x14ac:dyDescent="0.25">
      <c r="B747" s="479"/>
      <c r="C747" s="657"/>
      <c r="D747" s="657"/>
      <c r="E747" s="285"/>
      <c r="F747" s="302"/>
      <c r="G747" s="309"/>
      <c r="H747" s="310"/>
      <c r="I747" s="309"/>
      <c r="J747" s="310"/>
      <c r="K747" s="309"/>
      <c r="L747" s="310"/>
      <c r="M747" s="309"/>
      <c r="N747" s="310"/>
      <c r="O747" s="271"/>
      <c r="P747" s="271"/>
      <c r="Q747" s="309"/>
      <c r="R747" s="310"/>
      <c r="S747" s="309"/>
      <c r="T747" s="310"/>
      <c r="U747" s="309"/>
      <c r="V747" s="310"/>
      <c r="W747" s="309"/>
      <c r="X747" s="310"/>
      <c r="Y747" s="309"/>
      <c r="Z747" s="310"/>
      <c r="AA747" s="309"/>
      <c r="AB747" s="310"/>
      <c r="AC747" s="271"/>
      <c r="AD747" s="271"/>
      <c r="AE747" s="309"/>
      <c r="AF747" s="310"/>
      <c r="AG747" s="309"/>
      <c r="AH747" s="310"/>
      <c r="AI747" s="309"/>
      <c r="AJ747" s="310"/>
      <c r="AK747" s="309"/>
      <c r="AL747" s="310"/>
      <c r="AM747" s="309"/>
      <c r="AN747" s="310"/>
      <c r="AO747" s="309"/>
      <c r="AP747" s="310"/>
      <c r="AQ747" s="309"/>
      <c r="AR747" s="310"/>
      <c r="AS747" s="309"/>
      <c r="AT747" s="310"/>
      <c r="AU747" s="309"/>
      <c r="AV747" s="310"/>
      <c r="AW747" s="309"/>
      <c r="AX747" s="310"/>
      <c r="AY747" s="309"/>
      <c r="AZ747" s="310"/>
      <c r="BA747" s="271"/>
      <c r="BB747" s="271"/>
      <c r="BC747" s="271"/>
      <c r="BD747" s="271"/>
      <c r="BE747" s="271"/>
      <c r="BF747" s="271"/>
    </row>
    <row r="748" spans="2:58" ht="16" thickBot="1" x14ac:dyDescent="0.25">
      <c r="B748" s="479" t="s">
        <v>24</v>
      </c>
      <c r="C748" s="299"/>
      <c r="D748" s="300"/>
      <c r="E748" s="275"/>
      <c r="F748" s="302"/>
      <c r="G748" s="309"/>
      <c r="H748" s="310"/>
      <c r="I748" s="309"/>
      <c r="J748" s="310"/>
      <c r="K748" s="309"/>
      <c r="L748" s="310"/>
      <c r="M748" s="309"/>
      <c r="N748" s="310"/>
      <c r="O748" s="271"/>
      <c r="P748" s="271"/>
      <c r="Q748" s="309"/>
      <c r="R748" s="310"/>
      <c r="S748" s="309"/>
      <c r="T748" s="310"/>
      <c r="U748" s="309"/>
      <c r="V748" s="310"/>
      <c r="W748" s="309"/>
      <c r="X748" s="310"/>
      <c r="Y748" s="309"/>
      <c r="Z748" s="310"/>
      <c r="AA748" s="309"/>
      <c r="AB748" s="310"/>
      <c r="AC748" s="271"/>
      <c r="AD748" s="271"/>
      <c r="AE748" s="309"/>
      <c r="AF748" s="310"/>
      <c r="AG748" s="309"/>
      <c r="AH748" s="310"/>
      <c r="AI748" s="309"/>
      <c r="AJ748" s="310"/>
      <c r="AK748" s="309"/>
      <c r="AL748" s="310"/>
      <c r="AM748" s="309"/>
      <c r="AN748" s="310"/>
      <c r="AO748" s="309"/>
      <c r="AP748" s="310"/>
      <c r="AQ748" s="309"/>
      <c r="AR748" s="310"/>
      <c r="AS748" s="309"/>
      <c r="AT748" s="310"/>
      <c r="AU748" s="309"/>
      <c r="AV748" s="310"/>
      <c r="AW748" s="309"/>
      <c r="AX748" s="310"/>
      <c r="AY748" s="309"/>
      <c r="AZ748" s="310"/>
      <c r="BA748" s="271"/>
      <c r="BB748" s="271"/>
      <c r="BC748" s="271"/>
      <c r="BD748" s="271"/>
      <c r="BE748" s="271"/>
      <c r="BF748" s="271"/>
    </row>
    <row r="749" spans="2:58" ht="16" thickBot="1" x14ac:dyDescent="0.25">
      <c r="B749" s="577"/>
      <c r="C749" s="159">
        <f>SUM(C743:C748)</f>
        <v>5518</v>
      </c>
      <c r="D749" s="159"/>
      <c r="E749" s="270"/>
      <c r="F749" s="271"/>
      <c r="G749" s="309"/>
      <c r="H749" s="310"/>
      <c r="I749" s="309"/>
      <c r="J749" s="310"/>
      <c r="K749" s="309"/>
      <c r="L749" s="310"/>
      <c r="M749" s="309"/>
      <c r="N749" s="310"/>
      <c r="O749" s="271"/>
      <c r="P749" s="271"/>
      <c r="Q749" s="309"/>
      <c r="R749" s="310"/>
      <c r="S749" s="309"/>
      <c r="T749" s="310"/>
      <c r="U749" s="309"/>
      <c r="V749" s="310"/>
      <c r="W749" s="309"/>
      <c r="X749" s="310"/>
      <c r="Y749" s="309"/>
      <c r="Z749" s="310"/>
      <c r="AA749" s="309"/>
      <c r="AB749" s="310"/>
      <c r="AC749" s="271"/>
      <c r="AD749" s="271"/>
      <c r="AE749" s="309"/>
      <c r="AF749" s="310"/>
      <c r="AG749" s="309"/>
      <c r="AH749" s="310"/>
      <c r="AI749" s="309"/>
      <c r="AJ749" s="310"/>
      <c r="AK749" s="309"/>
      <c r="AL749" s="310"/>
      <c r="AM749" s="309"/>
      <c r="AN749" s="310"/>
      <c r="AO749" s="309"/>
      <c r="AP749" s="310"/>
      <c r="AQ749" s="309"/>
      <c r="AR749" s="310"/>
      <c r="AS749" s="309"/>
      <c r="AT749" s="310"/>
      <c r="AU749" s="309"/>
      <c r="AV749" s="310"/>
      <c r="AW749" s="309"/>
      <c r="AX749" s="310"/>
      <c r="AY749" s="309"/>
      <c r="AZ749" s="310"/>
      <c r="BA749" s="271"/>
      <c r="BB749" s="271"/>
      <c r="BC749" s="271"/>
      <c r="BD749" s="271"/>
      <c r="BE749" s="271"/>
      <c r="BF749" s="271"/>
    </row>
    <row r="750" spans="2:58" ht="16" thickBot="1" x14ac:dyDescent="0.25">
      <c r="B750" s="289">
        <v>45745</v>
      </c>
      <c r="C750" s="299">
        <v>1500</v>
      </c>
      <c r="D750" s="300"/>
      <c r="E750" s="274" t="s">
        <v>3</v>
      </c>
      <c r="F750" s="302"/>
      <c r="G750" s="309"/>
      <c r="H750" s="310"/>
      <c r="I750" s="309"/>
      <c r="J750" s="310"/>
      <c r="K750" s="309"/>
      <c r="L750" s="310"/>
      <c r="M750" s="309"/>
      <c r="N750" s="310"/>
      <c r="O750" s="271"/>
      <c r="P750" s="271"/>
      <c r="Q750" s="309"/>
      <c r="R750" s="310"/>
      <c r="S750" s="309"/>
      <c r="T750" s="310"/>
      <c r="U750" s="309"/>
      <c r="V750" s="310"/>
      <c r="W750" s="309"/>
      <c r="X750" s="310"/>
      <c r="Y750" s="309"/>
      <c r="Z750" s="310"/>
      <c r="AA750" s="309"/>
      <c r="AB750" s="310"/>
      <c r="AC750" s="271"/>
      <c r="AD750" s="271"/>
      <c r="AE750" s="309"/>
      <c r="AF750" s="310"/>
      <c r="AG750" s="309"/>
      <c r="AH750" s="310"/>
      <c r="AI750" s="309"/>
      <c r="AJ750" s="310"/>
      <c r="AK750" s="309"/>
      <c r="AL750" s="310"/>
      <c r="AM750" s="309"/>
      <c r="AN750" s="310"/>
      <c r="AO750" s="309"/>
      <c r="AP750" s="310"/>
      <c r="AQ750" s="309"/>
      <c r="AR750" s="310"/>
      <c r="AS750" s="309"/>
      <c r="AT750" s="310"/>
      <c r="AU750" s="309"/>
      <c r="AV750" s="310"/>
      <c r="AW750" s="309"/>
      <c r="AX750" s="310"/>
      <c r="AY750" s="309"/>
      <c r="AZ750" s="310"/>
      <c r="BA750" s="271"/>
      <c r="BB750" s="271"/>
      <c r="BC750" s="271"/>
      <c r="BD750" s="271"/>
      <c r="BE750" s="271"/>
      <c r="BF750" s="271"/>
    </row>
    <row r="751" spans="2:58" ht="16" thickBot="1" x14ac:dyDescent="0.25">
      <c r="B751" s="289"/>
      <c r="C751" s="299">
        <v>449.9</v>
      </c>
      <c r="D751" s="300"/>
      <c r="E751" s="275"/>
      <c r="F751" s="302" t="s">
        <v>14</v>
      </c>
      <c r="G751" s="309"/>
      <c r="H751" s="310"/>
      <c r="I751" s="309"/>
      <c r="J751" s="310"/>
      <c r="K751" s="309"/>
      <c r="L751" s="310"/>
      <c r="M751" s="309"/>
      <c r="N751" s="310"/>
      <c r="O751" s="271"/>
      <c r="P751" s="271"/>
      <c r="Q751" s="309"/>
      <c r="R751" s="310"/>
      <c r="S751" s="309"/>
      <c r="T751" s="310"/>
      <c r="U751" s="309"/>
      <c r="V751" s="310"/>
      <c r="W751" s="309"/>
      <c r="X751" s="310"/>
      <c r="Y751" s="309"/>
      <c r="Z751" s="310"/>
      <c r="AA751" s="309"/>
      <c r="AB751" s="310"/>
      <c r="AC751" s="271"/>
      <c r="AD751" s="271"/>
      <c r="AE751" s="309">
        <v>10</v>
      </c>
      <c r="AF751" s="310">
        <v>449.9</v>
      </c>
      <c r="AG751" s="309"/>
      <c r="AH751" s="310"/>
      <c r="AI751" s="309"/>
      <c r="AJ751" s="310"/>
      <c r="AK751" s="309"/>
      <c r="AL751" s="310"/>
      <c r="AM751" s="309"/>
      <c r="AN751" s="310"/>
      <c r="AO751" s="309"/>
      <c r="AP751" s="310"/>
      <c r="AQ751" s="309"/>
      <c r="AR751" s="310"/>
      <c r="AS751" s="309"/>
      <c r="AT751" s="310"/>
      <c r="AU751" s="309"/>
      <c r="AV751" s="310"/>
      <c r="AW751" s="309"/>
      <c r="AX751" s="310"/>
      <c r="AY751" s="309"/>
      <c r="AZ751" s="310"/>
      <c r="BA751" s="271"/>
      <c r="BB751" s="271"/>
      <c r="BC751" s="271"/>
      <c r="BD751" s="271"/>
      <c r="BE751" s="271"/>
      <c r="BF751" s="271"/>
    </row>
    <row r="752" spans="2:58" ht="16" thickBot="1" x14ac:dyDescent="0.25">
      <c r="B752" s="289"/>
      <c r="C752" s="299">
        <v>10379.52</v>
      </c>
      <c r="D752" s="300"/>
      <c r="E752" s="275"/>
      <c r="F752" s="302" t="s">
        <v>9</v>
      </c>
      <c r="G752" s="309">
        <v>12</v>
      </c>
      <c r="H752" s="310">
        <v>1643.88</v>
      </c>
      <c r="I752" s="309">
        <v>3</v>
      </c>
      <c r="J752" s="310">
        <v>614.97</v>
      </c>
      <c r="K752" s="309">
        <v>10</v>
      </c>
      <c r="L752" s="310">
        <v>1819.9</v>
      </c>
      <c r="M752" s="309">
        <v>12</v>
      </c>
      <c r="N752" s="310">
        <v>2054.9699999999998</v>
      </c>
      <c r="O752" s="271">
        <v>8</v>
      </c>
      <c r="P752" s="271">
        <v>3040</v>
      </c>
      <c r="Q752" s="309">
        <v>1</v>
      </c>
      <c r="R752" s="310">
        <v>144.99</v>
      </c>
      <c r="S752" s="309"/>
      <c r="T752" s="310"/>
      <c r="U752" s="309"/>
      <c r="V752" s="310"/>
      <c r="W752" s="309">
        <v>6</v>
      </c>
      <c r="X752" s="310">
        <v>257.94</v>
      </c>
      <c r="Y752" s="309"/>
      <c r="Z752" s="310"/>
      <c r="AA752" s="309"/>
      <c r="AB752" s="310"/>
      <c r="AC752" s="271">
        <v>5</v>
      </c>
      <c r="AD752" s="271">
        <v>494.95</v>
      </c>
      <c r="AE752" s="309"/>
      <c r="AF752" s="310"/>
      <c r="AG752" s="309"/>
      <c r="AH752" s="310"/>
      <c r="AI752" s="309"/>
      <c r="AJ752" s="310"/>
      <c r="AK752" s="309"/>
      <c r="AL752" s="310"/>
      <c r="AM752" s="309">
        <v>1</v>
      </c>
      <c r="AN752" s="310">
        <v>43.99</v>
      </c>
      <c r="AO752" s="309"/>
      <c r="AP752" s="310"/>
      <c r="AQ752" s="309"/>
      <c r="AR752" s="310"/>
      <c r="AS752" s="309"/>
      <c r="AT752" s="310"/>
      <c r="AU752" s="309"/>
      <c r="AV752" s="310"/>
      <c r="AW752" s="309"/>
      <c r="AX752" s="310"/>
      <c r="AY752" s="309"/>
      <c r="AZ752" s="310"/>
      <c r="BA752" s="271">
        <v>2</v>
      </c>
      <c r="BB752" s="271">
        <v>53.98</v>
      </c>
      <c r="BC752" s="271"/>
      <c r="BD752" s="271"/>
      <c r="BE752" s="271"/>
      <c r="BF752" s="271"/>
    </row>
    <row r="753" spans="2:58" ht="16" thickBot="1" x14ac:dyDescent="0.25">
      <c r="B753" s="289"/>
      <c r="C753" s="299">
        <v>16235</v>
      </c>
      <c r="D753" s="300"/>
      <c r="E753" s="275" t="s">
        <v>12</v>
      </c>
      <c r="F753" s="302"/>
      <c r="G753" s="309"/>
      <c r="H753" s="310"/>
      <c r="I753" s="309"/>
      <c r="J753" s="310"/>
      <c r="K753" s="309"/>
      <c r="L753" s="310"/>
      <c r="M753" s="309"/>
      <c r="N753" s="310"/>
      <c r="O753" s="271"/>
      <c r="P753" s="271"/>
      <c r="Q753" s="309"/>
      <c r="R753" s="310"/>
      <c r="S753" s="309"/>
      <c r="T753" s="310"/>
      <c r="U753" s="309"/>
      <c r="V753" s="310"/>
      <c r="W753" s="309"/>
      <c r="X753" s="310"/>
      <c r="Y753" s="309"/>
      <c r="Z753" s="310"/>
      <c r="AA753" s="309"/>
      <c r="AB753" s="310"/>
      <c r="AC753" s="271"/>
      <c r="AD753" s="271"/>
      <c r="AE753" s="309"/>
      <c r="AF753" s="310"/>
      <c r="AG753" s="309"/>
      <c r="AH753" s="310"/>
      <c r="AI753" s="309"/>
      <c r="AJ753" s="310"/>
      <c r="AK753" s="309"/>
      <c r="AL753" s="310"/>
      <c r="AM753" s="309"/>
      <c r="AN753" s="310"/>
      <c r="AO753" s="309"/>
      <c r="AP753" s="310"/>
      <c r="AQ753" s="309"/>
      <c r="AR753" s="310"/>
      <c r="AS753" s="309"/>
      <c r="AT753" s="310"/>
      <c r="AU753" s="309"/>
      <c r="AV753" s="310"/>
      <c r="AW753" s="309"/>
      <c r="AX753" s="310"/>
      <c r="AY753" s="309"/>
      <c r="AZ753" s="310"/>
      <c r="BA753" s="271"/>
      <c r="BB753" s="271"/>
      <c r="BC753" s="271"/>
      <c r="BD753" s="271"/>
      <c r="BE753" s="271"/>
      <c r="BF753" s="271"/>
    </row>
    <row r="754" spans="2:58" ht="16" thickBot="1" x14ac:dyDescent="0.25">
      <c r="B754" s="289"/>
      <c r="C754" s="299"/>
      <c r="D754" s="300"/>
      <c r="E754" s="275"/>
      <c r="F754" s="302"/>
      <c r="G754" s="309"/>
      <c r="H754" s="310"/>
      <c r="I754" s="309"/>
      <c r="J754" s="310"/>
      <c r="K754" s="309"/>
      <c r="L754" s="310"/>
      <c r="M754" s="309"/>
      <c r="N754" s="310"/>
      <c r="O754" s="271"/>
      <c r="P754" s="271"/>
      <c r="Q754" s="309"/>
      <c r="R754" s="310"/>
      <c r="S754" s="309"/>
      <c r="T754" s="310"/>
      <c r="U754" s="309"/>
      <c r="V754" s="310"/>
      <c r="W754" s="309"/>
      <c r="X754" s="310"/>
      <c r="Y754" s="309"/>
      <c r="Z754" s="310"/>
      <c r="AA754" s="309"/>
      <c r="AB754" s="310"/>
      <c r="AC754" s="271"/>
      <c r="AD754" s="271"/>
      <c r="AE754" s="309"/>
      <c r="AF754" s="310"/>
      <c r="AG754" s="309"/>
      <c r="AH754" s="310"/>
      <c r="AI754" s="309"/>
      <c r="AJ754" s="310"/>
      <c r="AK754" s="309"/>
      <c r="AL754" s="310"/>
      <c r="AM754" s="309"/>
      <c r="AN754" s="310"/>
      <c r="AO754" s="309"/>
      <c r="AP754" s="310"/>
      <c r="AQ754" s="309"/>
      <c r="AR754" s="310"/>
      <c r="AS754" s="309"/>
      <c r="AT754" s="310"/>
      <c r="AU754" s="309"/>
      <c r="AV754" s="310"/>
      <c r="AW754" s="309"/>
      <c r="AX754" s="310"/>
      <c r="AY754" s="309"/>
      <c r="AZ754" s="310"/>
      <c r="BA754" s="271"/>
      <c r="BB754" s="271"/>
      <c r="BC754" s="271"/>
      <c r="BD754" s="271"/>
      <c r="BE754" s="271"/>
      <c r="BF754" s="271"/>
    </row>
    <row r="755" spans="2:58" ht="16" thickBot="1" x14ac:dyDescent="0.25">
      <c r="B755" s="289"/>
      <c r="C755" s="299"/>
      <c r="D755" s="300"/>
      <c r="E755" s="275"/>
      <c r="F755" s="302"/>
      <c r="G755" s="309"/>
      <c r="H755" s="310"/>
      <c r="I755" s="309"/>
      <c r="J755" s="310"/>
      <c r="K755" s="309"/>
      <c r="L755" s="310"/>
      <c r="M755" s="309"/>
      <c r="N755" s="310"/>
      <c r="O755" s="271"/>
      <c r="P755" s="271"/>
      <c r="Q755" s="309"/>
      <c r="R755" s="310"/>
      <c r="S755" s="309"/>
      <c r="T755" s="310"/>
      <c r="U755" s="309"/>
      <c r="V755" s="310"/>
      <c r="W755" s="309"/>
      <c r="X755" s="310"/>
      <c r="Y755" s="309"/>
      <c r="Z755" s="310"/>
      <c r="AA755" s="309"/>
      <c r="AB755" s="310"/>
      <c r="AC755" s="271"/>
      <c r="AD755" s="271"/>
      <c r="AE755" s="309"/>
      <c r="AF755" s="310"/>
      <c r="AG755" s="309"/>
      <c r="AH755" s="310"/>
      <c r="AI755" s="309"/>
      <c r="AJ755" s="310"/>
      <c r="AK755" s="309"/>
      <c r="AL755" s="310"/>
      <c r="AM755" s="309"/>
      <c r="AN755" s="310"/>
      <c r="AO755" s="309"/>
      <c r="AP755" s="310"/>
      <c r="AQ755" s="309"/>
      <c r="AR755" s="310"/>
      <c r="AS755" s="309"/>
      <c r="AT755" s="310"/>
      <c r="AU755" s="309"/>
      <c r="AV755" s="310"/>
      <c r="AW755" s="309"/>
      <c r="AX755" s="310"/>
      <c r="AY755" s="309"/>
      <c r="AZ755" s="310"/>
      <c r="BA755" s="271"/>
      <c r="BB755" s="271"/>
      <c r="BC755" s="271"/>
      <c r="BD755" s="271"/>
      <c r="BE755" s="271"/>
      <c r="BF755" s="271"/>
    </row>
    <row r="756" spans="2:58" ht="16" thickBot="1" x14ac:dyDescent="0.25">
      <c r="B756" s="289"/>
      <c r="C756" s="299"/>
      <c r="D756" s="300"/>
      <c r="E756" s="275"/>
      <c r="F756" s="302"/>
      <c r="G756" s="309"/>
      <c r="H756" s="310"/>
      <c r="I756" s="309"/>
      <c r="J756" s="310"/>
      <c r="K756" s="309"/>
      <c r="L756" s="310"/>
      <c r="M756" s="309"/>
      <c r="N756" s="310"/>
      <c r="O756" s="271"/>
      <c r="P756" s="271"/>
      <c r="Q756" s="309"/>
      <c r="R756" s="310"/>
      <c r="S756" s="309"/>
      <c r="T756" s="310"/>
      <c r="U756" s="309"/>
      <c r="V756" s="310"/>
      <c r="W756" s="309"/>
      <c r="X756" s="310"/>
      <c r="Y756" s="309"/>
      <c r="Z756" s="310"/>
      <c r="AA756" s="309"/>
      <c r="AB756" s="310"/>
      <c r="AC756" s="271"/>
      <c r="AD756" s="271"/>
      <c r="AE756" s="309"/>
      <c r="AF756" s="310"/>
      <c r="AG756" s="309"/>
      <c r="AH756" s="310"/>
      <c r="AI756" s="309"/>
      <c r="AJ756" s="310"/>
      <c r="AK756" s="309"/>
      <c r="AL756" s="310"/>
      <c r="AM756" s="309"/>
      <c r="AN756" s="310"/>
      <c r="AO756" s="309"/>
      <c r="AP756" s="310"/>
      <c r="AQ756" s="309"/>
      <c r="AR756" s="310"/>
      <c r="AS756" s="309"/>
      <c r="AT756" s="310"/>
      <c r="AU756" s="309"/>
      <c r="AV756" s="310"/>
      <c r="AW756" s="309"/>
      <c r="AX756" s="310"/>
      <c r="AY756" s="309"/>
      <c r="AZ756" s="310"/>
      <c r="BA756" s="271"/>
      <c r="BB756" s="271"/>
      <c r="BC756" s="271"/>
      <c r="BD756" s="271"/>
      <c r="BE756" s="271"/>
      <c r="BF756" s="271"/>
    </row>
    <row r="757" spans="2:58" ht="16" thickBot="1" x14ac:dyDescent="0.25">
      <c r="B757" s="288" t="s">
        <v>25</v>
      </c>
      <c r="C757" s="284"/>
      <c r="D757" s="291"/>
      <c r="E757" s="290"/>
      <c r="F757" s="293"/>
      <c r="G757" s="309"/>
      <c r="H757" s="310"/>
      <c r="I757" s="309"/>
      <c r="J757" s="310"/>
      <c r="K757" s="309"/>
      <c r="L757" s="310"/>
      <c r="M757" s="309"/>
      <c r="N757" s="310"/>
      <c r="O757" s="271"/>
      <c r="P757" s="271"/>
      <c r="Q757" s="309"/>
      <c r="R757" s="310"/>
      <c r="S757" s="309"/>
      <c r="T757" s="310"/>
      <c r="U757" s="309"/>
      <c r="V757" s="310"/>
      <c r="W757" s="309"/>
      <c r="X757" s="310"/>
      <c r="Y757" s="309"/>
      <c r="Z757" s="310"/>
      <c r="AA757" s="309"/>
      <c r="AB757" s="310"/>
      <c r="AC757" s="271"/>
      <c r="AD757" s="271"/>
      <c r="AE757" s="309"/>
      <c r="AF757" s="310"/>
      <c r="AG757" s="309"/>
      <c r="AH757" s="310"/>
      <c r="AI757" s="309"/>
      <c r="AJ757" s="310"/>
      <c r="AK757" s="309"/>
      <c r="AL757" s="310"/>
      <c r="AM757" s="309"/>
      <c r="AN757" s="310"/>
      <c r="AO757" s="309"/>
      <c r="AP757" s="310"/>
      <c r="AQ757" s="309"/>
      <c r="AR757" s="310"/>
      <c r="AS757" s="309"/>
      <c r="AT757" s="310"/>
      <c r="AU757" s="309"/>
      <c r="AV757" s="310"/>
      <c r="AW757" s="309"/>
      <c r="AX757" s="310"/>
      <c r="AY757" s="309"/>
      <c r="AZ757" s="310"/>
      <c r="BA757" s="271"/>
      <c r="BB757" s="271"/>
      <c r="BC757" s="271"/>
      <c r="BD757" s="271"/>
      <c r="BE757" s="271"/>
      <c r="BF757" s="271"/>
    </row>
    <row r="758" spans="2:58" ht="16" thickBot="1" x14ac:dyDescent="0.25">
      <c r="B758" s="668"/>
      <c r="C758" s="640">
        <f>SUM(C750:C757)</f>
        <v>28564.42</v>
      </c>
      <c r="D758" s="159"/>
      <c r="E758" s="270"/>
      <c r="F758" s="271"/>
      <c r="G758" s="309"/>
      <c r="H758" s="310"/>
      <c r="I758" s="309"/>
      <c r="J758" s="310"/>
      <c r="K758" s="309"/>
      <c r="L758" s="310"/>
      <c r="M758" s="309"/>
      <c r="N758" s="310"/>
      <c r="O758" s="271"/>
      <c r="P758" s="271"/>
      <c r="Q758" s="309"/>
      <c r="R758" s="310"/>
      <c r="S758" s="309"/>
      <c r="T758" s="310"/>
      <c r="U758" s="309"/>
      <c r="V758" s="310"/>
      <c r="W758" s="309"/>
      <c r="X758" s="310"/>
      <c r="Y758" s="309"/>
      <c r="Z758" s="310"/>
      <c r="AA758" s="309"/>
      <c r="AB758" s="310"/>
      <c r="AC758" s="271"/>
      <c r="AD758" s="271"/>
      <c r="AE758" s="309"/>
      <c r="AF758" s="310"/>
      <c r="AG758" s="309"/>
      <c r="AH758" s="310"/>
      <c r="AI758" s="309"/>
      <c r="AJ758" s="310"/>
      <c r="AK758" s="309"/>
      <c r="AL758" s="310"/>
      <c r="AM758" s="309"/>
      <c r="AN758" s="310"/>
      <c r="AO758" s="309"/>
      <c r="AP758" s="310"/>
      <c r="AQ758" s="309"/>
      <c r="AR758" s="310"/>
      <c r="AS758" s="309"/>
      <c r="AT758" s="310"/>
      <c r="AU758" s="309"/>
      <c r="AV758" s="310"/>
      <c r="AW758" s="309"/>
      <c r="AX758" s="310"/>
      <c r="AY758" s="309"/>
      <c r="AZ758" s="310"/>
      <c r="BA758" s="271"/>
      <c r="BB758" s="271"/>
      <c r="BC758" s="271"/>
      <c r="BD758" s="271"/>
      <c r="BE758" s="271"/>
      <c r="BF758" s="271"/>
    </row>
    <row r="759" spans="2:58" ht="16" thickBot="1" x14ac:dyDescent="0.25">
      <c r="B759" s="479">
        <v>45746</v>
      </c>
      <c r="C759" s="657">
        <v>184.98</v>
      </c>
      <c r="D759" s="641"/>
      <c r="E759" s="274" t="s">
        <v>9</v>
      </c>
      <c r="F759" s="301"/>
      <c r="G759" s="550"/>
      <c r="H759" s="310"/>
      <c r="I759" s="309"/>
      <c r="J759" s="310"/>
      <c r="K759" s="309"/>
      <c r="L759" s="310"/>
      <c r="M759" s="309"/>
      <c r="N759" s="310"/>
      <c r="O759" s="271"/>
      <c r="P759" s="271"/>
      <c r="Q759" s="309"/>
      <c r="R759" s="310"/>
      <c r="S759" s="309"/>
      <c r="T759" s="310"/>
      <c r="U759" s="309"/>
      <c r="V759" s="310"/>
      <c r="W759" s="309"/>
      <c r="X759" s="310"/>
      <c r="Y759" s="309"/>
      <c r="Z759" s="310"/>
      <c r="AA759" s="309"/>
      <c r="AB759" s="310"/>
      <c r="AC759" s="271"/>
      <c r="AD759" s="271"/>
      <c r="AE759" s="309"/>
      <c r="AF759" s="310"/>
      <c r="AG759" s="309"/>
      <c r="AH759" s="310"/>
      <c r="AI759" s="309"/>
      <c r="AJ759" s="310"/>
      <c r="AK759" s="309"/>
      <c r="AL759" s="310"/>
      <c r="AM759" s="309"/>
      <c r="AN759" s="310"/>
      <c r="AO759" s="309"/>
      <c r="AP759" s="310"/>
      <c r="AQ759" s="309"/>
      <c r="AR759" s="310"/>
      <c r="AS759" s="309"/>
      <c r="AT759" s="310"/>
      <c r="AU759" s="309"/>
      <c r="AV759" s="310"/>
      <c r="AW759" s="309"/>
      <c r="AX759" s="310"/>
      <c r="AY759" s="309"/>
      <c r="AZ759" s="310"/>
      <c r="BA759" s="271"/>
      <c r="BB759" s="271"/>
      <c r="BC759" s="271"/>
      <c r="BD759" s="271"/>
      <c r="BE759" s="271"/>
      <c r="BF759" s="271"/>
    </row>
    <row r="760" spans="2:58" ht="16" thickBot="1" x14ac:dyDescent="0.25">
      <c r="B760" s="479"/>
      <c r="C760" s="657"/>
      <c r="D760" s="657"/>
      <c r="E760" s="285"/>
      <c r="F760" s="302"/>
      <c r="G760" s="550"/>
      <c r="H760" s="310"/>
      <c r="I760" s="309"/>
      <c r="J760" s="310"/>
      <c r="K760" s="309"/>
      <c r="L760" s="310"/>
      <c r="M760" s="309"/>
      <c r="N760" s="310"/>
      <c r="O760" s="271"/>
      <c r="P760" s="271"/>
      <c r="Q760" s="309"/>
      <c r="R760" s="310"/>
      <c r="S760" s="309"/>
      <c r="T760" s="310"/>
      <c r="U760" s="309"/>
      <c r="V760" s="310"/>
      <c r="W760" s="309"/>
      <c r="X760" s="310"/>
      <c r="Y760" s="309"/>
      <c r="Z760" s="310"/>
      <c r="AA760" s="309"/>
      <c r="AB760" s="310"/>
      <c r="AC760" s="271"/>
      <c r="AD760" s="271"/>
      <c r="AE760" s="309"/>
      <c r="AF760" s="310"/>
      <c r="AG760" s="309"/>
      <c r="AH760" s="310"/>
      <c r="AI760" s="309"/>
      <c r="AJ760" s="310"/>
      <c r="AK760" s="309"/>
      <c r="AL760" s="310"/>
      <c r="AM760" s="309"/>
      <c r="AN760" s="310"/>
      <c r="AO760" s="309"/>
      <c r="AP760" s="310"/>
      <c r="AQ760" s="309"/>
      <c r="AR760" s="310"/>
      <c r="AS760" s="309"/>
      <c r="AT760" s="310"/>
      <c r="AU760" s="309"/>
      <c r="AV760" s="310"/>
      <c r="AW760" s="309"/>
      <c r="AX760" s="310"/>
      <c r="AY760" s="309"/>
      <c r="AZ760" s="310"/>
      <c r="BA760" s="271"/>
      <c r="BB760" s="271"/>
      <c r="BC760" s="271"/>
      <c r="BD760" s="271"/>
      <c r="BE760" s="271"/>
      <c r="BF760" s="271"/>
    </row>
    <row r="761" spans="2:58" ht="16" thickBot="1" x14ac:dyDescent="0.25">
      <c r="B761" s="479"/>
      <c r="C761" s="657"/>
      <c r="D761" s="657"/>
      <c r="E761" s="285"/>
      <c r="F761" s="302"/>
      <c r="G761" s="550"/>
      <c r="H761" s="310"/>
      <c r="I761" s="309"/>
      <c r="J761" s="310"/>
      <c r="K761" s="309"/>
      <c r="L761" s="310"/>
      <c r="M761" s="309"/>
      <c r="N761" s="310"/>
      <c r="O761" s="271"/>
      <c r="P761" s="271"/>
      <c r="Q761" s="309"/>
      <c r="R761" s="310"/>
      <c r="S761" s="309"/>
      <c r="T761" s="310"/>
      <c r="U761" s="309"/>
      <c r="V761" s="310"/>
      <c r="W761" s="309"/>
      <c r="X761" s="310"/>
      <c r="Y761" s="309"/>
      <c r="Z761" s="310"/>
      <c r="AA761" s="309"/>
      <c r="AB761" s="310"/>
      <c r="AC761" s="271"/>
      <c r="AD761" s="271"/>
      <c r="AE761" s="309"/>
      <c r="AF761" s="310"/>
      <c r="AG761" s="309"/>
      <c r="AH761" s="310"/>
      <c r="AI761" s="309"/>
      <c r="AJ761" s="310"/>
      <c r="AK761" s="309"/>
      <c r="AL761" s="310"/>
      <c r="AM761" s="309"/>
      <c r="AN761" s="310"/>
      <c r="AO761" s="309"/>
      <c r="AP761" s="310"/>
      <c r="AQ761" s="309"/>
      <c r="AR761" s="310"/>
      <c r="AS761" s="309"/>
      <c r="AT761" s="310"/>
      <c r="AU761" s="309"/>
      <c r="AV761" s="310"/>
      <c r="AW761" s="309"/>
      <c r="AX761" s="310"/>
      <c r="AY761" s="309"/>
      <c r="AZ761" s="310"/>
      <c r="BA761" s="271"/>
      <c r="BB761" s="271"/>
      <c r="BC761" s="271"/>
      <c r="BD761" s="271"/>
      <c r="BE761" s="271"/>
      <c r="BF761" s="271"/>
    </row>
    <row r="762" spans="2:58" ht="16" thickBot="1" x14ac:dyDescent="0.25">
      <c r="B762" s="479"/>
      <c r="C762" s="657"/>
      <c r="D762" s="657"/>
      <c r="E762" s="285"/>
      <c r="F762" s="302"/>
      <c r="G762" s="550"/>
      <c r="H762" s="310"/>
      <c r="I762" s="309"/>
      <c r="J762" s="310"/>
      <c r="K762" s="309"/>
      <c r="L762" s="310"/>
      <c r="M762" s="309"/>
      <c r="N762" s="310"/>
      <c r="O762" s="271"/>
      <c r="P762" s="271"/>
      <c r="Q762" s="309"/>
      <c r="R762" s="310"/>
      <c r="S762" s="309"/>
      <c r="T762" s="310"/>
      <c r="U762" s="309"/>
      <c r="V762" s="310"/>
      <c r="W762" s="309"/>
      <c r="X762" s="310"/>
      <c r="Y762" s="309"/>
      <c r="Z762" s="310"/>
      <c r="AA762" s="309"/>
      <c r="AB762" s="310"/>
      <c r="AC762" s="271"/>
      <c r="AD762" s="271"/>
      <c r="AE762" s="309"/>
      <c r="AF762" s="310"/>
      <c r="AG762" s="309"/>
      <c r="AH762" s="310"/>
      <c r="AI762" s="309"/>
      <c r="AJ762" s="310"/>
      <c r="AK762" s="309"/>
      <c r="AL762" s="310"/>
      <c r="AM762" s="309"/>
      <c r="AN762" s="310"/>
      <c r="AO762" s="309"/>
      <c r="AP762" s="310"/>
      <c r="AQ762" s="309"/>
      <c r="AR762" s="310"/>
      <c r="AS762" s="309"/>
      <c r="AT762" s="310"/>
      <c r="AU762" s="309"/>
      <c r="AV762" s="310"/>
      <c r="AW762" s="309"/>
      <c r="AX762" s="310"/>
      <c r="AY762" s="309"/>
      <c r="AZ762" s="310"/>
      <c r="BA762" s="271"/>
      <c r="BB762" s="271"/>
      <c r="BC762" s="271"/>
      <c r="BD762" s="271"/>
      <c r="BE762" s="271"/>
      <c r="BF762" s="271"/>
    </row>
    <row r="763" spans="2:58" ht="16" thickBot="1" x14ac:dyDescent="0.25">
      <c r="B763" s="479"/>
      <c r="C763" s="657"/>
      <c r="D763" s="657"/>
      <c r="E763" s="285"/>
      <c r="F763" s="302"/>
      <c r="G763" s="550"/>
      <c r="H763" s="310"/>
      <c r="I763" s="309"/>
      <c r="J763" s="310"/>
      <c r="K763" s="309"/>
      <c r="L763" s="310"/>
      <c r="M763" s="309"/>
      <c r="N763" s="310"/>
      <c r="O763" s="271"/>
      <c r="P763" s="271"/>
      <c r="Q763" s="309"/>
      <c r="R763" s="310"/>
      <c r="S763" s="309"/>
      <c r="T763" s="310"/>
      <c r="U763" s="309"/>
      <c r="V763" s="310"/>
      <c r="W763" s="309"/>
      <c r="X763" s="310"/>
      <c r="Y763" s="309"/>
      <c r="Z763" s="310"/>
      <c r="AA763" s="309"/>
      <c r="AB763" s="310"/>
      <c r="AC763" s="271"/>
      <c r="AD763" s="271"/>
      <c r="AE763" s="309"/>
      <c r="AF763" s="310"/>
      <c r="AG763" s="309"/>
      <c r="AH763" s="310"/>
      <c r="AI763" s="309"/>
      <c r="AJ763" s="310"/>
      <c r="AK763" s="309"/>
      <c r="AL763" s="310"/>
      <c r="AM763" s="309"/>
      <c r="AN763" s="310"/>
      <c r="AO763" s="309"/>
      <c r="AP763" s="310"/>
      <c r="AQ763" s="309"/>
      <c r="AR763" s="310"/>
      <c r="AS763" s="309"/>
      <c r="AT763" s="310"/>
      <c r="AU763" s="309"/>
      <c r="AV763" s="310"/>
      <c r="AW763" s="309"/>
      <c r="AX763" s="310"/>
      <c r="AY763" s="309"/>
      <c r="AZ763" s="310"/>
      <c r="BA763" s="271"/>
      <c r="BB763" s="271"/>
      <c r="BC763" s="271"/>
      <c r="BD763" s="271"/>
      <c r="BE763" s="271"/>
      <c r="BF763" s="271"/>
    </row>
    <row r="764" spans="2:58" ht="16" thickBot="1" x14ac:dyDescent="0.25">
      <c r="B764" s="479"/>
      <c r="C764" s="657"/>
      <c r="D764" s="657"/>
      <c r="E764" s="285"/>
      <c r="F764" s="302"/>
      <c r="G764" s="550"/>
      <c r="H764" s="310"/>
      <c r="I764" s="309"/>
      <c r="J764" s="310"/>
      <c r="K764" s="309"/>
      <c r="L764" s="310"/>
      <c r="M764" s="309"/>
      <c r="N764" s="310"/>
      <c r="O764" s="271"/>
      <c r="P764" s="271"/>
      <c r="Q764" s="309"/>
      <c r="R764" s="310"/>
      <c r="S764" s="309"/>
      <c r="T764" s="310"/>
      <c r="U764" s="309"/>
      <c r="V764" s="310"/>
      <c r="W764" s="309"/>
      <c r="X764" s="310"/>
      <c r="Y764" s="309"/>
      <c r="Z764" s="310"/>
      <c r="AA764" s="309"/>
      <c r="AB764" s="310"/>
      <c r="AC764" s="271"/>
      <c r="AD764" s="271"/>
      <c r="AE764" s="309"/>
      <c r="AF764" s="310"/>
      <c r="AG764" s="309"/>
      <c r="AH764" s="310"/>
      <c r="AI764" s="309"/>
      <c r="AJ764" s="310"/>
      <c r="AK764" s="309"/>
      <c r="AL764" s="310"/>
      <c r="AM764" s="309"/>
      <c r="AN764" s="310"/>
      <c r="AO764" s="309"/>
      <c r="AP764" s="310"/>
      <c r="AQ764" s="309"/>
      <c r="AR764" s="310"/>
      <c r="AS764" s="309"/>
      <c r="AT764" s="310"/>
      <c r="AU764" s="309"/>
      <c r="AV764" s="310"/>
      <c r="AW764" s="309"/>
      <c r="AX764" s="310"/>
      <c r="AY764" s="309"/>
      <c r="AZ764" s="310"/>
      <c r="BA764" s="271"/>
      <c r="BB764" s="271"/>
      <c r="BC764" s="271"/>
      <c r="BD764" s="271"/>
      <c r="BE764" s="271"/>
      <c r="BF764" s="271"/>
    </row>
    <row r="765" spans="2:58" ht="16" thickBot="1" x14ac:dyDescent="0.25">
      <c r="B765" s="549" t="s">
        <v>26</v>
      </c>
      <c r="C765" s="554"/>
      <c r="D765" s="291"/>
      <c r="E765" s="290"/>
      <c r="F765" s="293"/>
      <c r="G765" s="550"/>
      <c r="H765" s="310"/>
      <c r="I765" s="309"/>
      <c r="J765" s="310"/>
      <c r="K765" s="309"/>
      <c r="L765" s="310"/>
      <c r="M765" s="309"/>
      <c r="N765" s="310"/>
      <c r="O765" s="271"/>
      <c r="P765" s="271"/>
      <c r="Q765" s="309"/>
      <c r="R765" s="310"/>
      <c r="S765" s="309"/>
      <c r="T765" s="310"/>
      <c r="U765" s="309"/>
      <c r="V765" s="310"/>
      <c r="W765" s="309"/>
      <c r="X765" s="310"/>
      <c r="Y765" s="309"/>
      <c r="Z765" s="310"/>
      <c r="AA765" s="309"/>
      <c r="AB765" s="310"/>
      <c r="AC765" s="271"/>
      <c r="AD765" s="271"/>
      <c r="AE765" s="309"/>
      <c r="AF765" s="310"/>
      <c r="AG765" s="309"/>
      <c r="AH765" s="310"/>
      <c r="AI765" s="309"/>
      <c r="AJ765" s="310"/>
      <c r="AK765" s="309"/>
      <c r="AL765" s="310"/>
      <c r="AM765" s="309"/>
      <c r="AN765" s="310"/>
      <c r="AO765" s="309"/>
      <c r="AP765" s="310"/>
      <c r="AQ765" s="309"/>
      <c r="AR765" s="310"/>
      <c r="AS765" s="309"/>
      <c r="AT765" s="310"/>
      <c r="AU765" s="309"/>
      <c r="AV765" s="310"/>
      <c r="AW765" s="309"/>
      <c r="AX765" s="310"/>
      <c r="AY765" s="309"/>
      <c r="AZ765" s="310"/>
      <c r="BA765" s="271"/>
      <c r="BB765" s="271"/>
      <c r="BC765" s="271"/>
      <c r="BD765" s="271"/>
      <c r="BE765" s="271"/>
      <c r="BF765" s="271"/>
    </row>
    <row r="766" spans="2:58" ht="16" thickBot="1" x14ac:dyDescent="0.25">
      <c r="B766" s="292"/>
      <c r="C766" s="551">
        <f>SUM(C759:C765)</f>
        <v>184.98</v>
      </c>
      <c r="D766" s="551"/>
      <c r="E766" s="552"/>
      <c r="F766" s="553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  <c r="AA766" s="271"/>
      <c r="AB766" s="271"/>
      <c r="AC766" s="271"/>
      <c r="AD766" s="271"/>
      <c r="AE766" s="309"/>
      <c r="AF766" s="310"/>
      <c r="AG766" s="309"/>
      <c r="AH766" s="310"/>
      <c r="AI766" s="309"/>
      <c r="AJ766" s="310"/>
      <c r="AK766" s="309"/>
      <c r="AL766" s="310"/>
      <c r="AM766" s="309"/>
      <c r="AN766" s="310"/>
      <c r="AO766" s="309"/>
      <c r="AP766" s="310"/>
      <c r="AQ766" s="309"/>
      <c r="AR766" s="310"/>
      <c r="AS766" s="309"/>
      <c r="AT766" s="310"/>
      <c r="AU766" s="309"/>
      <c r="AV766" s="310"/>
      <c r="AW766" s="309"/>
      <c r="AX766" s="310"/>
      <c r="AY766" s="309"/>
      <c r="AZ766" s="310"/>
      <c r="BA766" s="271"/>
      <c r="BB766" s="271"/>
      <c r="BC766" s="271"/>
      <c r="BD766" s="271"/>
      <c r="BE766" s="271"/>
      <c r="BF766" s="271"/>
    </row>
    <row r="767" spans="2:58" ht="16" thickBot="1" x14ac:dyDescent="0.25">
      <c r="B767" s="761" t="s">
        <v>329</v>
      </c>
      <c r="C767" s="311"/>
      <c r="D767" s="312"/>
      <c r="E767" s="285"/>
      <c r="F767" s="302"/>
      <c r="G767" s="306">
        <f t="shared" ref="G767:AD767" si="24">SUM(G723:G765)</f>
        <v>30</v>
      </c>
      <c r="H767" s="307">
        <f t="shared" si="24"/>
        <v>4136.7000000000007</v>
      </c>
      <c r="I767" s="306">
        <f t="shared" si="24"/>
        <v>8</v>
      </c>
      <c r="J767" s="307">
        <f t="shared" si="24"/>
        <v>1664.92</v>
      </c>
      <c r="K767" s="306">
        <f t="shared" si="24"/>
        <v>24</v>
      </c>
      <c r="L767" s="307">
        <f t="shared" si="24"/>
        <v>4367.76</v>
      </c>
      <c r="M767" s="306">
        <f t="shared" si="24"/>
        <v>32</v>
      </c>
      <c r="N767" s="307">
        <f t="shared" si="24"/>
        <v>5494.77</v>
      </c>
      <c r="O767" s="308">
        <f t="shared" si="24"/>
        <v>44</v>
      </c>
      <c r="P767" s="308">
        <f t="shared" si="24"/>
        <v>7539.82</v>
      </c>
      <c r="Q767" s="306">
        <f t="shared" si="24"/>
        <v>3</v>
      </c>
      <c r="R767" s="307">
        <f t="shared" si="24"/>
        <v>434.97</v>
      </c>
      <c r="S767" s="306">
        <f t="shared" si="24"/>
        <v>0</v>
      </c>
      <c r="T767" s="307">
        <f t="shared" si="24"/>
        <v>0</v>
      </c>
      <c r="U767" s="306">
        <f t="shared" si="24"/>
        <v>0</v>
      </c>
      <c r="V767" s="307">
        <f t="shared" si="24"/>
        <v>0</v>
      </c>
      <c r="W767" s="306">
        <f t="shared" si="24"/>
        <v>14</v>
      </c>
      <c r="X767" s="307">
        <f t="shared" si="24"/>
        <v>601.86</v>
      </c>
      <c r="Y767" s="306">
        <f t="shared" si="24"/>
        <v>0</v>
      </c>
      <c r="Z767" s="307">
        <f t="shared" si="24"/>
        <v>0</v>
      </c>
      <c r="AA767" s="306">
        <f t="shared" si="24"/>
        <v>1</v>
      </c>
      <c r="AB767" s="307">
        <f t="shared" si="24"/>
        <v>4358</v>
      </c>
      <c r="AC767" s="308">
        <f t="shared" si="24"/>
        <v>17</v>
      </c>
      <c r="AD767" s="308">
        <f t="shared" si="24"/>
        <v>1682.83</v>
      </c>
      <c r="AE767" s="306">
        <f t="shared" ref="AE767:BF767" si="25">SUM(AE723:AE766)</f>
        <v>28</v>
      </c>
      <c r="AF767" s="307">
        <f t="shared" si="25"/>
        <v>1259.72</v>
      </c>
      <c r="AG767" s="306">
        <f t="shared" si="25"/>
        <v>1</v>
      </c>
      <c r="AH767" s="307">
        <f t="shared" si="25"/>
        <v>575</v>
      </c>
      <c r="AI767" s="306">
        <f t="shared" si="25"/>
        <v>0</v>
      </c>
      <c r="AJ767" s="307">
        <f t="shared" si="25"/>
        <v>0</v>
      </c>
      <c r="AK767" s="306">
        <f t="shared" si="25"/>
        <v>5</v>
      </c>
      <c r="AL767" s="307">
        <f t="shared" si="25"/>
        <v>849.75</v>
      </c>
      <c r="AM767" s="306">
        <f t="shared" si="25"/>
        <v>1</v>
      </c>
      <c r="AN767" s="307">
        <f t="shared" si="25"/>
        <v>43.99</v>
      </c>
      <c r="AO767" s="306">
        <f t="shared" si="25"/>
        <v>20</v>
      </c>
      <c r="AP767" s="307">
        <f t="shared" si="25"/>
        <v>300</v>
      </c>
      <c r="AQ767" s="306">
        <f t="shared" si="25"/>
        <v>20</v>
      </c>
      <c r="AR767" s="307">
        <f t="shared" si="25"/>
        <v>300</v>
      </c>
      <c r="AS767" s="306">
        <f t="shared" si="25"/>
        <v>0</v>
      </c>
      <c r="AT767" s="307">
        <f t="shared" si="25"/>
        <v>0</v>
      </c>
      <c r="AU767" s="306">
        <f t="shared" si="25"/>
        <v>0</v>
      </c>
      <c r="AV767" s="307">
        <f t="shared" si="25"/>
        <v>0</v>
      </c>
      <c r="AW767" s="306">
        <f t="shared" si="25"/>
        <v>15</v>
      </c>
      <c r="AX767" s="307">
        <f t="shared" si="25"/>
        <v>3578.77</v>
      </c>
      <c r="AY767" s="306">
        <f t="shared" si="25"/>
        <v>15</v>
      </c>
      <c r="AZ767" s="307">
        <f t="shared" si="25"/>
        <v>3578.77</v>
      </c>
      <c r="BA767" s="306">
        <f t="shared" si="25"/>
        <v>4</v>
      </c>
      <c r="BB767" s="307">
        <f t="shared" si="25"/>
        <v>107.96</v>
      </c>
      <c r="BC767" s="306">
        <f t="shared" si="25"/>
        <v>0</v>
      </c>
      <c r="BD767" s="307">
        <f t="shared" si="25"/>
        <v>0</v>
      </c>
      <c r="BE767" s="306">
        <f t="shared" si="25"/>
        <v>1</v>
      </c>
      <c r="BF767" s="307">
        <f t="shared" si="25"/>
        <v>75.989999999999995</v>
      </c>
    </row>
    <row r="768" spans="2:58" ht="16" thickBot="1" x14ac:dyDescent="0.25">
      <c r="B768" s="762"/>
      <c r="C768" s="160">
        <f>SUM(C766,C758,C749,C742,C737,C734,C723)</f>
        <v>91005.589999999982</v>
      </c>
      <c r="D768" s="160"/>
      <c r="E768" s="304"/>
      <c r="F768" s="294"/>
      <c r="G768" s="752" t="s">
        <v>29</v>
      </c>
      <c r="H768" s="752"/>
      <c r="I768" s="752" t="s">
        <v>30</v>
      </c>
      <c r="J768" s="752"/>
      <c r="K768" s="752" t="s">
        <v>31</v>
      </c>
      <c r="L768" s="752"/>
      <c r="M768" s="752" t="s">
        <v>32</v>
      </c>
      <c r="N768" s="752"/>
      <c r="O768" s="752" t="s">
        <v>33</v>
      </c>
      <c r="P768" s="752"/>
      <c r="Q768" s="752" t="s">
        <v>247</v>
      </c>
      <c r="R768" s="752"/>
      <c r="S768" s="752" t="s">
        <v>34</v>
      </c>
      <c r="T768" s="752"/>
      <c r="U768" s="752" t="s">
        <v>35</v>
      </c>
      <c r="V768" s="752"/>
      <c r="W768" s="752" t="s">
        <v>36</v>
      </c>
      <c r="X768" s="752"/>
      <c r="Y768" s="752" t="s">
        <v>37</v>
      </c>
      <c r="Z768" s="752"/>
      <c r="AA768" s="752" t="s">
        <v>38</v>
      </c>
      <c r="AB768" s="752"/>
      <c r="AC768" s="752" t="s">
        <v>39</v>
      </c>
      <c r="AD768" s="752"/>
      <c r="AE768" s="752" t="s">
        <v>40</v>
      </c>
      <c r="AF768" s="752"/>
      <c r="AG768" s="752" t="s">
        <v>41</v>
      </c>
      <c r="AH768" s="752"/>
      <c r="AI768" s="752" t="s">
        <v>42</v>
      </c>
      <c r="AJ768" s="752"/>
      <c r="AK768" s="752" t="s">
        <v>43</v>
      </c>
      <c r="AL768" s="752"/>
      <c r="AM768" s="752" t="s">
        <v>157</v>
      </c>
      <c r="AN768" s="752"/>
      <c r="AO768" s="752" t="s">
        <v>248</v>
      </c>
      <c r="AP768" s="752"/>
      <c r="AQ768" s="752" t="s">
        <v>249</v>
      </c>
      <c r="AR768" s="752"/>
      <c r="AS768" s="752" t="s">
        <v>150</v>
      </c>
      <c r="AT768" s="752"/>
      <c r="AU768" s="752" t="s">
        <v>151</v>
      </c>
      <c r="AV768" s="752"/>
      <c r="AW768" s="752" t="s">
        <v>44</v>
      </c>
      <c r="AX768" s="752"/>
      <c r="AY768" s="752" t="s">
        <v>250</v>
      </c>
      <c r="AZ768" s="752"/>
      <c r="BA768" s="752" t="s">
        <v>45</v>
      </c>
      <c r="BB768" s="752"/>
      <c r="BC768" s="752" t="s">
        <v>46</v>
      </c>
      <c r="BD768" s="752"/>
      <c r="BE768" s="752" t="s">
        <v>92</v>
      </c>
      <c r="BF768" s="752"/>
    </row>
    <row r="769" spans="2:58" ht="16" thickBot="1" x14ac:dyDescent="0.25">
      <c r="B769" s="282"/>
      <c r="C769" s="285"/>
      <c r="D769" s="275"/>
      <c r="E769" s="284"/>
      <c r="F769" s="293"/>
      <c r="G769" s="752" t="s">
        <v>50</v>
      </c>
      <c r="H769" s="752"/>
      <c r="I769" s="752" t="s">
        <v>51</v>
      </c>
      <c r="J769" s="752"/>
      <c r="K769" s="752" t="s">
        <v>51</v>
      </c>
      <c r="L769" s="752"/>
      <c r="M769" s="752" t="s">
        <v>52</v>
      </c>
      <c r="N769" s="752"/>
      <c r="O769" s="752">
        <v>180</v>
      </c>
      <c r="P769" s="752"/>
      <c r="Q769" s="752" t="s">
        <v>53</v>
      </c>
      <c r="R769" s="752"/>
      <c r="S769" s="752" t="s">
        <v>54</v>
      </c>
      <c r="T769" s="752"/>
      <c r="U769" s="752" t="s">
        <v>54</v>
      </c>
      <c r="V769" s="752"/>
      <c r="W769" s="752" t="s">
        <v>55</v>
      </c>
      <c r="X769" s="752"/>
      <c r="Y769" s="752" t="s">
        <v>54</v>
      </c>
      <c r="Z769" s="752"/>
      <c r="AA769" s="752" t="s">
        <v>54</v>
      </c>
      <c r="AB769" s="752"/>
      <c r="AC769" s="752" t="s">
        <v>56</v>
      </c>
      <c r="AD769" s="752"/>
      <c r="AE769" s="752" t="s">
        <v>57</v>
      </c>
      <c r="AF769" s="752"/>
      <c r="AG769" s="752" t="s">
        <v>57</v>
      </c>
      <c r="AH769" s="752"/>
      <c r="AI769" s="752" t="s">
        <v>58</v>
      </c>
      <c r="AJ769" s="752"/>
      <c r="AK769" s="752" t="s">
        <v>300</v>
      </c>
      <c r="AL769" s="752"/>
      <c r="AM769" s="752" t="s">
        <v>301</v>
      </c>
      <c r="AN769" s="752"/>
      <c r="AO769" s="752">
        <v>20</v>
      </c>
      <c r="AP769" s="752"/>
      <c r="AQ769" s="752">
        <v>20</v>
      </c>
      <c r="AR769" s="752"/>
      <c r="AS769" s="752" t="s">
        <v>57</v>
      </c>
      <c r="AT769" s="752"/>
      <c r="AU769" s="752" t="s">
        <v>302</v>
      </c>
      <c r="AV769" s="752"/>
      <c r="AW769" s="752">
        <v>100</v>
      </c>
      <c r="AX769" s="752"/>
      <c r="AY769" s="752">
        <v>100</v>
      </c>
      <c r="AZ769" s="752"/>
      <c r="BA769" s="752" t="s">
        <v>59</v>
      </c>
      <c r="BB769" s="752"/>
      <c r="BC769" s="752" t="s">
        <v>51</v>
      </c>
      <c r="BD769" s="752"/>
      <c r="BE769" s="752" t="s">
        <v>53</v>
      </c>
      <c r="BF769" s="752"/>
    </row>
    <row r="770" spans="2:58" ht="16" thickBot="1" x14ac:dyDescent="0.25">
      <c r="B770" s="162"/>
      <c r="C770" s="286"/>
      <c r="D770" s="273"/>
      <c r="E770" s="280"/>
      <c r="F770" s="305"/>
      <c r="G770" s="752">
        <v>151</v>
      </c>
      <c r="H770" s="752"/>
      <c r="I770" s="752">
        <v>167.99</v>
      </c>
      <c r="J770" s="752"/>
      <c r="K770" s="752">
        <v>144.99</v>
      </c>
      <c r="L770" s="752"/>
      <c r="M770" s="760">
        <v>169.99</v>
      </c>
      <c r="N770" s="760"/>
      <c r="O770" s="760">
        <v>274.99</v>
      </c>
      <c r="P770" s="760"/>
      <c r="Q770" s="760">
        <v>102.99</v>
      </c>
      <c r="R770" s="760"/>
      <c r="S770" s="752">
        <v>910.5</v>
      </c>
      <c r="T770" s="752"/>
      <c r="U770" s="752">
        <v>460.75</v>
      </c>
      <c r="V770" s="752"/>
      <c r="W770" s="752">
        <v>1048.95</v>
      </c>
      <c r="X770" s="752"/>
      <c r="Y770" s="752">
        <v>772.8</v>
      </c>
      <c r="Z770" s="752"/>
      <c r="AA770" s="752">
        <v>3450</v>
      </c>
      <c r="AB770" s="752"/>
      <c r="AC770" s="760">
        <v>89.99</v>
      </c>
      <c r="AD770" s="760"/>
      <c r="AE770" s="752">
        <v>39.99</v>
      </c>
      <c r="AF770" s="752"/>
      <c r="AG770" s="752">
        <v>498</v>
      </c>
      <c r="AH770" s="752"/>
      <c r="AI770" s="752">
        <v>4.99</v>
      </c>
      <c r="AJ770" s="752"/>
      <c r="AK770" s="752">
        <v>132.25</v>
      </c>
      <c r="AL770" s="752"/>
      <c r="AM770" s="752">
        <v>47.99</v>
      </c>
      <c r="AN770" s="752"/>
      <c r="AO770" s="752">
        <v>560</v>
      </c>
      <c r="AP770" s="752"/>
      <c r="AQ770" s="752">
        <v>560</v>
      </c>
      <c r="AR770" s="752"/>
      <c r="AS770" s="752">
        <v>613.5</v>
      </c>
      <c r="AT770" s="752"/>
      <c r="AU770" s="752">
        <v>313.89999999999998</v>
      </c>
      <c r="AV770" s="752"/>
      <c r="AW770" s="752">
        <v>405.8</v>
      </c>
      <c r="AX770" s="752"/>
      <c r="AY770" s="752">
        <v>218.99</v>
      </c>
      <c r="AZ770" s="752"/>
      <c r="BA770" s="752">
        <v>24.99</v>
      </c>
      <c r="BB770" s="752"/>
      <c r="BC770" s="752">
        <v>1425</v>
      </c>
      <c r="BD770" s="752"/>
      <c r="BE770" s="752">
        <v>54.99</v>
      </c>
      <c r="BF770" s="752"/>
    </row>
    <row r="771" spans="2:58" ht="16" thickBot="1" x14ac:dyDescent="0.25">
      <c r="B771" s="162"/>
      <c r="C771" s="753" t="str">
        <f>L771</f>
        <v>24 - 30 MARCH 2025</v>
      </c>
      <c r="D771" s="754"/>
      <c r="E771" s="754"/>
      <c r="F771" s="754"/>
      <c r="G771" s="755"/>
      <c r="H771" s="756"/>
      <c r="I771" s="163"/>
      <c r="J771" s="157"/>
      <c r="K771" s="157"/>
      <c r="L771" s="757" t="str">
        <f>AL771</f>
        <v>24 - 30 MARCH 2025</v>
      </c>
      <c r="M771" s="755"/>
      <c r="N771" s="755"/>
      <c r="O771" s="755"/>
      <c r="P771" s="755"/>
      <c r="Q771" s="755"/>
      <c r="R771" s="755"/>
      <c r="S771" s="755"/>
      <c r="T771" s="756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758"/>
      <c r="AH771" s="758"/>
      <c r="AI771" s="164"/>
      <c r="AJ771" s="157"/>
      <c r="AK771" s="157"/>
      <c r="AL771" s="759" t="str">
        <f>AW771</f>
        <v>24 - 30 MARCH 2025</v>
      </c>
      <c r="AM771" s="759"/>
      <c r="AN771" s="759"/>
      <c r="AO771" s="759"/>
      <c r="AP771" s="157"/>
      <c r="AQ771" s="157"/>
      <c r="AR771" s="157"/>
      <c r="AS771" s="157"/>
      <c r="AT771" s="157"/>
      <c r="AU771" s="157"/>
      <c r="AV771" s="157"/>
      <c r="AW771" s="757" t="str">
        <f>AW713</f>
        <v>24 - 30 MARCH 2025</v>
      </c>
      <c r="AX771" s="755" t="s">
        <v>28</v>
      </c>
      <c r="AY771" s="755"/>
      <c r="AZ771" s="755"/>
      <c r="BA771" s="755"/>
      <c r="BB771" s="755"/>
      <c r="BC771" s="755"/>
      <c r="BD771" s="756"/>
      <c r="BE771" s="157"/>
      <c r="BF771" s="157"/>
    </row>
    <row r="772" spans="2:58" ht="16" thickBot="1" x14ac:dyDescent="0.25"/>
    <row r="773" spans="2:58" ht="16" thickBot="1" x14ac:dyDescent="0.25">
      <c r="B773" s="156" t="s">
        <v>27</v>
      </c>
      <c r="C773" s="753" t="s">
        <v>920</v>
      </c>
      <c r="D773" s="754"/>
      <c r="E773" s="754"/>
      <c r="F773" s="754"/>
      <c r="G773" s="763"/>
      <c r="H773" s="764"/>
      <c r="I773" s="163"/>
      <c r="J773" s="157"/>
      <c r="K773" s="157"/>
      <c r="L773" s="765" t="str">
        <f>C773</f>
        <v>31 MAR - 6 APR 2025</v>
      </c>
      <c r="M773" s="763"/>
      <c r="N773" s="763"/>
      <c r="O773" s="763"/>
      <c r="P773" s="763"/>
      <c r="Q773" s="763"/>
      <c r="R773" s="763"/>
      <c r="S773" s="763"/>
      <c r="T773" s="764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766"/>
      <c r="AH773" s="766"/>
      <c r="AI773" s="753" t="str">
        <f>L773</f>
        <v>31 MAR - 6 APR 2025</v>
      </c>
      <c r="AJ773" s="754"/>
      <c r="AK773" s="754"/>
      <c r="AL773" s="754"/>
      <c r="AM773" s="754"/>
      <c r="AN773" s="754"/>
      <c r="AO773" s="767"/>
      <c r="AP773" s="157"/>
      <c r="AQ773" s="157"/>
      <c r="AR773" s="157"/>
      <c r="AS773" s="157"/>
      <c r="AT773" s="157"/>
      <c r="AU773" s="157"/>
      <c r="AV773" s="157"/>
      <c r="AW773" s="765" t="str">
        <f>AI773</f>
        <v>31 MAR - 6 APR 2025</v>
      </c>
      <c r="AX773" s="763" t="s">
        <v>28</v>
      </c>
      <c r="AY773" s="763"/>
      <c r="AZ773" s="763"/>
      <c r="BA773" s="763"/>
      <c r="BB773" s="763"/>
      <c r="BC773" s="763"/>
      <c r="BD773" s="764"/>
      <c r="BE773" s="157"/>
      <c r="BF773" s="157"/>
    </row>
    <row r="774" spans="2:58" ht="16" thickBot="1" x14ac:dyDescent="0.25">
      <c r="B774" s="158"/>
      <c r="C774" s="161"/>
      <c r="D774" s="161"/>
      <c r="E774" s="157"/>
      <c r="F774" s="157"/>
      <c r="G774" s="752" t="s">
        <v>29</v>
      </c>
      <c r="H774" s="752"/>
      <c r="I774" s="752" t="s">
        <v>30</v>
      </c>
      <c r="J774" s="752"/>
      <c r="K774" s="752" t="s">
        <v>31</v>
      </c>
      <c r="L774" s="752"/>
      <c r="M774" s="752" t="s">
        <v>32</v>
      </c>
      <c r="N774" s="752"/>
      <c r="O774" s="752" t="s">
        <v>33</v>
      </c>
      <c r="P774" s="752"/>
      <c r="Q774" s="752" t="s">
        <v>247</v>
      </c>
      <c r="R774" s="752"/>
      <c r="S774" s="752" t="s">
        <v>34</v>
      </c>
      <c r="T774" s="752"/>
      <c r="U774" s="752" t="s">
        <v>35</v>
      </c>
      <c r="V774" s="752"/>
      <c r="W774" s="752" t="s">
        <v>36</v>
      </c>
      <c r="X774" s="752"/>
      <c r="Y774" s="752" t="s">
        <v>37</v>
      </c>
      <c r="Z774" s="752"/>
      <c r="AA774" s="752" t="s">
        <v>38</v>
      </c>
      <c r="AB774" s="752"/>
      <c r="AC774" s="752" t="s">
        <v>39</v>
      </c>
      <c r="AD774" s="752"/>
      <c r="AE774" s="752" t="s">
        <v>40</v>
      </c>
      <c r="AF774" s="752"/>
      <c r="AG774" s="752" t="s">
        <v>41</v>
      </c>
      <c r="AH774" s="752"/>
      <c r="AI774" s="752" t="s">
        <v>42</v>
      </c>
      <c r="AJ774" s="752"/>
      <c r="AK774" s="752" t="s">
        <v>43</v>
      </c>
      <c r="AL774" s="752"/>
      <c r="AM774" s="752" t="s">
        <v>157</v>
      </c>
      <c r="AN774" s="752"/>
      <c r="AO774" s="752" t="s">
        <v>248</v>
      </c>
      <c r="AP774" s="752"/>
      <c r="AQ774" s="752" t="s">
        <v>249</v>
      </c>
      <c r="AR774" s="752"/>
      <c r="AS774" s="752" t="s">
        <v>150</v>
      </c>
      <c r="AT774" s="752"/>
      <c r="AU774" s="752" t="s">
        <v>151</v>
      </c>
      <c r="AV774" s="752"/>
      <c r="AW774" s="752" t="s">
        <v>44</v>
      </c>
      <c r="AX774" s="752"/>
      <c r="AY774" s="752" t="s">
        <v>250</v>
      </c>
      <c r="AZ774" s="752"/>
      <c r="BA774" s="752" t="s">
        <v>45</v>
      </c>
      <c r="BB774" s="752"/>
      <c r="BC774" s="752" t="s">
        <v>46</v>
      </c>
      <c r="BD774" s="752"/>
      <c r="BE774" s="752" t="s">
        <v>92</v>
      </c>
      <c r="BF774" s="752"/>
    </row>
    <row r="775" spans="2:58" ht="16" thickBot="1" x14ac:dyDescent="0.25">
      <c r="B775" s="156" t="s">
        <v>47</v>
      </c>
      <c r="C775" s="156" t="s">
        <v>48</v>
      </c>
      <c r="D775" s="283"/>
      <c r="E775" s="271"/>
      <c r="F775" s="271" t="s">
        <v>49</v>
      </c>
      <c r="G775" s="752" t="s">
        <v>50</v>
      </c>
      <c r="H775" s="752"/>
      <c r="I775" s="752" t="s">
        <v>51</v>
      </c>
      <c r="J775" s="752"/>
      <c r="K775" s="752" t="s">
        <v>51</v>
      </c>
      <c r="L775" s="752"/>
      <c r="M775" s="752" t="s">
        <v>52</v>
      </c>
      <c r="N775" s="752"/>
      <c r="O775" s="752">
        <v>180</v>
      </c>
      <c r="P775" s="752"/>
      <c r="Q775" s="752" t="s">
        <v>53</v>
      </c>
      <c r="R775" s="752"/>
      <c r="S775" s="752" t="s">
        <v>54</v>
      </c>
      <c r="T775" s="752"/>
      <c r="U775" s="752" t="s">
        <v>54</v>
      </c>
      <c r="V775" s="752"/>
      <c r="W775" s="752" t="s">
        <v>55</v>
      </c>
      <c r="X775" s="752"/>
      <c r="Y775" s="752" t="s">
        <v>54</v>
      </c>
      <c r="Z775" s="752"/>
      <c r="AA775" s="752" t="s">
        <v>54</v>
      </c>
      <c r="AB775" s="752"/>
      <c r="AC775" s="752" t="s">
        <v>56</v>
      </c>
      <c r="AD775" s="752"/>
      <c r="AE775" s="752" t="s">
        <v>57</v>
      </c>
      <c r="AF775" s="752"/>
      <c r="AG775" s="752" t="s">
        <v>57</v>
      </c>
      <c r="AH775" s="752"/>
      <c r="AI775" s="752" t="s">
        <v>58</v>
      </c>
      <c r="AJ775" s="752"/>
      <c r="AK775" s="752" t="s">
        <v>300</v>
      </c>
      <c r="AL775" s="752"/>
      <c r="AM775" s="752" t="s">
        <v>301</v>
      </c>
      <c r="AN775" s="752"/>
      <c r="AO775" s="752">
        <v>20</v>
      </c>
      <c r="AP775" s="752"/>
      <c r="AQ775" s="752">
        <v>20</v>
      </c>
      <c r="AR775" s="752"/>
      <c r="AS775" s="752" t="s">
        <v>57</v>
      </c>
      <c r="AT775" s="752"/>
      <c r="AU775" s="752" t="s">
        <v>302</v>
      </c>
      <c r="AV775" s="752"/>
      <c r="AW775" s="752">
        <v>100</v>
      </c>
      <c r="AX775" s="752"/>
      <c r="AY775" s="752">
        <v>100</v>
      </c>
      <c r="AZ775" s="752"/>
      <c r="BA775" s="752" t="s">
        <v>59</v>
      </c>
      <c r="BB775" s="752"/>
      <c r="BC775" s="752" t="s">
        <v>51</v>
      </c>
      <c r="BD775" s="752"/>
      <c r="BE775" s="752" t="s">
        <v>53</v>
      </c>
      <c r="BF775" s="752"/>
    </row>
    <row r="776" spans="2:58" ht="16" thickBot="1" x14ac:dyDescent="0.25">
      <c r="B776" s="156"/>
      <c r="C776" s="156" t="s">
        <v>60</v>
      </c>
      <c r="D776" s="283"/>
      <c r="E776" s="271" t="s">
        <v>61</v>
      </c>
      <c r="F776" s="271" t="s">
        <v>62</v>
      </c>
      <c r="G776" s="752">
        <v>151</v>
      </c>
      <c r="H776" s="752"/>
      <c r="I776" s="752">
        <v>167.99</v>
      </c>
      <c r="J776" s="752"/>
      <c r="K776" s="752">
        <v>144.99</v>
      </c>
      <c r="L776" s="752"/>
      <c r="M776" s="760">
        <v>169.99</v>
      </c>
      <c r="N776" s="760"/>
      <c r="O776" s="760">
        <v>274.99</v>
      </c>
      <c r="P776" s="760"/>
      <c r="Q776" s="760">
        <v>135</v>
      </c>
      <c r="R776" s="760"/>
      <c r="S776" s="752">
        <v>910.5</v>
      </c>
      <c r="T776" s="752"/>
      <c r="U776" s="752">
        <v>460.75</v>
      </c>
      <c r="V776" s="752"/>
      <c r="W776" s="752">
        <v>1048.95</v>
      </c>
      <c r="X776" s="752"/>
      <c r="Y776" s="752">
        <v>772.8</v>
      </c>
      <c r="Z776" s="752"/>
      <c r="AA776" s="752">
        <v>3450</v>
      </c>
      <c r="AB776" s="752"/>
      <c r="AC776" s="760">
        <v>99.99</v>
      </c>
      <c r="AD776" s="760"/>
      <c r="AE776" s="752">
        <v>29.99</v>
      </c>
      <c r="AF776" s="752"/>
      <c r="AG776" s="752">
        <v>548</v>
      </c>
      <c r="AH776" s="752"/>
      <c r="AI776" s="752">
        <v>4.99</v>
      </c>
      <c r="AJ776" s="752"/>
      <c r="AK776" s="752">
        <v>132.25</v>
      </c>
      <c r="AL776" s="752"/>
      <c r="AM776" s="752">
        <v>47.99</v>
      </c>
      <c r="AN776" s="752"/>
      <c r="AO776" s="752">
        <v>560</v>
      </c>
      <c r="AP776" s="752"/>
      <c r="AQ776" s="752">
        <v>560</v>
      </c>
      <c r="AR776" s="752"/>
      <c r="AS776" s="752">
        <v>613.5</v>
      </c>
      <c r="AT776" s="752"/>
      <c r="AU776" s="752">
        <v>313.89999999999998</v>
      </c>
      <c r="AV776" s="752"/>
      <c r="AW776" s="752">
        <v>405.8</v>
      </c>
      <c r="AX776" s="752"/>
      <c r="AY776" s="752">
        <v>218.99</v>
      </c>
      <c r="AZ776" s="752"/>
      <c r="BA776" s="752">
        <v>24.99</v>
      </c>
      <c r="BB776" s="752"/>
      <c r="BC776" s="752">
        <v>1425</v>
      </c>
      <c r="BD776" s="752"/>
      <c r="BE776" s="752">
        <v>54.99</v>
      </c>
      <c r="BF776" s="752"/>
    </row>
    <row r="777" spans="2:58" ht="16" thickBot="1" x14ac:dyDescent="0.25">
      <c r="B777" s="272">
        <v>45747</v>
      </c>
      <c r="C777" s="274">
        <v>679.58</v>
      </c>
      <c r="D777" s="276"/>
      <c r="E777" s="278" t="s">
        <v>186</v>
      </c>
      <c r="F777" s="278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  <c r="AA777" s="271"/>
      <c r="AB777" s="271"/>
      <c r="AC777" s="271"/>
      <c r="AD777" s="271"/>
      <c r="AE777" s="271"/>
      <c r="AF777" s="271"/>
      <c r="AG777" s="271"/>
      <c r="AH777" s="271"/>
      <c r="AI777" s="271"/>
      <c r="AJ777" s="271"/>
      <c r="AK777" s="271"/>
      <c r="AL777" s="271"/>
      <c r="AM777" s="271"/>
      <c r="AN777" s="271"/>
      <c r="AO777" s="271"/>
      <c r="AP777" s="271"/>
      <c r="AQ777" s="271"/>
      <c r="AR777" s="271"/>
      <c r="AS777" s="271"/>
      <c r="AT777" s="271"/>
      <c r="AU777" s="271"/>
      <c r="AV777" s="271"/>
      <c r="AW777" s="271"/>
      <c r="AX777" s="271"/>
      <c r="AY777" s="271"/>
      <c r="AZ777" s="271"/>
      <c r="BA777" s="271"/>
      <c r="BB777" s="271"/>
      <c r="BC777" s="271"/>
      <c r="BD777" s="271"/>
      <c r="BE777" s="271"/>
      <c r="BF777" s="271"/>
    </row>
    <row r="778" spans="2:58" ht="16" thickBot="1" x14ac:dyDescent="0.25">
      <c r="B778" s="660"/>
      <c r="C778" s="275">
        <v>50</v>
      </c>
      <c r="D778" s="661"/>
      <c r="E778" s="303" t="s">
        <v>922</v>
      </c>
      <c r="F778" s="303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  <c r="AA778" s="271"/>
      <c r="AB778" s="271"/>
      <c r="AC778" s="271"/>
      <c r="AD778" s="271"/>
      <c r="AE778" s="271"/>
      <c r="AF778" s="271"/>
      <c r="AG778" s="271"/>
      <c r="AH778" s="271"/>
      <c r="AI778" s="271"/>
      <c r="AJ778" s="271"/>
      <c r="AK778" s="271"/>
      <c r="AL778" s="271"/>
      <c r="AM778" s="271"/>
      <c r="AN778" s="271"/>
      <c r="AO778" s="271"/>
      <c r="AP778" s="271"/>
      <c r="AQ778" s="271"/>
      <c r="AR778" s="271"/>
      <c r="AS778" s="271"/>
      <c r="AT778" s="271"/>
      <c r="AU778" s="271"/>
      <c r="AV778" s="271"/>
      <c r="AW778" s="271"/>
      <c r="AX778" s="271"/>
      <c r="AY778" s="271"/>
      <c r="AZ778" s="271"/>
      <c r="BA778" s="271"/>
      <c r="BB778" s="271"/>
      <c r="BC778" s="271"/>
      <c r="BD778" s="271"/>
      <c r="BE778" s="271"/>
      <c r="BF778" s="271"/>
    </row>
    <row r="779" spans="2:58" ht="16" thickBot="1" x14ac:dyDescent="0.25">
      <c r="B779" s="660"/>
      <c r="C779" s="275">
        <v>85</v>
      </c>
      <c r="D779" s="661"/>
      <c r="E779" s="303" t="s">
        <v>923</v>
      </c>
      <c r="F779" s="303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  <c r="AA779" s="271"/>
      <c r="AB779" s="271"/>
      <c r="AC779" s="271"/>
      <c r="AD779" s="271"/>
      <c r="AE779" s="271"/>
      <c r="AF779" s="271"/>
      <c r="AG779" s="271"/>
      <c r="AH779" s="271"/>
      <c r="AI779" s="271"/>
      <c r="AJ779" s="271"/>
      <c r="AK779" s="271"/>
      <c r="AL779" s="271"/>
      <c r="AM779" s="271"/>
      <c r="AN779" s="271"/>
      <c r="AO779" s="271"/>
      <c r="AP779" s="271"/>
      <c r="AQ779" s="271"/>
      <c r="AR779" s="271"/>
      <c r="AS779" s="271"/>
      <c r="AT779" s="271"/>
      <c r="AU779" s="271"/>
      <c r="AV779" s="271"/>
      <c r="AW779" s="271"/>
      <c r="AX779" s="271"/>
      <c r="AY779" s="271"/>
      <c r="AZ779" s="271"/>
      <c r="BA779" s="271"/>
      <c r="BB779" s="271"/>
      <c r="BC779" s="271"/>
      <c r="BD779" s="271"/>
      <c r="BE779" s="271"/>
      <c r="BF779" s="271"/>
    </row>
    <row r="780" spans="2:58" ht="16" thickBot="1" x14ac:dyDescent="0.25">
      <c r="B780" s="660"/>
      <c r="C780" s="275">
        <v>413.91</v>
      </c>
      <c r="D780" s="661"/>
      <c r="E780" s="303"/>
      <c r="F780" s="303" t="s">
        <v>14</v>
      </c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  <c r="AA780" s="271"/>
      <c r="AB780" s="271"/>
      <c r="AC780" s="271"/>
      <c r="AD780" s="271"/>
      <c r="AE780" s="271">
        <v>8</v>
      </c>
      <c r="AF780" s="271">
        <v>399.92</v>
      </c>
      <c r="AG780" s="271"/>
      <c r="AH780" s="271"/>
      <c r="AI780" s="271"/>
      <c r="AJ780" s="271"/>
      <c r="AK780" s="271"/>
      <c r="AL780" s="271"/>
      <c r="AM780" s="271"/>
      <c r="AN780" s="271"/>
      <c r="AO780" s="271"/>
      <c r="AP780" s="271"/>
      <c r="AQ780" s="271"/>
      <c r="AR780" s="271"/>
      <c r="AS780" s="271"/>
      <c r="AT780" s="271"/>
      <c r="AU780" s="271"/>
      <c r="AV780" s="271"/>
      <c r="AW780" s="271"/>
      <c r="AX780" s="271"/>
      <c r="AY780" s="271"/>
      <c r="AZ780" s="271"/>
      <c r="BA780" s="271"/>
      <c r="BB780" s="271"/>
      <c r="BC780" s="271"/>
      <c r="BD780" s="271"/>
      <c r="BE780" s="271"/>
      <c r="BF780" s="271"/>
    </row>
    <row r="781" spans="2:58" ht="16" thickBot="1" x14ac:dyDescent="0.25">
      <c r="B781" s="660"/>
      <c r="C781" s="275">
        <v>9033.42</v>
      </c>
      <c r="D781" s="661"/>
      <c r="E781" s="303"/>
      <c r="F781" s="303" t="s">
        <v>9</v>
      </c>
      <c r="G781" s="271">
        <v>9</v>
      </c>
      <c r="H781" s="271">
        <v>1232.9100000000001</v>
      </c>
      <c r="I781" s="271">
        <v>2</v>
      </c>
      <c r="J781" s="271">
        <v>419.98</v>
      </c>
      <c r="K781" s="271">
        <v>9</v>
      </c>
      <c r="L781" s="271">
        <v>1637.91</v>
      </c>
      <c r="M781" s="271">
        <v>12</v>
      </c>
      <c r="N781" s="271">
        <v>2075.88</v>
      </c>
      <c r="O781" s="271">
        <v>6</v>
      </c>
      <c r="P781" s="271">
        <v>2399.94</v>
      </c>
      <c r="Q781" s="271"/>
      <c r="R781" s="271"/>
      <c r="S781" s="271"/>
      <c r="T781" s="271"/>
      <c r="U781" s="271"/>
      <c r="V781" s="271"/>
      <c r="W781" s="271">
        <v>6</v>
      </c>
      <c r="X781" s="271">
        <v>257.94</v>
      </c>
      <c r="Y781" s="271"/>
      <c r="Z781" s="271"/>
      <c r="AA781" s="271"/>
      <c r="AB781" s="271"/>
      <c r="AC781" s="271">
        <v>6</v>
      </c>
      <c r="AD781" s="271">
        <v>593.94000000000005</v>
      </c>
      <c r="AE781" s="271"/>
      <c r="AF781" s="271"/>
      <c r="AG781" s="271"/>
      <c r="AH781" s="271"/>
      <c r="AI781" s="271"/>
      <c r="AJ781" s="271"/>
      <c r="AK781" s="271"/>
      <c r="AL781" s="271"/>
      <c r="AM781" s="271"/>
      <c r="AN781" s="271"/>
      <c r="AO781" s="271"/>
      <c r="AP781" s="271"/>
      <c r="AQ781" s="271"/>
      <c r="AR781" s="271"/>
      <c r="AS781" s="271"/>
      <c r="AT781" s="271"/>
      <c r="AU781" s="271"/>
      <c r="AV781" s="271"/>
      <c r="AW781" s="271"/>
      <c r="AX781" s="271"/>
      <c r="AY781" s="271"/>
      <c r="AZ781" s="271"/>
      <c r="BA781" s="271">
        <v>1</v>
      </c>
      <c r="BB781" s="271">
        <v>26.99</v>
      </c>
      <c r="BC781" s="271"/>
      <c r="BD781" s="271"/>
      <c r="BE781" s="271">
        <v>1</v>
      </c>
      <c r="BF781" s="271">
        <v>75.989999999999995</v>
      </c>
    </row>
    <row r="782" spans="2:58" ht="16" thickBot="1" x14ac:dyDescent="0.25">
      <c r="B782" s="660"/>
      <c r="C782" s="275">
        <v>870</v>
      </c>
      <c r="D782" s="661"/>
      <c r="E782" s="303" t="s">
        <v>396</v>
      </c>
      <c r="F782" s="303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  <c r="AA782" s="271"/>
      <c r="AB782" s="271"/>
      <c r="AC782" s="271"/>
      <c r="AD782" s="271"/>
      <c r="AE782" s="271"/>
      <c r="AF782" s="271"/>
      <c r="AG782" s="271"/>
      <c r="AH782" s="271"/>
      <c r="AI782" s="271"/>
      <c r="AJ782" s="271"/>
      <c r="AK782" s="271"/>
      <c r="AL782" s="271"/>
      <c r="AM782" s="271"/>
      <c r="AN782" s="271"/>
      <c r="AO782" s="271"/>
      <c r="AP782" s="271"/>
      <c r="AQ782" s="271"/>
      <c r="AR782" s="271"/>
      <c r="AS782" s="271"/>
      <c r="AT782" s="271"/>
      <c r="AU782" s="271"/>
      <c r="AV782" s="271"/>
      <c r="AW782" s="271"/>
      <c r="AX782" s="271"/>
      <c r="AY782" s="271"/>
      <c r="AZ782" s="271"/>
      <c r="BA782" s="271"/>
      <c r="BB782" s="271"/>
      <c r="BC782" s="271"/>
      <c r="BD782" s="271"/>
      <c r="BE782" s="271"/>
      <c r="BF782" s="271"/>
    </row>
    <row r="783" spans="2:58" ht="16" thickBot="1" x14ac:dyDescent="0.25">
      <c r="B783" s="660"/>
      <c r="C783" s="275">
        <v>3708.75</v>
      </c>
      <c r="D783" s="661"/>
      <c r="E783" s="303"/>
      <c r="F783" s="303" t="s">
        <v>6</v>
      </c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>
        <v>5</v>
      </c>
      <c r="V783" s="271">
        <v>3708.75</v>
      </c>
      <c r="W783" s="271"/>
      <c r="X783" s="271"/>
      <c r="Y783" s="271"/>
      <c r="Z783" s="271"/>
      <c r="AA783" s="271"/>
      <c r="AB783" s="271"/>
      <c r="AC783" s="271"/>
      <c r="AD783" s="271"/>
      <c r="AE783" s="271"/>
      <c r="AF783" s="271"/>
      <c r="AG783" s="271"/>
      <c r="AH783" s="271"/>
      <c r="AI783" s="271"/>
      <c r="AJ783" s="271"/>
      <c r="AK783" s="271"/>
      <c r="AL783" s="271"/>
      <c r="AM783" s="271"/>
      <c r="AN783" s="271"/>
      <c r="AO783" s="271"/>
      <c r="AP783" s="271"/>
      <c r="AQ783" s="271"/>
      <c r="AR783" s="271"/>
      <c r="AS783" s="271"/>
      <c r="AT783" s="271"/>
      <c r="AU783" s="271"/>
      <c r="AV783" s="271"/>
      <c r="AW783" s="271"/>
      <c r="AX783" s="271"/>
      <c r="AY783" s="271"/>
      <c r="AZ783" s="271"/>
      <c r="BA783" s="271"/>
      <c r="BB783" s="271"/>
      <c r="BC783" s="271"/>
      <c r="BD783" s="271"/>
      <c r="BE783" s="271"/>
      <c r="BF783" s="271"/>
    </row>
    <row r="784" spans="2:58" ht="16" thickBot="1" x14ac:dyDescent="0.25">
      <c r="B784" s="681" t="s">
        <v>20</v>
      </c>
      <c r="C784" s="275"/>
      <c r="D784" s="277"/>
      <c r="E784" s="279"/>
      <c r="F784" s="279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  <c r="AA784" s="271"/>
      <c r="AB784" s="271"/>
      <c r="AC784" s="271"/>
      <c r="AD784" s="271"/>
      <c r="AE784" s="271"/>
      <c r="AF784" s="271"/>
      <c r="AG784" s="271"/>
      <c r="AH784" s="271"/>
      <c r="AI784" s="271"/>
      <c r="AJ784" s="271"/>
      <c r="AK784" s="271"/>
      <c r="AL784" s="271"/>
      <c r="AM784" s="271"/>
      <c r="AN784" s="271"/>
      <c r="AO784" s="271"/>
      <c r="AP784" s="271"/>
      <c r="AQ784" s="271"/>
      <c r="AR784" s="271"/>
      <c r="AS784" s="271"/>
      <c r="AT784" s="271"/>
      <c r="AU784" s="271"/>
      <c r="AV784" s="271"/>
      <c r="AW784" s="271"/>
      <c r="AX784" s="271"/>
      <c r="AY784" s="271"/>
      <c r="AZ784" s="271"/>
      <c r="BA784" s="271"/>
      <c r="BB784" s="271"/>
      <c r="BC784" s="271"/>
      <c r="BD784" s="271"/>
      <c r="BE784" s="271"/>
      <c r="BF784" s="271"/>
    </row>
    <row r="785" spans="2:58" ht="16" thickBot="1" x14ac:dyDescent="0.25">
      <c r="B785" s="479"/>
      <c r="C785" s="680">
        <f>SUM(C777:C784)</f>
        <v>14840.66</v>
      </c>
      <c r="D785" s="159"/>
      <c r="E785" s="270"/>
      <c r="F785" s="281"/>
      <c r="G785" s="309"/>
      <c r="H785" s="310"/>
      <c r="I785" s="309"/>
      <c r="J785" s="310"/>
      <c r="K785" s="309"/>
      <c r="L785" s="310"/>
      <c r="M785" s="309"/>
      <c r="N785" s="310"/>
      <c r="O785" s="271"/>
      <c r="P785" s="271"/>
      <c r="Q785" s="310"/>
      <c r="R785" s="310"/>
      <c r="S785" s="309"/>
      <c r="T785" s="310"/>
      <c r="U785" s="309"/>
      <c r="V785" s="310"/>
      <c r="W785" s="309"/>
      <c r="X785" s="310"/>
      <c r="Y785" s="309"/>
      <c r="Z785" s="310"/>
      <c r="AA785" s="309"/>
      <c r="AB785" s="310"/>
      <c r="AC785" s="271"/>
      <c r="AD785" s="271"/>
      <c r="AE785" s="309"/>
      <c r="AF785" s="310"/>
      <c r="AG785" s="309"/>
      <c r="AH785" s="310"/>
      <c r="AI785" s="309"/>
      <c r="AJ785" s="310"/>
      <c r="AK785" s="309"/>
      <c r="AL785" s="310"/>
      <c r="AM785" s="309"/>
      <c r="AN785" s="310"/>
      <c r="AO785" s="309"/>
      <c r="AP785" s="310"/>
      <c r="AQ785" s="309"/>
      <c r="AR785" s="310"/>
      <c r="AS785" s="309"/>
      <c r="AT785" s="310"/>
      <c r="AU785" s="309"/>
      <c r="AV785" s="310"/>
      <c r="AW785" s="309"/>
      <c r="AX785" s="310"/>
      <c r="AY785" s="309"/>
      <c r="AZ785" s="310"/>
      <c r="BA785" s="271"/>
      <c r="BB785" s="271"/>
      <c r="BC785" s="271"/>
      <c r="BD785" s="271"/>
      <c r="BE785" s="271"/>
      <c r="BF785" s="271"/>
    </row>
    <row r="786" spans="2:58" ht="16" thickBot="1" x14ac:dyDescent="0.25">
      <c r="B786" s="289">
        <v>45748</v>
      </c>
      <c r="C786" s="275">
        <v>630.46</v>
      </c>
      <c r="D786" s="277"/>
      <c r="E786" s="279" t="s">
        <v>930</v>
      </c>
      <c r="F786" s="279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  <c r="AA786" s="271"/>
      <c r="AB786" s="271"/>
      <c r="AC786" s="271"/>
      <c r="AD786" s="271"/>
      <c r="AE786" s="271"/>
      <c r="AF786" s="271"/>
      <c r="AG786" s="271"/>
      <c r="AH786" s="271"/>
      <c r="AI786" s="271"/>
      <c r="AJ786" s="271"/>
      <c r="AK786" s="271"/>
      <c r="AL786" s="271"/>
      <c r="AM786" s="271"/>
      <c r="AN786" s="271"/>
      <c r="AO786" s="271"/>
      <c r="AP786" s="271"/>
      <c r="AQ786" s="271"/>
      <c r="AR786" s="271"/>
      <c r="AS786" s="271"/>
      <c r="AT786" s="271"/>
      <c r="AU786" s="271"/>
      <c r="AV786" s="271"/>
      <c r="AW786" s="271"/>
      <c r="AX786" s="271"/>
      <c r="AY786" s="271"/>
      <c r="AZ786" s="271"/>
      <c r="BA786" s="271"/>
      <c r="BB786" s="271"/>
      <c r="BC786" s="271"/>
      <c r="BD786" s="271"/>
      <c r="BE786" s="271"/>
      <c r="BF786" s="271"/>
    </row>
    <row r="787" spans="2:58" ht="16" thickBot="1" x14ac:dyDescent="0.25">
      <c r="B787" s="289"/>
      <c r="C787" s="139">
        <v>32.99</v>
      </c>
      <c r="E787" s="575" t="s">
        <v>279</v>
      </c>
      <c r="F787" s="279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  <c r="AA787" s="271"/>
      <c r="AB787" s="271"/>
      <c r="AC787" s="271"/>
      <c r="AD787" s="271"/>
      <c r="AE787" s="271"/>
      <c r="AF787" s="271"/>
      <c r="AG787" s="271"/>
      <c r="AH787" s="271"/>
      <c r="AI787" s="271"/>
      <c r="AJ787" s="271"/>
      <c r="AK787" s="271"/>
      <c r="AL787" s="271"/>
      <c r="AM787" s="271"/>
      <c r="AN787" s="271"/>
      <c r="AO787" s="271"/>
      <c r="AP787" s="271"/>
      <c r="AQ787" s="271"/>
      <c r="AR787" s="271"/>
      <c r="AS787" s="271"/>
      <c r="AT787" s="271"/>
      <c r="AU787" s="271"/>
      <c r="AV787" s="271"/>
      <c r="AW787" s="271"/>
      <c r="AX787" s="271"/>
      <c r="AY787" s="271"/>
      <c r="AZ787" s="271"/>
      <c r="BA787" s="271"/>
      <c r="BB787" s="271"/>
      <c r="BC787" s="271"/>
      <c r="BD787" s="271"/>
      <c r="BE787" s="271"/>
      <c r="BF787" s="271"/>
    </row>
    <row r="788" spans="2:58" ht="16" thickBot="1" x14ac:dyDescent="0.25">
      <c r="B788" s="289"/>
      <c r="C788" s="4">
        <v>385.91</v>
      </c>
      <c r="E788" s="142"/>
      <c r="F788" s="279" t="s">
        <v>14</v>
      </c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  <c r="AA788" s="271"/>
      <c r="AB788" s="271"/>
      <c r="AC788" s="271"/>
      <c r="AD788" s="271"/>
      <c r="AE788" s="271">
        <v>7</v>
      </c>
      <c r="AF788" s="271">
        <f>AE788*49.99</f>
        <v>349.93</v>
      </c>
      <c r="AG788" s="271"/>
      <c r="AH788" s="271"/>
      <c r="AI788" s="271"/>
      <c r="AJ788" s="271"/>
      <c r="AK788" s="271"/>
      <c r="AL788" s="271"/>
      <c r="AM788" s="271"/>
      <c r="AN788" s="271"/>
      <c r="AO788" s="271"/>
      <c r="AP788" s="271"/>
      <c r="AQ788" s="271"/>
      <c r="AR788" s="271"/>
      <c r="AS788" s="271"/>
      <c r="AT788" s="271"/>
      <c r="AU788" s="271"/>
      <c r="AV788" s="271"/>
      <c r="AW788" s="271"/>
      <c r="AX788" s="271"/>
      <c r="AY788" s="271"/>
      <c r="AZ788" s="271"/>
      <c r="BA788" s="271"/>
      <c r="BB788" s="271"/>
      <c r="BC788" s="271"/>
      <c r="BD788" s="271"/>
      <c r="BE788" s="271"/>
      <c r="BF788" s="271"/>
    </row>
    <row r="789" spans="2:58" ht="16" thickBot="1" x14ac:dyDescent="0.25">
      <c r="B789" s="289"/>
      <c r="C789" s="146">
        <v>16.899999999999999</v>
      </c>
      <c r="E789" s="147" t="s">
        <v>334</v>
      </c>
      <c r="F789" s="279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  <c r="AA789" s="271"/>
      <c r="AB789" s="271"/>
      <c r="AC789" s="271"/>
      <c r="AD789" s="271"/>
      <c r="AE789" s="271"/>
      <c r="AF789" s="271"/>
      <c r="AG789" s="271"/>
      <c r="AH789" s="271"/>
      <c r="AI789" s="271"/>
      <c r="AJ789" s="271"/>
      <c r="AK789" s="271"/>
      <c r="AL789" s="271"/>
      <c r="AM789" s="271"/>
      <c r="AN789" s="271"/>
      <c r="AO789" s="271"/>
      <c r="AP789" s="271"/>
      <c r="AQ789" s="271"/>
      <c r="AR789" s="271"/>
      <c r="AS789" s="271"/>
      <c r="AT789" s="271"/>
      <c r="AU789" s="271"/>
      <c r="AV789" s="271"/>
      <c r="AW789" s="271"/>
      <c r="AX789" s="271"/>
      <c r="AY789" s="271"/>
      <c r="AZ789" s="271"/>
      <c r="BA789" s="271"/>
      <c r="BB789" s="271"/>
      <c r="BC789" s="271"/>
      <c r="BD789" s="271"/>
      <c r="BE789" s="271"/>
      <c r="BF789" s="271"/>
    </row>
    <row r="790" spans="2:58" ht="16" thickBot="1" x14ac:dyDescent="0.25">
      <c r="B790" s="289"/>
      <c r="C790" s="4">
        <v>7268.62</v>
      </c>
      <c r="E790" s="142"/>
      <c r="F790" s="279" t="s">
        <v>9</v>
      </c>
      <c r="G790" s="271">
        <v>8</v>
      </c>
      <c r="H790" s="271">
        <v>1095.92</v>
      </c>
      <c r="I790" s="271">
        <v>3</v>
      </c>
      <c r="J790" s="271">
        <v>614.97</v>
      </c>
      <c r="K790" s="271">
        <v>7</v>
      </c>
      <c r="L790" s="271">
        <v>1273.93</v>
      </c>
      <c r="M790" s="271">
        <v>10</v>
      </c>
      <c r="N790" s="271">
        <v>1729.9</v>
      </c>
      <c r="O790" s="271">
        <v>5</v>
      </c>
      <c r="P790" s="271">
        <v>1800</v>
      </c>
      <c r="Q790" s="271"/>
      <c r="R790" s="271"/>
      <c r="S790" s="271"/>
      <c r="T790" s="271"/>
      <c r="U790" s="271"/>
      <c r="V790" s="271"/>
      <c r="W790" s="271">
        <v>4</v>
      </c>
      <c r="X790" s="271">
        <v>171.96</v>
      </c>
      <c r="Y790" s="271"/>
      <c r="Z790" s="271"/>
      <c r="AA790" s="271"/>
      <c r="AB790" s="271"/>
      <c r="AC790" s="271">
        <v>5</v>
      </c>
      <c r="AD790" s="271">
        <v>494.95</v>
      </c>
      <c r="AE790" s="271"/>
      <c r="AF790" s="271"/>
      <c r="AG790" s="271"/>
      <c r="AH790" s="271"/>
      <c r="AI790" s="271"/>
      <c r="AJ790" s="271"/>
      <c r="AK790" s="271"/>
      <c r="AL790" s="271"/>
      <c r="AM790" s="271"/>
      <c r="AN790" s="271"/>
      <c r="AO790" s="271"/>
      <c r="AP790" s="271"/>
      <c r="AQ790" s="271"/>
      <c r="AR790" s="271"/>
      <c r="AS790" s="271"/>
      <c r="AT790" s="271"/>
      <c r="AU790" s="271"/>
      <c r="AV790" s="271"/>
      <c r="AW790" s="271"/>
      <c r="AX790" s="271"/>
      <c r="AY790" s="271"/>
      <c r="AZ790" s="271"/>
      <c r="BA790" s="271">
        <v>1</v>
      </c>
      <c r="BB790" s="271">
        <v>26.99</v>
      </c>
      <c r="BC790" s="271"/>
      <c r="BD790" s="271"/>
      <c r="BE790" s="271"/>
      <c r="BF790" s="271"/>
    </row>
    <row r="791" spans="2:58" ht="16" thickBot="1" x14ac:dyDescent="0.25">
      <c r="B791" s="289" t="s">
        <v>90</v>
      </c>
      <c r="C791" s="275">
        <v>1713.5</v>
      </c>
      <c r="D791" s="277"/>
      <c r="E791" s="279"/>
      <c r="F791" s="279" t="s">
        <v>6</v>
      </c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>
        <v>1</v>
      </c>
      <c r="T791" s="271">
        <v>793.5</v>
      </c>
      <c r="U791" s="271"/>
      <c r="V791" s="271"/>
      <c r="W791" s="271"/>
      <c r="X791" s="271"/>
      <c r="Y791" s="271"/>
      <c r="Z791" s="271"/>
      <c r="AA791" s="271"/>
      <c r="AB791" s="271"/>
      <c r="AC791" s="271"/>
      <c r="AD791" s="271"/>
      <c r="AE791" s="271"/>
      <c r="AF791" s="271"/>
      <c r="AG791" s="271"/>
      <c r="AH791" s="271"/>
      <c r="AI791" s="271"/>
      <c r="AJ791" s="271"/>
      <c r="AK791" s="271"/>
      <c r="AL791" s="271"/>
      <c r="AM791" s="271"/>
      <c r="AN791" s="271"/>
      <c r="AO791" s="271"/>
      <c r="AP791" s="271"/>
      <c r="AQ791" s="271"/>
      <c r="AR791" s="271"/>
      <c r="AS791" s="271"/>
      <c r="AT791" s="271"/>
      <c r="AU791" s="271"/>
      <c r="AV791" s="271"/>
      <c r="AW791" s="271"/>
      <c r="AX791" s="271"/>
      <c r="AY791" s="271"/>
      <c r="AZ791" s="271"/>
      <c r="BA791" s="271"/>
      <c r="BB791" s="271"/>
      <c r="BC791" s="271"/>
      <c r="BD791" s="271"/>
      <c r="BE791" s="271"/>
      <c r="BF791" s="271"/>
    </row>
    <row r="792" spans="2:58" ht="16" thickBot="1" x14ac:dyDescent="0.25">
      <c r="B792" s="292"/>
      <c r="C792" s="159">
        <f>SUM(C786:C791)</f>
        <v>10048.380000000001</v>
      </c>
      <c r="D792" s="159"/>
      <c r="E792" s="270"/>
      <c r="F792" s="281"/>
      <c r="G792" s="309"/>
      <c r="H792" s="310"/>
      <c r="I792" s="309"/>
      <c r="J792" s="310"/>
      <c r="K792" s="309"/>
      <c r="L792" s="310"/>
      <c r="M792" s="309"/>
      <c r="N792" s="310"/>
      <c r="O792" s="271"/>
      <c r="P792" s="271"/>
      <c r="Q792" s="310"/>
      <c r="R792" s="310"/>
      <c r="S792" s="309"/>
      <c r="T792" s="310"/>
      <c r="U792" s="309"/>
      <c r="V792" s="310"/>
      <c r="W792" s="309"/>
      <c r="X792" s="310"/>
      <c r="Y792" s="309"/>
      <c r="Z792" s="310"/>
      <c r="AA792" s="309"/>
      <c r="AB792" s="310"/>
      <c r="AC792" s="271"/>
      <c r="AD792" s="271"/>
      <c r="AE792" s="309"/>
      <c r="AF792" s="310"/>
      <c r="AG792" s="309"/>
      <c r="AH792" s="310"/>
      <c r="AI792" s="309"/>
      <c r="AJ792" s="310"/>
      <c r="AK792" s="309"/>
      <c r="AL792" s="310"/>
      <c r="AM792" s="309"/>
      <c r="AN792" s="310"/>
      <c r="AO792" s="309"/>
      <c r="AP792" s="310"/>
      <c r="AQ792" s="309"/>
      <c r="AR792" s="310"/>
      <c r="AS792" s="309"/>
      <c r="AT792" s="310"/>
      <c r="AU792" s="309"/>
      <c r="AV792" s="310"/>
      <c r="AW792" s="309"/>
      <c r="AX792" s="310"/>
      <c r="AY792" s="309"/>
      <c r="AZ792" s="310"/>
      <c r="BA792" s="271"/>
      <c r="BB792" s="271"/>
      <c r="BC792" s="271"/>
      <c r="BD792" s="271"/>
      <c r="BE792" s="271"/>
      <c r="BF792" s="271"/>
    </row>
    <row r="793" spans="2:58" ht="16" thickBot="1" x14ac:dyDescent="0.25">
      <c r="B793" s="289">
        <v>45749</v>
      </c>
      <c r="C793" s="275">
        <v>800</v>
      </c>
      <c r="D793" s="277"/>
      <c r="E793" s="279" t="s">
        <v>186</v>
      </c>
      <c r="F793" s="279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  <c r="AA793" s="271"/>
      <c r="AB793" s="271"/>
      <c r="AC793" s="271"/>
      <c r="AD793" s="271"/>
      <c r="AE793" s="271"/>
      <c r="AF793" s="271"/>
      <c r="AG793" s="271"/>
      <c r="AH793" s="271"/>
      <c r="AI793" s="271"/>
      <c r="AJ793" s="271"/>
      <c r="AK793" s="271"/>
      <c r="AL793" s="271"/>
      <c r="AM793" s="271"/>
      <c r="AN793" s="271"/>
      <c r="AO793" s="271"/>
      <c r="AP793" s="271"/>
      <c r="AQ793" s="271"/>
      <c r="AR793" s="271"/>
      <c r="AS793" s="271"/>
      <c r="AT793" s="271"/>
      <c r="AU793" s="271"/>
      <c r="AV793" s="271"/>
      <c r="AW793" s="271"/>
      <c r="AX793" s="271"/>
      <c r="AY793" s="271"/>
      <c r="AZ793" s="271"/>
      <c r="BA793" s="271"/>
      <c r="BB793" s="271"/>
      <c r="BC793" s="271"/>
      <c r="BD793" s="271"/>
      <c r="BE793" s="271"/>
      <c r="BF793" s="271"/>
    </row>
    <row r="794" spans="2:58" ht="16" thickBot="1" x14ac:dyDescent="0.25">
      <c r="B794" s="288" t="s">
        <v>22</v>
      </c>
      <c r="C794" s="287"/>
      <c r="D794" s="290"/>
      <c r="E794" s="290"/>
      <c r="F794" s="296"/>
      <c r="G794" s="309"/>
      <c r="H794" s="310"/>
      <c r="I794" s="309"/>
      <c r="J794" s="310"/>
      <c r="K794" s="309"/>
      <c r="L794" s="310"/>
      <c r="M794" s="309"/>
      <c r="N794" s="310"/>
      <c r="O794" s="271"/>
      <c r="P794" s="271"/>
      <c r="Q794" s="309"/>
      <c r="R794" s="310"/>
      <c r="S794" s="309"/>
      <c r="T794" s="310"/>
      <c r="U794" s="309"/>
      <c r="V794" s="310"/>
      <c r="W794" s="309"/>
      <c r="X794" s="310"/>
      <c r="Y794" s="309"/>
      <c r="Z794" s="310"/>
      <c r="AA794" s="309"/>
      <c r="AB794" s="310"/>
      <c r="AC794" s="271"/>
      <c r="AD794" s="271"/>
      <c r="AE794" s="309"/>
      <c r="AF794" s="310"/>
      <c r="AG794" s="309"/>
      <c r="AH794" s="310"/>
      <c r="AI794" s="309"/>
      <c r="AJ794" s="310"/>
      <c r="AK794" s="309"/>
      <c r="AL794" s="310"/>
      <c r="AM794" s="309"/>
      <c r="AN794" s="310"/>
      <c r="AO794" s="309"/>
      <c r="AP794" s="310"/>
      <c r="AQ794" s="309"/>
      <c r="AR794" s="310"/>
      <c r="AS794" s="309"/>
      <c r="AT794" s="310"/>
      <c r="AU794" s="309"/>
      <c r="AV794" s="310"/>
      <c r="AW794" s="309"/>
      <c r="AX794" s="310"/>
      <c r="AY794" s="309"/>
      <c r="AZ794" s="310"/>
      <c r="BA794" s="271"/>
      <c r="BB794" s="271"/>
      <c r="BC794" s="271"/>
      <c r="BD794" s="271"/>
      <c r="BE794" s="271"/>
      <c r="BF794" s="271"/>
    </row>
    <row r="795" spans="2:58" ht="16" thickBot="1" x14ac:dyDescent="0.25">
      <c r="B795" s="292"/>
      <c r="C795" s="159">
        <f>SUM(C793:C794)</f>
        <v>800</v>
      </c>
      <c r="D795" s="159"/>
      <c r="E795" s="270"/>
      <c r="F795" s="297"/>
      <c r="G795" s="309"/>
      <c r="H795" s="310"/>
      <c r="I795" s="309"/>
      <c r="J795" s="310"/>
      <c r="K795" s="309"/>
      <c r="L795" s="310"/>
      <c r="M795" s="309"/>
      <c r="N795" s="310"/>
      <c r="O795" s="271"/>
      <c r="P795" s="271"/>
      <c r="Q795" s="310"/>
      <c r="R795" s="310"/>
      <c r="S795" s="309"/>
      <c r="T795" s="310"/>
      <c r="U795" s="309"/>
      <c r="V795" s="310"/>
      <c r="W795" s="309"/>
      <c r="X795" s="310"/>
      <c r="Y795" s="309"/>
      <c r="Z795" s="310"/>
      <c r="AA795" s="309"/>
      <c r="AB795" s="310"/>
      <c r="AC795" s="271"/>
      <c r="AD795" s="271"/>
      <c r="AE795" s="309"/>
      <c r="AF795" s="310"/>
      <c r="AG795" s="309"/>
      <c r="AH795" s="310"/>
      <c r="AI795" s="309"/>
      <c r="AJ795" s="310"/>
      <c r="AK795" s="309"/>
      <c r="AL795" s="310"/>
      <c r="AM795" s="309"/>
      <c r="AN795" s="310"/>
      <c r="AO795" s="309"/>
      <c r="AP795" s="310"/>
      <c r="AQ795" s="309"/>
      <c r="AR795" s="310"/>
      <c r="AS795" s="309"/>
      <c r="AT795" s="310"/>
      <c r="AU795" s="309"/>
      <c r="AV795" s="310"/>
      <c r="AW795" s="309"/>
      <c r="AX795" s="310"/>
      <c r="AY795" s="309"/>
      <c r="AZ795" s="310"/>
      <c r="BA795" s="271"/>
      <c r="BB795" s="271"/>
      <c r="BC795" s="271"/>
      <c r="BD795" s="271"/>
      <c r="BE795" s="271"/>
      <c r="BF795" s="271"/>
    </row>
    <row r="796" spans="2:58" ht="16" thickBot="1" x14ac:dyDescent="0.25">
      <c r="B796" s="289">
        <v>45750</v>
      </c>
      <c r="C796" s="295">
        <v>800</v>
      </c>
      <c r="D796" s="275"/>
      <c r="E796" s="274" t="s">
        <v>186</v>
      </c>
      <c r="F796" s="301"/>
      <c r="G796" s="309"/>
      <c r="H796" s="310"/>
      <c r="I796" s="309"/>
      <c r="J796" s="310"/>
      <c r="K796" s="309"/>
      <c r="L796" s="310"/>
      <c r="M796" s="309"/>
      <c r="N796" s="310"/>
      <c r="O796" s="271"/>
      <c r="P796" s="271"/>
      <c r="Q796" s="309"/>
      <c r="R796" s="310"/>
      <c r="S796" s="309"/>
      <c r="T796" s="310"/>
      <c r="U796" s="309"/>
      <c r="V796" s="310"/>
      <c r="W796" s="309"/>
      <c r="X796" s="310"/>
      <c r="Y796" s="309"/>
      <c r="Z796" s="310"/>
      <c r="AA796" s="309"/>
      <c r="AB796" s="310"/>
      <c r="AC796" s="271"/>
      <c r="AD796" s="271"/>
      <c r="AE796" s="309"/>
      <c r="AF796" s="310"/>
      <c r="AG796" s="309"/>
      <c r="AH796" s="310"/>
      <c r="AI796" s="309"/>
      <c r="AJ796" s="310"/>
      <c r="AK796" s="309"/>
      <c r="AL796" s="310"/>
      <c r="AM796" s="309"/>
      <c r="AN796" s="310"/>
      <c r="AO796" s="309"/>
      <c r="AP796" s="310"/>
      <c r="AQ796" s="309"/>
      <c r="AR796" s="310"/>
      <c r="AS796" s="309"/>
      <c r="AT796" s="310"/>
      <c r="AU796" s="309"/>
      <c r="AV796" s="310"/>
      <c r="AW796" s="309"/>
      <c r="AX796" s="310"/>
      <c r="AY796" s="309"/>
      <c r="AZ796" s="310"/>
      <c r="BA796" s="271"/>
      <c r="BB796" s="271"/>
      <c r="BC796" s="271"/>
      <c r="BD796" s="271"/>
      <c r="BE796" s="271"/>
      <c r="BF796" s="271"/>
    </row>
    <row r="797" spans="2:58" ht="16" thickBot="1" x14ac:dyDescent="0.25">
      <c r="B797" s="289"/>
      <c r="C797" s="295">
        <v>800</v>
      </c>
      <c r="D797" s="275"/>
      <c r="E797" s="275" t="s">
        <v>3</v>
      </c>
      <c r="F797" s="302"/>
      <c r="G797" s="309"/>
      <c r="H797" s="310"/>
      <c r="I797" s="309"/>
      <c r="J797" s="310"/>
      <c r="K797" s="309"/>
      <c r="L797" s="310"/>
      <c r="M797" s="309"/>
      <c r="N797" s="310"/>
      <c r="O797" s="271"/>
      <c r="P797" s="271"/>
      <c r="Q797" s="309"/>
      <c r="R797" s="310"/>
      <c r="S797" s="309"/>
      <c r="T797" s="310"/>
      <c r="U797" s="309"/>
      <c r="V797" s="310"/>
      <c r="W797" s="309"/>
      <c r="X797" s="310"/>
      <c r="Y797" s="309"/>
      <c r="Z797" s="310"/>
      <c r="AA797" s="309"/>
      <c r="AB797" s="310"/>
      <c r="AC797" s="271"/>
      <c r="AD797" s="271"/>
      <c r="AE797" s="309"/>
      <c r="AF797" s="310"/>
      <c r="AG797" s="309"/>
      <c r="AH797" s="310"/>
      <c r="AI797" s="309"/>
      <c r="AJ797" s="310"/>
      <c r="AK797" s="309"/>
      <c r="AL797" s="310"/>
      <c r="AM797" s="309"/>
      <c r="AN797" s="310"/>
      <c r="AO797" s="309"/>
      <c r="AP797" s="310"/>
      <c r="AQ797" s="309"/>
      <c r="AR797" s="310"/>
      <c r="AS797" s="309"/>
      <c r="AT797" s="310"/>
      <c r="AU797" s="309"/>
      <c r="AV797" s="310"/>
      <c r="AW797" s="309"/>
      <c r="AX797" s="310"/>
      <c r="AY797" s="309"/>
      <c r="AZ797" s="310"/>
      <c r="BA797" s="271"/>
      <c r="BB797" s="271"/>
      <c r="BC797" s="271"/>
      <c r="BD797" s="271"/>
      <c r="BE797" s="271"/>
      <c r="BF797" s="271"/>
    </row>
    <row r="798" spans="2:58" ht="16" thickBot="1" x14ac:dyDescent="0.25">
      <c r="B798" s="289"/>
      <c r="C798" s="295">
        <v>174.25</v>
      </c>
      <c r="D798" s="275"/>
      <c r="E798" s="275" t="s">
        <v>279</v>
      </c>
      <c r="F798" s="302"/>
      <c r="G798" s="309"/>
      <c r="H798" s="310"/>
      <c r="I798" s="309"/>
      <c r="J798" s="310"/>
      <c r="K798" s="309"/>
      <c r="L798" s="310"/>
      <c r="M798" s="309"/>
      <c r="N798" s="310"/>
      <c r="O798" s="271"/>
      <c r="P798" s="271"/>
      <c r="Q798" s="309"/>
      <c r="R798" s="310"/>
      <c r="S798" s="309"/>
      <c r="T798" s="310"/>
      <c r="U798" s="309"/>
      <c r="V798" s="310"/>
      <c r="W798" s="309"/>
      <c r="X798" s="310"/>
      <c r="Y798" s="309"/>
      <c r="Z798" s="310"/>
      <c r="AA798" s="309"/>
      <c r="AB798" s="310"/>
      <c r="AC798" s="271"/>
      <c r="AD798" s="271"/>
      <c r="AE798" s="309"/>
      <c r="AF798" s="310"/>
      <c r="AG798" s="309"/>
      <c r="AH798" s="310"/>
      <c r="AI798" s="309"/>
      <c r="AJ798" s="310"/>
      <c r="AK798" s="309"/>
      <c r="AL798" s="310"/>
      <c r="AM798" s="309"/>
      <c r="AN798" s="310"/>
      <c r="AO798" s="309"/>
      <c r="AP798" s="310"/>
      <c r="AQ798" s="309"/>
      <c r="AR798" s="310"/>
      <c r="AS798" s="309"/>
      <c r="AT798" s="310"/>
      <c r="AU798" s="309"/>
      <c r="AV798" s="310"/>
      <c r="AW798" s="309"/>
      <c r="AX798" s="310"/>
      <c r="AY798" s="309"/>
      <c r="AZ798" s="310"/>
      <c r="BA798" s="271"/>
      <c r="BB798" s="271"/>
      <c r="BC798" s="271"/>
      <c r="BD798" s="271"/>
      <c r="BE798" s="271"/>
      <c r="BF798" s="271"/>
    </row>
    <row r="799" spans="2:58" ht="16" thickBot="1" x14ac:dyDescent="0.25">
      <c r="B799" s="289"/>
      <c r="C799" s="295">
        <v>7157.54</v>
      </c>
      <c r="D799" s="275"/>
      <c r="E799" s="275"/>
      <c r="F799" s="302" t="s">
        <v>311</v>
      </c>
      <c r="G799" s="309"/>
      <c r="H799" s="310"/>
      <c r="I799" s="309"/>
      <c r="J799" s="310"/>
      <c r="K799" s="309"/>
      <c r="L799" s="310"/>
      <c r="M799" s="309"/>
      <c r="N799" s="310"/>
      <c r="O799" s="271"/>
      <c r="P799" s="271"/>
      <c r="Q799" s="309"/>
      <c r="R799" s="310"/>
      <c r="S799" s="309"/>
      <c r="T799" s="310"/>
      <c r="U799" s="309"/>
      <c r="V799" s="310"/>
      <c r="W799" s="309"/>
      <c r="X799" s="310"/>
      <c r="Y799" s="309"/>
      <c r="Z799" s="310"/>
      <c r="AA799" s="309"/>
      <c r="AB799" s="310"/>
      <c r="AC799" s="271"/>
      <c r="AD799" s="271"/>
      <c r="AE799" s="309"/>
      <c r="AF799" s="310"/>
      <c r="AG799" s="309"/>
      <c r="AH799" s="310"/>
      <c r="AI799" s="309"/>
      <c r="AJ799" s="310"/>
      <c r="AK799" s="309"/>
      <c r="AL799" s="310"/>
      <c r="AM799" s="309"/>
      <c r="AN799" s="310"/>
      <c r="AO799" s="309"/>
      <c r="AP799" s="310"/>
      <c r="AQ799" s="309"/>
      <c r="AR799" s="310"/>
      <c r="AS799" s="309"/>
      <c r="AT799" s="310"/>
      <c r="AU799" s="309"/>
      <c r="AV799" s="310"/>
      <c r="AW799" s="309">
        <v>15</v>
      </c>
      <c r="AX799" s="310">
        <v>3578.77</v>
      </c>
      <c r="AY799" s="309">
        <v>15</v>
      </c>
      <c r="AZ799" s="310">
        <v>3578.77</v>
      </c>
      <c r="BA799" s="271"/>
      <c r="BB799" s="271"/>
      <c r="BC799" s="271"/>
      <c r="BD799" s="271"/>
      <c r="BE799" s="271"/>
      <c r="BF799" s="271"/>
    </row>
    <row r="800" spans="2:58" ht="16" thickBot="1" x14ac:dyDescent="0.25">
      <c r="B800" s="289"/>
      <c r="C800" s="295">
        <v>16537</v>
      </c>
      <c r="D800" s="275"/>
      <c r="E800" s="275"/>
      <c r="F800" s="302" t="s">
        <v>6</v>
      </c>
      <c r="G800" s="309"/>
      <c r="H800" s="310"/>
      <c r="I800" s="309"/>
      <c r="J800" s="310"/>
      <c r="K800" s="309"/>
      <c r="L800" s="310"/>
      <c r="M800" s="309"/>
      <c r="N800" s="310"/>
      <c r="O800" s="271"/>
      <c r="P800" s="271"/>
      <c r="Q800" s="309"/>
      <c r="R800" s="310"/>
      <c r="S800" s="309">
        <v>4</v>
      </c>
      <c r="T800" s="310">
        <v>3174</v>
      </c>
      <c r="U800" s="309">
        <v>12</v>
      </c>
      <c r="V800" s="310">
        <v>6348</v>
      </c>
      <c r="W800" s="309"/>
      <c r="X800" s="310"/>
      <c r="Y800" s="309"/>
      <c r="Z800" s="310"/>
      <c r="AA800" s="309">
        <v>1</v>
      </c>
      <c r="AB800" s="310">
        <v>5175</v>
      </c>
      <c r="AC800" s="271"/>
      <c r="AD800" s="271"/>
      <c r="AE800" s="309"/>
      <c r="AF800" s="310"/>
      <c r="AG800" s="309"/>
      <c r="AH800" s="310"/>
      <c r="AI800" s="309"/>
      <c r="AJ800" s="310"/>
      <c r="AK800" s="309"/>
      <c r="AL800" s="310"/>
      <c r="AM800" s="309"/>
      <c r="AN800" s="310"/>
      <c r="AO800" s="309"/>
      <c r="AP800" s="310"/>
      <c r="AQ800" s="309"/>
      <c r="AR800" s="310"/>
      <c r="AS800" s="309"/>
      <c r="AT800" s="310"/>
      <c r="AU800" s="309"/>
      <c r="AV800" s="310"/>
      <c r="AW800" s="309"/>
      <c r="AX800" s="310"/>
      <c r="AY800" s="309"/>
      <c r="AZ800" s="310"/>
      <c r="BA800" s="271"/>
      <c r="BB800" s="271"/>
      <c r="BC800" s="271"/>
      <c r="BD800" s="271"/>
      <c r="BE800" s="271"/>
      <c r="BF800" s="271"/>
    </row>
    <row r="801" spans="2:58" ht="16" thickBot="1" x14ac:dyDescent="0.25">
      <c r="B801" s="289" t="s">
        <v>23</v>
      </c>
      <c r="C801" s="295">
        <v>449.91</v>
      </c>
      <c r="D801" s="275"/>
      <c r="E801" s="275"/>
      <c r="F801" s="302" t="s">
        <v>14</v>
      </c>
      <c r="G801" s="309"/>
      <c r="H801" s="310"/>
      <c r="I801" s="309"/>
      <c r="J801" s="310"/>
      <c r="K801" s="309"/>
      <c r="L801" s="310"/>
      <c r="M801" s="309"/>
      <c r="N801" s="310"/>
      <c r="O801" s="271"/>
      <c r="P801" s="271"/>
      <c r="Q801" s="309"/>
      <c r="R801" s="310"/>
      <c r="S801" s="309"/>
      <c r="T801" s="310"/>
      <c r="U801" s="309"/>
      <c r="V801" s="310"/>
      <c r="W801" s="309"/>
      <c r="X801" s="310"/>
      <c r="Y801" s="309"/>
      <c r="Z801" s="310"/>
      <c r="AA801" s="309"/>
      <c r="AB801" s="310"/>
      <c r="AC801" s="271"/>
      <c r="AD801" s="271"/>
      <c r="AE801" s="309">
        <v>9</v>
      </c>
      <c r="AF801" s="310">
        <v>449.91</v>
      </c>
      <c r="AG801" s="309"/>
      <c r="AH801" s="310"/>
      <c r="AI801" s="309"/>
      <c r="AJ801" s="310"/>
      <c r="AK801" s="309"/>
      <c r="AL801" s="310"/>
      <c r="AM801" s="309"/>
      <c r="AN801" s="310"/>
      <c r="AO801" s="309"/>
      <c r="AP801" s="310"/>
      <c r="AQ801" s="309"/>
      <c r="AR801" s="310"/>
      <c r="AS801" s="309"/>
      <c r="AT801" s="310"/>
      <c r="AU801" s="309"/>
      <c r="AV801" s="310"/>
      <c r="AW801" s="309"/>
      <c r="AX801" s="310"/>
      <c r="AY801" s="309"/>
      <c r="AZ801" s="310"/>
      <c r="BA801" s="271"/>
      <c r="BB801" s="271"/>
      <c r="BC801" s="271"/>
      <c r="BD801" s="271"/>
      <c r="BE801" s="271"/>
      <c r="BF801" s="271"/>
    </row>
    <row r="802" spans="2:58" ht="16" thickBot="1" x14ac:dyDescent="0.25">
      <c r="B802" s="298"/>
      <c r="C802" s="656">
        <f>SUM(C796:C801)</f>
        <v>25918.7</v>
      </c>
      <c r="D802" s="656"/>
      <c r="E802" s="578"/>
      <c r="F802" s="553"/>
      <c r="G802" s="309"/>
      <c r="H802" s="310"/>
      <c r="I802" s="309"/>
      <c r="J802" s="310"/>
      <c r="K802" s="309"/>
      <c r="L802" s="310"/>
      <c r="M802" s="309"/>
      <c r="N802" s="310"/>
      <c r="O802" s="271"/>
      <c r="P802" s="271"/>
      <c r="Q802" s="309"/>
      <c r="R802" s="310"/>
      <c r="S802" s="309"/>
      <c r="T802" s="310"/>
      <c r="U802" s="309"/>
      <c r="V802" s="310"/>
      <c r="W802" s="309"/>
      <c r="X802" s="310"/>
      <c r="Y802" s="309"/>
      <c r="Z802" s="310"/>
      <c r="AA802" s="309"/>
      <c r="AB802" s="310"/>
      <c r="AC802" s="271"/>
      <c r="AD802" s="271"/>
      <c r="AE802" s="309"/>
      <c r="AF802" s="310"/>
      <c r="AG802" s="309"/>
      <c r="AH802" s="310"/>
      <c r="AI802" s="309"/>
      <c r="AJ802" s="310"/>
      <c r="AK802" s="309"/>
      <c r="AL802" s="310"/>
      <c r="AM802" s="309"/>
      <c r="AN802" s="310"/>
      <c r="AO802" s="309"/>
      <c r="AP802" s="310"/>
      <c r="AQ802" s="309"/>
      <c r="AR802" s="310"/>
      <c r="AS802" s="309"/>
      <c r="AT802" s="310"/>
      <c r="AU802" s="309"/>
      <c r="AV802" s="310"/>
      <c r="AW802" s="309"/>
      <c r="AX802" s="310"/>
      <c r="AY802" s="309"/>
      <c r="AZ802" s="310"/>
      <c r="BA802" s="271"/>
      <c r="BB802" s="271"/>
      <c r="BC802" s="271"/>
      <c r="BD802" s="271"/>
      <c r="BE802" s="271"/>
      <c r="BF802" s="271"/>
    </row>
    <row r="803" spans="2:58" ht="16" thickBot="1" x14ac:dyDescent="0.25">
      <c r="B803" s="479">
        <v>45751</v>
      </c>
      <c r="C803" s="299">
        <v>800</v>
      </c>
      <c r="D803" s="300"/>
      <c r="E803" s="274" t="s">
        <v>186</v>
      </c>
      <c r="F803" s="301"/>
      <c r="G803" s="309"/>
      <c r="H803" s="310"/>
      <c r="I803" s="309"/>
      <c r="J803" s="310"/>
      <c r="K803" s="309"/>
      <c r="L803" s="310"/>
      <c r="M803" s="309"/>
      <c r="N803" s="310"/>
      <c r="O803" s="271"/>
      <c r="P803" s="271"/>
      <c r="Q803" s="309"/>
      <c r="R803" s="310"/>
      <c r="S803" s="309"/>
      <c r="T803" s="310"/>
      <c r="U803" s="309"/>
      <c r="V803" s="310"/>
      <c r="W803" s="309"/>
      <c r="X803" s="310"/>
      <c r="Y803" s="309"/>
      <c r="Z803" s="310"/>
      <c r="AA803" s="309"/>
      <c r="AB803" s="310"/>
      <c r="AC803" s="271"/>
      <c r="AD803" s="271"/>
      <c r="AE803" s="309"/>
      <c r="AF803" s="310"/>
      <c r="AG803" s="309"/>
      <c r="AH803" s="310"/>
      <c r="AI803" s="309"/>
      <c r="AJ803" s="310"/>
      <c r="AK803" s="309"/>
      <c r="AL803" s="310"/>
      <c r="AM803" s="309"/>
      <c r="AN803" s="310"/>
      <c r="AO803" s="309"/>
      <c r="AP803" s="310"/>
      <c r="AQ803" s="309"/>
      <c r="AR803" s="310"/>
      <c r="AS803" s="309"/>
      <c r="AT803" s="310"/>
      <c r="AU803" s="309"/>
      <c r="AV803" s="310"/>
      <c r="AW803" s="309"/>
      <c r="AX803" s="310"/>
      <c r="AY803" s="309"/>
      <c r="AZ803" s="310"/>
      <c r="BA803" s="271"/>
      <c r="BB803" s="271"/>
      <c r="BC803" s="271"/>
      <c r="BD803" s="271"/>
      <c r="BE803" s="271"/>
      <c r="BF803" s="271"/>
    </row>
    <row r="804" spans="2:58" ht="16" thickBot="1" x14ac:dyDescent="0.25">
      <c r="B804" s="479"/>
      <c r="C804" s="299">
        <v>588</v>
      </c>
      <c r="D804" s="300"/>
      <c r="E804" s="275" t="s">
        <v>949</v>
      </c>
      <c r="F804" s="302"/>
      <c r="G804" s="309"/>
      <c r="H804" s="310"/>
      <c r="I804" s="309"/>
      <c r="J804" s="310"/>
      <c r="K804" s="309"/>
      <c r="L804" s="310"/>
      <c r="M804" s="309"/>
      <c r="N804" s="310"/>
      <c r="O804" s="271"/>
      <c r="P804" s="271"/>
      <c r="Q804" s="309"/>
      <c r="R804" s="310"/>
      <c r="S804" s="309"/>
      <c r="T804" s="310"/>
      <c r="U804" s="309"/>
      <c r="V804" s="310"/>
      <c r="W804" s="309"/>
      <c r="X804" s="310"/>
      <c r="Y804" s="309"/>
      <c r="Z804" s="310"/>
      <c r="AA804" s="309"/>
      <c r="AB804" s="310"/>
      <c r="AC804" s="271"/>
      <c r="AD804" s="271"/>
      <c r="AE804" s="309"/>
      <c r="AF804" s="310"/>
      <c r="AG804" s="309"/>
      <c r="AH804" s="310"/>
      <c r="AI804" s="309"/>
      <c r="AJ804" s="310"/>
      <c r="AK804" s="309"/>
      <c r="AL804" s="310"/>
      <c r="AM804" s="309"/>
      <c r="AN804" s="310"/>
      <c r="AO804" s="309"/>
      <c r="AP804" s="310"/>
      <c r="AQ804" s="309"/>
      <c r="AR804" s="310"/>
      <c r="AS804" s="309"/>
      <c r="AT804" s="310"/>
      <c r="AU804" s="309"/>
      <c r="AV804" s="310"/>
      <c r="AW804" s="309"/>
      <c r="AX804" s="310"/>
      <c r="AY804" s="309"/>
      <c r="AZ804" s="310"/>
      <c r="BA804" s="271"/>
      <c r="BB804" s="271"/>
      <c r="BC804" s="271"/>
      <c r="BD804" s="271"/>
      <c r="BE804" s="271"/>
      <c r="BF804" s="271"/>
    </row>
    <row r="805" spans="2:58" ht="16" thickBot="1" x14ac:dyDescent="0.25">
      <c r="B805" s="479"/>
      <c r="C805" s="299">
        <v>407.24</v>
      </c>
      <c r="D805" s="300"/>
      <c r="E805" s="275" t="s">
        <v>279</v>
      </c>
      <c r="F805" s="302"/>
      <c r="G805" s="309"/>
      <c r="H805" s="310"/>
      <c r="I805" s="309"/>
      <c r="J805" s="310"/>
      <c r="K805" s="309"/>
      <c r="L805" s="310"/>
      <c r="M805" s="309"/>
      <c r="N805" s="310"/>
      <c r="O805" s="271"/>
      <c r="P805" s="271"/>
      <c r="Q805" s="309"/>
      <c r="R805" s="310"/>
      <c r="S805" s="309"/>
      <c r="T805" s="310"/>
      <c r="U805" s="309"/>
      <c r="V805" s="310"/>
      <c r="W805" s="309"/>
      <c r="X805" s="310"/>
      <c r="Y805" s="309"/>
      <c r="Z805" s="310"/>
      <c r="AA805" s="309"/>
      <c r="AB805" s="310"/>
      <c r="AC805" s="271"/>
      <c r="AD805" s="271"/>
      <c r="AE805" s="309"/>
      <c r="AF805" s="310"/>
      <c r="AG805" s="309"/>
      <c r="AH805" s="310"/>
      <c r="AI805" s="309"/>
      <c r="AJ805" s="310"/>
      <c r="AK805" s="309"/>
      <c r="AL805" s="310"/>
      <c r="AM805" s="309"/>
      <c r="AN805" s="310"/>
      <c r="AO805" s="309"/>
      <c r="AP805" s="310"/>
      <c r="AQ805" s="309"/>
      <c r="AR805" s="310"/>
      <c r="AS805" s="309"/>
      <c r="AT805" s="310"/>
      <c r="AU805" s="309"/>
      <c r="AV805" s="310"/>
      <c r="AW805" s="309"/>
      <c r="AX805" s="310"/>
      <c r="AY805" s="309"/>
      <c r="AZ805" s="310"/>
      <c r="BA805" s="271"/>
      <c r="BB805" s="271"/>
      <c r="BC805" s="271"/>
      <c r="BD805" s="271"/>
      <c r="BE805" s="271"/>
      <c r="BF805" s="271"/>
    </row>
    <row r="806" spans="2:58" ht="16" thickBot="1" x14ac:dyDescent="0.25">
      <c r="B806" s="479"/>
      <c r="C806" s="299">
        <f>305+406.32</f>
        <v>711.31999999999994</v>
      </c>
      <c r="D806" s="300"/>
      <c r="E806" s="275" t="s">
        <v>426</v>
      </c>
      <c r="F806" s="302"/>
      <c r="G806" s="309"/>
      <c r="H806" s="310"/>
      <c r="I806" s="309"/>
      <c r="J806" s="310"/>
      <c r="K806" s="309"/>
      <c r="L806" s="310"/>
      <c r="M806" s="309"/>
      <c r="N806" s="310"/>
      <c r="O806" s="271"/>
      <c r="P806" s="271"/>
      <c r="Q806" s="309"/>
      <c r="R806" s="310"/>
      <c r="S806" s="309"/>
      <c r="T806" s="310"/>
      <c r="U806" s="309"/>
      <c r="V806" s="310"/>
      <c r="W806" s="309"/>
      <c r="X806" s="310"/>
      <c r="Y806" s="309"/>
      <c r="Z806" s="310"/>
      <c r="AA806" s="309"/>
      <c r="AB806" s="310"/>
      <c r="AC806" s="271"/>
      <c r="AD806" s="271"/>
      <c r="AE806" s="309"/>
      <c r="AF806" s="310"/>
      <c r="AG806" s="309"/>
      <c r="AH806" s="310"/>
      <c r="AI806" s="309"/>
      <c r="AJ806" s="310"/>
      <c r="AK806" s="309"/>
      <c r="AL806" s="310"/>
      <c r="AM806" s="309"/>
      <c r="AN806" s="310"/>
      <c r="AO806" s="309"/>
      <c r="AP806" s="310"/>
      <c r="AQ806" s="309"/>
      <c r="AR806" s="310"/>
      <c r="AS806" s="309"/>
      <c r="AT806" s="310"/>
      <c r="AU806" s="309"/>
      <c r="AV806" s="310"/>
      <c r="AW806" s="309"/>
      <c r="AX806" s="310"/>
      <c r="AY806" s="309"/>
      <c r="AZ806" s="310"/>
      <c r="BA806" s="271"/>
      <c r="BB806" s="271"/>
      <c r="BC806" s="271"/>
      <c r="BD806" s="271"/>
      <c r="BE806" s="271"/>
      <c r="BF806" s="271"/>
    </row>
    <row r="807" spans="2:58" ht="16" thickBot="1" x14ac:dyDescent="0.25">
      <c r="B807" s="479"/>
      <c r="C807" s="657">
        <v>2154</v>
      </c>
      <c r="D807" s="657"/>
      <c r="E807" s="285" t="s">
        <v>637</v>
      </c>
      <c r="F807" s="302"/>
      <c r="G807" s="309"/>
      <c r="H807" s="310"/>
      <c r="I807" s="309"/>
      <c r="J807" s="310"/>
      <c r="K807" s="309"/>
      <c r="L807" s="310"/>
      <c r="M807" s="309"/>
      <c r="N807" s="310"/>
      <c r="O807" s="271"/>
      <c r="P807" s="271"/>
      <c r="Q807" s="309"/>
      <c r="R807" s="310"/>
      <c r="S807" s="309"/>
      <c r="T807" s="310"/>
      <c r="U807" s="309"/>
      <c r="V807" s="310"/>
      <c r="W807" s="309"/>
      <c r="X807" s="310"/>
      <c r="Y807" s="309"/>
      <c r="Z807" s="310"/>
      <c r="AA807" s="309"/>
      <c r="AB807" s="310"/>
      <c r="AC807" s="271"/>
      <c r="AD807" s="271"/>
      <c r="AE807" s="309"/>
      <c r="AF807" s="310"/>
      <c r="AG807" s="309"/>
      <c r="AH807" s="310"/>
      <c r="AI807" s="309"/>
      <c r="AJ807" s="310"/>
      <c r="AK807" s="309"/>
      <c r="AL807" s="310"/>
      <c r="AM807" s="309"/>
      <c r="AN807" s="310"/>
      <c r="AO807" s="309"/>
      <c r="AP807" s="310"/>
      <c r="AQ807" s="309"/>
      <c r="AR807" s="310"/>
      <c r="AS807" s="309"/>
      <c r="AT807" s="310"/>
      <c r="AU807" s="309"/>
      <c r="AV807" s="310"/>
      <c r="AW807" s="309"/>
      <c r="AX807" s="310"/>
      <c r="AY807" s="309"/>
      <c r="AZ807" s="310"/>
      <c r="BA807" s="271"/>
      <c r="BB807" s="271"/>
      <c r="BC807" s="271"/>
      <c r="BD807" s="271"/>
      <c r="BE807" s="271"/>
      <c r="BF807" s="271"/>
    </row>
    <row r="808" spans="2:58" ht="16" thickBot="1" x14ac:dyDescent="0.25">
      <c r="B808" s="479" t="s">
        <v>24</v>
      </c>
      <c r="C808" s="299">
        <v>18670</v>
      </c>
      <c r="D808" s="300"/>
      <c r="E808" s="275" t="s">
        <v>12</v>
      </c>
      <c r="F808" s="302"/>
      <c r="G808" s="309"/>
      <c r="H808" s="310"/>
      <c r="I808" s="309"/>
      <c r="J808" s="310"/>
      <c r="K808" s="309"/>
      <c r="L808" s="310"/>
      <c r="M808" s="309"/>
      <c r="N808" s="310"/>
      <c r="O808" s="271"/>
      <c r="P808" s="271"/>
      <c r="Q808" s="309"/>
      <c r="R808" s="310"/>
      <c r="S808" s="309"/>
      <c r="T808" s="310"/>
      <c r="U808" s="309"/>
      <c r="V808" s="310"/>
      <c r="W808" s="309"/>
      <c r="X808" s="310"/>
      <c r="Y808" s="309"/>
      <c r="Z808" s="310"/>
      <c r="AA808" s="309"/>
      <c r="AB808" s="310"/>
      <c r="AC808" s="271"/>
      <c r="AD808" s="271"/>
      <c r="AE808" s="309"/>
      <c r="AF808" s="310"/>
      <c r="AG808" s="309"/>
      <c r="AH808" s="310"/>
      <c r="AI808" s="309"/>
      <c r="AJ808" s="310"/>
      <c r="AK808" s="309"/>
      <c r="AL808" s="310"/>
      <c r="AM808" s="309"/>
      <c r="AN808" s="310"/>
      <c r="AO808" s="309"/>
      <c r="AP808" s="310"/>
      <c r="AQ808" s="309"/>
      <c r="AR808" s="310"/>
      <c r="AS808" s="309"/>
      <c r="AT808" s="310"/>
      <c r="AU808" s="309"/>
      <c r="AV808" s="310"/>
      <c r="AW808" s="309"/>
      <c r="AX808" s="310"/>
      <c r="AY808" s="309"/>
      <c r="AZ808" s="310"/>
      <c r="BA808" s="271"/>
      <c r="BB808" s="271"/>
      <c r="BC808" s="271"/>
      <c r="BD808" s="271"/>
      <c r="BE808" s="271"/>
      <c r="BF808" s="271"/>
    </row>
    <row r="809" spans="2:58" ht="16" thickBot="1" x14ac:dyDescent="0.25">
      <c r="B809" s="577"/>
      <c r="C809" s="159">
        <f>SUM(C803:C808)</f>
        <v>23330.559999999998</v>
      </c>
      <c r="D809" s="159"/>
      <c r="E809" s="270"/>
      <c r="F809" s="271"/>
      <c r="G809" s="309"/>
      <c r="H809" s="310"/>
      <c r="I809" s="309"/>
      <c r="J809" s="310"/>
      <c r="K809" s="309"/>
      <c r="L809" s="310"/>
      <c r="M809" s="309"/>
      <c r="N809" s="310"/>
      <c r="O809" s="271"/>
      <c r="P809" s="271"/>
      <c r="Q809" s="309"/>
      <c r="R809" s="310"/>
      <c r="S809" s="309"/>
      <c r="T809" s="310"/>
      <c r="U809" s="309"/>
      <c r="V809" s="310"/>
      <c r="W809" s="309"/>
      <c r="X809" s="310"/>
      <c r="Y809" s="309"/>
      <c r="Z809" s="310"/>
      <c r="AA809" s="309"/>
      <c r="AB809" s="310"/>
      <c r="AC809" s="271"/>
      <c r="AD809" s="271"/>
      <c r="AE809" s="309"/>
      <c r="AF809" s="310"/>
      <c r="AG809" s="309"/>
      <c r="AH809" s="310"/>
      <c r="AI809" s="309"/>
      <c r="AJ809" s="310"/>
      <c r="AK809" s="309"/>
      <c r="AL809" s="310"/>
      <c r="AM809" s="309"/>
      <c r="AN809" s="310"/>
      <c r="AO809" s="309"/>
      <c r="AP809" s="310"/>
      <c r="AQ809" s="309"/>
      <c r="AR809" s="310"/>
      <c r="AS809" s="309"/>
      <c r="AT809" s="310"/>
      <c r="AU809" s="309"/>
      <c r="AV809" s="310"/>
      <c r="AW809" s="309"/>
      <c r="AX809" s="310"/>
      <c r="AY809" s="309"/>
      <c r="AZ809" s="310"/>
      <c r="BA809" s="271"/>
      <c r="BB809" s="271"/>
      <c r="BC809" s="271"/>
      <c r="BD809" s="271"/>
      <c r="BE809" s="271"/>
      <c r="BF809" s="271"/>
    </row>
    <row r="810" spans="2:58" ht="16" thickBot="1" x14ac:dyDescent="0.25">
      <c r="B810" s="289">
        <v>45752</v>
      </c>
      <c r="C810" s="299">
        <v>192.98</v>
      </c>
      <c r="D810" s="300"/>
      <c r="E810" s="274" t="s">
        <v>426</v>
      </c>
      <c r="F810" s="302"/>
      <c r="G810" s="309"/>
      <c r="H810" s="310"/>
      <c r="I810" s="309"/>
      <c r="J810" s="310"/>
      <c r="K810" s="309"/>
      <c r="L810" s="310"/>
      <c r="M810" s="309"/>
      <c r="N810" s="310"/>
      <c r="O810" s="271"/>
      <c r="P810" s="271"/>
      <c r="Q810" s="309"/>
      <c r="R810" s="310"/>
      <c r="S810" s="309"/>
      <c r="T810" s="310"/>
      <c r="U810" s="309"/>
      <c r="V810" s="310"/>
      <c r="W810" s="309"/>
      <c r="X810" s="310"/>
      <c r="Y810" s="309"/>
      <c r="Z810" s="310"/>
      <c r="AA810" s="309"/>
      <c r="AB810" s="310"/>
      <c r="AC810" s="271"/>
      <c r="AD810" s="271"/>
      <c r="AE810" s="309"/>
      <c r="AF810" s="310"/>
      <c r="AG810" s="309"/>
      <c r="AH810" s="310"/>
      <c r="AI810" s="309"/>
      <c r="AJ810" s="310"/>
      <c r="AK810" s="309"/>
      <c r="AL810" s="310"/>
      <c r="AM810" s="309"/>
      <c r="AN810" s="310"/>
      <c r="AO810" s="309"/>
      <c r="AP810" s="310"/>
      <c r="AQ810" s="309"/>
      <c r="AR810" s="310"/>
      <c r="AS810" s="309"/>
      <c r="AT810" s="310"/>
      <c r="AU810" s="309"/>
      <c r="AV810" s="310"/>
      <c r="AW810" s="309"/>
      <c r="AX810" s="310"/>
      <c r="AY810" s="309"/>
      <c r="AZ810" s="310"/>
      <c r="BA810" s="271"/>
      <c r="BB810" s="271"/>
      <c r="BC810" s="271"/>
      <c r="BD810" s="271"/>
      <c r="BE810" s="271"/>
      <c r="BF810" s="271"/>
    </row>
    <row r="811" spans="2:58" ht="16" thickBot="1" x14ac:dyDescent="0.25">
      <c r="B811" s="289"/>
      <c r="C811" s="299">
        <v>800</v>
      </c>
      <c r="D811" s="300"/>
      <c r="E811" s="275" t="s">
        <v>3</v>
      </c>
      <c r="F811" s="302"/>
      <c r="G811" s="309"/>
      <c r="H811" s="310"/>
      <c r="I811" s="309"/>
      <c r="J811" s="310"/>
      <c r="K811" s="309"/>
      <c r="L811" s="310"/>
      <c r="M811" s="309"/>
      <c r="N811" s="310"/>
      <c r="O811" s="271"/>
      <c r="P811" s="271"/>
      <c r="Q811" s="309"/>
      <c r="R811" s="310"/>
      <c r="S811" s="309"/>
      <c r="T811" s="310"/>
      <c r="U811" s="309"/>
      <c r="V811" s="310"/>
      <c r="W811" s="309"/>
      <c r="X811" s="310"/>
      <c r="Y811" s="309"/>
      <c r="Z811" s="310"/>
      <c r="AA811" s="309"/>
      <c r="AB811" s="310"/>
      <c r="AC811" s="271"/>
      <c r="AD811" s="271"/>
      <c r="AE811" s="309"/>
      <c r="AF811" s="310"/>
      <c r="AG811" s="309"/>
      <c r="AH811" s="310"/>
      <c r="AI811" s="309"/>
      <c r="AJ811" s="310"/>
      <c r="AK811" s="309"/>
      <c r="AL811" s="310"/>
      <c r="AM811" s="309"/>
      <c r="AN811" s="310"/>
      <c r="AO811" s="309"/>
      <c r="AP811" s="310"/>
      <c r="AQ811" s="309"/>
      <c r="AR811" s="310"/>
      <c r="AS811" s="309"/>
      <c r="AT811" s="310"/>
      <c r="AU811" s="309"/>
      <c r="AV811" s="310"/>
      <c r="AW811" s="309"/>
      <c r="AX811" s="310"/>
      <c r="AY811" s="309"/>
      <c r="AZ811" s="310"/>
      <c r="BA811" s="271"/>
      <c r="BB811" s="271"/>
      <c r="BC811" s="271"/>
      <c r="BD811" s="271"/>
      <c r="BE811" s="271"/>
      <c r="BF811" s="271"/>
    </row>
    <row r="812" spans="2:58" ht="16" thickBot="1" x14ac:dyDescent="0.25">
      <c r="B812" s="289"/>
      <c r="C812" s="299"/>
      <c r="D812" s="300"/>
      <c r="E812" s="275"/>
      <c r="F812" s="302"/>
      <c r="G812" s="309"/>
      <c r="H812" s="310"/>
      <c r="I812" s="309"/>
      <c r="J812" s="310"/>
      <c r="K812" s="309"/>
      <c r="L812" s="310"/>
      <c r="M812" s="309"/>
      <c r="N812" s="310"/>
      <c r="O812" s="271"/>
      <c r="P812" s="271"/>
      <c r="Q812" s="309"/>
      <c r="R812" s="310"/>
      <c r="S812" s="309"/>
      <c r="T812" s="310"/>
      <c r="U812" s="309"/>
      <c r="V812" s="310"/>
      <c r="W812" s="309"/>
      <c r="X812" s="310"/>
      <c r="Y812" s="309"/>
      <c r="Z812" s="310"/>
      <c r="AA812" s="309"/>
      <c r="AB812" s="310"/>
      <c r="AC812" s="271"/>
      <c r="AD812" s="271"/>
      <c r="AE812" s="309"/>
      <c r="AF812" s="310"/>
      <c r="AG812" s="309"/>
      <c r="AH812" s="310"/>
      <c r="AI812" s="309"/>
      <c r="AJ812" s="310"/>
      <c r="AK812" s="309"/>
      <c r="AL812" s="310"/>
      <c r="AM812" s="309"/>
      <c r="AN812" s="310"/>
      <c r="AO812" s="309"/>
      <c r="AP812" s="310"/>
      <c r="AQ812" s="309"/>
      <c r="AR812" s="310"/>
      <c r="AS812" s="309"/>
      <c r="AT812" s="310"/>
      <c r="AU812" s="309"/>
      <c r="AV812" s="310"/>
      <c r="AW812" s="309"/>
      <c r="AX812" s="310"/>
      <c r="AY812" s="309"/>
      <c r="AZ812" s="310"/>
      <c r="BA812" s="271"/>
      <c r="BB812" s="271"/>
      <c r="BC812" s="271"/>
      <c r="BD812" s="271"/>
      <c r="BE812" s="271"/>
      <c r="BF812" s="271"/>
    </row>
    <row r="813" spans="2:58" ht="16" thickBot="1" x14ac:dyDescent="0.25">
      <c r="B813" s="289"/>
      <c r="C813" s="299"/>
      <c r="D813" s="300"/>
      <c r="E813" s="275"/>
      <c r="F813" s="302"/>
      <c r="G813" s="309"/>
      <c r="H813" s="310"/>
      <c r="I813" s="309"/>
      <c r="J813" s="310"/>
      <c r="K813" s="309"/>
      <c r="L813" s="310"/>
      <c r="M813" s="309"/>
      <c r="N813" s="310"/>
      <c r="O813" s="271"/>
      <c r="P813" s="271"/>
      <c r="Q813" s="309"/>
      <c r="R813" s="310"/>
      <c r="S813" s="309"/>
      <c r="T813" s="310"/>
      <c r="U813" s="309"/>
      <c r="V813" s="310"/>
      <c r="W813" s="309"/>
      <c r="X813" s="310"/>
      <c r="Y813" s="309"/>
      <c r="Z813" s="310"/>
      <c r="AA813" s="309"/>
      <c r="AB813" s="310"/>
      <c r="AC813" s="271"/>
      <c r="AD813" s="271"/>
      <c r="AE813" s="309"/>
      <c r="AF813" s="310"/>
      <c r="AG813" s="309"/>
      <c r="AH813" s="310"/>
      <c r="AI813" s="309"/>
      <c r="AJ813" s="310"/>
      <c r="AK813" s="309"/>
      <c r="AL813" s="310"/>
      <c r="AM813" s="309"/>
      <c r="AN813" s="310"/>
      <c r="AO813" s="309"/>
      <c r="AP813" s="310"/>
      <c r="AQ813" s="309"/>
      <c r="AR813" s="310"/>
      <c r="AS813" s="309"/>
      <c r="AT813" s="310"/>
      <c r="AU813" s="309"/>
      <c r="AV813" s="310"/>
      <c r="AW813" s="309"/>
      <c r="AX813" s="310"/>
      <c r="AY813" s="309"/>
      <c r="AZ813" s="310"/>
      <c r="BA813" s="271"/>
      <c r="BB813" s="271"/>
      <c r="BC813" s="271"/>
      <c r="BD813" s="271"/>
      <c r="BE813" s="271"/>
      <c r="BF813" s="271"/>
    </row>
    <row r="814" spans="2:58" ht="16" thickBot="1" x14ac:dyDescent="0.25">
      <c r="B814" s="289"/>
      <c r="C814" s="299"/>
      <c r="D814" s="300"/>
      <c r="E814" s="275"/>
      <c r="F814" s="302"/>
      <c r="G814" s="309"/>
      <c r="H814" s="310"/>
      <c r="I814" s="309"/>
      <c r="J814" s="310"/>
      <c r="K814" s="309"/>
      <c r="L814" s="310"/>
      <c r="M814" s="309"/>
      <c r="N814" s="310"/>
      <c r="O814" s="271"/>
      <c r="P814" s="271"/>
      <c r="Q814" s="309"/>
      <c r="R814" s="310"/>
      <c r="S814" s="309"/>
      <c r="T814" s="310"/>
      <c r="U814" s="309"/>
      <c r="V814" s="310"/>
      <c r="W814" s="309"/>
      <c r="X814" s="310"/>
      <c r="Y814" s="309"/>
      <c r="Z814" s="310"/>
      <c r="AA814" s="309"/>
      <c r="AB814" s="310"/>
      <c r="AC814" s="271"/>
      <c r="AD814" s="271"/>
      <c r="AE814" s="309"/>
      <c r="AF814" s="310"/>
      <c r="AG814" s="309"/>
      <c r="AH814" s="310"/>
      <c r="AI814" s="309"/>
      <c r="AJ814" s="310"/>
      <c r="AK814" s="309"/>
      <c r="AL814" s="310"/>
      <c r="AM814" s="309"/>
      <c r="AN814" s="310"/>
      <c r="AO814" s="309"/>
      <c r="AP814" s="310"/>
      <c r="AQ814" s="309"/>
      <c r="AR814" s="310"/>
      <c r="AS814" s="309"/>
      <c r="AT814" s="310"/>
      <c r="AU814" s="309"/>
      <c r="AV814" s="310"/>
      <c r="AW814" s="309"/>
      <c r="AX814" s="310"/>
      <c r="AY814" s="309"/>
      <c r="AZ814" s="310"/>
      <c r="BA814" s="271"/>
      <c r="BB814" s="271"/>
      <c r="BC814" s="271"/>
      <c r="BD814" s="271"/>
      <c r="BE814" s="271"/>
      <c r="BF814" s="271"/>
    </row>
    <row r="815" spans="2:58" ht="16" thickBot="1" x14ac:dyDescent="0.25">
      <c r="B815" s="289"/>
      <c r="C815" s="299"/>
      <c r="D815" s="300"/>
      <c r="E815" s="275"/>
      <c r="F815" s="302"/>
      <c r="G815" s="309"/>
      <c r="H815" s="310"/>
      <c r="I815" s="309"/>
      <c r="J815" s="310"/>
      <c r="K815" s="309"/>
      <c r="L815" s="310"/>
      <c r="M815" s="309"/>
      <c r="N815" s="310"/>
      <c r="O815" s="271"/>
      <c r="P815" s="271"/>
      <c r="Q815" s="309"/>
      <c r="R815" s="310"/>
      <c r="S815" s="309"/>
      <c r="T815" s="310"/>
      <c r="U815" s="309"/>
      <c r="V815" s="310"/>
      <c r="W815" s="309"/>
      <c r="X815" s="310"/>
      <c r="Y815" s="309"/>
      <c r="Z815" s="310"/>
      <c r="AA815" s="309"/>
      <c r="AB815" s="310"/>
      <c r="AC815" s="271"/>
      <c r="AD815" s="271"/>
      <c r="AE815" s="309"/>
      <c r="AF815" s="310"/>
      <c r="AG815" s="309"/>
      <c r="AH815" s="310"/>
      <c r="AI815" s="309"/>
      <c r="AJ815" s="310"/>
      <c r="AK815" s="309"/>
      <c r="AL815" s="310"/>
      <c r="AM815" s="309"/>
      <c r="AN815" s="310"/>
      <c r="AO815" s="309"/>
      <c r="AP815" s="310"/>
      <c r="AQ815" s="309"/>
      <c r="AR815" s="310"/>
      <c r="AS815" s="309"/>
      <c r="AT815" s="310"/>
      <c r="AU815" s="309"/>
      <c r="AV815" s="310"/>
      <c r="AW815" s="309"/>
      <c r="AX815" s="310"/>
      <c r="AY815" s="309"/>
      <c r="AZ815" s="310"/>
      <c r="BA815" s="271"/>
      <c r="BB815" s="271"/>
      <c r="BC815" s="271"/>
      <c r="BD815" s="271"/>
      <c r="BE815" s="271"/>
      <c r="BF815" s="271"/>
    </row>
    <row r="816" spans="2:58" ht="16" thickBot="1" x14ac:dyDescent="0.25">
      <c r="B816" s="289"/>
      <c r="C816" s="299"/>
      <c r="D816" s="300"/>
      <c r="E816" s="275"/>
      <c r="F816" s="302"/>
      <c r="G816" s="309"/>
      <c r="H816" s="310"/>
      <c r="I816" s="309"/>
      <c r="J816" s="310"/>
      <c r="K816" s="309"/>
      <c r="L816" s="310"/>
      <c r="M816" s="309"/>
      <c r="N816" s="310"/>
      <c r="O816" s="271"/>
      <c r="P816" s="271"/>
      <c r="Q816" s="309"/>
      <c r="R816" s="310"/>
      <c r="S816" s="309"/>
      <c r="T816" s="310"/>
      <c r="U816" s="309"/>
      <c r="V816" s="310"/>
      <c r="W816" s="309"/>
      <c r="X816" s="310"/>
      <c r="Y816" s="309"/>
      <c r="Z816" s="310"/>
      <c r="AA816" s="309"/>
      <c r="AB816" s="310"/>
      <c r="AC816" s="271"/>
      <c r="AD816" s="271"/>
      <c r="AE816" s="309"/>
      <c r="AF816" s="310"/>
      <c r="AG816" s="309"/>
      <c r="AH816" s="310"/>
      <c r="AI816" s="309"/>
      <c r="AJ816" s="310"/>
      <c r="AK816" s="309"/>
      <c r="AL816" s="310"/>
      <c r="AM816" s="309"/>
      <c r="AN816" s="310"/>
      <c r="AO816" s="309"/>
      <c r="AP816" s="310"/>
      <c r="AQ816" s="309"/>
      <c r="AR816" s="310"/>
      <c r="AS816" s="309"/>
      <c r="AT816" s="310"/>
      <c r="AU816" s="309"/>
      <c r="AV816" s="310"/>
      <c r="AW816" s="309"/>
      <c r="AX816" s="310"/>
      <c r="AY816" s="309"/>
      <c r="AZ816" s="310"/>
      <c r="BA816" s="271"/>
      <c r="BB816" s="271"/>
      <c r="BC816" s="271"/>
      <c r="BD816" s="271"/>
      <c r="BE816" s="271"/>
      <c r="BF816" s="271"/>
    </row>
    <row r="817" spans="2:58" ht="16" thickBot="1" x14ac:dyDescent="0.25">
      <c r="B817" s="288" t="s">
        <v>25</v>
      </c>
      <c r="C817" s="284"/>
      <c r="D817" s="291"/>
      <c r="E817" s="290"/>
      <c r="F817" s="293"/>
      <c r="G817" s="309"/>
      <c r="H817" s="310"/>
      <c r="I817" s="309"/>
      <c r="J817" s="310"/>
      <c r="K817" s="309"/>
      <c r="L817" s="310"/>
      <c r="M817" s="309"/>
      <c r="N817" s="310"/>
      <c r="O817" s="271"/>
      <c r="P817" s="271"/>
      <c r="Q817" s="309"/>
      <c r="R817" s="310"/>
      <c r="S817" s="309"/>
      <c r="T817" s="310"/>
      <c r="U817" s="309"/>
      <c r="V817" s="310"/>
      <c r="W817" s="309"/>
      <c r="X817" s="310"/>
      <c r="Y817" s="309"/>
      <c r="Z817" s="310"/>
      <c r="AA817" s="309"/>
      <c r="AB817" s="310"/>
      <c r="AC817" s="271"/>
      <c r="AD817" s="271"/>
      <c r="AE817" s="309"/>
      <c r="AF817" s="310"/>
      <c r="AG817" s="309"/>
      <c r="AH817" s="310"/>
      <c r="AI817" s="309"/>
      <c r="AJ817" s="310"/>
      <c r="AK817" s="309"/>
      <c r="AL817" s="310"/>
      <c r="AM817" s="309"/>
      <c r="AN817" s="310"/>
      <c r="AO817" s="309"/>
      <c r="AP817" s="310"/>
      <c r="AQ817" s="309"/>
      <c r="AR817" s="310"/>
      <c r="AS817" s="309"/>
      <c r="AT817" s="310"/>
      <c r="AU817" s="309"/>
      <c r="AV817" s="310"/>
      <c r="AW817" s="309"/>
      <c r="AX817" s="310"/>
      <c r="AY817" s="309"/>
      <c r="AZ817" s="310"/>
      <c r="BA817" s="271"/>
      <c r="BB817" s="271"/>
      <c r="BC817" s="271"/>
      <c r="BD817" s="271"/>
      <c r="BE817" s="271"/>
      <c r="BF817" s="271"/>
    </row>
    <row r="818" spans="2:58" ht="16" thickBot="1" x14ac:dyDescent="0.25">
      <c r="B818" s="668"/>
      <c r="C818" s="640">
        <f>SUM(C810:C817)</f>
        <v>992.98</v>
      </c>
      <c r="D818" s="159"/>
      <c r="E818" s="270"/>
      <c r="F818" s="271"/>
      <c r="G818" s="309"/>
      <c r="H818" s="310"/>
      <c r="I818" s="309"/>
      <c r="J818" s="310"/>
      <c r="K818" s="309"/>
      <c r="L818" s="310"/>
      <c r="M818" s="309"/>
      <c r="N818" s="310"/>
      <c r="O818" s="271"/>
      <c r="P818" s="271"/>
      <c r="Q818" s="309"/>
      <c r="R818" s="310"/>
      <c r="S818" s="309"/>
      <c r="T818" s="310"/>
      <c r="U818" s="309"/>
      <c r="V818" s="310"/>
      <c r="W818" s="309"/>
      <c r="X818" s="310"/>
      <c r="Y818" s="309"/>
      <c r="Z818" s="310"/>
      <c r="AA818" s="309"/>
      <c r="AB818" s="310"/>
      <c r="AC818" s="271"/>
      <c r="AD818" s="271"/>
      <c r="AE818" s="309"/>
      <c r="AF818" s="310"/>
      <c r="AG818" s="309"/>
      <c r="AH818" s="310"/>
      <c r="AI818" s="309"/>
      <c r="AJ818" s="310"/>
      <c r="AK818" s="309"/>
      <c r="AL818" s="310"/>
      <c r="AM818" s="309"/>
      <c r="AN818" s="310"/>
      <c r="AO818" s="309"/>
      <c r="AP818" s="310"/>
      <c r="AQ818" s="309"/>
      <c r="AR818" s="310"/>
      <c r="AS818" s="309"/>
      <c r="AT818" s="310"/>
      <c r="AU818" s="309"/>
      <c r="AV818" s="310"/>
      <c r="AW818" s="309"/>
      <c r="AX818" s="310"/>
      <c r="AY818" s="309"/>
      <c r="AZ818" s="310"/>
      <c r="BA818" s="271"/>
      <c r="BB818" s="271"/>
      <c r="BC818" s="271"/>
      <c r="BD818" s="271"/>
      <c r="BE818" s="271"/>
      <c r="BF818" s="271"/>
    </row>
    <row r="819" spans="2:58" ht="16" thickBot="1" x14ac:dyDescent="0.25">
      <c r="B819" s="479">
        <v>45753</v>
      </c>
      <c r="C819" s="657">
        <v>1650</v>
      </c>
      <c r="D819" s="641"/>
      <c r="E819" s="274" t="s">
        <v>186</v>
      </c>
      <c r="F819" s="301"/>
      <c r="G819" s="550"/>
      <c r="H819" s="310"/>
      <c r="I819" s="309"/>
      <c r="J819" s="310"/>
      <c r="K819" s="309"/>
      <c r="L819" s="310"/>
      <c r="M819" s="309"/>
      <c r="N819" s="310"/>
      <c r="O819" s="271"/>
      <c r="P819" s="271"/>
      <c r="Q819" s="309"/>
      <c r="R819" s="310"/>
      <c r="S819" s="309"/>
      <c r="T819" s="310"/>
      <c r="U819" s="309"/>
      <c r="V819" s="310"/>
      <c r="W819" s="309"/>
      <c r="X819" s="310"/>
      <c r="Y819" s="309"/>
      <c r="Z819" s="310"/>
      <c r="AA819" s="309"/>
      <c r="AB819" s="310"/>
      <c r="AC819" s="271"/>
      <c r="AD819" s="271"/>
      <c r="AE819" s="309"/>
      <c r="AF819" s="310"/>
      <c r="AG819" s="309"/>
      <c r="AH819" s="310"/>
      <c r="AI819" s="309"/>
      <c r="AJ819" s="310"/>
      <c r="AK819" s="309"/>
      <c r="AL819" s="310"/>
      <c r="AM819" s="309"/>
      <c r="AN819" s="310"/>
      <c r="AO819" s="309"/>
      <c r="AP819" s="310"/>
      <c r="AQ819" s="309"/>
      <c r="AR819" s="310"/>
      <c r="AS819" s="309"/>
      <c r="AT819" s="310"/>
      <c r="AU819" s="309"/>
      <c r="AV819" s="310"/>
      <c r="AW819" s="309"/>
      <c r="AX819" s="310"/>
      <c r="AY819" s="309"/>
      <c r="AZ819" s="310"/>
      <c r="BA819" s="271"/>
      <c r="BB819" s="271"/>
      <c r="BC819" s="271"/>
      <c r="BD819" s="271"/>
      <c r="BE819" s="271"/>
      <c r="BF819" s="271"/>
    </row>
    <row r="820" spans="2:58" ht="16" thickBot="1" x14ac:dyDescent="0.25">
      <c r="B820" s="479"/>
      <c r="C820" s="657">
        <v>220</v>
      </c>
      <c r="D820" s="657"/>
      <c r="E820" s="285" t="s">
        <v>763</v>
      </c>
      <c r="F820" s="302"/>
      <c r="G820" s="550"/>
      <c r="H820" s="310"/>
      <c r="I820" s="309"/>
      <c r="J820" s="310"/>
      <c r="K820" s="309"/>
      <c r="L820" s="310"/>
      <c r="M820" s="309"/>
      <c r="N820" s="310"/>
      <c r="O820" s="271"/>
      <c r="P820" s="271"/>
      <c r="Q820" s="309"/>
      <c r="R820" s="310"/>
      <c r="S820" s="309"/>
      <c r="T820" s="310"/>
      <c r="U820" s="309"/>
      <c r="V820" s="310"/>
      <c r="W820" s="309"/>
      <c r="X820" s="310"/>
      <c r="Y820" s="309"/>
      <c r="Z820" s="310"/>
      <c r="AA820" s="309"/>
      <c r="AB820" s="310"/>
      <c r="AC820" s="271"/>
      <c r="AD820" s="271"/>
      <c r="AE820" s="309"/>
      <c r="AF820" s="310"/>
      <c r="AG820" s="309"/>
      <c r="AH820" s="310"/>
      <c r="AI820" s="309"/>
      <c r="AJ820" s="310"/>
      <c r="AK820" s="309"/>
      <c r="AL820" s="310"/>
      <c r="AM820" s="309"/>
      <c r="AN820" s="310"/>
      <c r="AO820" s="309"/>
      <c r="AP820" s="310"/>
      <c r="AQ820" s="309"/>
      <c r="AR820" s="310"/>
      <c r="AS820" s="309"/>
      <c r="AT820" s="310"/>
      <c r="AU820" s="309"/>
      <c r="AV820" s="310"/>
      <c r="AW820" s="309"/>
      <c r="AX820" s="310"/>
      <c r="AY820" s="309"/>
      <c r="AZ820" s="310"/>
      <c r="BA820" s="271"/>
      <c r="BB820" s="271"/>
      <c r="BC820" s="271"/>
      <c r="BD820" s="271"/>
      <c r="BE820" s="271"/>
      <c r="BF820" s="271"/>
    </row>
    <row r="821" spans="2:58" ht="16" thickBot="1" x14ac:dyDescent="0.25">
      <c r="B821" s="479"/>
      <c r="C821" s="657">
        <v>349.93</v>
      </c>
      <c r="D821" s="657"/>
      <c r="E821" s="285"/>
      <c r="F821" s="302" t="s">
        <v>14</v>
      </c>
      <c r="G821" s="550"/>
      <c r="H821" s="310"/>
      <c r="I821" s="309"/>
      <c r="J821" s="310"/>
      <c r="K821" s="309"/>
      <c r="L821" s="310"/>
      <c r="M821" s="309"/>
      <c r="N821" s="310"/>
      <c r="O821" s="271"/>
      <c r="P821" s="271"/>
      <c r="Q821" s="309"/>
      <c r="R821" s="310"/>
      <c r="S821" s="309"/>
      <c r="T821" s="310"/>
      <c r="U821" s="309"/>
      <c r="V821" s="310"/>
      <c r="W821" s="309"/>
      <c r="X821" s="310"/>
      <c r="Y821" s="309"/>
      <c r="Z821" s="310"/>
      <c r="AA821" s="309"/>
      <c r="AB821" s="310"/>
      <c r="AC821" s="271"/>
      <c r="AD821" s="271"/>
      <c r="AE821" s="309">
        <v>7</v>
      </c>
      <c r="AF821" s="310">
        <v>349.93</v>
      </c>
      <c r="AG821" s="309"/>
      <c r="AH821" s="310"/>
      <c r="AI821" s="309"/>
      <c r="AJ821" s="310"/>
      <c r="AK821" s="309"/>
      <c r="AL821" s="310"/>
      <c r="AM821" s="309"/>
      <c r="AN821" s="310"/>
      <c r="AO821" s="309"/>
      <c r="AP821" s="310"/>
      <c r="AQ821" s="309"/>
      <c r="AR821" s="310"/>
      <c r="AS821" s="309"/>
      <c r="AT821" s="310"/>
      <c r="AU821" s="309"/>
      <c r="AV821" s="310"/>
      <c r="AW821" s="309"/>
      <c r="AX821" s="310"/>
      <c r="AY821" s="309"/>
      <c r="AZ821" s="310"/>
      <c r="BA821" s="271"/>
      <c r="BB821" s="271"/>
      <c r="BC821" s="271"/>
      <c r="BD821" s="271"/>
      <c r="BE821" s="271"/>
      <c r="BF821" s="271"/>
    </row>
    <row r="822" spans="2:58" ht="16" thickBot="1" x14ac:dyDescent="0.25">
      <c r="B822" s="479"/>
      <c r="C822" s="657">
        <v>3881.84</v>
      </c>
      <c r="D822" s="657"/>
      <c r="E822" s="285"/>
      <c r="F822" s="302" t="s">
        <v>9</v>
      </c>
      <c r="G822" s="550">
        <v>4</v>
      </c>
      <c r="H822" s="310">
        <v>559.96</v>
      </c>
      <c r="I822" s="309">
        <v>1</v>
      </c>
      <c r="J822" s="310">
        <v>204.99</v>
      </c>
      <c r="K822" s="309">
        <v>1</v>
      </c>
      <c r="L822" s="310">
        <v>181.99</v>
      </c>
      <c r="M822" s="309">
        <v>2</v>
      </c>
      <c r="N822" s="310">
        <v>345.98</v>
      </c>
      <c r="O822" s="271">
        <v>15</v>
      </c>
      <c r="P822" s="271">
        <v>1875</v>
      </c>
      <c r="Q822" s="309"/>
      <c r="R822" s="310"/>
      <c r="S822" s="309"/>
      <c r="T822" s="310"/>
      <c r="U822" s="309"/>
      <c r="V822" s="310"/>
      <c r="W822" s="309">
        <v>4</v>
      </c>
      <c r="X822" s="310">
        <v>171.96</v>
      </c>
      <c r="Y822" s="309"/>
      <c r="Z822" s="310"/>
      <c r="AA822" s="309"/>
      <c r="AB822" s="310"/>
      <c r="AC822" s="271">
        <v>3</v>
      </c>
      <c r="AD822" s="271">
        <v>296.97000000000003</v>
      </c>
      <c r="AE822" s="309"/>
      <c r="AF822" s="310"/>
      <c r="AG822" s="309"/>
      <c r="AH822" s="310"/>
      <c r="AI822" s="309"/>
      <c r="AJ822" s="310"/>
      <c r="AK822" s="309"/>
      <c r="AL822" s="310"/>
      <c r="AM822" s="309"/>
      <c r="AN822" s="310"/>
      <c r="AO822" s="309"/>
      <c r="AP822" s="310"/>
      <c r="AQ822" s="309"/>
      <c r="AR822" s="310"/>
      <c r="AS822" s="309"/>
      <c r="AT822" s="310"/>
      <c r="AU822" s="309"/>
      <c r="AV822" s="310"/>
      <c r="AW822" s="309"/>
      <c r="AX822" s="310"/>
      <c r="AY822" s="309"/>
      <c r="AZ822" s="310"/>
      <c r="BA822" s="271"/>
      <c r="BB822" s="271"/>
      <c r="BC822" s="271"/>
      <c r="BD822" s="271"/>
      <c r="BE822" s="271"/>
      <c r="BF822" s="271"/>
    </row>
    <row r="823" spans="2:58" ht="16" thickBot="1" x14ac:dyDescent="0.25">
      <c r="B823" s="479"/>
      <c r="C823" s="657"/>
      <c r="D823" s="657"/>
      <c r="E823" s="285"/>
      <c r="F823" s="302"/>
      <c r="G823" s="550"/>
      <c r="H823" s="310"/>
      <c r="I823" s="309"/>
      <c r="J823" s="310"/>
      <c r="K823" s="309"/>
      <c r="L823" s="310"/>
      <c r="M823" s="309"/>
      <c r="N823" s="310"/>
      <c r="O823" s="271"/>
      <c r="P823" s="271"/>
      <c r="Q823" s="309"/>
      <c r="R823" s="310"/>
      <c r="S823" s="309"/>
      <c r="T823" s="310"/>
      <c r="U823" s="309"/>
      <c r="V823" s="310"/>
      <c r="W823" s="309"/>
      <c r="X823" s="310"/>
      <c r="Y823" s="309"/>
      <c r="Z823" s="310"/>
      <c r="AA823" s="309"/>
      <c r="AB823" s="310"/>
      <c r="AC823" s="271"/>
      <c r="AD823" s="271"/>
      <c r="AE823" s="309"/>
      <c r="AF823" s="310"/>
      <c r="AG823" s="309"/>
      <c r="AH823" s="310"/>
      <c r="AI823" s="309"/>
      <c r="AJ823" s="310"/>
      <c r="AK823" s="309"/>
      <c r="AL823" s="310"/>
      <c r="AM823" s="309"/>
      <c r="AN823" s="310"/>
      <c r="AO823" s="309"/>
      <c r="AP823" s="310"/>
      <c r="AQ823" s="309"/>
      <c r="AR823" s="310"/>
      <c r="AS823" s="309"/>
      <c r="AT823" s="310"/>
      <c r="AU823" s="309"/>
      <c r="AV823" s="310"/>
      <c r="AW823" s="309"/>
      <c r="AX823" s="310"/>
      <c r="AY823" s="309"/>
      <c r="AZ823" s="310"/>
      <c r="BA823" s="271"/>
      <c r="BB823" s="271"/>
      <c r="BC823" s="271"/>
      <c r="BD823" s="271"/>
      <c r="BE823" s="271"/>
      <c r="BF823" s="271"/>
    </row>
    <row r="824" spans="2:58" ht="16" thickBot="1" x14ac:dyDescent="0.25">
      <c r="B824" s="479"/>
      <c r="C824" s="657"/>
      <c r="D824" s="657"/>
      <c r="E824" s="285"/>
      <c r="F824" s="302"/>
      <c r="G824" s="550"/>
      <c r="H824" s="310"/>
      <c r="I824" s="309"/>
      <c r="J824" s="310"/>
      <c r="K824" s="309"/>
      <c r="L824" s="310"/>
      <c r="M824" s="309"/>
      <c r="N824" s="310"/>
      <c r="O824" s="271"/>
      <c r="P824" s="271"/>
      <c r="Q824" s="309"/>
      <c r="R824" s="310"/>
      <c r="S824" s="309"/>
      <c r="T824" s="310"/>
      <c r="U824" s="309"/>
      <c r="V824" s="310"/>
      <c r="W824" s="309"/>
      <c r="X824" s="310"/>
      <c r="Y824" s="309"/>
      <c r="Z824" s="310"/>
      <c r="AA824" s="309"/>
      <c r="AB824" s="310"/>
      <c r="AC824" s="271"/>
      <c r="AD824" s="271"/>
      <c r="AE824" s="309"/>
      <c r="AF824" s="310"/>
      <c r="AG824" s="309"/>
      <c r="AH824" s="310"/>
      <c r="AI824" s="309"/>
      <c r="AJ824" s="310"/>
      <c r="AK824" s="309"/>
      <c r="AL824" s="310"/>
      <c r="AM824" s="309"/>
      <c r="AN824" s="310"/>
      <c r="AO824" s="309"/>
      <c r="AP824" s="310"/>
      <c r="AQ824" s="309"/>
      <c r="AR824" s="310"/>
      <c r="AS824" s="309"/>
      <c r="AT824" s="310"/>
      <c r="AU824" s="309"/>
      <c r="AV824" s="310"/>
      <c r="AW824" s="309"/>
      <c r="AX824" s="310"/>
      <c r="AY824" s="309"/>
      <c r="AZ824" s="310"/>
      <c r="BA824" s="271"/>
      <c r="BB824" s="271"/>
      <c r="BC824" s="271"/>
      <c r="BD824" s="271"/>
      <c r="BE824" s="271"/>
      <c r="BF824" s="271"/>
    </row>
    <row r="825" spans="2:58" ht="16" thickBot="1" x14ac:dyDescent="0.25">
      <c r="B825" s="549" t="s">
        <v>26</v>
      </c>
      <c r="C825" s="554"/>
      <c r="D825" s="291"/>
      <c r="E825" s="290"/>
      <c r="F825" s="293"/>
      <c r="G825" s="550"/>
      <c r="H825" s="310"/>
      <c r="I825" s="309"/>
      <c r="J825" s="310"/>
      <c r="K825" s="309"/>
      <c r="L825" s="310"/>
      <c r="M825" s="309"/>
      <c r="N825" s="310"/>
      <c r="O825" s="271"/>
      <c r="P825" s="271"/>
      <c r="Q825" s="309"/>
      <c r="R825" s="310"/>
      <c r="S825" s="309"/>
      <c r="T825" s="310"/>
      <c r="U825" s="309"/>
      <c r="V825" s="310"/>
      <c r="W825" s="309"/>
      <c r="X825" s="310"/>
      <c r="Y825" s="309"/>
      <c r="Z825" s="310"/>
      <c r="AA825" s="309"/>
      <c r="AB825" s="310"/>
      <c r="AC825" s="271"/>
      <c r="AD825" s="271"/>
      <c r="AE825" s="309"/>
      <c r="AF825" s="310"/>
      <c r="AG825" s="309"/>
      <c r="AH825" s="310"/>
      <c r="AI825" s="309"/>
      <c r="AJ825" s="310"/>
      <c r="AK825" s="309"/>
      <c r="AL825" s="310"/>
      <c r="AM825" s="309"/>
      <c r="AN825" s="310"/>
      <c r="AO825" s="309"/>
      <c r="AP825" s="310"/>
      <c r="AQ825" s="309"/>
      <c r="AR825" s="310"/>
      <c r="AS825" s="309"/>
      <c r="AT825" s="310"/>
      <c r="AU825" s="309"/>
      <c r="AV825" s="310"/>
      <c r="AW825" s="309"/>
      <c r="AX825" s="310"/>
      <c r="AY825" s="309"/>
      <c r="AZ825" s="310"/>
      <c r="BA825" s="271"/>
      <c r="BB825" s="271"/>
      <c r="BC825" s="271"/>
      <c r="BD825" s="271"/>
      <c r="BE825" s="271"/>
      <c r="BF825" s="271"/>
    </row>
    <row r="826" spans="2:58" ht="16" thickBot="1" x14ac:dyDescent="0.25">
      <c r="B826" s="292"/>
      <c r="C826" s="551">
        <f>SUM(C819:C825)</f>
        <v>6101.77</v>
      </c>
      <c r="D826" s="551"/>
      <c r="E826" s="552"/>
      <c r="F826" s="553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  <c r="AA826" s="271"/>
      <c r="AB826" s="271"/>
      <c r="AC826" s="271"/>
      <c r="AD826" s="271"/>
      <c r="AE826" s="309"/>
      <c r="AF826" s="310"/>
      <c r="AG826" s="309"/>
      <c r="AH826" s="310"/>
      <c r="AI826" s="309"/>
      <c r="AJ826" s="310"/>
      <c r="AK826" s="309"/>
      <c r="AL826" s="310"/>
      <c r="AM826" s="309"/>
      <c r="AN826" s="310"/>
      <c r="AO826" s="309"/>
      <c r="AP826" s="310"/>
      <c r="AQ826" s="309"/>
      <c r="AR826" s="310"/>
      <c r="AS826" s="309"/>
      <c r="AT826" s="310"/>
      <c r="AU826" s="309"/>
      <c r="AV826" s="310"/>
      <c r="AW826" s="309"/>
      <c r="AX826" s="310"/>
      <c r="AY826" s="309"/>
      <c r="AZ826" s="310"/>
      <c r="BA826" s="271"/>
      <c r="BB826" s="271"/>
      <c r="BC826" s="271"/>
      <c r="BD826" s="271"/>
      <c r="BE826" s="271"/>
      <c r="BF826" s="271"/>
    </row>
    <row r="827" spans="2:58" ht="16" thickBot="1" x14ac:dyDescent="0.25">
      <c r="B827" s="761" t="s">
        <v>329</v>
      </c>
      <c r="C827" s="311"/>
      <c r="D827" s="312"/>
      <c r="E827" s="285"/>
      <c r="F827" s="302"/>
      <c r="G827" s="306">
        <f t="shared" ref="G827:AD827" si="26">SUM(G785:G825)</f>
        <v>12</v>
      </c>
      <c r="H827" s="307">
        <f t="shared" si="26"/>
        <v>1655.88</v>
      </c>
      <c r="I827" s="306">
        <f t="shared" si="26"/>
        <v>4</v>
      </c>
      <c r="J827" s="307">
        <f t="shared" si="26"/>
        <v>819.96</v>
      </c>
      <c r="K827" s="306">
        <f t="shared" si="26"/>
        <v>8</v>
      </c>
      <c r="L827" s="307">
        <f t="shared" si="26"/>
        <v>1455.92</v>
      </c>
      <c r="M827" s="306">
        <f t="shared" si="26"/>
        <v>12</v>
      </c>
      <c r="N827" s="307">
        <f t="shared" si="26"/>
        <v>2075.88</v>
      </c>
      <c r="O827" s="308">
        <f t="shared" si="26"/>
        <v>20</v>
      </c>
      <c r="P827" s="308">
        <f t="shared" si="26"/>
        <v>3675</v>
      </c>
      <c r="Q827" s="306">
        <f t="shared" si="26"/>
        <v>0</v>
      </c>
      <c r="R827" s="307">
        <f t="shared" si="26"/>
        <v>0</v>
      </c>
      <c r="S827" s="306">
        <f t="shared" si="26"/>
        <v>5</v>
      </c>
      <c r="T827" s="307">
        <f t="shared" si="26"/>
        <v>3967.5</v>
      </c>
      <c r="U827" s="306">
        <f t="shared" si="26"/>
        <v>12</v>
      </c>
      <c r="V827" s="307">
        <f t="shared" si="26"/>
        <v>6348</v>
      </c>
      <c r="W827" s="306">
        <f t="shared" si="26"/>
        <v>8</v>
      </c>
      <c r="X827" s="307">
        <f t="shared" si="26"/>
        <v>343.92</v>
      </c>
      <c r="Y827" s="306">
        <f t="shared" si="26"/>
        <v>0</v>
      </c>
      <c r="Z827" s="307">
        <f t="shared" si="26"/>
        <v>0</v>
      </c>
      <c r="AA827" s="306">
        <f t="shared" si="26"/>
        <v>1</v>
      </c>
      <c r="AB827" s="307">
        <f t="shared" si="26"/>
        <v>5175</v>
      </c>
      <c r="AC827" s="308">
        <f t="shared" si="26"/>
        <v>8</v>
      </c>
      <c r="AD827" s="308">
        <f t="shared" si="26"/>
        <v>791.92000000000007</v>
      </c>
      <c r="AE827" s="306">
        <f t="shared" ref="AE827:BF827" si="27">SUM(AE785:AE826)</f>
        <v>23</v>
      </c>
      <c r="AF827" s="307">
        <f t="shared" si="27"/>
        <v>1149.77</v>
      </c>
      <c r="AG827" s="306">
        <f t="shared" si="27"/>
        <v>0</v>
      </c>
      <c r="AH827" s="307">
        <f t="shared" si="27"/>
        <v>0</v>
      </c>
      <c r="AI827" s="306">
        <f t="shared" si="27"/>
        <v>0</v>
      </c>
      <c r="AJ827" s="307">
        <f t="shared" si="27"/>
        <v>0</v>
      </c>
      <c r="AK827" s="306">
        <f t="shared" si="27"/>
        <v>0</v>
      </c>
      <c r="AL827" s="307">
        <f t="shared" si="27"/>
        <v>0</v>
      </c>
      <c r="AM827" s="306">
        <f t="shared" si="27"/>
        <v>0</v>
      </c>
      <c r="AN827" s="307">
        <f t="shared" si="27"/>
        <v>0</v>
      </c>
      <c r="AO827" s="306">
        <f t="shared" si="27"/>
        <v>0</v>
      </c>
      <c r="AP827" s="307">
        <f t="shared" si="27"/>
        <v>0</v>
      </c>
      <c r="AQ827" s="306">
        <f t="shared" si="27"/>
        <v>0</v>
      </c>
      <c r="AR827" s="307">
        <f t="shared" si="27"/>
        <v>0</v>
      </c>
      <c r="AS827" s="306">
        <f t="shared" si="27"/>
        <v>0</v>
      </c>
      <c r="AT827" s="307">
        <f t="shared" si="27"/>
        <v>0</v>
      </c>
      <c r="AU827" s="306">
        <f t="shared" si="27"/>
        <v>0</v>
      </c>
      <c r="AV827" s="307">
        <f t="shared" si="27"/>
        <v>0</v>
      </c>
      <c r="AW827" s="306">
        <f t="shared" si="27"/>
        <v>15</v>
      </c>
      <c r="AX827" s="307">
        <f t="shared" si="27"/>
        <v>3578.77</v>
      </c>
      <c r="AY827" s="306">
        <f t="shared" si="27"/>
        <v>15</v>
      </c>
      <c r="AZ827" s="307">
        <f t="shared" si="27"/>
        <v>3578.77</v>
      </c>
      <c r="BA827" s="306">
        <f t="shared" si="27"/>
        <v>1</v>
      </c>
      <c r="BB827" s="307">
        <f t="shared" si="27"/>
        <v>26.99</v>
      </c>
      <c r="BC827" s="306">
        <f t="shared" si="27"/>
        <v>0</v>
      </c>
      <c r="BD827" s="307">
        <f t="shared" si="27"/>
        <v>0</v>
      </c>
      <c r="BE827" s="306">
        <f t="shared" si="27"/>
        <v>0</v>
      </c>
      <c r="BF827" s="307">
        <f t="shared" si="27"/>
        <v>0</v>
      </c>
    </row>
    <row r="828" spans="2:58" ht="16" thickBot="1" x14ac:dyDescent="0.25">
      <c r="B828" s="762"/>
      <c r="C828" s="160">
        <f>SUM(C826,C818,C809,C802,C795,C792,C785)</f>
        <v>82033.05</v>
      </c>
      <c r="D828" s="160"/>
      <c r="E828" s="304"/>
      <c r="F828" s="294"/>
      <c r="G828" s="752" t="s">
        <v>29</v>
      </c>
      <c r="H828" s="752"/>
      <c r="I828" s="752" t="s">
        <v>30</v>
      </c>
      <c r="J828" s="752"/>
      <c r="K828" s="752" t="s">
        <v>31</v>
      </c>
      <c r="L828" s="752"/>
      <c r="M828" s="752" t="s">
        <v>32</v>
      </c>
      <c r="N828" s="752"/>
      <c r="O828" s="752" t="s">
        <v>33</v>
      </c>
      <c r="P828" s="752"/>
      <c r="Q828" s="752" t="s">
        <v>247</v>
      </c>
      <c r="R828" s="752"/>
      <c r="S828" s="752" t="s">
        <v>34</v>
      </c>
      <c r="T828" s="752"/>
      <c r="U828" s="752" t="s">
        <v>35</v>
      </c>
      <c r="V828" s="752"/>
      <c r="W828" s="752" t="s">
        <v>36</v>
      </c>
      <c r="X828" s="752"/>
      <c r="Y828" s="752" t="s">
        <v>37</v>
      </c>
      <c r="Z828" s="752"/>
      <c r="AA828" s="752" t="s">
        <v>38</v>
      </c>
      <c r="AB828" s="752"/>
      <c r="AC828" s="752" t="s">
        <v>39</v>
      </c>
      <c r="AD828" s="752"/>
      <c r="AE828" s="752" t="s">
        <v>40</v>
      </c>
      <c r="AF828" s="752"/>
      <c r="AG828" s="752" t="s">
        <v>41</v>
      </c>
      <c r="AH828" s="752"/>
      <c r="AI828" s="752" t="s">
        <v>42</v>
      </c>
      <c r="AJ828" s="752"/>
      <c r="AK828" s="752" t="s">
        <v>43</v>
      </c>
      <c r="AL828" s="752"/>
      <c r="AM828" s="752" t="s">
        <v>157</v>
      </c>
      <c r="AN828" s="752"/>
      <c r="AO828" s="752" t="s">
        <v>248</v>
      </c>
      <c r="AP828" s="752"/>
      <c r="AQ828" s="752" t="s">
        <v>249</v>
      </c>
      <c r="AR828" s="752"/>
      <c r="AS828" s="752" t="s">
        <v>150</v>
      </c>
      <c r="AT828" s="752"/>
      <c r="AU828" s="752" t="s">
        <v>151</v>
      </c>
      <c r="AV828" s="752"/>
      <c r="AW828" s="752" t="s">
        <v>44</v>
      </c>
      <c r="AX828" s="752"/>
      <c r="AY828" s="752" t="s">
        <v>250</v>
      </c>
      <c r="AZ828" s="752"/>
      <c r="BA828" s="752" t="s">
        <v>45</v>
      </c>
      <c r="BB828" s="752"/>
      <c r="BC828" s="752" t="s">
        <v>46</v>
      </c>
      <c r="BD828" s="752"/>
      <c r="BE828" s="752" t="s">
        <v>92</v>
      </c>
      <c r="BF828" s="752"/>
    </row>
    <row r="829" spans="2:58" ht="16" thickBot="1" x14ac:dyDescent="0.25">
      <c r="B829" s="282"/>
      <c r="C829" s="285"/>
      <c r="D829" s="275"/>
      <c r="E829" s="284"/>
      <c r="F829" s="293"/>
      <c r="G829" s="752" t="s">
        <v>50</v>
      </c>
      <c r="H829" s="752"/>
      <c r="I829" s="752" t="s">
        <v>51</v>
      </c>
      <c r="J829" s="752"/>
      <c r="K829" s="752" t="s">
        <v>51</v>
      </c>
      <c r="L829" s="752"/>
      <c r="M829" s="752" t="s">
        <v>52</v>
      </c>
      <c r="N829" s="752"/>
      <c r="O829" s="752">
        <v>180</v>
      </c>
      <c r="P829" s="752"/>
      <c r="Q829" s="752" t="s">
        <v>53</v>
      </c>
      <c r="R829" s="752"/>
      <c r="S829" s="752" t="s">
        <v>54</v>
      </c>
      <c r="T829" s="752"/>
      <c r="U829" s="752" t="s">
        <v>54</v>
      </c>
      <c r="V829" s="752"/>
      <c r="W829" s="752" t="s">
        <v>55</v>
      </c>
      <c r="X829" s="752"/>
      <c r="Y829" s="752" t="s">
        <v>54</v>
      </c>
      <c r="Z829" s="752"/>
      <c r="AA829" s="752" t="s">
        <v>54</v>
      </c>
      <c r="AB829" s="752"/>
      <c r="AC829" s="752" t="s">
        <v>56</v>
      </c>
      <c r="AD829" s="752"/>
      <c r="AE829" s="752" t="s">
        <v>57</v>
      </c>
      <c r="AF829" s="752"/>
      <c r="AG829" s="752" t="s">
        <v>57</v>
      </c>
      <c r="AH829" s="752"/>
      <c r="AI829" s="752" t="s">
        <v>58</v>
      </c>
      <c r="AJ829" s="752"/>
      <c r="AK829" s="752" t="s">
        <v>300</v>
      </c>
      <c r="AL829" s="752"/>
      <c r="AM829" s="752" t="s">
        <v>301</v>
      </c>
      <c r="AN829" s="752"/>
      <c r="AO829" s="752">
        <v>20</v>
      </c>
      <c r="AP829" s="752"/>
      <c r="AQ829" s="752">
        <v>20</v>
      </c>
      <c r="AR829" s="752"/>
      <c r="AS829" s="752" t="s">
        <v>57</v>
      </c>
      <c r="AT829" s="752"/>
      <c r="AU829" s="752" t="s">
        <v>302</v>
      </c>
      <c r="AV829" s="752"/>
      <c r="AW829" s="752">
        <v>100</v>
      </c>
      <c r="AX829" s="752"/>
      <c r="AY829" s="752">
        <v>100</v>
      </c>
      <c r="AZ829" s="752"/>
      <c r="BA829" s="752" t="s">
        <v>59</v>
      </c>
      <c r="BB829" s="752"/>
      <c r="BC829" s="752" t="s">
        <v>51</v>
      </c>
      <c r="BD829" s="752"/>
      <c r="BE829" s="752" t="s">
        <v>53</v>
      </c>
      <c r="BF829" s="752"/>
    </row>
    <row r="830" spans="2:58" ht="16" thickBot="1" x14ac:dyDescent="0.25">
      <c r="B830" s="162"/>
      <c r="C830" s="286"/>
      <c r="D830" s="273"/>
      <c r="E830" s="280"/>
      <c r="F830" s="305"/>
      <c r="G830" s="752">
        <v>151</v>
      </c>
      <c r="H830" s="752"/>
      <c r="I830" s="752">
        <v>167.99</v>
      </c>
      <c r="J830" s="752"/>
      <c r="K830" s="752">
        <v>144.99</v>
      </c>
      <c r="L830" s="752"/>
      <c r="M830" s="760">
        <v>169.99</v>
      </c>
      <c r="N830" s="760"/>
      <c r="O830" s="760">
        <v>274.99</v>
      </c>
      <c r="P830" s="760"/>
      <c r="Q830" s="760">
        <v>102.99</v>
      </c>
      <c r="R830" s="760"/>
      <c r="S830" s="752">
        <v>910.5</v>
      </c>
      <c r="T830" s="752"/>
      <c r="U830" s="752">
        <v>460.75</v>
      </c>
      <c r="V830" s="752"/>
      <c r="W830" s="752">
        <v>1048.95</v>
      </c>
      <c r="X830" s="752"/>
      <c r="Y830" s="752">
        <v>772.8</v>
      </c>
      <c r="Z830" s="752"/>
      <c r="AA830" s="752">
        <v>3450</v>
      </c>
      <c r="AB830" s="752"/>
      <c r="AC830" s="760">
        <v>89.99</v>
      </c>
      <c r="AD830" s="760"/>
      <c r="AE830" s="752">
        <v>39.99</v>
      </c>
      <c r="AF830" s="752"/>
      <c r="AG830" s="752">
        <v>498</v>
      </c>
      <c r="AH830" s="752"/>
      <c r="AI830" s="752">
        <v>4.99</v>
      </c>
      <c r="AJ830" s="752"/>
      <c r="AK830" s="752">
        <v>132.25</v>
      </c>
      <c r="AL830" s="752"/>
      <c r="AM830" s="752">
        <v>47.99</v>
      </c>
      <c r="AN830" s="752"/>
      <c r="AO830" s="752">
        <v>560</v>
      </c>
      <c r="AP830" s="752"/>
      <c r="AQ830" s="752">
        <v>560</v>
      </c>
      <c r="AR830" s="752"/>
      <c r="AS830" s="752">
        <v>613.5</v>
      </c>
      <c r="AT830" s="752"/>
      <c r="AU830" s="752">
        <v>313.89999999999998</v>
      </c>
      <c r="AV830" s="752"/>
      <c r="AW830" s="752">
        <v>405.8</v>
      </c>
      <c r="AX830" s="752"/>
      <c r="AY830" s="752">
        <v>218.99</v>
      </c>
      <c r="AZ830" s="752"/>
      <c r="BA830" s="752">
        <v>24.99</v>
      </c>
      <c r="BB830" s="752"/>
      <c r="BC830" s="752">
        <v>1425</v>
      </c>
      <c r="BD830" s="752"/>
      <c r="BE830" s="752">
        <v>54.99</v>
      </c>
      <c r="BF830" s="752"/>
    </row>
    <row r="831" spans="2:58" ht="16" thickBot="1" x14ac:dyDescent="0.25">
      <c r="B831" s="162"/>
      <c r="C831" s="753" t="str">
        <f>L831</f>
        <v>31 MAR - 6 APR 2025</v>
      </c>
      <c r="D831" s="754"/>
      <c r="E831" s="754"/>
      <c r="F831" s="754"/>
      <c r="G831" s="755"/>
      <c r="H831" s="756"/>
      <c r="I831" s="163"/>
      <c r="J831" s="157"/>
      <c r="K831" s="157"/>
      <c r="L831" s="757" t="str">
        <f>AL831</f>
        <v>31 MAR - 6 APR 2025</v>
      </c>
      <c r="M831" s="755"/>
      <c r="N831" s="755"/>
      <c r="O831" s="755"/>
      <c r="P831" s="755"/>
      <c r="Q831" s="755"/>
      <c r="R831" s="755"/>
      <c r="S831" s="755"/>
      <c r="T831" s="756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758"/>
      <c r="AH831" s="758"/>
      <c r="AI831" s="164"/>
      <c r="AJ831" s="157"/>
      <c r="AK831" s="157"/>
      <c r="AL831" s="759" t="str">
        <f>AW831</f>
        <v>31 MAR - 6 APR 2025</v>
      </c>
      <c r="AM831" s="759"/>
      <c r="AN831" s="759"/>
      <c r="AO831" s="759"/>
      <c r="AP831" s="157"/>
      <c r="AQ831" s="157"/>
      <c r="AR831" s="157"/>
      <c r="AS831" s="157"/>
      <c r="AT831" s="157"/>
      <c r="AU831" s="157"/>
      <c r="AV831" s="157"/>
      <c r="AW831" s="757" t="str">
        <f>AW773</f>
        <v>31 MAR - 6 APR 2025</v>
      </c>
      <c r="AX831" s="755" t="s">
        <v>28</v>
      </c>
      <c r="AY831" s="755"/>
      <c r="AZ831" s="755"/>
      <c r="BA831" s="755"/>
      <c r="BB831" s="755"/>
      <c r="BC831" s="755"/>
      <c r="BD831" s="756"/>
      <c r="BE831" s="157"/>
      <c r="BF831" s="157"/>
    </row>
    <row r="832" spans="2:58" ht="16" thickBot="1" x14ac:dyDescent="0.25"/>
    <row r="833" spans="2:58" ht="16" thickBot="1" x14ac:dyDescent="0.25">
      <c r="B833" s="156" t="s">
        <v>27</v>
      </c>
      <c r="C833" s="753" t="s">
        <v>956</v>
      </c>
      <c r="D833" s="754"/>
      <c r="E833" s="754"/>
      <c r="F833" s="754"/>
      <c r="G833" s="763"/>
      <c r="H833" s="764"/>
      <c r="I833" s="163"/>
      <c r="J833" s="157"/>
      <c r="K833" s="157"/>
      <c r="L833" s="765" t="str">
        <f>C833</f>
        <v>7- 13 APRIL 2025</v>
      </c>
      <c r="M833" s="763"/>
      <c r="N833" s="763"/>
      <c r="O833" s="763"/>
      <c r="P833" s="763"/>
      <c r="Q833" s="763"/>
      <c r="R833" s="763"/>
      <c r="S833" s="763"/>
      <c r="T833" s="764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766"/>
      <c r="AH833" s="766"/>
      <c r="AI833" s="753" t="str">
        <f>L833</f>
        <v>7- 13 APRIL 2025</v>
      </c>
      <c r="AJ833" s="754"/>
      <c r="AK833" s="754"/>
      <c r="AL833" s="754"/>
      <c r="AM833" s="754"/>
      <c r="AN833" s="754"/>
      <c r="AO833" s="767"/>
      <c r="AP833" s="157"/>
      <c r="AQ833" s="157"/>
      <c r="AR833" s="157"/>
      <c r="AS833" s="157"/>
      <c r="AT833" s="157"/>
      <c r="AU833" s="157"/>
      <c r="AV833" s="157"/>
      <c r="AW833" s="765" t="str">
        <f>AI833</f>
        <v>7- 13 APRIL 2025</v>
      </c>
      <c r="AX833" s="763" t="s">
        <v>28</v>
      </c>
      <c r="AY833" s="763"/>
      <c r="AZ833" s="763"/>
      <c r="BA833" s="763"/>
      <c r="BB833" s="763"/>
      <c r="BC833" s="763"/>
      <c r="BD833" s="764"/>
      <c r="BE833" s="157"/>
      <c r="BF833" s="157"/>
    </row>
    <row r="834" spans="2:58" ht="16" thickBot="1" x14ac:dyDescent="0.25">
      <c r="B834" s="158"/>
      <c r="C834" s="161"/>
      <c r="D834" s="161"/>
      <c r="E834" s="157"/>
      <c r="F834" s="157"/>
      <c r="G834" s="752" t="s">
        <v>29</v>
      </c>
      <c r="H834" s="752"/>
      <c r="I834" s="752" t="s">
        <v>30</v>
      </c>
      <c r="J834" s="752"/>
      <c r="K834" s="752" t="s">
        <v>31</v>
      </c>
      <c r="L834" s="752"/>
      <c r="M834" s="752" t="s">
        <v>32</v>
      </c>
      <c r="N834" s="752"/>
      <c r="O834" s="752" t="s">
        <v>33</v>
      </c>
      <c r="P834" s="752"/>
      <c r="Q834" s="752" t="s">
        <v>247</v>
      </c>
      <c r="R834" s="752"/>
      <c r="S834" s="752" t="s">
        <v>34</v>
      </c>
      <c r="T834" s="752"/>
      <c r="U834" s="752" t="s">
        <v>35</v>
      </c>
      <c r="V834" s="752"/>
      <c r="W834" s="752" t="s">
        <v>36</v>
      </c>
      <c r="X834" s="752"/>
      <c r="Y834" s="752" t="s">
        <v>37</v>
      </c>
      <c r="Z834" s="752"/>
      <c r="AA834" s="752" t="s">
        <v>38</v>
      </c>
      <c r="AB834" s="752"/>
      <c r="AC834" s="752" t="s">
        <v>39</v>
      </c>
      <c r="AD834" s="752"/>
      <c r="AE834" s="752" t="s">
        <v>40</v>
      </c>
      <c r="AF834" s="752"/>
      <c r="AG834" s="752" t="s">
        <v>41</v>
      </c>
      <c r="AH834" s="752"/>
      <c r="AI834" s="752" t="s">
        <v>42</v>
      </c>
      <c r="AJ834" s="752"/>
      <c r="AK834" s="752" t="s">
        <v>43</v>
      </c>
      <c r="AL834" s="752"/>
      <c r="AM834" s="752" t="s">
        <v>157</v>
      </c>
      <c r="AN834" s="752"/>
      <c r="AO834" s="752" t="s">
        <v>248</v>
      </c>
      <c r="AP834" s="752"/>
      <c r="AQ834" s="752" t="s">
        <v>249</v>
      </c>
      <c r="AR834" s="752"/>
      <c r="AS834" s="752" t="s">
        <v>150</v>
      </c>
      <c r="AT834" s="752"/>
      <c r="AU834" s="752" t="s">
        <v>151</v>
      </c>
      <c r="AV834" s="752"/>
      <c r="AW834" s="752" t="s">
        <v>44</v>
      </c>
      <c r="AX834" s="752"/>
      <c r="AY834" s="752" t="s">
        <v>250</v>
      </c>
      <c r="AZ834" s="752"/>
      <c r="BA834" s="752" t="s">
        <v>45</v>
      </c>
      <c r="BB834" s="752"/>
      <c r="BC834" s="752" t="s">
        <v>46</v>
      </c>
      <c r="BD834" s="752"/>
      <c r="BE834" s="752" t="s">
        <v>92</v>
      </c>
      <c r="BF834" s="752"/>
    </row>
    <row r="835" spans="2:58" ht="16" thickBot="1" x14ac:dyDescent="0.25">
      <c r="B835" s="156" t="s">
        <v>47</v>
      </c>
      <c r="C835" s="156" t="s">
        <v>48</v>
      </c>
      <c r="D835" s="283"/>
      <c r="E835" s="271"/>
      <c r="F835" s="271" t="s">
        <v>49</v>
      </c>
      <c r="G835" s="752" t="s">
        <v>50</v>
      </c>
      <c r="H835" s="752"/>
      <c r="I835" s="752" t="s">
        <v>51</v>
      </c>
      <c r="J835" s="752"/>
      <c r="K835" s="752" t="s">
        <v>51</v>
      </c>
      <c r="L835" s="752"/>
      <c r="M835" s="752" t="s">
        <v>52</v>
      </c>
      <c r="N835" s="752"/>
      <c r="O835" s="752">
        <v>180</v>
      </c>
      <c r="P835" s="752"/>
      <c r="Q835" s="752" t="s">
        <v>53</v>
      </c>
      <c r="R835" s="752"/>
      <c r="S835" s="752" t="s">
        <v>54</v>
      </c>
      <c r="T835" s="752"/>
      <c r="U835" s="752" t="s">
        <v>54</v>
      </c>
      <c r="V835" s="752"/>
      <c r="W835" s="752" t="s">
        <v>55</v>
      </c>
      <c r="X835" s="752"/>
      <c r="Y835" s="752" t="s">
        <v>54</v>
      </c>
      <c r="Z835" s="752"/>
      <c r="AA835" s="752" t="s">
        <v>54</v>
      </c>
      <c r="AB835" s="752"/>
      <c r="AC835" s="752" t="s">
        <v>56</v>
      </c>
      <c r="AD835" s="752"/>
      <c r="AE835" s="752" t="s">
        <v>57</v>
      </c>
      <c r="AF835" s="752"/>
      <c r="AG835" s="752" t="s">
        <v>57</v>
      </c>
      <c r="AH835" s="752"/>
      <c r="AI835" s="752" t="s">
        <v>58</v>
      </c>
      <c r="AJ835" s="752"/>
      <c r="AK835" s="752" t="s">
        <v>300</v>
      </c>
      <c r="AL835" s="752"/>
      <c r="AM835" s="752" t="s">
        <v>301</v>
      </c>
      <c r="AN835" s="752"/>
      <c r="AO835" s="752">
        <v>20</v>
      </c>
      <c r="AP835" s="752"/>
      <c r="AQ835" s="752">
        <v>20</v>
      </c>
      <c r="AR835" s="752"/>
      <c r="AS835" s="752" t="s">
        <v>57</v>
      </c>
      <c r="AT835" s="752"/>
      <c r="AU835" s="752" t="s">
        <v>302</v>
      </c>
      <c r="AV835" s="752"/>
      <c r="AW835" s="752">
        <v>100</v>
      </c>
      <c r="AX835" s="752"/>
      <c r="AY835" s="752">
        <v>100</v>
      </c>
      <c r="AZ835" s="752"/>
      <c r="BA835" s="752" t="s">
        <v>59</v>
      </c>
      <c r="BB835" s="752"/>
      <c r="BC835" s="752" t="s">
        <v>51</v>
      </c>
      <c r="BD835" s="752"/>
      <c r="BE835" s="752" t="s">
        <v>53</v>
      </c>
      <c r="BF835" s="752"/>
    </row>
    <row r="836" spans="2:58" ht="16" thickBot="1" x14ac:dyDescent="0.25">
      <c r="B836" s="156"/>
      <c r="C836" s="156" t="s">
        <v>60</v>
      </c>
      <c r="D836" s="283"/>
      <c r="E836" s="271" t="s">
        <v>61</v>
      </c>
      <c r="F836" s="271" t="s">
        <v>62</v>
      </c>
      <c r="G836" s="752">
        <v>151</v>
      </c>
      <c r="H836" s="752"/>
      <c r="I836" s="752">
        <v>167.99</v>
      </c>
      <c r="J836" s="752"/>
      <c r="K836" s="752">
        <v>144.99</v>
      </c>
      <c r="L836" s="752"/>
      <c r="M836" s="760">
        <v>169.99</v>
      </c>
      <c r="N836" s="760"/>
      <c r="O836" s="760">
        <v>274.99</v>
      </c>
      <c r="P836" s="760"/>
      <c r="Q836" s="760">
        <v>135</v>
      </c>
      <c r="R836" s="760"/>
      <c r="S836" s="752">
        <v>910.5</v>
      </c>
      <c r="T836" s="752"/>
      <c r="U836" s="752">
        <v>460.75</v>
      </c>
      <c r="V836" s="752"/>
      <c r="W836" s="752">
        <v>1048.95</v>
      </c>
      <c r="X836" s="752"/>
      <c r="Y836" s="752">
        <v>772.8</v>
      </c>
      <c r="Z836" s="752"/>
      <c r="AA836" s="752">
        <v>3450</v>
      </c>
      <c r="AB836" s="752"/>
      <c r="AC836" s="760">
        <v>99.99</v>
      </c>
      <c r="AD836" s="760"/>
      <c r="AE836" s="752">
        <v>29.99</v>
      </c>
      <c r="AF836" s="752"/>
      <c r="AG836" s="752">
        <v>548</v>
      </c>
      <c r="AH836" s="752"/>
      <c r="AI836" s="752">
        <v>4.99</v>
      </c>
      <c r="AJ836" s="752"/>
      <c r="AK836" s="752">
        <v>132.25</v>
      </c>
      <c r="AL836" s="752"/>
      <c r="AM836" s="752">
        <v>47.99</v>
      </c>
      <c r="AN836" s="752"/>
      <c r="AO836" s="752">
        <v>560</v>
      </c>
      <c r="AP836" s="752"/>
      <c r="AQ836" s="752">
        <v>560</v>
      </c>
      <c r="AR836" s="752"/>
      <c r="AS836" s="752">
        <v>613.5</v>
      </c>
      <c r="AT836" s="752"/>
      <c r="AU836" s="752">
        <v>313.89999999999998</v>
      </c>
      <c r="AV836" s="752"/>
      <c r="AW836" s="752">
        <v>405.8</v>
      </c>
      <c r="AX836" s="752"/>
      <c r="AY836" s="752">
        <v>218.99</v>
      </c>
      <c r="AZ836" s="752"/>
      <c r="BA836" s="752">
        <v>24.99</v>
      </c>
      <c r="BB836" s="752"/>
      <c r="BC836" s="752">
        <v>1425</v>
      </c>
      <c r="BD836" s="752"/>
      <c r="BE836" s="752">
        <v>54.99</v>
      </c>
      <c r="BF836" s="752"/>
    </row>
    <row r="837" spans="2:58" ht="16" thickBot="1" x14ac:dyDescent="0.25">
      <c r="B837" s="272">
        <v>45754</v>
      </c>
      <c r="C837" s="274">
        <v>800</v>
      </c>
      <c r="D837" s="276"/>
      <c r="E837" s="278" t="s">
        <v>186</v>
      </c>
      <c r="F837" s="278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  <c r="AA837" s="271"/>
      <c r="AB837" s="271"/>
      <c r="AC837" s="271"/>
      <c r="AD837" s="271"/>
      <c r="AE837" s="271"/>
      <c r="AF837" s="271"/>
      <c r="AG837" s="271"/>
      <c r="AH837" s="271"/>
      <c r="AI837" s="271"/>
      <c r="AJ837" s="271"/>
      <c r="AK837" s="271"/>
      <c r="AL837" s="271"/>
      <c r="AM837" s="271"/>
      <c r="AN837" s="271"/>
      <c r="AO837" s="271"/>
      <c r="AP837" s="271"/>
      <c r="AQ837" s="271"/>
      <c r="AR837" s="271"/>
      <c r="AS837" s="271"/>
      <c r="AT837" s="271"/>
      <c r="AU837" s="271"/>
      <c r="AV837" s="271"/>
      <c r="AW837" s="271"/>
      <c r="AX837" s="271"/>
      <c r="AY837" s="271"/>
      <c r="AZ837" s="271"/>
      <c r="BA837" s="271"/>
      <c r="BB837" s="271"/>
      <c r="BC837" s="271"/>
      <c r="BD837" s="271"/>
      <c r="BE837" s="271"/>
      <c r="BF837" s="271"/>
    </row>
    <row r="838" spans="2:58" ht="16" thickBot="1" x14ac:dyDescent="0.25">
      <c r="B838" s="660"/>
      <c r="C838" s="275">
        <v>60</v>
      </c>
      <c r="D838" s="661"/>
      <c r="E838" s="303" t="s">
        <v>377</v>
      </c>
      <c r="F838" s="303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  <c r="AA838" s="271"/>
      <c r="AB838" s="271"/>
      <c r="AC838" s="271"/>
      <c r="AD838" s="271"/>
      <c r="AE838" s="271"/>
      <c r="AF838" s="271"/>
      <c r="AG838" s="271"/>
      <c r="AH838" s="271"/>
      <c r="AI838" s="271"/>
      <c r="AJ838" s="271"/>
      <c r="AK838" s="271"/>
      <c r="AL838" s="271"/>
      <c r="AM838" s="271"/>
      <c r="AN838" s="271"/>
      <c r="AO838" s="271"/>
      <c r="AP838" s="271"/>
      <c r="AQ838" s="271"/>
      <c r="AR838" s="271"/>
      <c r="AS838" s="271"/>
      <c r="AT838" s="271"/>
      <c r="AU838" s="271"/>
      <c r="AV838" s="271"/>
      <c r="AW838" s="271"/>
      <c r="AX838" s="271"/>
      <c r="AY838" s="271"/>
      <c r="AZ838" s="271"/>
      <c r="BA838" s="271"/>
      <c r="BB838" s="271"/>
      <c r="BC838" s="271"/>
      <c r="BD838" s="271"/>
      <c r="BE838" s="271"/>
      <c r="BF838" s="271"/>
    </row>
    <row r="839" spans="2:58" ht="16" thickBot="1" x14ac:dyDescent="0.25">
      <c r="B839" s="660"/>
      <c r="C839" s="275">
        <v>449.91</v>
      </c>
      <c r="D839" s="661"/>
      <c r="E839" s="303"/>
      <c r="F839" s="303" t="s">
        <v>14</v>
      </c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  <c r="AA839" s="271"/>
      <c r="AB839" s="271"/>
      <c r="AC839" s="271"/>
      <c r="AD839" s="271"/>
      <c r="AE839" s="271">
        <v>9</v>
      </c>
      <c r="AF839" s="271">
        <v>449.91</v>
      </c>
      <c r="AG839" s="271"/>
      <c r="AH839" s="271"/>
      <c r="AI839" s="271"/>
      <c r="AJ839" s="271"/>
      <c r="AK839" s="271"/>
      <c r="AL839" s="271"/>
      <c r="AM839" s="271"/>
      <c r="AN839" s="271"/>
      <c r="AO839" s="271"/>
      <c r="AP839" s="271"/>
      <c r="AQ839" s="271"/>
      <c r="AR839" s="271"/>
      <c r="AS839" s="271"/>
      <c r="AT839" s="271"/>
      <c r="AU839" s="271"/>
      <c r="AV839" s="271"/>
      <c r="AW839" s="271"/>
      <c r="AX839" s="271"/>
      <c r="AY839" s="271"/>
      <c r="AZ839" s="271"/>
      <c r="BA839" s="271"/>
      <c r="BB839" s="271"/>
      <c r="BC839" s="271"/>
      <c r="BD839" s="271"/>
      <c r="BE839" s="271"/>
      <c r="BF839" s="271"/>
    </row>
    <row r="840" spans="2:58" ht="16" thickBot="1" x14ac:dyDescent="0.25">
      <c r="B840" s="660"/>
      <c r="C840" s="275">
        <v>7033.48</v>
      </c>
      <c r="D840" s="661"/>
      <c r="E840" s="303"/>
      <c r="F840" s="303" t="s">
        <v>9</v>
      </c>
      <c r="G840" s="271">
        <v>9</v>
      </c>
      <c r="H840" s="271">
        <v>1259.9100000000001</v>
      </c>
      <c r="I840" s="271">
        <v>2</v>
      </c>
      <c r="J840" s="271">
        <v>409.98</v>
      </c>
      <c r="K840" s="271">
        <v>8</v>
      </c>
      <c r="L840" s="271">
        <v>1455.92</v>
      </c>
      <c r="M840" s="271">
        <v>8</v>
      </c>
      <c r="N840" s="271">
        <v>1383.92</v>
      </c>
      <c r="O840" s="271">
        <v>12</v>
      </c>
      <c r="P840" s="271">
        <v>1535.88</v>
      </c>
      <c r="Q840" s="271"/>
      <c r="R840" s="271"/>
      <c r="S840" s="271"/>
      <c r="T840" s="271"/>
      <c r="U840" s="271"/>
      <c r="V840" s="271"/>
      <c r="W840" s="271">
        <v>6</v>
      </c>
      <c r="X840" s="271">
        <v>257.94</v>
      </c>
      <c r="Y840" s="271"/>
      <c r="Z840" s="271"/>
      <c r="AA840" s="271"/>
      <c r="AB840" s="271"/>
      <c r="AC840" s="271">
        <v>6</v>
      </c>
      <c r="AD840" s="271">
        <v>593.94000000000005</v>
      </c>
      <c r="AE840" s="271"/>
      <c r="AF840" s="271"/>
      <c r="AG840" s="271"/>
      <c r="AH840" s="271"/>
      <c r="AI840" s="271"/>
      <c r="AJ840" s="271"/>
      <c r="AK840" s="271"/>
      <c r="AL840" s="271"/>
      <c r="AM840" s="271"/>
      <c r="AN840" s="271"/>
      <c r="AO840" s="271"/>
      <c r="AP840" s="271"/>
      <c r="AQ840" s="271"/>
      <c r="AR840" s="271"/>
      <c r="AS840" s="271"/>
      <c r="AT840" s="271"/>
      <c r="AU840" s="271"/>
      <c r="AV840" s="271"/>
      <c r="AW840" s="271"/>
      <c r="AX840" s="271"/>
      <c r="AY840" s="271"/>
      <c r="AZ840" s="271"/>
      <c r="BA840" s="271"/>
      <c r="BB840" s="271"/>
      <c r="BC840" s="271"/>
      <c r="BD840" s="271"/>
      <c r="BE840" s="271"/>
      <c r="BF840" s="271"/>
    </row>
    <row r="841" spans="2:58" ht="16" thickBot="1" x14ac:dyDescent="0.25">
      <c r="B841" s="660"/>
      <c r="C841" s="275">
        <v>480</v>
      </c>
      <c r="D841" s="661"/>
      <c r="E841" s="303" t="s">
        <v>396</v>
      </c>
      <c r="F841" s="303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  <c r="AA841" s="271"/>
      <c r="AB841" s="271"/>
      <c r="AC841" s="271"/>
      <c r="AD841" s="271"/>
      <c r="AE841" s="271"/>
      <c r="AF841" s="271"/>
      <c r="AG841" s="271"/>
      <c r="AH841" s="271"/>
      <c r="AI841" s="271"/>
      <c r="AJ841" s="271"/>
      <c r="AK841" s="271"/>
      <c r="AL841" s="271"/>
      <c r="AM841" s="271"/>
      <c r="AN841" s="271"/>
      <c r="AO841" s="271"/>
      <c r="AP841" s="271"/>
      <c r="AQ841" s="271"/>
      <c r="AR841" s="271"/>
      <c r="AS841" s="271"/>
      <c r="AT841" s="271"/>
      <c r="AU841" s="271"/>
      <c r="AV841" s="271"/>
      <c r="AW841" s="271"/>
      <c r="AX841" s="271"/>
      <c r="AY841" s="271"/>
      <c r="AZ841" s="271"/>
      <c r="BA841" s="271"/>
      <c r="BB841" s="271"/>
      <c r="BC841" s="271"/>
      <c r="BD841" s="271"/>
      <c r="BE841" s="271"/>
      <c r="BF841" s="271"/>
    </row>
    <row r="842" spans="2:58" ht="16" thickBot="1" x14ac:dyDescent="0.25">
      <c r="B842" s="681" t="s">
        <v>20</v>
      </c>
      <c r="C842" s="275"/>
      <c r="D842" s="277"/>
      <c r="E842" s="279"/>
      <c r="F842" s="279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  <c r="AA842" s="271"/>
      <c r="AB842" s="271"/>
      <c r="AC842" s="271"/>
      <c r="AD842" s="271"/>
      <c r="AE842" s="271"/>
      <c r="AF842" s="271"/>
      <c r="AG842" s="271"/>
      <c r="AH842" s="271"/>
      <c r="AI842" s="271"/>
      <c r="AJ842" s="271"/>
      <c r="AK842" s="271"/>
      <c r="AL842" s="271"/>
      <c r="AM842" s="271"/>
      <c r="AN842" s="271"/>
      <c r="AO842" s="271"/>
      <c r="AP842" s="271"/>
      <c r="AQ842" s="271"/>
      <c r="AR842" s="271"/>
      <c r="AS842" s="271"/>
      <c r="AT842" s="271"/>
      <c r="AU842" s="271"/>
      <c r="AV842" s="271"/>
      <c r="AW842" s="271"/>
      <c r="AX842" s="271"/>
      <c r="AY842" s="271"/>
      <c r="AZ842" s="271"/>
      <c r="BA842" s="271"/>
      <c r="BB842" s="271"/>
      <c r="BC842" s="271"/>
      <c r="BD842" s="271"/>
      <c r="BE842" s="271"/>
      <c r="BF842" s="271"/>
    </row>
    <row r="843" spans="2:58" ht="16" thickBot="1" x14ac:dyDescent="0.25">
      <c r="B843" s="479"/>
      <c r="C843" s="680">
        <f>SUM(C837:C842)</f>
        <v>8823.39</v>
      </c>
      <c r="D843" s="159"/>
      <c r="E843" s="270"/>
      <c r="F843" s="281"/>
      <c r="G843" s="309"/>
      <c r="H843" s="310"/>
      <c r="I843" s="309"/>
      <c r="J843" s="310"/>
      <c r="K843" s="309"/>
      <c r="L843" s="310"/>
      <c r="M843" s="309"/>
      <c r="N843" s="310"/>
      <c r="O843" s="271"/>
      <c r="P843" s="271"/>
      <c r="Q843" s="310"/>
      <c r="R843" s="310"/>
      <c r="S843" s="309"/>
      <c r="T843" s="310"/>
      <c r="U843" s="309"/>
      <c r="V843" s="310"/>
      <c r="W843" s="309"/>
      <c r="X843" s="310"/>
      <c r="Y843" s="309"/>
      <c r="Z843" s="310"/>
      <c r="AA843" s="309"/>
      <c r="AB843" s="310"/>
      <c r="AC843" s="271"/>
      <c r="AD843" s="271"/>
      <c r="AE843" s="309"/>
      <c r="AF843" s="310"/>
      <c r="AG843" s="309"/>
      <c r="AH843" s="310"/>
      <c r="AI843" s="309"/>
      <c r="AJ843" s="310"/>
      <c r="AK843" s="309"/>
      <c r="AL843" s="310"/>
      <c r="AM843" s="309"/>
      <c r="AN843" s="310"/>
      <c r="AO843" s="309"/>
      <c r="AP843" s="310"/>
      <c r="AQ843" s="309"/>
      <c r="AR843" s="310"/>
      <c r="AS843" s="309"/>
      <c r="AT843" s="310"/>
      <c r="AU843" s="309"/>
      <c r="AV843" s="310"/>
      <c r="AW843" s="309"/>
      <c r="AX843" s="310"/>
      <c r="AY843" s="309"/>
      <c r="AZ843" s="310"/>
      <c r="BA843" s="271"/>
      <c r="BB843" s="271"/>
      <c r="BC843" s="271"/>
      <c r="BD843" s="271"/>
      <c r="BE843" s="271"/>
      <c r="BF843" s="271"/>
    </row>
    <row r="844" spans="2:58" ht="16" thickBot="1" x14ac:dyDescent="0.25">
      <c r="B844" s="289">
        <v>45755</v>
      </c>
      <c r="C844" s="275">
        <v>657.89</v>
      </c>
      <c r="D844" s="277"/>
      <c r="E844" s="279" t="s">
        <v>803</v>
      </c>
      <c r="F844" s="279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  <c r="AA844" s="271"/>
      <c r="AB844" s="271"/>
      <c r="AC844" s="271"/>
      <c r="AD844" s="271"/>
      <c r="AE844" s="271"/>
      <c r="AF844" s="271"/>
      <c r="AG844" s="271"/>
      <c r="AH844" s="271"/>
      <c r="AI844" s="271"/>
      <c r="AJ844" s="271"/>
      <c r="AK844" s="271"/>
      <c r="AL844" s="271"/>
      <c r="AM844" s="271"/>
      <c r="AN844" s="271"/>
      <c r="AO844" s="271"/>
      <c r="AP844" s="271"/>
      <c r="AQ844" s="271"/>
      <c r="AR844" s="271"/>
      <c r="AS844" s="271"/>
      <c r="AT844" s="271"/>
      <c r="AU844" s="271"/>
      <c r="AV844" s="271"/>
      <c r="AW844" s="271"/>
      <c r="AX844" s="271"/>
      <c r="AY844" s="271"/>
      <c r="AZ844" s="271"/>
      <c r="BA844" s="271"/>
      <c r="BB844" s="271"/>
      <c r="BC844" s="271"/>
      <c r="BD844" s="271"/>
      <c r="BE844" s="271"/>
      <c r="BF844" s="271"/>
    </row>
    <row r="845" spans="2:58" ht="16" thickBot="1" x14ac:dyDescent="0.25">
      <c r="B845" s="289"/>
      <c r="C845" s="139">
        <v>30</v>
      </c>
      <c r="E845" s="575" t="s">
        <v>960</v>
      </c>
      <c r="F845" s="279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  <c r="AA845" s="271"/>
      <c r="AB845" s="271"/>
      <c r="AC845" s="271"/>
      <c r="AD845" s="271"/>
      <c r="AE845" s="271"/>
      <c r="AF845" s="271"/>
      <c r="AG845" s="271"/>
      <c r="AH845" s="271"/>
      <c r="AI845" s="271"/>
      <c r="AJ845" s="271"/>
      <c r="AK845" s="271"/>
      <c r="AL845" s="271"/>
      <c r="AM845" s="271"/>
      <c r="AN845" s="271"/>
      <c r="AO845" s="271"/>
      <c r="AP845" s="271"/>
      <c r="AQ845" s="271"/>
      <c r="AR845" s="271"/>
      <c r="AS845" s="271"/>
      <c r="AT845" s="271"/>
      <c r="AU845" s="271"/>
      <c r="AV845" s="271"/>
      <c r="AW845" s="271"/>
      <c r="AX845" s="271"/>
      <c r="AY845" s="271"/>
      <c r="AZ845" s="271"/>
      <c r="BA845" s="271"/>
      <c r="BB845" s="271"/>
      <c r="BC845" s="271"/>
      <c r="BD845" s="271"/>
      <c r="BE845" s="271"/>
      <c r="BF845" s="271"/>
    </row>
    <row r="846" spans="2:58" ht="16" thickBot="1" x14ac:dyDescent="0.25">
      <c r="B846" s="289"/>
      <c r="C846" s="4">
        <v>77</v>
      </c>
      <c r="E846" s="142" t="s">
        <v>297</v>
      </c>
      <c r="F846" s="279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  <c r="AA846" s="271"/>
      <c r="AB846" s="271"/>
      <c r="AC846" s="271"/>
      <c r="AD846" s="271"/>
      <c r="AE846" s="271"/>
      <c r="AF846" s="271"/>
      <c r="AG846" s="271"/>
      <c r="AH846" s="271"/>
      <c r="AI846" s="271"/>
      <c r="AJ846" s="271"/>
      <c r="AK846" s="271"/>
      <c r="AL846" s="271"/>
      <c r="AM846" s="271"/>
      <c r="AN846" s="271"/>
      <c r="AO846" s="271"/>
      <c r="AP846" s="271"/>
      <c r="AQ846" s="271"/>
      <c r="AR846" s="271"/>
      <c r="AS846" s="271"/>
      <c r="AT846" s="271"/>
      <c r="AU846" s="271"/>
      <c r="AV846" s="271"/>
      <c r="AW846" s="271"/>
      <c r="AX846" s="271"/>
      <c r="AY846" s="271"/>
      <c r="AZ846" s="271"/>
      <c r="BA846" s="271"/>
      <c r="BB846" s="271"/>
      <c r="BC846" s="271"/>
      <c r="BD846" s="271"/>
      <c r="BE846" s="271"/>
      <c r="BF846" s="271"/>
    </row>
    <row r="847" spans="2:58" ht="16" thickBot="1" x14ac:dyDescent="0.25">
      <c r="B847" s="289"/>
      <c r="C847" s="146">
        <v>242.48</v>
      </c>
      <c r="E847" s="147"/>
      <c r="F847" s="279" t="s">
        <v>279</v>
      </c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  <c r="AA847" s="271"/>
      <c r="AB847" s="271"/>
      <c r="AC847" s="271"/>
      <c r="AD847" s="271"/>
      <c r="AE847" s="271">
        <v>12</v>
      </c>
      <c r="AF847" s="271">
        <v>239.88</v>
      </c>
      <c r="AG847" s="271"/>
      <c r="AH847" s="271"/>
      <c r="AI847" s="271"/>
      <c r="AJ847" s="271"/>
      <c r="AK847" s="271"/>
      <c r="AL847" s="271"/>
      <c r="AM847" s="271"/>
      <c r="AN847" s="271"/>
      <c r="AO847" s="271"/>
      <c r="AP847" s="271"/>
      <c r="AQ847" s="271"/>
      <c r="AR847" s="271"/>
      <c r="AS847" s="271"/>
      <c r="AT847" s="271"/>
      <c r="AU847" s="271"/>
      <c r="AV847" s="271"/>
      <c r="AW847" s="271"/>
      <c r="AX847" s="271"/>
      <c r="AY847" s="271"/>
      <c r="AZ847" s="271"/>
      <c r="BA847" s="271"/>
      <c r="BB847" s="271"/>
      <c r="BC847" s="271"/>
      <c r="BD847" s="271"/>
      <c r="BE847" s="271"/>
      <c r="BF847" s="271"/>
    </row>
    <row r="848" spans="2:58" ht="16" thickBot="1" x14ac:dyDescent="0.25">
      <c r="B848" s="289"/>
      <c r="C848" s="4">
        <v>264.17</v>
      </c>
      <c r="E848" s="142" t="s">
        <v>411</v>
      </c>
      <c r="F848" s="279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  <c r="AA848" s="271"/>
      <c r="AB848" s="271"/>
      <c r="AC848" s="271"/>
      <c r="AD848" s="271"/>
      <c r="AE848" s="271"/>
      <c r="AF848" s="271"/>
      <c r="AG848" s="271"/>
      <c r="AH848" s="271"/>
      <c r="AI848" s="271"/>
      <c r="AJ848" s="271"/>
      <c r="AK848" s="271"/>
      <c r="AL848" s="271"/>
      <c r="AM848" s="271"/>
      <c r="AN848" s="271"/>
      <c r="AO848" s="271"/>
      <c r="AP848" s="271"/>
      <c r="AQ848" s="271"/>
      <c r="AR848" s="271"/>
      <c r="AS848" s="271"/>
      <c r="AT848" s="271"/>
      <c r="AU848" s="271"/>
      <c r="AV848" s="271"/>
      <c r="AW848" s="271"/>
      <c r="AX848" s="271"/>
      <c r="AY848" s="271"/>
      <c r="AZ848" s="271"/>
      <c r="BA848" s="271"/>
      <c r="BB848" s="271"/>
      <c r="BC848" s="271"/>
      <c r="BD848" s="271"/>
      <c r="BE848" s="271"/>
      <c r="BF848" s="271"/>
    </row>
    <row r="849" spans="2:58" ht="16" thickBot="1" x14ac:dyDescent="0.25">
      <c r="B849" s="289"/>
      <c r="C849" s="4">
        <v>548.32000000000005</v>
      </c>
      <c r="E849" s="142"/>
      <c r="F849" s="279" t="s">
        <v>777</v>
      </c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  <c r="AA849" s="271"/>
      <c r="AB849" s="271"/>
      <c r="AC849" s="271"/>
      <c r="AD849" s="271"/>
      <c r="AE849" s="271"/>
      <c r="AF849" s="271"/>
      <c r="AG849" s="271">
        <v>1</v>
      </c>
      <c r="AH849" s="271">
        <v>548.32000000000005</v>
      </c>
      <c r="AI849" s="271"/>
      <c r="AJ849" s="271"/>
      <c r="AK849" s="271"/>
      <c r="AL849" s="271"/>
      <c r="AM849" s="271"/>
      <c r="AN849" s="271"/>
      <c r="AO849" s="271"/>
      <c r="AP849" s="271"/>
      <c r="AQ849" s="271"/>
      <c r="AR849" s="271"/>
      <c r="AS849" s="271"/>
      <c r="AT849" s="271"/>
      <c r="AU849" s="271"/>
      <c r="AV849" s="271"/>
      <c r="AW849" s="271"/>
      <c r="AX849" s="271"/>
      <c r="AY849" s="271"/>
      <c r="AZ849" s="271"/>
      <c r="BA849" s="271"/>
      <c r="BB849" s="271"/>
      <c r="BC849" s="271"/>
      <c r="BD849" s="271"/>
      <c r="BE849" s="271"/>
      <c r="BF849" s="271"/>
    </row>
    <row r="850" spans="2:58" ht="16" thickBot="1" x14ac:dyDescent="0.25">
      <c r="B850" s="289"/>
      <c r="C850" s="275">
        <v>7963.4</v>
      </c>
      <c r="D850" s="277"/>
      <c r="E850" s="279"/>
      <c r="F850" s="279" t="s">
        <v>9</v>
      </c>
      <c r="G850" s="271">
        <v>9</v>
      </c>
      <c r="H850" s="271">
        <v>1232.9100000000001</v>
      </c>
      <c r="I850" s="271">
        <v>2</v>
      </c>
      <c r="J850" s="271">
        <v>409.98</v>
      </c>
      <c r="K850" s="271">
        <v>8</v>
      </c>
      <c r="L850" s="271">
        <v>1455.92</v>
      </c>
      <c r="M850" s="271">
        <v>9</v>
      </c>
      <c r="N850" s="271">
        <v>1556.91</v>
      </c>
      <c r="O850" s="271">
        <v>15</v>
      </c>
      <c r="P850" s="271">
        <v>1949.85</v>
      </c>
      <c r="Q850" s="271">
        <v>1</v>
      </c>
      <c r="R850" s="271">
        <v>144.99</v>
      </c>
      <c r="S850" s="271"/>
      <c r="T850" s="271"/>
      <c r="U850" s="271"/>
      <c r="V850" s="271"/>
      <c r="W850" s="271">
        <v>6</v>
      </c>
      <c r="X850" s="271">
        <v>257.94</v>
      </c>
      <c r="Y850" s="271"/>
      <c r="Z850" s="271"/>
      <c r="AA850" s="271"/>
      <c r="AB850" s="271"/>
      <c r="AC850" s="271">
        <v>8</v>
      </c>
      <c r="AD850" s="271">
        <v>791.92</v>
      </c>
      <c r="AE850" s="271"/>
      <c r="AF850" s="271"/>
      <c r="AG850" s="271"/>
      <c r="AH850" s="271"/>
      <c r="AI850" s="271"/>
      <c r="AJ850" s="271"/>
      <c r="AK850" s="271"/>
      <c r="AL850" s="271"/>
      <c r="AM850" s="271"/>
      <c r="AN850" s="271"/>
      <c r="AO850" s="271"/>
      <c r="AP850" s="271"/>
      <c r="AQ850" s="271"/>
      <c r="AR850" s="271"/>
      <c r="AS850" s="271"/>
      <c r="AT850" s="271"/>
      <c r="AU850" s="271"/>
      <c r="AV850" s="271"/>
      <c r="AW850" s="271"/>
      <c r="AX850" s="271"/>
      <c r="AY850" s="271"/>
      <c r="AZ850" s="271"/>
      <c r="BA850" s="271">
        <v>2</v>
      </c>
      <c r="BB850" s="271">
        <v>26.99</v>
      </c>
      <c r="BC850" s="271"/>
      <c r="BD850" s="271"/>
      <c r="BE850" s="271">
        <v>1</v>
      </c>
      <c r="BF850" s="271">
        <v>75.989999999999995</v>
      </c>
    </row>
    <row r="851" spans="2:58" ht="16" thickBot="1" x14ac:dyDescent="0.25">
      <c r="B851" s="289"/>
      <c r="C851" s="275">
        <v>75</v>
      </c>
      <c r="D851" s="277"/>
      <c r="E851" s="279" t="s">
        <v>334</v>
      </c>
      <c r="F851" s="279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  <c r="AA851" s="271"/>
      <c r="AB851" s="271"/>
      <c r="AC851" s="271"/>
      <c r="AD851" s="271"/>
      <c r="AE851" s="271"/>
      <c r="AF851" s="271"/>
      <c r="AG851" s="271"/>
      <c r="AH851" s="271"/>
      <c r="AI851" s="271"/>
      <c r="AJ851" s="271"/>
      <c r="AK851" s="271"/>
      <c r="AL851" s="271"/>
      <c r="AM851" s="271"/>
      <c r="AN851" s="271"/>
      <c r="AO851" s="271"/>
      <c r="AP851" s="271"/>
      <c r="AQ851" s="271"/>
      <c r="AR851" s="271"/>
      <c r="AS851" s="271"/>
      <c r="AT851" s="271"/>
      <c r="AU851" s="271"/>
      <c r="AV851" s="271"/>
      <c r="AW851" s="271"/>
      <c r="AX851" s="271"/>
      <c r="AY851" s="271"/>
      <c r="AZ851" s="271"/>
      <c r="BA851" s="271"/>
      <c r="BB851" s="271"/>
      <c r="BC851" s="271"/>
      <c r="BD851" s="271"/>
      <c r="BE851" s="271"/>
      <c r="BF851" s="271"/>
    </row>
    <row r="852" spans="2:58" ht="16" thickBot="1" x14ac:dyDescent="0.25">
      <c r="B852" s="289" t="s">
        <v>90</v>
      </c>
      <c r="C852" s="275">
        <v>16547.13</v>
      </c>
      <c r="D852" s="277"/>
      <c r="E852" s="279"/>
      <c r="F852" s="279" t="s">
        <v>6</v>
      </c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>
        <v>15</v>
      </c>
      <c r="V852" s="271">
        <v>7935</v>
      </c>
      <c r="W852" s="271"/>
      <c r="X852" s="271"/>
      <c r="Y852" s="271">
        <v>1</v>
      </c>
      <c r="Z852" s="271">
        <v>772.8</v>
      </c>
      <c r="AA852" s="271">
        <v>1</v>
      </c>
      <c r="AB852" s="271">
        <v>5175</v>
      </c>
      <c r="AC852" s="271"/>
      <c r="AD852" s="271"/>
      <c r="AE852" s="271"/>
      <c r="AF852" s="271"/>
      <c r="AG852" s="271"/>
      <c r="AH852" s="271"/>
      <c r="AI852" s="271"/>
      <c r="AJ852" s="271"/>
      <c r="AK852" s="271"/>
      <c r="AL852" s="271"/>
      <c r="AM852" s="271"/>
      <c r="AN852" s="271"/>
      <c r="AO852" s="271"/>
      <c r="AP852" s="271"/>
      <c r="AQ852" s="271"/>
      <c r="AR852" s="271"/>
      <c r="AS852" s="271"/>
      <c r="AT852" s="271"/>
      <c r="AU852" s="271">
        <v>2</v>
      </c>
      <c r="AV852" s="271">
        <f>408.14+416.19</f>
        <v>824.32999999999993</v>
      </c>
      <c r="AW852" s="271"/>
      <c r="AX852" s="271"/>
      <c r="AY852" s="271"/>
      <c r="AZ852" s="271"/>
      <c r="BA852" s="271"/>
      <c r="BB852" s="271"/>
      <c r="BC852" s="271"/>
      <c r="BD852" s="271"/>
      <c r="BE852" s="271"/>
      <c r="BF852" s="271"/>
    </row>
    <row r="853" spans="2:58" ht="16" thickBot="1" x14ac:dyDescent="0.25">
      <c r="B853" s="292"/>
      <c r="C853" s="159">
        <f>SUM(C844:C852)</f>
        <v>26405.39</v>
      </c>
      <c r="D853" s="159"/>
      <c r="E853" s="270"/>
      <c r="F853" s="281"/>
      <c r="G853" s="309"/>
      <c r="H853" s="310"/>
      <c r="I853" s="309"/>
      <c r="J853" s="310"/>
      <c r="K853" s="309"/>
      <c r="L853" s="310"/>
      <c r="M853" s="309"/>
      <c r="N853" s="310"/>
      <c r="O853" s="271"/>
      <c r="P853" s="271"/>
      <c r="Q853" s="310"/>
      <c r="R853" s="310"/>
      <c r="S853" s="309"/>
      <c r="T853" s="310"/>
      <c r="U853" s="309"/>
      <c r="V853" s="310"/>
      <c r="W853" s="309"/>
      <c r="X853" s="310"/>
      <c r="Y853" s="309"/>
      <c r="Z853" s="310"/>
      <c r="AA853" s="309"/>
      <c r="AB853" s="310"/>
      <c r="AC853" s="271"/>
      <c r="AD853" s="271"/>
      <c r="AE853" s="309"/>
      <c r="AF853" s="310"/>
      <c r="AG853" s="309"/>
      <c r="AH853" s="310"/>
      <c r="AI853" s="309"/>
      <c r="AJ853" s="310"/>
      <c r="AK853" s="309"/>
      <c r="AL853" s="310"/>
      <c r="AM853" s="309"/>
      <c r="AN853" s="310"/>
      <c r="AO853" s="309"/>
      <c r="AP853" s="310"/>
      <c r="AQ853" s="309"/>
      <c r="AR853" s="310"/>
      <c r="AS853" s="309"/>
      <c r="AT853" s="310"/>
      <c r="AU853" s="309"/>
      <c r="AV853" s="310"/>
      <c r="AW853" s="309"/>
      <c r="AX853" s="310"/>
      <c r="AY853" s="309"/>
      <c r="AZ853" s="310"/>
      <c r="BA853" s="271"/>
      <c r="BB853" s="271"/>
      <c r="BC853" s="271"/>
      <c r="BD853" s="271"/>
      <c r="BE853" s="271"/>
      <c r="BF853" s="271"/>
    </row>
    <row r="854" spans="2:58" ht="16" thickBot="1" x14ac:dyDescent="0.25">
      <c r="B854" s="289">
        <v>45756</v>
      </c>
      <c r="C854" s="275">
        <v>800</v>
      </c>
      <c r="D854" s="277"/>
      <c r="E854" s="279" t="s">
        <v>186</v>
      </c>
      <c r="F854" s="279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  <c r="AA854" s="271"/>
      <c r="AB854" s="271"/>
      <c r="AC854" s="271"/>
      <c r="AD854" s="271"/>
      <c r="AE854" s="271"/>
      <c r="AF854" s="271"/>
      <c r="AG854" s="271"/>
      <c r="AH854" s="271"/>
      <c r="AI854" s="271"/>
      <c r="AJ854" s="271"/>
      <c r="AK854" s="271"/>
      <c r="AL854" s="271"/>
      <c r="AM854" s="271"/>
      <c r="AN854" s="271"/>
      <c r="AO854" s="271"/>
      <c r="AP854" s="271"/>
      <c r="AQ854" s="271"/>
      <c r="AR854" s="271"/>
      <c r="AS854" s="271"/>
      <c r="AT854" s="271"/>
      <c r="AU854" s="271"/>
      <c r="AV854" s="271"/>
      <c r="AW854" s="271"/>
      <c r="AX854" s="271"/>
      <c r="AY854" s="271"/>
      <c r="AZ854" s="271"/>
      <c r="BA854" s="271"/>
      <c r="BB854" s="271"/>
      <c r="BC854" s="271"/>
      <c r="BD854" s="271"/>
      <c r="BE854" s="271"/>
      <c r="BF854" s="271"/>
    </row>
    <row r="855" spans="2:58" ht="16" thickBot="1" x14ac:dyDescent="0.25">
      <c r="B855" s="288" t="s">
        <v>22</v>
      </c>
      <c r="C855" s="287"/>
      <c r="D855" s="290"/>
      <c r="E855" s="290"/>
      <c r="F855" s="296"/>
      <c r="G855" s="309"/>
      <c r="H855" s="310"/>
      <c r="I855" s="309"/>
      <c r="J855" s="310"/>
      <c r="K855" s="309"/>
      <c r="L855" s="310"/>
      <c r="M855" s="309"/>
      <c r="N855" s="310"/>
      <c r="O855" s="271"/>
      <c r="P855" s="271"/>
      <c r="Q855" s="309"/>
      <c r="R855" s="310"/>
      <c r="S855" s="309"/>
      <c r="T855" s="310"/>
      <c r="U855" s="309"/>
      <c r="V855" s="310"/>
      <c r="W855" s="309"/>
      <c r="X855" s="310"/>
      <c r="Y855" s="309"/>
      <c r="Z855" s="310"/>
      <c r="AA855" s="309"/>
      <c r="AB855" s="310"/>
      <c r="AC855" s="271"/>
      <c r="AD855" s="271"/>
      <c r="AE855" s="309"/>
      <c r="AF855" s="310"/>
      <c r="AG855" s="309"/>
      <c r="AH855" s="310"/>
      <c r="AI855" s="309"/>
      <c r="AJ855" s="310"/>
      <c r="AK855" s="309"/>
      <c r="AL855" s="310"/>
      <c r="AM855" s="309"/>
      <c r="AN855" s="310"/>
      <c r="AO855" s="309"/>
      <c r="AP855" s="310"/>
      <c r="AQ855" s="309"/>
      <c r="AR855" s="310"/>
      <c r="AS855" s="309"/>
      <c r="AT855" s="310"/>
      <c r="AU855" s="309"/>
      <c r="AV855" s="310"/>
      <c r="AW855" s="309"/>
      <c r="AX855" s="310"/>
      <c r="AY855" s="309"/>
      <c r="AZ855" s="310"/>
      <c r="BA855" s="271"/>
      <c r="BB855" s="271"/>
      <c r="BC855" s="271"/>
      <c r="BD855" s="271"/>
      <c r="BE855" s="271"/>
      <c r="BF855" s="271"/>
    </row>
    <row r="856" spans="2:58" ht="16" thickBot="1" x14ac:dyDescent="0.25">
      <c r="B856" s="292"/>
      <c r="C856" s="159">
        <f>SUM(C854:C855)</f>
        <v>800</v>
      </c>
      <c r="D856" s="159"/>
      <c r="E856" s="270"/>
      <c r="F856" s="297"/>
      <c r="G856" s="309"/>
      <c r="H856" s="310"/>
      <c r="I856" s="309"/>
      <c r="J856" s="310"/>
      <c r="K856" s="309"/>
      <c r="L856" s="310"/>
      <c r="M856" s="309"/>
      <c r="N856" s="310"/>
      <c r="O856" s="271"/>
      <c r="P856" s="271"/>
      <c r="Q856" s="310"/>
      <c r="R856" s="310"/>
      <c r="S856" s="309"/>
      <c r="T856" s="310"/>
      <c r="U856" s="309"/>
      <c r="V856" s="310"/>
      <c r="W856" s="309"/>
      <c r="X856" s="310"/>
      <c r="Y856" s="309"/>
      <c r="Z856" s="310"/>
      <c r="AA856" s="309"/>
      <c r="AB856" s="310"/>
      <c r="AC856" s="271"/>
      <c r="AD856" s="271"/>
      <c r="AE856" s="309"/>
      <c r="AF856" s="310"/>
      <c r="AG856" s="309"/>
      <c r="AH856" s="310"/>
      <c r="AI856" s="309"/>
      <c r="AJ856" s="310"/>
      <c r="AK856" s="309"/>
      <c r="AL856" s="310"/>
      <c r="AM856" s="309"/>
      <c r="AN856" s="310"/>
      <c r="AO856" s="309"/>
      <c r="AP856" s="310"/>
      <c r="AQ856" s="309"/>
      <c r="AR856" s="310"/>
      <c r="AS856" s="309"/>
      <c r="AT856" s="310"/>
      <c r="AU856" s="309"/>
      <c r="AV856" s="310"/>
      <c r="AW856" s="309"/>
      <c r="AX856" s="310"/>
      <c r="AY856" s="309"/>
      <c r="AZ856" s="310"/>
      <c r="BA856" s="271"/>
      <c r="BB856" s="271"/>
      <c r="BC856" s="271"/>
      <c r="BD856" s="271"/>
      <c r="BE856" s="271"/>
      <c r="BF856" s="271"/>
    </row>
    <row r="857" spans="2:58" ht="16" thickBot="1" x14ac:dyDescent="0.25">
      <c r="B857" s="289">
        <v>45757</v>
      </c>
      <c r="C857" s="295">
        <v>800</v>
      </c>
      <c r="D857" s="275"/>
      <c r="E857" s="274" t="s">
        <v>186</v>
      </c>
      <c r="F857" s="301"/>
      <c r="G857" s="309"/>
      <c r="H857" s="310"/>
      <c r="I857" s="309"/>
      <c r="J857" s="310"/>
      <c r="K857" s="309"/>
      <c r="L857" s="310"/>
      <c r="M857" s="309"/>
      <c r="N857" s="310"/>
      <c r="O857" s="271"/>
      <c r="P857" s="271"/>
      <c r="Q857" s="309"/>
      <c r="R857" s="310"/>
      <c r="S857" s="309"/>
      <c r="T857" s="310"/>
      <c r="U857" s="309"/>
      <c r="V857" s="310"/>
      <c r="W857" s="309"/>
      <c r="X857" s="310"/>
      <c r="Y857" s="309"/>
      <c r="Z857" s="310"/>
      <c r="AA857" s="309"/>
      <c r="AB857" s="310"/>
      <c r="AC857" s="271"/>
      <c r="AD857" s="271"/>
      <c r="AE857" s="309"/>
      <c r="AF857" s="310"/>
      <c r="AG857" s="309"/>
      <c r="AH857" s="310"/>
      <c r="AI857" s="309"/>
      <c r="AJ857" s="310"/>
      <c r="AK857" s="309"/>
      <c r="AL857" s="310"/>
      <c r="AM857" s="309"/>
      <c r="AN857" s="310"/>
      <c r="AO857" s="309"/>
      <c r="AP857" s="310"/>
      <c r="AQ857" s="309"/>
      <c r="AR857" s="310"/>
      <c r="AS857" s="309"/>
      <c r="AT857" s="310"/>
      <c r="AU857" s="309"/>
      <c r="AV857" s="310"/>
      <c r="AW857" s="309"/>
      <c r="AX857" s="310"/>
      <c r="AY857" s="309"/>
      <c r="AZ857" s="310"/>
      <c r="BA857" s="271"/>
      <c r="BB857" s="271"/>
      <c r="BC857" s="271"/>
      <c r="BD857" s="271"/>
      <c r="BE857" s="271"/>
      <c r="BF857" s="271"/>
    </row>
    <row r="858" spans="2:58" ht="16" thickBot="1" x14ac:dyDescent="0.25">
      <c r="B858" s="289"/>
      <c r="C858" s="295">
        <v>1549</v>
      </c>
      <c r="D858" s="275"/>
      <c r="E858" s="275" t="s">
        <v>974</v>
      </c>
      <c r="F858" s="302"/>
      <c r="G858" s="309"/>
      <c r="H858" s="310"/>
      <c r="I858" s="309"/>
      <c r="J858" s="310"/>
      <c r="K858" s="309"/>
      <c r="L858" s="310"/>
      <c r="M858" s="309"/>
      <c r="N858" s="310"/>
      <c r="O858" s="271"/>
      <c r="P858" s="271"/>
      <c r="Q858" s="309"/>
      <c r="R858" s="310"/>
      <c r="S858" s="309"/>
      <c r="T858" s="310"/>
      <c r="U858" s="309"/>
      <c r="V858" s="310"/>
      <c r="W858" s="309"/>
      <c r="X858" s="310"/>
      <c r="Y858" s="309"/>
      <c r="Z858" s="310"/>
      <c r="AA858" s="309"/>
      <c r="AB858" s="310"/>
      <c r="AC858" s="271"/>
      <c r="AD858" s="271"/>
      <c r="AE858" s="309"/>
      <c r="AF858" s="310"/>
      <c r="AG858" s="309"/>
      <c r="AH858" s="310"/>
      <c r="AI858" s="309"/>
      <c r="AJ858" s="310"/>
      <c r="AK858" s="309"/>
      <c r="AL858" s="310"/>
      <c r="AM858" s="309"/>
      <c r="AN858" s="310"/>
      <c r="AO858" s="309"/>
      <c r="AP858" s="310"/>
      <c r="AQ858" s="309"/>
      <c r="AR858" s="310"/>
      <c r="AS858" s="309"/>
      <c r="AT858" s="310"/>
      <c r="AU858" s="309"/>
      <c r="AV858" s="310"/>
      <c r="AW858" s="309"/>
      <c r="AX858" s="310"/>
      <c r="AY858" s="309"/>
      <c r="AZ858" s="310"/>
      <c r="BA858" s="271"/>
      <c r="BB858" s="271"/>
      <c r="BC858" s="271"/>
      <c r="BD858" s="271"/>
      <c r="BE858" s="271"/>
      <c r="BF858" s="271"/>
    </row>
    <row r="859" spans="2:58" ht="16" thickBot="1" x14ac:dyDescent="0.25">
      <c r="B859" s="289"/>
      <c r="C859" s="295">
        <v>451.12</v>
      </c>
      <c r="D859" s="275"/>
      <c r="E859" s="275"/>
      <c r="F859" s="302" t="s">
        <v>279</v>
      </c>
      <c r="G859" s="309"/>
      <c r="H859" s="310"/>
      <c r="I859" s="309"/>
      <c r="J859" s="310"/>
      <c r="K859" s="309"/>
      <c r="L859" s="310"/>
      <c r="M859" s="309"/>
      <c r="N859" s="310"/>
      <c r="O859" s="271"/>
      <c r="P859" s="271"/>
      <c r="Q859" s="309"/>
      <c r="R859" s="310"/>
      <c r="S859" s="309">
        <v>18</v>
      </c>
      <c r="T859" s="310">
        <v>451.12</v>
      </c>
      <c r="U859" s="309"/>
      <c r="V859" s="310"/>
      <c r="W859" s="309"/>
      <c r="X859" s="310"/>
      <c r="Y859" s="309"/>
      <c r="Z859" s="310"/>
      <c r="AA859" s="309"/>
      <c r="AB859" s="310"/>
      <c r="AC859" s="271"/>
      <c r="AD859" s="271"/>
      <c r="AE859" s="309"/>
      <c r="AF859" s="310"/>
      <c r="AG859" s="309"/>
      <c r="AH859" s="310"/>
      <c r="AI859" s="309"/>
      <c r="AJ859" s="310"/>
      <c r="AK859" s="309"/>
      <c r="AL859" s="310"/>
      <c r="AM859" s="309"/>
      <c r="AN859" s="310"/>
      <c r="AO859" s="309"/>
      <c r="AP859" s="310"/>
      <c r="AQ859" s="309"/>
      <c r="AR859" s="310"/>
      <c r="AS859" s="309"/>
      <c r="AT859" s="310"/>
      <c r="AU859" s="309"/>
      <c r="AV859" s="310"/>
      <c r="AW859" s="309"/>
      <c r="AX859" s="310"/>
      <c r="AY859" s="309"/>
      <c r="AZ859" s="310"/>
      <c r="BA859" s="271"/>
      <c r="BB859" s="271"/>
      <c r="BC859" s="271"/>
      <c r="BD859" s="271"/>
      <c r="BE859" s="271"/>
      <c r="BF859" s="271"/>
    </row>
    <row r="860" spans="2:58" ht="16" thickBot="1" x14ac:dyDescent="0.25">
      <c r="B860" s="289"/>
      <c r="C860" s="295">
        <v>349.93</v>
      </c>
      <c r="D860" s="275"/>
      <c r="E860" s="275"/>
      <c r="F860" s="302" t="s">
        <v>14</v>
      </c>
      <c r="G860" s="309"/>
      <c r="H860" s="310"/>
      <c r="I860" s="309"/>
      <c r="J860" s="310"/>
      <c r="K860" s="309"/>
      <c r="L860" s="310"/>
      <c r="M860" s="309"/>
      <c r="N860" s="310"/>
      <c r="O860" s="271"/>
      <c r="P860" s="271"/>
      <c r="Q860" s="309"/>
      <c r="R860" s="310"/>
      <c r="S860" s="309"/>
      <c r="T860" s="310"/>
      <c r="U860" s="309"/>
      <c r="V860" s="310"/>
      <c r="W860" s="309"/>
      <c r="X860" s="310"/>
      <c r="Y860" s="309"/>
      <c r="Z860" s="310"/>
      <c r="AA860" s="309"/>
      <c r="AB860" s="310"/>
      <c r="AC860" s="271"/>
      <c r="AD860" s="271"/>
      <c r="AE860" s="309">
        <v>7</v>
      </c>
      <c r="AF860" s="310">
        <v>349.93</v>
      </c>
      <c r="AG860" s="309"/>
      <c r="AH860" s="310"/>
      <c r="AI860" s="309"/>
      <c r="AJ860" s="310"/>
      <c r="AK860" s="309"/>
      <c r="AL860" s="310"/>
      <c r="AM860" s="309"/>
      <c r="AN860" s="310"/>
      <c r="AO860" s="309"/>
      <c r="AP860" s="310"/>
      <c r="AQ860" s="309"/>
      <c r="AR860" s="310"/>
      <c r="AS860" s="309"/>
      <c r="AT860" s="310"/>
      <c r="AU860" s="309"/>
      <c r="AV860" s="310"/>
      <c r="AW860" s="309"/>
      <c r="AX860" s="310"/>
      <c r="AY860" s="309"/>
      <c r="AZ860" s="310"/>
      <c r="BA860" s="271"/>
      <c r="BB860" s="271"/>
      <c r="BC860" s="271"/>
      <c r="BD860" s="271"/>
      <c r="BE860" s="271"/>
      <c r="BF860" s="271"/>
    </row>
    <row r="861" spans="2:58" ht="16" thickBot="1" x14ac:dyDescent="0.25">
      <c r="B861" s="289"/>
      <c r="C861" s="295">
        <v>6497.56</v>
      </c>
      <c r="D861" s="275"/>
      <c r="E861" s="275"/>
      <c r="F861" s="302" t="s">
        <v>9</v>
      </c>
      <c r="G861" s="309">
        <v>8</v>
      </c>
      <c r="H861" s="310">
        <v>1095.92</v>
      </c>
      <c r="I861" s="309">
        <v>2</v>
      </c>
      <c r="J861" s="310">
        <v>409.98</v>
      </c>
      <c r="K861" s="309">
        <v>7</v>
      </c>
      <c r="L861" s="310">
        <v>1273.93</v>
      </c>
      <c r="M861" s="309">
        <v>8</v>
      </c>
      <c r="N861" s="310">
        <v>1383.92</v>
      </c>
      <c r="O861" s="271">
        <v>15</v>
      </c>
      <c r="P861" s="271">
        <v>1949.85</v>
      </c>
      <c r="Q861" s="309"/>
      <c r="R861" s="310"/>
      <c r="S861" s="309"/>
      <c r="T861" s="310"/>
      <c r="U861" s="309"/>
      <c r="V861" s="310"/>
      <c r="W861" s="309"/>
      <c r="X861" s="310"/>
      <c r="Y861" s="309"/>
      <c r="Z861" s="310"/>
      <c r="AA861" s="309"/>
      <c r="AB861" s="310"/>
      <c r="AC861" s="271">
        <v>3</v>
      </c>
      <c r="AD861" s="271">
        <v>296.97000000000003</v>
      </c>
      <c r="AE861" s="309"/>
      <c r="AF861" s="310"/>
      <c r="AG861" s="309"/>
      <c r="AH861" s="310"/>
      <c r="AI861" s="309"/>
      <c r="AJ861" s="310"/>
      <c r="AK861" s="309"/>
      <c r="AL861" s="310"/>
      <c r="AM861" s="309"/>
      <c r="AN861" s="310"/>
      <c r="AO861" s="309"/>
      <c r="AP861" s="310"/>
      <c r="AQ861" s="309"/>
      <c r="AR861" s="310"/>
      <c r="AS861" s="309"/>
      <c r="AT861" s="310"/>
      <c r="AU861" s="309"/>
      <c r="AV861" s="310"/>
      <c r="AW861" s="309"/>
      <c r="AX861" s="310"/>
      <c r="AY861" s="309"/>
      <c r="AZ861" s="310"/>
      <c r="BA861" s="271">
        <v>1</v>
      </c>
      <c r="BB861" s="271">
        <v>26.99</v>
      </c>
      <c r="BC861" s="271"/>
      <c r="BD861" s="271"/>
      <c r="BE861" s="271"/>
      <c r="BF861" s="271"/>
    </row>
    <row r="862" spans="2:58" ht="16" thickBot="1" x14ac:dyDescent="0.25">
      <c r="B862" s="289"/>
      <c r="C862" s="295">
        <v>7157.54</v>
      </c>
      <c r="D862" s="275"/>
      <c r="E862" s="275"/>
      <c r="F862" s="302" t="s">
        <v>778</v>
      </c>
      <c r="G862" s="309"/>
      <c r="H862" s="310"/>
      <c r="I862" s="309"/>
      <c r="J862" s="310"/>
      <c r="K862" s="309"/>
      <c r="L862" s="310"/>
      <c r="M862" s="309"/>
      <c r="N862" s="310"/>
      <c r="O862" s="271"/>
      <c r="P862" s="271"/>
      <c r="Q862" s="309"/>
      <c r="R862" s="310"/>
      <c r="S862" s="309"/>
      <c r="T862" s="310"/>
      <c r="U862" s="309"/>
      <c r="V862" s="310"/>
      <c r="W862" s="309"/>
      <c r="X862" s="310"/>
      <c r="Y862" s="309"/>
      <c r="Z862" s="310"/>
      <c r="AA862" s="309"/>
      <c r="AB862" s="310"/>
      <c r="AC862" s="271"/>
      <c r="AD862" s="271"/>
      <c r="AE862" s="309"/>
      <c r="AF862" s="310"/>
      <c r="AG862" s="309"/>
      <c r="AH862" s="310"/>
      <c r="AI862" s="309"/>
      <c r="AJ862" s="310"/>
      <c r="AK862" s="309"/>
      <c r="AL862" s="310"/>
      <c r="AM862" s="309"/>
      <c r="AN862" s="310"/>
      <c r="AO862" s="309"/>
      <c r="AP862" s="310"/>
      <c r="AQ862" s="309"/>
      <c r="AR862" s="310"/>
      <c r="AS862" s="309"/>
      <c r="AT862" s="310"/>
      <c r="AU862" s="309"/>
      <c r="AV862" s="310"/>
      <c r="AW862" s="309">
        <v>15</v>
      </c>
      <c r="AX862" s="310">
        <f>7157.54/2</f>
        <v>3578.77</v>
      </c>
      <c r="AY862" s="309">
        <v>15</v>
      </c>
      <c r="AZ862" s="310">
        <v>3578.77</v>
      </c>
      <c r="BA862" s="271"/>
      <c r="BB862" s="271"/>
      <c r="BC862" s="271"/>
      <c r="BD862" s="271"/>
      <c r="BE862" s="271"/>
      <c r="BF862" s="271"/>
    </row>
    <row r="863" spans="2:58" ht="16" thickBot="1" x14ac:dyDescent="0.25">
      <c r="B863" s="289"/>
      <c r="C863" s="295">
        <v>520</v>
      </c>
      <c r="D863" s="275"/>
      <c r="E863" s="275" t="s">
        <v>771</v>
      </c>
      <c r="F863" s="302"/>
      <c r="G863" s="309"/>
      <c r="H863" s="310"/>
      <c r="I863" s="309"/>
      <c r="J863" s="310"/>
      <c r="K863" s="309"/>
      <c r="L863" s="310"/>
      <c r="M863" s="309"/>
      <c r="N863" s="310"/>
      <c r="O863" s="271"/>
      <c r="P863" s="271"/>
      <c r="Q863" s="309"/>
      <c r="R863" s="310"/>
      <c r="S863" s="309"/>
      <c r="T863" s="310"/>
      <c r="U863" s="309"/>
      <c r="V863" s="310"/>
      <c r="W863" s="309"/>
      <c r="X863" s="310"/>
      <c r="Y863" s="309"/>
      <c r="Z863" s="310"/>
      <c r="AA863" s="309"/>
      <c r="AB863" s="310"/>
      <c r="AC863" s="271"/>
      <c r="AD863" s="271"/>
      <c r="AE863" s="309"/>
      <c r="AF863" s="310"/>
      <c r="AG863" s="309"/>
      <c r="AH863" s="310"/>
      <c r="AI863" s="309"/>
      <c r="AJ863" s="310"/>
      <c r="AK863" s="309"/>
      <c r="AL863" s="310"/>
      <c r="AM863" s="309"/>
      <c r="AN863" s="310"/>
      <c r="AO863" s="309"/>
      <c r="AP863" s="310"/>
      <c r="AQ863" s="309"/>
      <c r="AR863" s="310"/>
      <c r="AS863" s="309"/>
      <c r="AT863" s="310"/>
      <c r="AU863" s="309"/>
      <c r="AV863" s="310"/>
      <c r="AW863" s="309"/>
      <c r="AX863" s="310"/>
      <c r="AY863" s="309"/>
      <c r="AZ863" s="310"/>
      <c r="BA863" s="271"/>
      <c r="BB863" s="271"/>
      <c r="BC863" s="271"/>
      <c r="BD863" s="271"/>
      <c r="BE863" s="271"/>
      <c r="BF863" s="271"/>
    </row>
    <row r="864" spans="2:58" ht="16" thickBot="1" x14ac:dyDescent="0.25">
      <c r="B864" s="289" t="s">
        <v>23</v>
      </c>
      <c r="C864" s="295">
        <v>3312</v>
      </c>
      <c r="D864" s="275"/>
      <c r="E864" s="275"/>
      <c r="F864" s="302" t="s">
        <v>6</v>
      </c>
      <c r="G864" s="309"/>
      <c r="H864" s="310"/>
      <c r="I864" s="309"/>
      <c r="J864" s="310"/>
      <c r="K864" s="309"/>
      <c r="L864" s="310"/>
      <c r="M864" s="309"/>
      <c r="N864" s="310"/>
      <c r="O864" s="271"/>
      <c r="P864" s="271"/>
      <c r="Q864" s="309"/>
      <c r="R864" s="310"/>
      <c r="S864" s="309">
        <v>4</v>
      </c>
      <c r="T864" s="310">
        <v>3312</v>
      </c>
      <c r="U864" s="309"/>
      <c r="V864" s="310"/>
      <c r="W864" s="309"/>
      <c r="X864" s="310"/>
      <c r="Y864" s="309"/>
      <c r="Z864" s="310"/>
      <c r="AA864" s="309"/>
      <c r="AB864" s="310"/>
      <c r="AC864" s="271"/>
      <c r="AD864" s="271"/>
      <c r="AE864" s="309"/>
      <c r="AF864" s="310"/>
      <c r="AG864" s="309"/>
      <c r="AH864" s="310"/>
      <c r="AI864" s="309"/>
      <c r="AJ864" s="310"/>
      <c r="AK864" s="309"/>
      <c r="AL864" s="310"/>
      <c r="AM864" s="309"/>
      <c r="AN864" s="310"/>
      <c r="AO864" s="309"/>
      <c r="AP864" s="310"/>
      <c r="AQ864" s="309"/>
      <c r="AR864" s="310"/>
      <c r="AS864" s="309"/>
      <c r="AT864" s="310"/>
      <c r="AU864" s="309"/>
      <c r="AV864" s="310"/>
      <c r="AW864" s="309"/>
      <c r="AX864" s="310"/>
      <c r="AY864" s="309"/>
      <c r="AZ864" s="310"/>
      <c r="BA864" s="271"/>
      <c r="BB864" s="271"/>
      <c r="BC864" s="271"/>
      <c r="BD864" s="271"/>
      <c r="BE864" s="271"/>
      <c r="BF864" s="271"/>
    </row>
    <row r="865" spans="2:58" ht="16" thickBot="1" x14ac:dyDescent="0.25">
      <c r="B865" s="298"/>
      <c r="C865" s="656">
        <f>SUM(C857:C864)</f>
        <v>20637.150000000001</v>
      </c>
      <c r="D865" s="656"/>
      <c r="E865" s="578"/>
      <c r="F865" s="553"/>
      <c r="G865" s="309"/>
      <c r="H865" s="310"/>
      <c r="I865" s="309"/>
      <c r="J865" s="310"/>
      <c r="K865" s="309"/>
      <c r="L865" s="310"/>
      <c r="M865" s="309"/>
      <c r="N865" s="310"/>
      <c r="O865" s="271"/>
      <c r="P865" s="271"/>
      <c r="Q865" s="309"/>
      <c r="R865" s="310"/>
      <c r="S865" s="309"/>
      <c r="T865" s="310"/>
      <c r="U865" s="309"/>
      <c r="V865" s="310"/>
      <c r="W865" s="309"/>
      <c r="X865" s="310"/>
      <c r="Y865" s="309"/>
      <c r="Z865" s="310"/>
      <c r="AA865" s="309"/>
      <c r="AB865" s="310"/>
      <c r="AC865" s="271"/>
      <c r="AD865" s="271"/>
      <c r="AE865" s="309"/>
      <c r="AF865" s="310"/>
      <c r="AG865" s="309"/>
      <c r="AH865" s="310"/>
      <c r="AI865" s="309"/>
      <c r="AJ865" s="310"/>
      <c r="AK865" s="309"/>
      <c r="AL865" s="310"/>
      <c r="AM865" s="309"/>
      <c r="AN865" s="310"/>
      <c r="AO865" s="309"/>
      <c r="AP865" s="310"/>
      <c r="AQ865" s="309"/>
      <c r="AR865" s="310"/>
      <c r="AS865" s="309"/>
      <c r="AT865" s="310"/>
      <c r="AU865" s="309"/>
      <c r="AV865" s="310"/>
      <c r="AW865" s="309"/>
      <c r="AX865" s="310"/>
      <c r="AY865" s="309"/>
      <c r="AZ865" s="310"/>
      <c r="BA865" s="271"/>
      <c r="BB865" s="271"/>
      <c r="BC865" s="271"/>
      <c r="BD865" s="271"/>
      <c r="BE865" s="271"/>
      <c r="BF865" s="271"/>
    </row>
    <row r="866" spans="2:58" ht="16" thickBot="1" x14ac:dyDescent="0.25">
      <c r="B866" s="479">
        <v>45758</v>
      </c>
      <c r="C866" s="299">
        <v>14820</v>
      </c>
      <c r="D866" s="300"/>
      <c r="E866" s="274" t="s">
        <v>12</v>
      </c>
      <c r="F866" s="301"/>
      <c r="G866" s="309"/>
      <c r="H866" s="310"/>
      <c r="I866" s="309"/>
      <c r="J866" s="310"/>
      <c r="K866" s="309"/>
      <c r="L866" s="310"/>
      <c r="M866" s="309"/>
      <c r="N866" s="310"/>
      <c r="O866" s="271"/>
      <c r="P866" s="271"/>
      <c r="Q866" s="309"/>
      <c r="R866" s="310"/>
      <c r="S866" s="309"/>
      <c r="T866" s="310"/>
      <c r="U866" s="309"/>
      <c r="V866" s="310"/>
      <c r="W866" s="309"/>
      <c r="X866" s="310"/>
      <c r="Y866" s="309"/>
      <c r="Z866" s="310"/>
      <c r="AA866" s="309"/>
      <c r="AB866" s="310"/>
      <c r="AC866" s="271"/>
      <c r="AD866" s="271"/>
      <c r="AE866" s="309"/>
      <c r="AF866" s="310"/>
      <c r="AG866" s="309"/>
      <c r="AH866" s="310"/>
      <c r="AI866" s="309"/>
      <c r="AJ866" s="310"/>
      <c r="AK866" s="309"/>
      <c r="AL866" s="310"/>
      <c r="AM866" s="309"/>
      <c r="AN866" s="310"/>
      <c r="AO866" s="309"/>
      <c r="AP866" s="310"/>
      <c r="AQ866" s="309"/>
      <c r="AR866" s="310"/>
      <c r="AS866" s="309"/>
      <c r="AT866" s="310"/>
      <c r="AU866" s="309"/>
      <c r="AV866" s="310"/>
      <c r="AW866" s="309"/>
      <c r="AX866" s="310"/>
      <c r="AY866" s="309"/>
      <c r="AZ866" s="310"/>
      <c r="BA866" s="271"/>
      <c r="BB866" s="271"/>
      <c r="BC866" s="271"/>
      <c r="BD866" s="271"/>
      <c r="BE866" s="271"/>
      <c r="BF866" s="271"/>
    </row>
    <row r="867" spans="2:58" ht="16" thickBot="1" x14ac:dyDescent="0.25">
      <c r="B867" s="479"/>
      <c r="C867" s="299">
        <v>800</v>
      </c>
      <c r="D867" s="300"/>
      <c r="E867" s="275" t="s">
        <v>186</v>
      </c>
      <c r="F867" s="302"/>
      <c r="G867" s="309"/>
      <c r="H867" s="310"/>
      <c r="I867" s="309"/>
      <c r="J867" s="310"/>
      <c r="K867" s="309"/>
      <c r="L867" s="310"/>
      <c r="M867" s="309"/>
      <c r="N867" s="310"/>
      <c r="O867" s="271"/>
      <c r="P867" s="271"/>
      <c r="Q867" s="309"/>
      <c r="R867" s="310"/>
      <c r="S867" s="309"/>
      <c r="T867" s="310"/>
      <c r="U867" s="309"/>
      <c r="V867" s="310"/>
      <c r="W867" s="309"/>
      <c r="X867" s="310"/>
      <c r="Y867" s="309"/>
      <c r="Z867" s="310"/>
      <c r="AA867" s="309"/>
      <c r="AB867" s="310"/>
      <c r="AC867" s="271"/>
      <c r="AD867" s="271"/>
      <c r="AE867" s="309"/>
      <c r="AF867" s="310"/>
      <c r="AG867" s="309"/>
      <c r="AH867" s="310"/>
      <c r="AI867" s="309"/>
      <c r="AJ867" s="310"/>
      <c r="AK867" s="309"/>
      <c r="AL867" s="310"/>
      <c r="AM867" s="309"/>
      <c r="AN867" s="310"/>
      <c r="AO867" s="309"/>
      <c r="AP867" s="310"/>
      <c r="AQ867" s="309"/>
      <c r="AR867" s="310"/>
      <c r="AS867" s="309"/>
      <c r="AT867" s="310"/>
      <c r="AU867" s="309"/>
      <c r="AV867" s="310"/>
      <c r="AW867" s="309"/>
      <c r="AX867" s="310"/>
      <c r="AY867" s="309"/>
      <c r="AZ867" s="310"/>
      <c r="BA867" s="271"/>
      <c r="BB867" s="271"/>
      <c r="BC867" s="271"/>
      <c r="BD867" s="271"/>
      <c r="BE867" s="271"/>
      <c r="BF867" s="271"/>
    </row>
    <row r="868" spans="2:58" ht="16" thickBot="1" x14ac:dyDescent="0.25">
      <c r="B868" s="479"/>
      <c r="C868" s="299"/>
      <c r="D868" s="300"/>
      <c r="E868" s="275"/>
      <c r="F868" s="302"/>
      <c r="G868" s="309"/>
      <c r="H868" s="310"/>
      <c r="I868" s="309"/>
      <c r="J868" s="310"/>
      <c r="K868" s="309"/>
      <c r="L868" s="310"/>
      <c r="M868" s="309"/>
      <c r="N868" s="310"/>
      <c r="O868" s="271"/>
      <c r="P868" s="271"/>
      <c r="Q868" s="309"/>
      <c r="R868" s="310"/>
      <c r="S868" s="309"/>
      <c r="T868" s="310"/>
      <c r="U868" s="309"/>
      <c r="V868" s="310"/>
      <c r="W868" s="309"/>
      <c r="X868" s="310"/>
      <c r="Y868" s="309"/>
      <c r="Z868" s="310"/>
      <c r="AA868" s="309"/>
      <c r="AB868" s="310"/>
      <c r="AC868" s="271"/>
      <c r="AD868" s="271"/>
      <c r="AE868" s="309"/>
      <c r="AF868" s="310"/>
      <c r="AG868" s="309"/>
      <c r="AH868" s="310"/>
      <c r="AI868" s="309"/>
      <c r="AJ868" s="310"/>
      <c r="AK868" s="309"/>
      <c r="AL868" s="310"/>
      <c r="AM868" s="309"/>
      <c r="AN868" s="310"/>
      <c r="AO868" s="309"/>
      <c r="AP868" s="310"/>
      <c r="AQ868" s="309"/>
      <c r="AR868" s="310"/>
      <c r="AS868" s="309"/>
      <c r="AT868" s="310"/>
      <c r="AU868" s="309"/>
      <c r="AV868" s="310"/>
      <c r="AW868" s="309"/>
      <c r="AX868" s="310"/>
      <c r="AY868" s="309"/>
      <c r="AZ868" s="310"/>
      <c r="BA868" s="271"/>
      <c r="BB868" s="271"/>
      <c r="BC868" s="271"/>
      <c r="BD868" s="271"/>
      <c r="BE868" s="271"/>
      <c r="BF868" s="271"/>
    </row>
    <row r="869" spans="2:58" ht="16" thickBot="1" x14ac:dyDescent="0.25">
      <c r="B869" s="479"/>
      <c r="C869" s="299"/>
      <c r="D869" s="300"/>
      <c r="E869" s="275"/>
      <c r="F869" s="302"/>
      <c r="G869" s="309"/>
      <c r="H869" s="310"/>
      <c r="I869" s="309"/>
      <c r="J869" s="310"/>
      <c r="K869" s="309"/>
      <c r="L869" s="310"/>
      <c r="M869" s="309"/>
      <c r="N869" s="310"/>
      <c r="O869" s="271"/>
      <c r="P869" s="271"/>
      <c r="Q869" s="309"/>
      <c r="R869" s="310"/>
      <c r="S869" s="309"/>
      <c r="T869" s="310"/>
      <c r="U869" s="309"/>
      <c r="V869" s="310"/>
      <c r="W869" s="309"/>
      <c r="X869" s="310"/>
      <c r="Y869" s="309"/>
      <c r="Z869" s="310"/>
      <c r="AA869" s="309"/>
      <c r="AB869" s="310"/>
      <c r="AC869" s="271"/>
      <c r="AD869" s="271"/>
      <c r="AE869" s="309"/>
      <c r="AF869" s="310"/>
      <c r="AG869" s="309"/>
      <c r="AH869" s="310"/>
      <c r="AI869" s="309"/>
      <c r="AJ869" s="310"/>
      <c r="AK869" s="309"/>
      <c r="AL869" s="310"/>
      <c r="AM869" s="309"/>
      <c r="AN869" s="310"/>
      <c r="AO869" s="309"/>
      <c r="AP869" s="310"/>
      <c r="AQ869" s="309"/>
      <c r="AR869" s="310"/>
      <c r="AS869" s="309"/>
      <c r="AT869" s="310"/>
      <c r="AU869" s="309"/>
      <c r="AV869" s="310"/>
      <c r="AW869" s="309"/>
      <c r="AX869" s="310"/>
      <c r="AY869" s="309"/>
      <c r="AZ869" s="310"/>
      <c r="BA869" s="271"/>
      <c r="BB869" s="271"/>
      <c r="BC869" s="271"/>
      <c r="BD869" s="271"/>
      <c r="BE869" s="271"/>
      <c r="BF869" s="271"/>
    </row>
    <row r="870" spans="2:58" ht="16" thickBot="1" x14ac:dyDescent="0.25">
      <c r="B870" s="479"/>
      <c r="C870" s="657"/>
      <c r="D870" s="657"/>
      <c r="E870" s="285"/>
      <c r="F870" s="302"/>
      <c r="G870" s="309"/>
      <c r="H870" s="310"/>
      <c r="I870" s="309"/>
      <c r="J870" s="310"/>
      <c r="K870" s="309"/>
      <c r="L870" s="310"/>
      <c r="M870" s="309"/>
      <c r="N870" s="310"/>
      <c r="O870" s="271"/>
      <c r="P870" s="271"/>
      <c r="Q870" s="309"/>
      <c r="R870" s="310"/>
      <c r="S870" s="309"/>
      <c r="T870" s="310"/>
      <c r="U870" s="309"/>
      <c r="V870" s="310"/>
      <c r="W870" s="309"/>
      <c r="X870" s="310"/>
      <c r="Y870" s="309"/>
      <c r="Z870" s="310"/>
      <c r="AA870" s="309"/>
      <c r="AB870" s="310"/>
      <c r="AC870" s="271"/>
      <c r="AD870" s="271"/>
      <c r="AE870" s="309"/>
      <c r="AF870" s="310"/>
      <c r="AG870" s="309"/>
      <c r="AH870" s="310"/>
      <c r="AI870" s="309"/>
      <c r="AJ870" s="310"/>
      <c r="AK870" s="309"/>
      <c r="AL870" s="310"/>
      <c r="AM870" s="309"/>
      <c r="AN870" s="310"/>
      <c r="AO870" s="309"/>
      <c r="AP870" s="310"/>
      <c r="AQ870" s="309"/>
      <c r="AR870" s="310"/>
      <c r="AS870" s="309"/>
      <c r="AT870" s="310"/>
      <c r="AU870" s="309"/>
      <c r="AV870" s="310"/>
      <c r="AW870" s="309"/>
      <c r="AX870" s="310"/>
      <c r="AY870" s="309"/>
      <c r="AZ870" s="310"/>
      <c r="BA870" s="271"/>
      <c r="BB870" s="271"/>
      <c r="BC870" s="271"/>
      <c r="BD870" s="271"/>
      <c r="BE870" s="271"/>
      <c r="BF870" s="271"/>
    </row>
    <row r="871" spans="2:58" ht="16" thickBot="1" x14ac:dyDescent="0.25">
      <c r="B871" s="479" t="s">
        <v>24</v>
      </c>
      <c r="C871" s="299"/>
      <c r="D871" s="300"/>
      <c r="E871" s="275"/>
      <c r="F871" s="302"/>
      <c r="G871" s="309"/>
      <c r="H871" s="310"/>
      <c r="I871" s="309"/>
      <c r="J871" s="310"/>
      <c r="K871" s="309"/>
      <c r="L871" s="310"/>
      <c r="M871" s="309"/>
      <c r="N871" s="310"/>
      <c r="O871" s="271"/>
      <c r="P871" s="271"/>
      <c r="Q871" s="309"/>
      <c r="R871" s="310"/>
      <c r="S871" s="309"/>
      <c r="T871" s="310"/>
      <c r="U871" s="309"/>
      <c r="V871" s="310"/>
      <c r="W871" s="309"/>
      <c r="X871" s="310"/>
      <c r="Y871" s="309"/>
      <c r="Z871" s="310"/>
      <c r="AA871" s="309"/>
      <c r="AB871" s="310"/>
      <c r="AC871" s="271"/>
      <c r="AD871" s="271"/>
      <c r="AE871" s="309"/>
      <c r="AF871" s="310"/>
      <c r="AG871" s="309"/>
      <c r="AH871" s="310"/>
      <c r="AI871" s="309"/>
      <c r="AJ871" s="310"/>
      <c r="AK871" s="309"/>
      <c r="AL871" s="310"/>
      <c r="AM871" s="309"/>
      <c r="AN871" s="310"/>
      <c r="AO871" s="309"/>
      <c r="AP871" s="310"/>
      <c r="AQ871" s="309"/>
      <c r="AR871" s="310"/>
      <c r="AS871" s="309"/>
      <c r="AT871" s="310"/>
      <c r="AU871" s="309"/>
      <c r="AV871" s="310"/>
      <c r="AW871" s="309"/>
      <c r="AX871" s="310"/>
      <c r="AY871" s="309"/>
      <c r="AZ871" s="310"/>
      <c r="BA871" s="271"/>
      <c r="BB871" s="271"/>
      <c r="BC871" s="271"/>
      <c r="BD871" s="271"/>
      <c r="BE871" s="271"/>
      <c r="BF871" s="271"/>
    </row>
    <row r="872" spans="2:58" ht="16" thickBot="1" x14ac:dyDescent="0.25">
      <c r="B872" s="577"/>
      <c r="C872" s="159">
        <f>SUM(C866:C871)</f>
        <v>15620</v>
      </c>
      <c r="D872" s="159"/>
      <c r="E872" s="270"/>
      <c r="F872" s="271"/>
      <c r="G872" s="309"/>
      <c r="H872" s="310"/>
      <c r="I872" s="309"/>
      <c r="J872" s="310"/>
      <c r="K872" s="309"/>
      <c r="L872" s="310"/>
      <c r="M872" s="309"/>
      <c r="N872" s="310"/>
      <c r="O872" s="271"/>
      <c r="P872" s="271"/>
      <c r="Q872" s="309"/>
      <c r="R872" s="310"/>
      <c r="S872" s="309"/>
      <c r="T872" s="310"/>
      <c r="U872" s="309"/>
      <c r="V872" s="310"/>
      <c r="W872" s="309"/>
      <c r="X872" s="310"/>
      <c r="Y872" s="309"/>
      <c r="Z872" s="310"/>
      <c r="AA872" s="309"/>
      <c r="AB872" s="310"/>
      <c r="AC872" s="271"/>
      <c r="AD872" s="271"/>
      <c r="AE872" s="309"/>
      <c r="AF872" s="310"/>
      <c r="AG872" s="309"/>
      <c r="AH872" s="310"/>
      <c r="AI872" s="309"/>
      <c r="AJ872" s="310"/>
      <c r="AK872" s="309"/>
      <c r="AL872" s="310"/>
      <c r="AM872" s="309"/>
      <c r="AN872" s="310"/>
      <c r="AO872" s="309"/>
      <c r="AP872" s="310"/>
      <c r="AQ872" s="309"/>
      <c r="AR872" s="310"/>
      <c r="AS872" s="309"/>
      <c r="AT872" s="310"/>
      <c r="AU872" s="309"/>
      <c r="AV872" s="310"/>
      <c r="AW872" s="309"/>
      <c r="AX872" s="310"/>
      <c r="AY872" s="309"/>
      <c r="AZ872" s="310"/>
      <c r="BA872" s="271"/>
      <c r="BB872" s="271"/>
      <c r="BC872" s="271"/>
      <c r="BD872" s="271"/>
      <c r="BE872" s="271"/>
      <c r="BF872" s="271"/>
    </row>
    <row r="873" spans="2:58" ht="16" thickBot="1" x14ac:dyDescent="0.25">
      <c r="B873" s="289">
        <v>45759</v>
      </c>
      <c r="C873" s="299">
        <v>194.97</v>
      </c>
      <c r="D873" s="300"/>
      <c r="E873" s="274"/>
      <c r="F873" s="302" t="s">
        <v>279</v>
      </c>
      <c r="G873" s="309"/>
      <c r="H873" s="310"/>
      <c r="I873" s="309"/>
      <c r="J873" s="310"/>
      <c r="K873" s="309"/>
      <c r="L873" s="310"/>
      <c r="M873" s="309"/>
      <c r="N873" s="310"/>
      <c r="O873" s="271"/>
      <c r="P873" s="271"/>
      <c r="Q873" s="309"/>
      <c r="R873" s="310"/>
      <c r="S873" s="309"/>
      <c r="T873" s="310"/>
      <c r="U873" s="309"/>
      <c r="V873" s="310"/>
      <c r="W873" s="309"/>
      <c r="X873" s="310"/>
      <c r="Y873" s="309"/>
      <c r="Z873" s="310"/>
      <c r="AA873" s="309"/>
      <c r="AB873" s="310"/>
      <c r="AC873" s="271"/>
      <c r="AD873" s="271"/>
      <c r="AE873" s="309">
        <v>3</v>
      </c>
      <c r="AF873" s="310">
        <v>194.97</v>
      </c>
      <c r="AG873" s="309"/>
      <c r="AH873" s="310"/>
      <c r="AI873" s="309"/>
      <c r="AJ873" s="310"/>
      <c r="AK873" s="309"/>
      <c r="AL873" s="310"/>
      <c r="AM873" s="309"/>
      <c r="AN873" s="310"/>
      <c r="AO873" s="309"/>
      <c r="AP873" s="310"/>
      <c r="AQ873" s="309"/>
      <c r="AR873" s="310"/>
      <c r="AS873" s="309"/>
      <c r="AT873" s="310"/>
      <c r="AU873" s="309"/>
      <c r="AV873" s="310"/>
      <c r="AW873" s="309"/>
      <c r="AX873" s="310"/>
      <c r="AY873" s="309"/>
      <c r="AZ873" s="310"/>
      <c r="BA873" s="271"/>
      <c r="BB873" s="271"/>
      <c r="BC873" s="271"/>
      <c r="BD873" s="271"/>
      <c r="BE873" s="271"/>
      <c r="BF873" s="271"/>
    </row>
    <row r="874" spans="2:58" ht="16" thickBot="1" x14ac:dyDescent="0.25">
      <c r="B874" s="289"/>
      <c r="C874" s="299">
        <v>6747.53</v>
      </c>
      <c r="D874" s="300"/>
      <c r="E874" s="275"/>
      <c r="F874" s="302" t="s">
        <v>9</v>
      </c>
      <c r="G874" s="309">
        <v>6</v>
      </c>
      <c r="H874" s="310">
        <v>821.94</v>
      </c>
      <c r="I874" s="309">
        <v>2</v>
      </c>
      <c r="J874" s="310">
        <v>409.98</v>
      </c>
      <c r="K874" s="309">
        <v>6</v>
      </c>
      <c r="L874" s="310">
        <v>1091.94</v>
      </c>
      <c r="M874" s="309">
        <v>10</v>
      </c>
      <c r="N874" s="310">
        <v>1729.9</v>
      </c>
      <c r="O874" s="271">
        <v>15</v>
      </c>
      <c r="P874" s="271">
        <v>1949.85</v>
      </c>
      <c r="Q874" s="309">
        <v>1</v>
      </c>
      <c r="R874" s="310">
        <v>144.99</v>
      </c>
      <c r="S874" s="309"/>
      <c r="T874" s="310"/>
      <c r="U874" s="309"/>
      <c r="V874" s="310"/>
      <c r="W874" s="309"/>
      <c r="X874" s="310"/>
      <c r="Y874" s="309"/>
      <c r="Z874" s="310"/>
      <c r="AA874" s="309"/>
      <c r="AB874" s="310"/>
      <c r="AC874" s="271">
        <v>5</v>
      </c>
      <c r="AD874" s="271">
        <v>494.95</v>
      </c>
      <c r="AE874" s="309"/>
      <c r="AF874" s="310"/>
      <c r="AG874" s="309"/>
      <c r="AH874" s="310"/>
      <c r="AI874" s="309"/>
      <c r="AJ874" s="310"/>
      <c r="AK874" s="309"/>
      <c r="AL874" s="310"/>
      <c r="AM874" s="309"/>
      <c r="AN874" s="310"/>
      <c r="AO874" s="309"/>
      <c r="AP874" s="310"/>
      <c r="AQ874" s="309"/>
      <c r="AR874" s="310"/>
      <c r="AS874" s="309"/>
      <c r="AT874" s="310"/>
      <c r="AU874" s="309"/>
      <c r="AV874" s="310"/>
      <c r="AW874" s="309"/>
      <c r="AX874" s="310"/>
      <c r="AY874" s="309"/>
      <c r="AZ874" s="310"/>
      <c r="BA874" s="271">
        <v>1</v>
      </c>
      <c r="BB874" s="271">
        <v>27.99</v>
      </c>
      <c r="BC874" s="271"/>
      <c r="BD874" s="271"/>
      <c r="BE874" s="271">
        <v>1</v>
      </c>
      <c r="BF874" s="271">
        <v>75.989999999999995</v>
      </c>
    </row>
    <row r="875" spans="2:58" ht="16" thickBot="1" x14ac:dyDescent="0.25">
      <c r="B875" s="289"/>
      <c r="C875" s="299"/>
      <c r="D875" s="300"/>
      <c r="E875" s="275"/>
      <c r="F875" s="302"/>
      <c r="G875" s="309"/>
      <c r="H875" s="310"/>
      <c r="I875" s="309"/>
      <c r="J875" s="310"/>
      <c r="K875" s="309"/>
      <c r="L875" s="310"/>
      <c r="M875" s="309"/>
      <c r="N875" s="310"/>
      <c r="O875" s="271"/>
      <c r="P875" s="271"/>
      <c r="Q875" s="309"/>
      <c r="R875" s="310"/>
      <c r="S875" s="309"/>
      <c r="T875" s="310"/>
      <c r="U875" s="309"/>
      <c r="V875" s="310"/>
      <c r="W875" s="309"/>
      <c r="X875" s="310"/>
      <c r="Y875" s="309"/>
      <c r="Z875" s="310"/>
      <c r="AA875" s="309"/>
      <c r="AB875" s="310"/>
      <c r="AC875" s="271"/>
      <c r="AD875" s="271"/>
      <c r="AE875" s="309"/>
      <c r="AF875" s="310"/>
      <c r="AG875" s="309"/>
      <c r="AH875" s="310"/>
      <c r="AI875" s="309"/>
      <c r="AJ875" s="310"/>
      <c r="AK875" s="309"/>
      <c r="AL875" s="310"/>
      <c r="AM875" s="309"/>
      <c r="AN875" s="310"/>
      <c r="AO875" s="309"/>
      <c r="AP875" s="310"/>
      <c r="AQ875" s="309"/>
      <c r="AR875" s="310"/>
      <c r="AS875" s="309"/>
      <c r="AT875" s="310"/>
      <c r="AU875" s="309"/>
      <c r="AV875" s="310"/>
      <c r="AW875" s="309"/>
      <c r="AX875" s="310"/>
      <c r="AY875" s="309"/>
      <c r="AZ875" s="310"/>
      <c r="BA875" s="271"/>
      <c r="BB875" s="271"/>
      <c r="BC875" s="271"/>
      <c r="BD875" s="271"/>
      <c r="BE875" s="271"/>
      <c r="BF875" s="271"/>
    </row>
    <row r="876" spans="2:58" ht="16" thickBot="1" x14ac:dyDescent="0.25">
      <c r="B876" s="289"/>
      <c r="C876" s="299"/>
      <c r="D876" s="300"/>
      <c r="E876" s="275"/>
      <c r="F876" s="302"/>
      <c r="G876" s="309"/>
      <c r="H876" s="310"/>
      <c r="I876" s="309"/>
      <c r="J876" s="310"/>
      <c r="K876" s="309"/>
      <c r="L876" s="310"/>
      <c r="M876" s="309"/>
      <c r="N876" s="310"/>
      <c r="O876" s="271"/>
      <c r="P876" s="271"/>
      <c r="Q876" s="309"/>
      <c r="R876" s="310"/>
      <c r="S876" s="309"/>
      <c r="T876" s="310"/>
      <c r="U876" s="309"/>
      <c r="V876" s="310"/>
      <c r="W876" s="309"/>
      <c r="X876" s="310"/>
      <c r="Y876" s="309"/>
      <c r="Z876" s="310"/>
      <c r="AA876" s="309"/>
      <c r="AB876" s="310"/>
      <c r="AC876" s="271"/>
      <c r="AD876" s="271"/>
      <c r="AE876" s="309"/>
      <c r="AF876" s="310"/>
      <c r="AG876" s="309"/>
      <c r="AH876" s="310"/>
      <c r="AI876" s="309"/>
      <c r="AJ876" s="310"/>
      <c r="AK876" s="309"/>
      <c r="AL876" s="310"/>
      <c r="AM876" s="309"/>
      <c r="AN876" s="310"/>
      <c r="AO876" s="309"/>
      <c r="AP876" s="310"/>
      <c r="AQ876" s="309"/>
      <c r="AR876" s="310"/>
      <c r="AS876" s="309"/>
      <c r="AT876" s="310"/>
      <c r="AU876" s="309"/>
      <c r="AV876" s="310"/>
      <c r="AW876" s="309"/>
      <c r="AX876" s="310"/>
      <c r="AY876" s="309"/>
      <c r="AZ876" s="310"/>
      <c r="BA876" s="271"/>
      <c r="BB876" s="271"/>
      <c r="BC876" s="271"/>
      <c r="BD876" s="271"/>
      <c r="BE876" s="271"/>
      <c r="BF876" s="271"/>
    </row>
    <row r="877" spans="2:58" ht="16" thickBot="1" x14ac:dyDescent="0.25">
      <c r="B877" s="289"/>
      <c r="C877" s="299"/>
      <c r="D877" s="300"/>
      <c r="E877" s="275"/>
      <c r="F877" s="302"/>
      <c r="G877" s="309"/>
      <c r="H877" s="310"/>
      <c r="I877" s="309"/>
      <c r="J877" s="310"/>
      <c r="K877" s="309"/>
      <c r="L877" s="310"/>
      <c r="M877" s="309"/>
      <c r="N877" s="310"/>
      <c r="O877" s="271"/>
      <c r="P877" s="271"/>
      <c r="Q877" s="309"/>
      <c r="R877" s="310"/>
      <c r="S877" s="309"/>
      <c r="T877" s="310"/>
      <c r="U877" s="309"/>
      <c r="V877" s="310"/>
      <c r="W877" s="309"/>
      <c r="X877" s="310"/>
      <c r="Y877" s="309"/>
      <c r="Z877" s="310"/>
      <c r="AA877" s="309"/>
      <c r="AB877" s="310"/>
      <c r="AC877" s="271"/>
      <c r="AD877" s="271"/>
      <c r="AE877" s="309"/>
      <c r="AF877" s="310"/>
      <c r="AG877" s="309"/>
      <c r="AH877" s="310"/>
      <c r="AI877" s="309"/>
      <c r="AJ877" s="310"/>
      <c r="AK877" s="309"/>
      <c r="AL877" s="310"/>
      <c r="AM877" s="309"/>
      <c r="AN877" s="310"/>
      <c r="AO877" s="309"/>
      <c r="AP877" s="310"/>
      <c r="AQ877" s="309"/>
      <c r="AR877" s="310"/>
      <c r="AS877" s="309"/>
      <c r="AT877" s="310"/>
      <c r="AU877" s="309"/>
      <c r="AV877" s="310"/>
      <c r="AW877" s="309"/>
      <c r="AX877" s="310"/>
      <c r="AY877" s="309"/>
      <c r="AZ877" s="310"/>
      <c r="BA877" s="271"/>
      <c r="BB877" s="271"/>
      <c r="BC877" s="271"/>
      <c r="BD877" s="271"/>
      <c r="BE877" s="271"/>
      <c r="BF877" s="271"/>
    </row>
    <row r="878" spans="2:58" ht="16" thickBot="1" x14ac:dyDescent="0.25">
      <c r="B878" s="289"/>
      <c r="C878" s="299"/>
      <c r="D878" s="300"/>
      <c r="E878" s="275"/>
      <c r="F878" s="302"/>
      <c r="G878" s="309"/>
      <c r="H878" s="310"/>
      <c r="I878" s="309"/>
      <c r="J878" s="310"/>
      <c r="K878" s="309"/>
      <c r="L878" s="310"/>
      <c r="M878" s="309"/>
      <c r="N878" s="310"/>
      <c r="O878" s="271"/>
      <c r="P878" s="271"/>
      <c r="Q878" s="309"/>
      <c r="R878" s="310"/>
      <c r="S878" s="309"/>
      <c r="T878" s="310"/>
      <c r="U878" s="309"/>
      <c r="V878" s="310"/>
      <c r="W878" s="309"/>
      <c r="X878" s="310"/>
      <c r="Y878" s="309"/>
      <c r="Z878" s="310"/>
      <c r="AA878" s="309"/>
      <c r="AB878" s="310"/>
      <c r="AC878" s="271"/>
      <c r="AD878" s="271"/>
      <c r="AE878" s="309"/>
      <c r="AF878" s="310"/>
      <c r="AG878" s="309"/>
      <c r="AH878" s="310"/>
      <c r="AI878" s="309"/>
      <c r="AJ878" s="310"/>
      <c r="AK878" s="309"/>
      <c r="AL878" s="310"/>
      <c r="AM878" s="309"/>
      <c r="AN878" s="310"/>
      <c r="AO878" s="309"/>
      <c r="AP878" s="310"/>
      <c r="AQ878" s="309"/>
      <c r="AR878" s="310"/>
      <c r="AS878" s="309"/>
      <c r="AT878" s="310"/>
      <c r="AU878" s="309"/>
      <c r="AV878" s="310"/>
      <c r="AW878" s="309"/>
      <c r="AX878" s="310"/>
      <c r="AY878" s="309"/>
      <c r="AZ878" s="310"/>
      <c r="BA878" s="271"/>
      <c r="BB878" s="271"/>
      <c r="BC878" s="271"/>
      <c r="BD878" s="271"/>
      <c r="BE878" s="271"/>
      <c r="BF878" s="271"/>
    </row>
    <row r="879" spans="2:58" ht="16" thickBot="1" x14ac:dyDescent="0.25">
      <c r="B879" s="289"/>
      <c r="C879" s="299"/>
      <c r="D879" s="300"/>
      <c r="E879" s="275"/>
      <c r="F879" s="302"/>
      <c r="G879" s="309"/>
      <c r="H879" s="310"/>
      <c r="I879" s="309"/>
      <c r="J879" s="310"/>
      <c r="K879" s="309"/>
      <c r="L879" s="310"/>
      <c r="M879" s="309"/>
      <c r="N879" s="310"/>
      <c r="O879" s="271"/>
      <c r="P879" s="271"/>
      <c r="Q879" s="309"/>
      <c r="R879" s="310"/>
      <c r="S879" s="309"/>
      <c r="T879" s="310"/>
      <c r="U879" s="309"/>
      <c r="V879" s="310"/>
      <c r="W879" s="309"/>
      <c r="X879" s="310"/>
      <c r="Y879" s="309"/>
      <c r="Z879" s="310"/>
      <c r="AA879" s="309"/>
      <c r="AB879" s="310"/>
      <c r="AC879" s="271"/>
      <c r="AD879" s="271"/>
      <c r="AE879" s="309"/>
      <c r="AF879" s="310"/>
      <c r="AG879" s="309"/>
      <c r="AH879" s="310"/>
      <c r="AI879" s="309"/>
      <c r="AJ879" s="310"/>
      <c r="AK879" s="309"/>
      <c r="AL879" s="310"/>
      <c r="AM879" s="309"/>
      <c r="AN879" s="310"/>
      <c r="AO879" s="309"/>
      <c r="AP879" s="310"/>
      <c r="AQ879" s="309"/>
      <c r="AR879" s="310"/>
      <c r="AS879" s="309"/>
      <c r="AT879" s="310"/>
      <c r="AU879" s="309"/>
      <c r="AV879" s="310"/>
      <c r="AW879" s="309"/>
      <c r="AX879" s="310"/>
      <c r="AY879" s="309"/>
      <c r="AZ879" s="310"/>
      <c r="BA879" s="271"/>
      <c r="BB879" s="271"/>
      <c r="BC879" s="271"/>
      <c r="BD879" s="271"/>
      <c r="BE879" s="271"/>
      <c r="BF879" s="271"/>
    </row>
    <row r="880" spans="2:58" ht="16" thickBot="1" x14ac:dyDescent="0.25">
      <c r="B880" s="288" t="s">
        <v>25</v>
      </c>
      <c r="C880" s="284"/>
      <c r="D880" s="291"/>
      <c r="E880" s="290"/>
      <c r="F880" s="293"/>
      <c r="G880" s="309"/>
      <c r="H880" s="310"/>
      <c r="I880" s="309"/>
      <c r="J880" s="310"/>
      <c r="K880" s="309"/>
      <c r="L880" s="310"/>
      <c r="M880" s="309"/>
      <c r="N880" s="310"/>
      <c r="O880" s="271"/>
      <c r="P880" s="271"/>
      <c r="Q880" s="309"/>
      <c r="R880" s="310"/>
      <c r="S880" s="309"/>
      <c r="T880" s="310"/>
      <c r="U880" s="309"/>
      <c r="V880" s="310"/>
      <c r="W880" s="309"/>
      <c r="X880" s="310"/>
      <c r="Y880" s="309"/>
      <c r="Z880" s="310"/>
      <c r="AA880" s="309"/>
      <c r="AB880" s="310"/>
      <c r="AC880" s="271"/>
      <c r="AD880" s="271"/>
      <c r="AE880" s="309"/>
      <c r="AF880" s="310"/>
      <c r="AG880" s="309"/>
      <c r="AH880" s="310"/>
      <c r="AI880" s="309"/>
      <c r="AJ880" s="310"/>
      <c r="AK880" s="309"/>
      <c r="AL880" s="310"/>
      <c r="AM880" s="309"/>
      <c r="AN880" s="310"/>
      <c r="AO880" s="309"/>
      <c r="AP880" s="310"/>
      <c r="AQ880" s="309"/>
      <c r="AR880" s="310"/>
      <c r="AS880" s="309"/>
      <c r="AT880" s="310"/>
      <c r="AU880" s="309"/>
      <c r="AV880" s="310"/>
      <c r="AW880" s="309"/>
      <c r="AX880" s="310"/>
      <c r="AY880" s="309"/>
      <c r="AZ880" s="310"/>
      <c r="BA880" s="271"/>
      <c r="BB880" s="271"/>
      <c r="BC880" s="271"/>
      <c r="BD880" s="271"/>
      <c r="BE880" s="271"/>
      <c r="BF880" s="271"/>
    </row>
    <row r="881" spans="2:58" ht="16" thickBot="1" x14ac:dyDescent="0.25">
      <c r="B881" s="668"/>
      <c r="C881" s="640">
        <f>SUM(C873:C880)</f>
        <v>6942.5</v>
      </c>
      <c r="D881" s="159"/>
      <c r="E881" s="270"/>
      <c r="F881" s="271"/>
      <c r="G881" s="309"/>
      <c r="H881" s="310"/>
      <c r="I881" s="309"/>
      <c r="J881" s="310"/>
      <c r="K881" s="309"/>
      <c r="L881" s="310"/>
      <c r="M881" s="309"/>
      <c r="N881" s="310"/>
      <c r="O881" s="271"/>
      <c r="P881" s="271"/>
      <c r="Q881" s="309"/>
      <c r="R881" s="310"/>
      <c r="S881" s="309"/>
      <c r="T881" s="310"/>
      <c r="U881" s="309"/>
      <c r="V881" s="310"/>
      <c r="W881" s="309"/>
      <c r="X881" s="310"/>
      <c r="Y881" s="309"/>
      <c r="Z881" s="310"/>
      <c r="AA881" s="309"/>
      <c r="AB881" s="310"/>
      <c r="AC881" s="271"/>
      <c r="AD881" s="271"/>
      <c r="AE881" s="309"/>
      <c r="AF881" s="310"/>
      <c r="AG881" s="309"/>
      <c r="AH881" s="310"/>
      <c r="AI881" s="309"/>
      <c r="AJ881" s="310"/>
      <c r="AK881" s="309"/>
      <c r="AL881" s="310"/>
      <c r="AM881" s="309"/>
      <c r="AN881" s="310"/>
      <c r="AO881" s="309"/>
      <c r="AP881" s="310"/>
      <c r="AQ881" s="309"/>
      <c r="AR881" s="310"/>
      <c r="AS881" s="309"/>
      <c r="AT881" s="310"/>
      <c r="AU881" s="309"/>
      <c r="AV881" s="310"/>
      <c r="AW881" s="309"/>
      <c r="AX881" s="310"/>
      <c r="AY881" s="309"/>
      <c r="AZ881" s="310"/>
      <c r="BA881" s="271"/>
      <c r="BB881" s="271"/>
      <c r="BC881" s="271"/>
      <c r="BD881" s="271"/>
      <c r="BE881" s="271"/>
      <c r="BF881" s="271"/>
    </row>
    <row r="882" spans="2:58" ht="16" thickBot="1" x14ac:dyDescent="0.25">
      <c r="B882" s="479">
        <v>45760</v>
      </c>
      <c r="C882" s="657">
        <v>79.5</v>
      </c>
      <c r="D882" s="641"/>
      <c r="E882" s="274" t="s">
        <v>377</v>
      </c>
      <c r="F882" s="301"/>
      <c r="G882" s="550"/>
      <c r="H882" s="310"/>
      <c r="I882" s="309"/>
      <c r="J882" s="310"/>
      <c r="K882" s="309"/>
      <c r="L882" s="310"/>
      <c r="M882" s="309"/>
      <c r="N882" s="310"/>
      <c r="O882" s="271"/>
      <c r="P882" s="271"/>
      <c r="Q882" s="309"/>
      <c r="R882" s="310"/>
      <c r="S882" s="309"/>
      <c r="T882" s="310"/>
      <c r="U882" s="309"/>
      <c r="V882" s="310"/>
      <c r="W882" s="309"/>
      <c r="X882" s="310"/>
      <c r="Y882" s="309"/>
      <c r="Z882" s="310"/>
      <c r="AA882" s="309"/>
      <c r="AB882" s="310"/>
      <c r="AC882" s="271"/>
      <c r="AD882" s="271"/>
      <c r="AE882" s="309"/>
      <c r="AF882" s="310"/>
      <c r="AG882" s="309"/>
      <c r="AH882" s="310"/>
      <c r="AI882" s="309"/>
      <c r="AJ882" s="310"/>
      <c r="AK882" s="309"/>
      <c r="AL882" s="310"/>
      <c r="AM882" s="309"/>
      <c r="AN882" s="310"/>
      <c r="AO882" s="309"/>
      <c r="AP882" s="310"/>
      <c r="AQ882" s="309"/>
      <c r="AR882" s="310"/>
      <c r="AS882" s="309"/>
      <c r="AT882" s="310"/>
      <c r="AU882" s="309"/>
      <c r="AV882" s="310"/>
      <c r="AW882" s="309"/>
      <c r="AX882" s="310"/>
      <c r="AY882" s="309"/>
      <c r="AZ882" s="310"/>
      <c r="BA882" s="271"/>
      <c r="BB882" s="271"/>
      <c r="BC882" s="271"/>
      <c r="BD882" s="271"/>
      <c r="BE882" s="271"/>
      <c r="BF882" s="271"/>
    </row>
    <row r="883" spans="2:58" ht="16" thickBot="1" x14ac:dyDescent="0.25">
      <c r="B883" s="479"/>
      <c r="C883" s="657">
        <v>181</v>
      </c>
      <c r="D883" s="657"/>
      <c r="E883" s="285"/>
      <c r="F883" s="302" t="s">
        <v>334</v>
      </c>
      <c r="G883" s="550"/>
      <c r="H883" s="310"/>
      <c r="I883" s="309"/>
      <c r="J883" s="310"/>
      <c r="K883" s="309"/>
      <c r="L883" s="310"/>
      <c r="M883" s="309"/>
      <c r="N883" s="310"/>
      <c r="O883" s="271"/>
      <c r="P883" s="271"/>
      <c r="Q883" s="309"/>
      <c r="R883" s="310"/>
      <c r="S883" s="309"/>
      <c r="T883" s="310"/>
      <c r="U883" s="309"/>
      <c r="V883" s="310"/>
      <c r="W883" s="309">
        <v>2</v>
      </c>
      <c r="X883" s="310">
        <v>156</v>
      </c>
      <c r="Y883" s="309"/>
      <c r="Z883" s="310"/>
      <c r="AA883" s="309"/>
      <c r="AB883" s="310"/>
      <c r="AC883" s="271"/>
      <c r="AD883" s="271"/>
      <c r="AE883" s="309"/>
      <c r="AF883" s="310"/>
      <c r="AG883" s="309"/>
      <c r="AH883" s="310"/>
      <c r="AI883" s="309"/>
      <c r="AJ883" s="310"/>
      <c r="AK883" s="309"/>
      <c r="AL883" s="310"/>
      <c r="AM883" s="309"/>
      <c r="AN883" s="310"/>
      <c r="AO883" s="309"/>
      <c r="AP883" s="310"/>
      <c r="AQ883" s="309"/>
      <c r="AR883" s="310"/>
      <c r="AS883" s="309"/>
      <c r="AT883" s="310"/>
      <c r="AU883" s="309"/>
      <c r="AV883" s="310"/>
      <c r="AW883" s="309"/>
      <c r="AX883" s="310"/>
      <c r="AY883" s="309"/>
      <c r="AZ883" s="310"/>
      <c r="BA883" s="271"/>
      <c r="BB883" s="271"/>
      <c r="BC883" s="271"/>
      <c r="BD883" s="271"/>
      <c r="BE883" s="271"/>
      <c r="BF883" s="271"/>
    </row>
    <row r="884" spans="2:58" ht="16" thickBot="1" x14ac:dyDescent="0.25">
      <c r="B884" s="479"/>
      <c r="C884" s="657"/>
      <c r="D884" s="657"/>
      <c r="E884" s="285"/>
      <c r="F884" s="302"/>
      <c r="G884" s="550"/>
      <c r="H884" s="310"/>
      <c r="I884" s="309"/>
      <c r="J884" s="310"/>
      <c r="K884" s="309"/>
      <c r="L884" s="310"/>
      <c r="M884" s="309"/>
      <c r="N884" s="310"/>
      <c r="O884" s="271"/>
      <c r="P884" s="271"/>
      <c r="Q884" s="309"/>
      <c r="R884" s="310"/>
      <c r="S884" s="309"/>
      <c r="T884" s="310"/>
      <c r="U884" s="309"/>
      <c r="V884" s="310"/>
      <c r="W884" s="309"/>
      <c r="X884" s="310"/>
      <c r="Y884" s="309"/>
      <c r="Z884" s="310"/>
      <c r="AA884" s="309"/>
      <c r="AB884" s="310"/>
      <c r="AC884" s="271"/>
      <c r="AD884" s="271"/>
      <c r="AE884" s="309"/>
      <c r="AF884" s="310"/>
      <c r="AG884" s="309"/>
      <c r="AH884" s="310"/>
      <c r="AI884" s="309"/>
      <c r="AJ884" s="310"/>
      <c r="AK884" s="309"/>
      <c r="AL884" s="310"/>
      <c r="AM884" s="309"/>
      <c r="AN884" s="310"/>
      <c r="AO884" s="309"/>
      <c r="AP884" s="310"/>
      <c r="AQ884" s="309"/>
      <c r="AR884" s="310"/>
      <c r="AS884" s="309"/>
      <c r="AT884" s="310"/>
      <c r="AU884" s="309"/>
      <c r="AV884" s="310"/>
      <c r="AW884" s="309"/>
      <c r="AX884" s="310"/>
      <c r="AY884" s="309"/>
      <c r="AZ884" s="310"/>
      <c r="BA884" s="271"/>
      <c r="BB884" s="271"/>
      <c r="BC884" s="271"/>
      <c r="BD884" s="271"/>
      <c r="BE884" s="271"/>
      <c r="BF884" s="271"/>
    </row>
    <row r="885" spans="2:58" ht="16" thickBot="1" x14ac:dyDescent="0.25">
      <c r="B885" s="479"/>
      <c r="C885" s="657"/>
      <c r="D885" s="657"/>
      <c r="E885" s="285"/>
      <c r="F885" s="302"/>
      <c r="G885" s="550"/>
      <c r="H885" s="310"/>
      <c r="I885" s="309"/>
      <c r="J885" s="310"/>
      <c r="K885" s="309"/>
      <c r="L885" s="310"/>
      <c r="M885" s="309"/>
      <c r="N885" s="310"/>
      <c r="O885" s="271"/>
      <c r="P885" s="271"/>
      <c r="Q885" s="309"/>
      <c r="R885" s="310"/>
      <c r="S885" s="309"/>
      <c r="T885" s="310"/>
      <c r="U885" s="309"/>
      <c r="V885" s="310"/>
      <c r="W885" s="309"/>
      <c r="X885" s="310"/>
      <c r="Y885" s="309"/>
      <c r="Z885" s="310"/>
      <c r="AA885" s="309"/>
      <c r="AB885" s="310"/>
      <c r="AC885" s="271"/>
      <c r="AD885" s="271"/>
      <c r="AE885" s="309"/>
      <c r="AF885" s="310"/>
      <c r="AG885" s="309"/>
      <c r="AH885" s="310"/>
      <c r="AI885" s="309"/>
      <c r="AJ885" s="310"/>
      <c r="AK885" s="309"/>
      <c r="AL885" s="310"/>
      <c r="AM885" s="309"/>
      <c r="AN885" s="310"/>
      <c r="AO885" s="309"/>
      <c r="AP885" s="310"/>
      <c r="AQ885" s="309"/>
      <c r="AR885" s="310"/>
      <c r="AS885" s="309"/>
      <c r="AT885" s="310"/>
      <c r="AU885" s="309"/>
      <c r="AV885" s="310"/>
      <c r="AW885" s="309"/>
      <c r="AX885" s="310"/>
      <c r="AY885" s="309"/>
      <c r="AZ885" s="310"/>
      <c r="BA885" s="271"/>
      <c r="BB885" s="271"/>
      <c r="BC885" s="271"/>
      <c r="BD885" s="271"/>
      <c r="BE885" s="271"/>
      <c r="BF885" s="271"/>
    </row>
    <row r="886" spans="2:58" ht="16" thickBot="1" x14ac:dyDescent="0.25">
      <c r="B886" s="479"/>
      <c r="C886" s="657"/>
      <c r="D886" s="657"/>
      <c r="E886" s="285"/>
      <c r="F886" s="302"/>
      <c r="G886" s="550"/>
      <c r="H886" s="310"/>
      <c r="I886" s="309"/>
      <c r="J886" s="310"/>
      <c r="K886" s="309"/>
      <c r="L886" s="310"/>
      <c r="M886" s="309"/>
      <c r="N886" s="310"/>
      <c r="O886" s="271"/>
      <c r="P886" s="271"/>
      <c r="Q886" s="309"/>
      <c r="R886" s="310"/>
      <c r="S886" s="309"/>
      <c r="T886" s="310"/>
      <c r="U886" s="309"/>
      <c r="V886" s="310"/>
      <c r="W886" s="309"/>
      <c r="X886" s="310"/>
      <c r="Y886" s="309"/>
      <c r="Z886" s="310"/>
      <c r="AA886" s="309"/>
      <c r="AB886" s="310"/>
      <c r="AC886" s="271"/>
      <c r="AD886" s="271"/>
      <c r="AE886" s="309"/>
      <c r="AF886" s="310"/>
      <c r="AG886" s="309"/>
      <c r="AH886" s="310"/>
      <c r="AI886" s="309"/>
      <c r="AJ886" s="310"/>
      <c r="AK886" s="309"/>
      <c r="AL886" s="310"/>
      <c r="AM886" s="309"/>
      <c r="AN886" s="310"/>
      <c r="AO886" s="309"/>
      <c r="AP886" s="310"/>
      <c r="AQ886" s="309"/>
      <c r="AR886" s="310"/>
      <c r="AS886" s="309"/>
      <c r="AT886" s="310"/>
      <c r="AU886" s="309"/>
      <c r="AV886" s="310"/>
      <c r="AW886" s="309"/>
      <c r="AX886" s="310"/>
      <c r="AY886" s="309"/>
      <c r="AZ886" s="310"/>
      <c r="BA886" s="271"/>
      <c r="BB886" s="271"/>
      <c r="BC886" s="271"/>
      <c r="BD886" s="271"/>
      <c r="BE886" s="271"/>
      <c r="BF886" s="271"/>
    </row>
    <row r="887" spans="2:58" ht="16" thickBot="1" x14ac:dyDescent="0.25">
      <c r="B887" s="479"/>
      <c r="C887" s="657"/>
      <c r="D887" s="657"/>
      <c r="E887" s="285"/>
      <c r="F887" s="302"/>
      <c r="G887" s="550"/>
      <c r="H887" s="310"/>
      <c r="I887" s="309"/>
      <c r="J887" s="310"/>
      <c r="K887" s="309"/>
      <c r="L887" s="310"/>
      <c r="M887" s="309"/>
      <c r="N887" s="310"/>
      <c r="O887" s="271"/>
      <c r="P887" s="271"/>
      <c r="Q887" s="309"/>
      <c r="R887" s="310"/>
      <c r="S887" s="309"/>
      <c r="T887" s="310"/>
      <c r="U887" s="309"/>
      <c r="V887" s="310"/>
      <c r="W887" s="309"/>
      <c r="X887" s="310"/>
      <c r="Y887" s="309"/>
      <c r="Z887" s="310"/>
      <c r="AA887" s="309"/>
      <c r="AB887" s="310"/>
      <c r="AC887" s="271"/>
      <c r="AD887" s="271"/>
      <c r="AE887" s="309"/>
      <c r="AF887" s="310"/>
      <c r="AG887" s="309"/>
      <c r="AH887" s="310"/>
      <c r="AI887" s="309"/>
      <c r="AJ887" s="310"/>
      <c r="AK887" s="309"/>
      <c r="AL887" s="310"/>
      <c r="AM887" s="309"/>
      <c r="AN887" s="310"/>
      <c r="AO887" s="309"/>
      <c r="AP887" s="310"/>
      <c r="AQ887" s="309"/>
      <c r="AR887" s="310"/>
      <c r="AS887" s="309"/>
      <c r="AT887" s="310"/>
      <c r="AU887" s="309"/>
      <c r="AV887" s="310"/>
      <c r="AW887" s="309"/>
      <c r="AX887" s="310"/>
      <c r="AY887" s="309"/>
      <c r="AZ887" s="310"/>
      <c r="BA887" s="271"/>
      <c r="BB887" s="271"/>
      <c r="BC887" s="271"/>
      <c r="BD887" s="271"/>
      <c r="BE887" s="271"/>
      <c r="BF887" s="271"/>
    </row>
    <row r="888" spans="2:58" ht="16" thickBot="1" x14ac:dyDescent="0.25">
      <c r="B888" s="549" t="s">
        <v>26</v>
      </c>
      <c r="C888" s="554"/>
      <c r="D888" s="291"/>
      <c r="E888" s="290"/>
      <c r="F888" s="293"/>
      <c r="G888" s="550"/>
      <c r="H888" s="310"/>
      <c r="I888" s="309"/>
      <c r="J888" s="310"/>
      <c r="K888" s="309"/>
      <c r="L888" s="310"/>
      <c r="M888" s="309"/>
      <c r="N888" s="310"/>
      <c r="O888" s="271"/>
      <c r="P888" s="271"/>
      <c r="Q888" s="309"/>
      <c r="R888" s="310"/>
      <c r="S888" s="309"/>
      <c r="T888" s="310"/>
      <c r="U888" s="309"/>
      <c r="V888" s="310"/>
      <c r="W888" s="309"/>
      <c r="X888" s="310"/>
      <c r="Y888" s="309"/>
      <c r="Z888" s="310"/>
      <c r="AA888" s="309"/>
      <c r="AB888" s="310"/>
      <c r="AC888" s="271"/>
      <c r="AD888" s="271"/>
      <c r="AE888" s="309"/>
      <c r="AF888" s="310"/>
      <c r="AG888" s="309"/>
      <c r="AH888" s="310"/>
      <c r="AI888" s="309"/>
      <c r="AJ888" s="310"/>
      <c r="AK888" s="309"/>
      <c r="AL888" s="310"/>
      <c r="AM888" s="309"/>
      <c r="AN888" s="310"/>
      <c r="AO888" s="309"/>
      <c r="AP888" s="310"/>
      <c r="AQ888" s="309"/>
      <c r="AR888" s="310"/>
      <c r="AS888" s="309"/>
      <c r="AT888" s="310"/>
      <c r="AU888" s="309"/>
      <c r="AV888" s="310"/>
      <c r="AW888" s="309"/>
      <c r="AX888" s="310"/>
      <c r="AY888" s="309"/>
      <c r="AZ888" s="310"/>
      <c r="BA888" s="271"/>
      <c r="BB888" s="271"/>
      <c r="BC888" s="271"/>
      <c r="BD888" s="271"/>
      <c r="BE888" s="271"/>
      <c r="BF888" s="271"/>
    </row>
    <row r="889" spans="2:58" ht="16" thickBot="1" x14ac:dyDescent="0.25">
      <c r="B889" s="292"/>
      <c r="C889" s="551">
        <f>SUM(C882:C888)</f>
        <v>260.5</v>
      </c>
      <c r="D889" s="551"/>
      <c r="E889" s="552"/>
      <c r="F889" s="553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  <c r="AA889" s="271"/>
      <c r="AB889" s="271"/>
      <c r="AC889" s="271"/>
      <c r="AD889" s="271"/>
      <c r="AE889" s="309"/>
      <c r="AF889" s="310"/>
      <c r="AG889" s="309"/>
      <c r="AH889" s="310"/>
      <c r="AI889" s="309"/>
      <c r="AJ889" s="310"/>
      <c r="AK889" s="309"/>
      <c r="AL889" s="310"/>
      <c r="AM889" s="309"/>
      <c r="AN889" s="310"/>
      <c r="AO889" s="309"/>
      <c r="AP889" s="310"/>
      <c r="AQ889" s="309"/>
      <c r="AR889" s="310"/>
      <c r="AS889" s="309"/>
      <c r="AT889" s="310"/>
      <c r="AU889" s="309"/>
      <c r="AV889" s="310"/>
      <c r="AW889" s="309"/>
      <c r="AX889" s="310"/>
      <c r="AY889" s="309"/>
      <c r="AZ889" s="310"/>
      <c r="BA889" s="271"/>
      <c r="BB889" s="271"/>
      <c r="BC889" s="271"/>
      <c r="BD889" s="271"/>
      <c r="BE889" s="271"/>
      <c r="BF889" s="271"/>
    </row>
    <row r="890" spans="2:58" ht="16" thickBot="1" x14ac:dyDescent="0.25">
      <c r="B890" s="761" t="s">
        <v>329</v>
      </c>
      <c r="C890" s="311"/>
      <c r="D890" s="312"/>
      <c r="E890" s="285"/>
      <c r="F890" s="302"/>
      <c r="G890" s="306">
        <f t="shared" ref="G890:AD890" si="28">SUM(G843:G888)</f>
        <v>23</v>
      </c>
      <c r="H890" s="307">
        <f t="shared" si="28"/>
        <v>3150.77</v>
      </c>
      <c r="I890" s="306">
        <f t="shared" si="28"/>
        <v>6</v>
      </c>
      <c r="J890" s="307">
        <f t="shared" si="28"/>
        <v>1229.94</v>
      </c>
      <c r="K890" s="306">
        <f t="shared" si="28"/>
        <v>21</v>
      </c>
      <c r="L890" s="307">
        <f t="shared" si="28"/>
        <v>3821.7900000000004</v>
      </c>
      <c r="M890" s="306">
        <f t="shared" si="28"/>
        <v>27</v>
      </c>
      <c r="N890" s="307">
        <f t="shared" si="28"/>
        <v>4670.7299999999996</v>
      </c>
      <c r="O890" s="308">
        <f t="shared" si="28"/>
        <v>45</v>
      </c>
      <c r="P890" s="308">
        <f t="shared" si="28"/>
        <v>5849.5499999999993</v>
      </c>
      <c r="Q890" s="306">
        <f t="shared" si="28"/>
        <v>2</v>
      </c>
      <c r="R890" s="307">
        <f t="shared" si="28"/>
        <v>289.98</v>
      </c>
      <c r="S890" s="306">
        <f t="shared" si="28"/>
        <v>22</v>
      </c>
      <c r="T890" s="307">
        <f t="shared" si="28"/>
        <v>3763.12</v>
      </c>
      <c r="U890" s="306">
        <f t="shared" si="28"/>
        <v>15</v>
      </c>
      <c r="V890" s="307">
        <f t="shared" si="28"/>
        <v>7935</v>
      </c>
      <c r="W890" s="306">
        <f t="shared" si="28"/>
        <v>8</v>
      </c>
      <c r="X890" s="307">
        <f t="shared" si="28"/>
        <v>413.94</v>
      </c>
      <c r="Y890" s="306">
        <f t="shared" si="28"/>
        <v>1</v>
      </c>
      <c r="Z890" s="307">
        <f t="shared" si="28"/>
        <v>772.8</v>
      </c>
      <c r="AA890" s="306">
        <f t="shared" si="28"/>
        <v>1</v>
      </c>
      <c r="AB890" s="307">
        <f t="shared" si="28"/>
        <v>5175</v>
      </c>
      <c r="AC890" s="308">
        <f t="shared" si="28"/>
        <v>16</v>
      </c>
      <c r="AD890" s="308">
        <f t="shared" si="28"/>
        <v>1583.84</v>
      </c>
      <c r="AE890" s="306">
        <f t="shared" ref="AE890:BF890" si="29">SUM(AE843:AE889)</f>
        <v>22</v>
      </c>
      <c r="AF890" s="307">
        <f t="shared" si="29"/>
        <v>784.78</v>
      </c>
      <c r="AG890" s="306">
        <f t="shared" si="29"/>
        <v>1</v>
      </c>
      <c r="AH890" s="307">
        <f t="shared" si="29"/>
        <v>548.32000000000005</v>
      </c>
      <c r="AI890" s="306">
        <f t="shared" si="29"/>
        <v>0</v>
      </c>
      <c r="AJ890" s="307">
        <f t="shared" si="29"/>
        <v>0</v>
      </c>
      <c r="AK890" s="306">
        <f t="shared" si="29"/>
        <v>0</v>
      </c>
      <c r="AL890" s="307">
        <f t="shared" si="29"/>
        <v>0</v>
      </c>
      <c r="AM890" s="306">
        <f t="shared" si="29"/>
        <v>0</v>
      </c>
      <c r="AN890" s="307">
        <f t="shared" si="29"/>
        <v>0</v>
      </c>
      <c r="AO890" s="306">
        <f t="shared" si="29"/>
        <v>0</v>
      </c>
      <c r="AP890" s="307">
        <f t="shared" si="29"/>
        <v>0</v>
      </c>
      <c r="AQ890" s="306">
        <f t="shared" si="29"/>
        <v>0</v>
      </c>
      <c r="AR890" s="307">
        <f t="shared" si="29"/>
        <v>0</v>
      </c>
      <c r="AS890" s="306">
        <f t="shared" si="29"/>
        <v>0</v>
      </c>
      <c r="AT890" s="307">
        <f t="shared" si="29"/>
        <v>0</v>
      </c>
      <c r="AU890" s="306">
        <f t="shared" si="29"/>
        <v>2</v>
      </c>
      <c r="AV890" s="307">
        <f t="shared" si="29"/>
        <v>824.32999999999993</v>
      </c>
      <c r="AW890" s="306">
        <f t="shared" si="29"/>
        <v>15</v>
      </c>
      <c r="AX890" s="307">
        <f t="shared" si="29"/>
        <v>3578.77</v>
      </c>
      <c r="AY890" s="306">
        <f t="shared" si="29"/>
        <v>15</v>
      </c>
      <c r="AZ890" s="307">
        <f t="shared" si="29"/>
        <v>3578.77</v>
      </c>
      <c r="BA890" s="306">
        <f t="shared" si="29"/>
        <v>4</v>
      </c>
      <c r="BB890" s="307">
        <f t="shared" si="29"/>
        <v>81.97</v>
      </c>
      <c r="BC890" s="306">
        <f t="shared" si="29"/>
        <v>0</v>
      </c>
      <c r="BD890" s="307">
        <f t="shared" si="29"/>
        <v>0</v>
      </c>
      <c r="BE890" s="306">
        <f t="shared" si="29"/>
        <v>2</v>
      </c>
      <c r="BF890" s="307">
        <f t="shared" si="29"/>
        <v>151.97999999999999</v>
      </c>
    </row>
    <row r="891" spans="2:58" ht="16" thickBot="1" x14ac:dyDescent="0.25">
      <c r="B891" s="762"/>
      <c r="C891" s="160">
        <f>SUM(C889,C881,C872,C865,C856,C853,C843)</f>
        <v>79488.930000000008</v>
      </c>
      <c r="D891" s="160"/>
      <c r="E891" s="304"/>
      <c r="F891" s="294"/>
      <c r="G891" s="752" t="s">
        <v>29</v>
      </c>
      <c r="H891" s="752"/>
      <c r="I891" s="752" t="s">
        <v>30</v>
      </c>
      <c r="J891" s="752"/>
      <c r="K891" s="752" t="s">
        <v>31</v>
      </c>
      <c r="L891" s="752"/>
      <c r="M891" s="752" t="s">
        <v>32</v>
      </c>
      <c r="N891" s="752"/>
      <c r="O891" s="752" t="s">
        <v>33</v>
      </c>
      <c r="P891" s="752"/>
      <c r="Q891" s="752" t="s">
        <v>247</v>
      </c>
      <c r="R891" s="752"/>
      <c r="S891" s="752" t="s">
        <v>34</v>
      </c>
      <c r="T891" s="752"/>
      <c r="U891" s="752" t="s">
        <v>35</v>
      </c>
      <c r="V891" s="752"/>
      <c r="W891" s="752" t="s">
        <v>36</v>
      </c>
      <c r="X891" s="752"/>
      <c r="Y891" s="752" t="s">
        <v>37</v>
      </c>
      <c r="Z891" s="752"/>
      <c r="AA891" s="752" t="s">
        <v>38</v>
      </c>
      <c r="AB891" s="752"/>
      <c r="AC891" s="752" t="s">
        <v>39</v>
      </c>
      <c r="AD891" s="752"/>
      <c r="AE891" s="752" t="s">
        <v>40</v>
      </c>
      <c r="AF891" s="752"/>
      <c r="AG891" s="752" t="s">
        <v>41</v>
      </c>
      <c r="AH891" s="752"/>
      <c r="AI891" s="752" t="s">
        <v>42</v>
      </c>
      <c r="AJ891" s="752"/>
      <c r="AK891" s="752" t="s">
        <v>43</v>
      </c>
      <c r="AL891" s="752"/>
      <c r="AM891" s="752" t="s">
        <v>157</v>
      </c>
      <c r="AN891" s="752"/>
      <c r="AO891" s="752" t="s">
        <v>248</v>
      </c>
      <c r="AP891" s="752"/>
      <c r="AQ891" s="752" t="s">
        <v>249</v>
      </c>
      <c r="AR891" s="752"/>
      <c r="AS891" s="752" t="s">
        <v>150</v>
      </c>
      <c r="AT891" s="752"/>
      <c r="AU891" s="752" t="s">
        <v>151</v>
      </c>
      <c r="AV891" s="752"/>
      <c r="AW891" s="752" t="s">
        <v>44</v>
      </c>
      <c r="AX891" s="752"/>
      <c r="AY891" s="752" t="s">
        <v>250</v>
      </c>
      <c r="AZ891" s="752"/>
      <c r="BA891" s="752" t="s">
        <v>45</v>
      </c>
      <c r="BB891" s="752"/>
      <c r="BC891" s="752" t="s">
        <v>46</v>
      </c>
      <c r="BD891" s="752"/>
      <c r="BE891" s="752" t="s">
        <v>92</v>
      </c>
      <c r="BF891" s="752"/>
    </row>
    <row r="892" spans="2:58" ht="16" thickBot="1" x14ac:dyDescent="0.25">
      <c r="B892" s="282"/>
      <c r="C892" s="285"/>
      <c r="D892" s="275"/>
      <c r="E892" s="284"/>
      <c r="F892" s="293"/>
      <c r="G892" s="752" t="s">
        <v>50</v>
      </c>
      <c r="H892" s="752"/>
      <c r="I892" s="752" t="s">
        <v>51</v>
      </c>
      <c r="J892" s="752"/>
      <c r="K892" s="752" t="s">
        <v>51</v>
      </c>
      <c r="L892" s="752"/>
      <c r="M892" s="752" t="s">
        <v>52</v>
      </c>
      <c r="N892" s="752"/>
      <c r="O892" s="752">
        <v>180</v>
      </c>
      <c r="P892" s="752"/>
      <c r="Q892" s="752" t="s">
        <v>53</v>
      </c>
      <c r="R892" s="752"/>
      <c r="S892" s="752" t="s">
        <v>54</v>
      </c>
      <c r="T892" s="752"/>
      <c r="U892" s="752" t="s">
        <v>54</v>
      </c>
      <c r="V892" s="752"/>
      <c r="W892" s="752" t="s">
        <v>55</v>
      </c>
      <c r="X892" s="752"/>
      <c r="Y892" s="752" t="s">
        <v>54</v>
      </c>
      <c r="Z892" s="752"/>
      <c r="AA892" s="752" t="s">
        <v>54</v>
      </c>
      <c r="AB892" s="752"/>
      <c r="AC892" s="752" t="s">
        <v>56</v>
      </c>
      <c r="AD892" s="752"/>
      <c r="AE892" s="752" t="s">
        <v>57</v>
      </c>
      <c r="AF892" s="752"/>
      <c r="AG892" s="752" t="s">
        <v>57</v>
      </c>
      <c r="AH892" s="752"/>
      <c r="AI892" s="752" t="s">
        <v>58</v>
      </c>
      <c r="AJ892" s="752"/>
      <c r="AK892" s="752" t="s">
        <v>300</v>
      </c>
      <c r="AL892" s="752"/>
      <c r="AM892" s="752" t="s">
        <v>301</v>
      </c>
      <c r="AN892" s="752"/>
      <c r="AO892" s="752">
        <v>20</v>
      </c>
      <c r="AP892" s="752"/>
      <c r="AQ892" s="752">
        <v>20</v>
      </c>
      <c r="AR892" s="752"/>
      <c r="AS892" s="752" t="s">
        <v>57</v>
      </c>
      <c r="AT892" s="752"/>
      <c r="AU892" s="752" t="s">
        <v>302</v>
      </c>
      <c r="AV892" s="752"/>
      <c r="AW892" s="752">
        <v>100</v>
      </c>
      <c r="AX892" s="752"/>
      <c r="AY892" s="752">
        <v>100</v>
      </c>
      <c r="AZ892" s="752"/>
      <c r="BA892" s="752" t="s">
        <v>59</v>
      </c>
      <c r="BB892" s="752"/>
      <c r="BC892" s="752" t="s">
        <v>51</v>
      </c>
      <c r="BD892" s="752"/>
      <c r="BE892" s="752" t="s">
        <v>53</v>
      </c>
      <c r="BF892" s="752"/>
    </row>
    <row r="893" spans="2:58" ht="16" thickBot="1" x14ac:dyDescent="0.25">
      <c r="B893" s="162"/>
      <c r="C893" s="286"/>
      <c r="D893" s="273"/>
      <c r="E893" s="280"/>
      <c r="F893" s="305"/>
      <c r="G893" s="752">
        <v>151</v>
      </c>
      <c r="H893" s="752"/>
      <c r="I893" s="752">
        <v>167.99</v>
      </c>
      <c r="J893" s="752"/>
      <c r="K893" s="752">
        <v>144.99</v>
      </c>
      <c r="L893" s="752"/>
      <c r="M893" s="760">
        <v>169.99</v>
      </c>
      <c r="N893" s="760"/>
      <c r="O893" s="760">
        <v>274.99</v>
      </c>
      <c r="P893" s="760"/>
      <c r="Q893" s="760">
        <v>102.99</v>
      </c>
      <c r="R893" s="760"/>
      <c r="S893" s="752">
        <v>910.5</v>
      </c>
      <c r="T893" s="752"/>
      <c r="U893" s="752">
        <v>460.75</v>
      </c>
      <c r="V893" s="752"/>
      <c r="W893" s="752">
        <v>1048.95</v>
      </c>
      <c r="X893" s="752"/>
      <c r="Y893" s="752">
        <v>772.8</v>
      </c>
      <c r="Z893" s="752"/>
      <c r="AA893" s="752">
        <v>3450</v>
      </c>
      <c r="AB893" s="752"/>
      <c r="AC893" s="760">
        <v>89.99</v>
      </c>
      <c r="AD893" s="760"/>
      <c r="AE893" s="752">
        <v>39.99</v>
      </c>
      <c r="AF893" s="752"/>
      <c r="AG893" s="752">
        <v>498</v>
      </c>
      <c r="AH893" s="752"/>
      <c r="AI893" s="752">
        <v>4.99</v>
      </c>
      <c r="AJ893" s="752"/>
      <c r="AK893" s="752">
        <v>132.25</v>
      </c>
      <c r="AL893" s="752"/>
      <c r="AM893" s="752">
        <v>47.99</v>
      </c>
      <c r="AN893" s="752"/>
      <c r="AO893" s="752">
        <v>560</v>
      </c>
      <c r="AP893" s="752"/>
      <c r="AQ893" s="752">
        <v>560</v>
      </c>
      <c r="AR893" s="752"/>
      <c r="AS893" s="752">
        <v>613.5</v>
      </c>
      <c r="AT893" s="752"/>
      <c r="AU893" s="752">
        <v>313.89999999999998</v>
      </c>
      <c r="AV893" s="752"/>
      <c r="AW893" s="752">
        <v>405.8</v>
      </c>
      <c r="AX893" s="752"/>
      <c r="AY893" s="752">
        <v>218.99</v>
      </c>
      <c r="AZ893" s="752"/>
      <c r="BA893" s="752">
        <v>24.99</v>
      </c>
      <c r="BB893" s="752"/>
      <c r="BC893" s="752">
        <v>1425</v>
      </c>
      <c r="BD893" s="752"/>
      <c r="BE893" s="752">
        <v>54.99</v>
      </c>
      <c r="BF893" s="752"/>
    </row>
    <row r="894" spans="2:58" ht="16" thickBot="1" x14ac:dyDescent="0.25">
      <c r="B894" s="162"/>
      <c r="C894" s="753" t="str">
        <f>L894</f>
        <v>7- 13 APRIL 2025</v>
      </c>
      <c r="D894" s="754"/>
      <c r="E894" s="754"/>
      <c r="F894" s="754"/>
      <c r="G894" s="755"/>
      <c r="H894" s="756"/>
      <c r="I894" s="163"/>
      <c r="J894" s="157"/>
      <c r="K894" s="157"/>
      <c r="L894" s="757" t="str">
        <f>AL894</f>
        <v>7- 13 APRIL 2025</v>
      </c>
      <c r="M894" s="755"/>
      <c r="N894" s="755"/>
      <c r="O894" s="755"/>
      <c r="P894" s="755"/>
      <c r="Q894" s="755"/>
      <c r="R894" s="755"/>
      <c r="S894" s="755"/>
      <c r="T894" s="756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758"/>
      <c r="AH894" s="758"/>
      <c r="AI894" s="164"/>
      <c r="AJ894" s="157"/>
      <c r="AK894" s="157"/>
      <c r="AL894" s="759" t="str">
        <f>AW894</f>
        <v>7- 13 APRIL 2025</v>
      </c>
      <c r="AM894" s="759"/>
      <c r="AN894" s="759"/>
      <c r="AO894" s="759"/>
      <c r="AP894" s="157"/>
      <c r="AQ894" s="157"/>
      <c r="AR894" s="157"/>
      <c r="AS894" s="157"/>
      <c r="AT894" s="157"/>
      <c r="AU894" s="157"/>
      <c r="AV894" s="157"/>
      <c r="AW894" s="757" t="str">
        <f>AW833</f>
        <v>7- 13 APRIL 2025</v>
      </c>
      <c r="AX894" s="755" t="s">
        <v>28</v>
      </c>
      <c r="AY894" s="755"/>
      <c r="AZ894" s="755"/>
      <c r="BA894" s="755"/>
      <c r="BB894" s="755"/>
      <c r="BC894" s="755"/>
      <c r="BD894" s="756"/>
      <c r="BE894" s="157"/>
      <c r="BF894" s="157"/>
    </row>
    <row r="895" spans="2:58" ht="16" thickBot="1" x14ac:dyDescent="0.25"/>
    <row r="896" spans="2:58" ht="16" thickBot="1" x14ac:dyDescent="0.25">
      <c r="B896" s="156" t="s">
        <v>27</v>
      </c>
      <c r="C896" s="753" t="s">
        <v>991</v>
      </c>
      <c r="D896" s="754"/>
      <c r="E896" s="754"/>
      <c r="F896" s="754"/>
      <c r="G896" s="763"/>
      <c r="H896" s="764"/>
      <c r="I896" s="163"/>
      <c r="J896" s="157"/>
      <c r="K896" s="157"/>
      <c r="L896" s="765" t="str">
        <f>C896</f>
        <v>14 - 20 APRIL 2025</v>
      </c>
      <c r="M896" s="763"/>
      <c r="N896" s="763"/>
      <c r="O896" s="763"/>
      <c r="P896" s="763"/>
      <c r="Q896" s="763"/>
      <c r="R896" s="763"/>
      <c r="S896" s="763"/>
      <c r="T896" s="764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766"/>
      <c r="AH896" s="766"/>
      <c r="AI896" s="753" t="str">
        <f>L896</f>
        <v>14 - 20 APRIL 2025</v>
      </c>
      <c r="AJ896" s="754"/>
      <c r="AK896" s="754"/>
      <c r="AL896" s="754"/>
      <c r="AM896" s="754"/>
      <c r="AN896" s="754"/>
      <c r="AO896" s="767"/>
      <c r="AP896" s="157"/>
      <c r="AQ896" s="157"/>
      <c r="AR896" s="157"/>
      <c r="AS896" s="157"/>
      <c r="AT896" s="157"/>
      <c r="AU896" s="157"/>
      <c r="AV896" s="157"/>
      <c r="AW896" s="765" t="str">
        <f>AI896</f>
        <v>14 - 20 APRIL 2025</v>
      </c>
      <c r="AX896" s="763" t="s">
        <v>28</v>
      </c>
      <c r="AY896" s="763"/>
      <c r="AZ896" s="763"/>
      <c r="BA896" s="763"/>
      <c r="BB896" s="763"/>
      <c r="BC896" s="763"/>
      <c r="BD896" s="764"/>
      <c r="BE896" s="157"/>
      <c r="BF896" s="157"/>
    </row>
    <row r="897" spans="2:58" ht="16" thickBot="1" x14ac:dyDescent="0.25">
      <c r="B897" s="158"/>
      <c r="C897" s="161"/>
      <c r="D897" s="161"/>
      <c r="E897" s="157"/>
      <c r="F897" s="157"/>
      <c r="G897" s="752" t="s">
        <v>29</v>
      </c>
      <c r="H897" s="752"/>
      <c r="I897" s="752" t="s">
        <v>30</v>
      </c>
      <c r="J897" s="752"/>
      <c r="K897" s="752" t="s">
        <v>31</v>
      </c>
      <c r="L897" s="752"/>
      <c r="M897" s="752" t="s">
        <v>32</v>
      </c>
      <c r="N897" s="752"/>
      <c r="O897" s="752" t="s">
        <v>33</v>
      </c>
      <c r="P897" s="752"/>
      <c r="Q897" s="752" t="s">
        <v>247</v>
      </c>
      <c r="R897" s="752"/>
      <c r="S897" s="752" t="s">
        <v>34</v>
      </c>
      <c r="T897" s="752"/>
      <c r="U897" s="752" t="s">
        <v>35</v>
      </c>
      <c r="V897" s="752"/>
      <c r="W897" s="752" t="s">
        <v>36</v>
      </c>
      <c r="X897" s="752"/>
      <c r="Y897" s="752" t="s">
        <v>37</v>
      </c>
      <c r="Z897" s="752"/>
      <c r="AA897" s="752" t="s">
        <v>38</v>
      </c>
      <c r="AB897" s="752"/>
      <c r="AC897" s="752" t="s">
        <v>39</v>
      </c>
      <c r="AD897" s="752"/>
      <c r="AE897" s="752" t="s">
        <v>40</v>
      </c>
      <c r="AF897" s="752"/>
      <c r="AG897" s="752" t="s">
        <v>41</v>
      </c>
      <c r="AH897" s="752"/>
      <c r="AI897" s="752" t="s">
        <v>42</v>
      </c>
      <c r="AJ897" s="752"/>
      <c r="AK897" s="752" t="s">
        <v>43</v>
      </c>
      <c r="AL897" s="752"/>
      <c r="AM897" s="752" t="s">
        <v>157</v>
      </c>
      <c r="AN897" s="752"/>
      <c r="AO897" s="752" t="s">
        <v>248</v>
      </c>
      <c r="AP897" s="752"/>
      <c r="AQ897" s="752" t="s">
        <v>249</v>
      </c>
      <c r="AR897" s="752"/>
      <c r="AS897" s="752" t="s">
        <v>150</v>
      </c>
      <c r="AT897" s="752"/>
      <c r="AU897" s="752" t="s">
        <v>151</v>
      </c>
      <c r="AV897" s="752"/>
      <c r="AW897" s="752" t="s">
        <v>44</v>
      </c>
      <c r="AX897" s="752"/>
      <c r="AY897" s="752" t="s">
        <v>250</v>
      </c>
      <c r="AZ897" s="752"/>
      <c r="BA897" s="752" t="s">
        <v>45</v>
      </c>
      <c r="BB897" s="752"/>
      <c r="BC897" s="752" t="s">
        <v>46</v>
      </c>
      <c r="BD897" s="752"/>
      <c r="BE897" s="752" t="s">
        <v>92</v>
      </c>
      <c r="BF897" s="752"/>
    </row>
    <row r="898" spans="2:58" ht="16" thickBot="1" x14ac:dyDescent="0.25">
      <c r="B898" s="156" t="s">
        <v>47</v>
      </c>
      <c r="C898" s="156" t="s">
        <v>48</v>
      </c>
      <c r="D898" s="283"/>
      <c r="E898" s="271"/>
      <c r="F898" s="271" t="s">
        <v>49</v>
      </c>
      <c r="G898" s="752" t="s">
        <v>50</v>
      </c>
      <c r="H898" s="752"/>
      <c r="I898" s="752" t="s">
        <v>51</v>
      </c>
      <c r="J898" s="752"/>
      <c r="K898" s="752" t="s">
        <v>51</v>
      </c>
      <c r="L898" s="752"/>
      <c r="M898" s="752" t="s">
        <v>52</v>
      </c>
      <c r="N898" s="752"/>
      <c r="O898" s="752">
        <v>180</v>
      </c>
      <c r="P898" s="752"/>
      <c r="Q898" s="752" t="s">
        <v>53</v>
      </c>
      <c r="R898" s="752"/>
      <c r="S898" s="752" t="s">
        <v>54</v>
      </c>
      <c r="T898" s="752"/>
      <c r="U898" s="752" t="s">
        <v>54</v>
      </c>
      <c r="V898" s="752"/>
      <c r="W898" s="752" t="s">
        <v>55</v>
      </c>
      <c r="X898" s="752"/>
      <c r="Y898" s="752" t="s">
        <v>54</v>
      </c>
      <c r="Z898" s="752"/>
      <c r="AA898" s="752" t="s">
        <v>54</v>
      </c>
      <c r="AB898" s="752"/>
      <c r="AC898" s="752" t="s">
        <v>56</v>
      </c>
      <c r="AD898" s="752"/>
      <c r="AE898" s="752" t="s">
        <v>57</v>
      </c>
      <c r="AF898" s="752"/>
      <c r="AG898" s="752" t="s">
        <v>57</v>
      </c>
      <c r="AH898" s="752"/>
      <c r="AI898" s="752" t="s">
        <v>58</v>
      </c>
      <c r="AJ898" s="752"/>
      <c r="AK898" s="752" t="s">
        <v>300</v>
      </c>
      <c r="AL898" s="752"/>
      <c r="AM898" s="752" t="s">
        <v>301</v>
      </c>
      <c r="AN898" s="752"/>
      <c r="AO898" s="752">
        <v>20</v>
      </c>
      <c r="AP898" s="752"/>
      <c r="AQ898" s="752">
        <v>20</v>
      </c>
      <c r="AR898" s="752"/>
      <c r="AS898" s="752" t="s">
        <v>57</v>
      </c>
      <c r="AT898" s="752"/>
      <c r="AU898" s="752" t="s">
        <v>302</v>
      </c>
      <c r="AV898" s="752"/>
      <c r="AW898" s="752">
        <v>100</v>
      </c>
      <c r="AX898" s="752"/>
      <c r="AY898" s="752">
        <v>100</v>
      </c>
      <c r="AZ898" s="752"/>
      <c r="BA898" s="752" t="s">
        <v>59</v>
      </c>
      <c r="BB898" s="752"/>
      <c r="BC898" s="752" t="s">
        <v>51</v>
      </c>
      <c r="BD898" s="752"/>
      <c r="BE898" s="752" t="s">
        <v>53</v>
      </c>
      <c r="BF898" s="752"/>
    </row>
    <row r="899" spans="2:58" ht="16" thickBot="1" x14ac:dyDescent="0.25">
      <c r="B899" s="156"/>
      <c r="C899" s="156" t="s">
        <v>60</v>
      </c>
      <c r="D899" s="283"/>
      <c r="E899" s="271" t="s">
        <v>61</v>
      </c>
      <c r="F899" s="271" t="s">
        <v>62</v>
      </c>
      <c r="G899" s="752">
        <v>151</v>
      </c>
      <c r="H899" s="752"/>
      <c r="I899" s="752">
        <v>167.99</v>
      </c>
      <c r="J899" s="752"/>
      <c r="K899" s="752">
        <v>144.99</v>
      </c>
      <c r="L899" s="752"/>
      <c r="M899" s="760">
        <v>169.99</v>
      </c>
      <c r="N899" s="760"/>
      <c r="O899" s="760">
        <v>274.99</v>
      </c>
      <c r="P899" s="760"/>
      <c r="Q899" s="760">
        <v>135</v>
      </c>
      <c r="R899" s="760"/>
      <c r="S899" s="752">
        <v>910.5</v>
      </c>
      <c r="T899" s="752"/>
      <c r="U899" s="752">
        <v>460.75</v>
      </c>
      <c r="V899" s="752"/>
      <c r="W899" s="752">
        <v>1048.95</v>
      </c>
      <c r="X899" s="752"/>
      <c r="Y899" s="752">
        <v>772.8</v>
      </c>
      <c r="Z899" s="752"/>
      <c r="AA899" s="752">
        <v>3450</v>
      </c>
      <c r="AB899" s="752"/>
      <c r="AC899" s="760">
        <v>99.99</v>
      </c>
      <c r="AD899" s="760"/>
      <c r="AE899" s="752">
        <v>29.99</v>
      </c>
      <c r="AF899" s="752"/>
      <c r="AG899" s="752">
        <v>548</v>
      </c>
      <c r="AH899" s="752"/>
      <c r="AI899" s="752">
        <v>4.99</v>
      </c>
      <c r="AJ899" s="752"/>
      <c r="AK899" s="752">
        <v>132.25</v>
      </c>
      <c r="AL899" s="752"/>
      <c r="AM899" s="752">
        <v>47.99</v>
      </c>
      <c r="AN899" s="752"/>
      <c r="AO899" s="752">
        <v>560</v>
      </c>
      <c r="AP899" s="752"/>
      <c r="AQ899" s="752">
        <v>560</v>
      </c>
      <c r="AR899" s="752"/>
      <c r="AS899" s="752">
        <v>613.5</v>
      </c>
      <c r="AT899" s="752"/>
      <c r="AU899" s="752">
        <v>313.89999999999998</v>
      </c>
      <c r="AV899" s="752"/>
      <c r="AW899" s="752">
        <v>405.8</v>
      </c>
      <c r="AX899" s="752"/>
      <c r="AY899" s="752">
        <v>218.99</v>
      </c>
      <c r="AZ899" s="752"/>
      <c r="BA899" s="752">
        <v>24.99</v>
      </c>
      <c r="BB899" s="752"/>
      <c r="BC899" s="752">
        <v>1425</v>
      </c>
      <c r="BD899" s="752"/>
      <c r="BE899" s="752">
        <v>54.99</v>
      </c>
      <c r="BF899" s="752"/>
    </row>
    <row r="900" spans="2:58" ht="16" thickBot="1" x14ac:dyDescent="0.25">
      <c r="B900" s="272">
        <v>45761</v>
      </c>
      <c r="C900" s="274">
        <f>752.42+561.43</f>
        <v>1313.85</v>
      </c>
      <c r="D900" s="276"/>
      <c r="E900" s="278" t="s">
        <v>186</v>
      </c>
      <c r="F900" s="278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  <c r="AA900" s="271"/>
      <c r="AB900" s="271"/>
      <c r="AC900" s="271"/>
      <c r="AD900" s="271"/>
      <c r="AE900" s="271"/>
      <c r="AF900" s="271"/>
      <c r="AG900" s="271"/>
      <c r="AH900" s="271"/>
      <c r="AI900" s="271"/>
      <c r="AJ900" s="271"/>
      <c r="AK900" s="271"/>
      <c r="AL900" s="271"/>
      <c r="AM900" s="271"/>
      <c r="AN900" s="271"/>
      <c r="AO900" s="271"/>
      <c r="AP900" s="271"/>
      <c r="AQ900" s="271"/>
      <c r="AR900" s="271"/>
      <c r="AS900" s="271"/>
      <c r="AT900" s="271"/>
      <c r="AU900" s="271"/>
      <c r="AV900" s="271"/>
      <c r="AW900" s="271"/>
      <c r="AX900" s="271"/>
      <c r="AY900" s="271"/>
      <c r="AZ900" s="271"/>
      <c r="BA900" s="271"/>
      <c r="BB900" s="271"/>
      <c r="BC900" s="271"/>
      <c r="BD900" s="271"/>
      <c r="BE900" s="271"/>
      <c r="BF900" s="271"/>
    </row>
    <row r="901" spans="2:58" ht="16" thickBot="1" x14ac:dyDescent="0.25">
      <c r="B901" s="660"/>
      <c r="C901" s="275">
        <v>130</v>
      </c>
      <c r="D901" s="661"/>
      <c r="E901" s="303" t="s">
        <v>992</v>
      </c>
      <c r="F901" s="303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  <c r="AA901" s="271"/>
      <c r="AB901" s="271"/>
      <c r="AC901" s="271"/>
      <c r="AD901" s="271"/>
      <c r="AE901" s="271"/>
      <c r="AF901" s="271"/>
      <c r="AG901" s="271"/>
      <c r="AH901" s="271"/>
      <c r="AI901" s="271"/>
      <c r="AJ901" s="271"/>
      <c r="AK901" s="271"/>
      <c r="AL901" s="271"/>
      <c r="AM901" s="271"/>
      <c r="AN901" s="271"/>
      <c r="AO901" s="271"/>
      <c r="AP901" s="271"/>
      <c r="AQ901" s="271"/>
      <c r="AR901" s="271"/>
      <c r="AS901" s="271"/>
      <c r="AT901" s="271"/>
      <c r="AU901" s="271"/>
      <c r="AV901" s="271"/>
      <c r="AW901" s="271"/>
      <c r="AX901" s="271"/>
      <c r="AY901" s="271"/>
      <c r="AZ901" s="271"/>
      <c r="BA901" s="271"/>
      <c r="BB901" s="271"/>
      <c r="BC901" s="271"/>
      <c r="BD901" s="271"/>
      <c r="BE901" s="271"/>
      <c r="BF901" s="271"/>
    </row>
    <row r="902" spans="2:58" ht="16" thickBot="1" x14ac:dyDescent="0.25">
      <c r="B902" s="660"/>
      <c r="C902" s="275">
        <f>666+418.5</f>
        <v>1084.5</v>
      </c>
      <c r="D902" s="661"/>
      <c r="E902" s="303" t="s">
        <v>396</v>
      </c>
      <c r="F902" s="303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  <c r="AA902" s="271"/>
      <c r="AB902" s="271"/>
      <c r="AC902" s="271"/>
      <c r="AD902" s="271"/>
      <c r="AE902" s="271"/>
      <c r="AF902" s="271"/>
      <c r="AG902" s="271"/>
      <c r="AH902" s="271"/>
      <c r="AI902" s="271"/>
      <c r="AJ902" s="271"/>
      <c r="AK902" s="271"/>
      <c r="AL902" s="271"/>
      <c r="AM902" s="271"/>
      <c r="AN902" s="271"/>
      <c r="AO902" s="271"/>
      <c r="AP902" s="271"/>
      <c r="AQ902" s="271"/>
      <c r="AR902" s="271"/>
      <c r="AS902" s="271"/>
      <c r="AT902" s="271"/>
      <c r="AU902" s="271"/>
      <c r="AV902" s="271"/>
      <c r="AW902" s="271"/>
      <c r="AX902" s="271"/>
      <c r="AY902" s="271"/>
      <c r="AZ902" s="271"/>
      <c r="BA902" s="271"/>
      <c r="BB902" s="271"/>
      <c r="BC902" s="271"/>
      <c r="BD902" s="271"/>
      <c r="BE902" s="271"/>
      <c r="BF902" s="271"/>
    </row>
    <row r="903" spans="2:58" ht="16" thickBot="1" x14ac:dyDescent="0.25">
      <c r="B903" s="660"/>
      <c r="C903" s="275">
        <v>90</v>
      </c>
      <c r="D903" s="661"/>
      <c r="E903" s="303" t="s">
        <v>334</v>
      </c>
      <c r="F903" s="303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  <c r="AA903" s="271"/>
      <c r="AB903" s="271"/>
      <c r="AC903" s="271"/>
      <c r="AD903" s="271"/>
      <c r="AE903" s="271"/>
      <c r="AF903" s="271"/>
      <c r="AG903" s="271"/>
      <c r="AH903" s="271"/>
      <c r="AI903" s="271"/>
      <c r="AJ903" s="271"/>
      <c r="AK903" s="271"/>
      <c r="AL903" s="271"/>
      <c r="AM903" s="271"/>
      <c r="AN903" s="271"/>
      <c r="AO903" s="271"/>
      <c r="AP903" s="271"/>
      <c r="AQ903" s="271"/>
      <c r="AR903" s="271"/>
      <c r="AS903" s="271"/>
      <c r="AT903" s="271"/>
      <c r="AU903" s="271"/>
      <c r="AV903" s="271"/>
      <c r="AW903" s="271"/>
      <c r="AX903" s="271"/>
      <c r="AY903" s="271"/>
      <c r="AZ903" s="271"/>
      <c r="BA903" s="271"/>
      <c r="BB903" s="271"/>
      <c r="BC903" s="271"/>
      <c r="BD903" s="271"/>
      <c r="BE903" s="271"/>
      <c r="BF903" s="271"/>
    </row>
    <row r="904" spans="2:58" ht="16" thickBot="1" x14ac:dyDescent="0.25">
      <c r="B904" s="660"/>
      <c r="C904" s="275">
        <v>1005</v>
      </c>
      <c r="D904" s="661"/>
      <c r="E904" s="303"/>
      <c r="F904" s="303" t="s">
        <v>11</v>
      </c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  <c r="AA904" s="271"/>
      <c r="AB904" s="271"/>
      <c r="AC904" s="271"/>
      <c r="AD904" s="271"/>
      <c r="AE904" s="271"/>
      <c r="AF904" s="271"/>
      <c r="AG904" s="271"/>
      <c r="AH904" s="271"/>
      <c r="AI904" s="271"/>
      <c r="AJ904" s="271"/>
      <c r="AK904" s="271">
        <v>1</v>
      </c>
      <c r="AL904" s="271">
        <v>189.95</v>
      </c>
      <c r="AM904" s="271"/>
      <c r="AN904" s="271"/>
      <c r="AO904" s="271"/>
      <c r="AP904" s="271"/>
      <c r="AQ904" s="271"/>
      <c r="AR904" s="271"/>
      <c r="AS904" s="271"/>
      <c r="AT904" s="271"/>
      <c r="AU904" s="271"/>
      <c r="AV904" s="271"/>
      <c r="AW904" s="271"/>
      <c r="AX904" s="271"/>
      <c r="AY904" s="271"/>
      <c r="AZ904" s="271"/>
      <c r="BA904" s="271"/>
      <c r="BB904" s="271"/>
      <c r="BC904" s="271"/>
      <c r="BD904" s="271"/>
      <c r="BE904" s="271"/>
      <c r="BF904" s="271"/>
    </row>
    <row r="905" spans="2:58" ht="16" thickBot="1" x14ac:dyDescent="0.25">
      <c r="B905" s="660"/>
      <c r="C905" s="275">
        <v>479.85</v>
      </c>
      <c r="D905" s="661"/>
      <c r="E905" s="303"/>
      <c r="F905" s="303" t="s">
        <v>14</v>
      </c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  <c r="AA905" s="271"/>
      <c r="AB905" s="271"/>
      <c r="AC905" s="271"/>
      <c r="AD905" s="271"/>
      <c r="AE905" s="271">
        <v>15</v>
      </c>
      <c r="AF905" s="271">
        <v>479.85</v>
      </c>
      <c r="AG905" s="271"/>
      <c r="AH905" s="271"/>
      <c r="AI905" s="271"/>
      <c r="AJ905" s="271"/>
      <c r="AK905" s="271"/>
      <c r="AL905" s="271"/>
      <c r="AM905" s="271"/>
      <c r="AN905" s="271"/>
      <c r="AO905" s="271"/>
      <c r="AP905" s="271"/>
      <c r="AQ905" s="271"/>
      <c r="AR905" s="271"/>
      <c r="AS905" s="271"/>
      <c r="AT905" s="271"/>
      <c r="AU905" s="271"/>
      <c r="AV905" s="271"/>
      <c r="AW905" s="271"/>
      <c r="AX905" s="271"/>
      <c r="AY905" s="271"/>
      <c r="AZ905" s="271"/>
      <c r="BA905" s="271"/>
      <c r="BB905" s="271"/>
      <c r="BC905" s="271"/>
      <c r="BD905" s="271"/>
      <c r="BE905" s="271"/>
      <c r="BF905" s="271"/>
    </row>
    <row r="906" spans="2:58" ht="16" thickBot="1" x14ac:dyDescent="0.25">
      <c r="B906" s="660"/>
      <c r="C906" s="275">
        <v>548.32000000000005</v>
      </c>
      <c r="D906" s="661"/>
      <c r="E906" s="303"/>
      <c r="F906" s="303" t="s">
        <v>8</v>
      </c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  <c r="AA906" s="271"/>
      <c r="AB906" s="271"/>
      <c r="AC906" s="271"/>
      <c r="AD906" s="271"/>
      <c r="AE906" s="271"/>
      <c r="AF906" s="271"/>
      <c r="AG906" s="271">
        <v>1</v>
      </c>
      <c r="AH906" s="271">
        <v>548.32000000000005</v>
      </c>
      <c r="AI906" s="271"/>
      <c r="AJ906" s="271"/>
      <c r="AK906" s="271"/>
      <c r="AL906" s="271"/>
      <c r="AM906" s="271"/>
      <c r="AN906" s="271"/>
      <c r="AO906" s="271"/>
      <c r="AP906" s="271"/>
      <c r="AQ906" s="271"/>
      <c r="AR906" s="271"/>
      <c r="AS906" s="271"/>
      <c r="AT906" s="271"/>
      <c r="AU906" s="271"/>
      <c r="AV906" s="271"/>
      <c r="AW906" s="271"/>
      <c r="AX906" s="271"/>
      <c r="AY906" s="271"/>
      <c r="AZ906" s="271"/>
      <c r="BA906" s="271"/>
      <c r="BB906" s="271"/>
      <c r="BC906" s="271"/>
      <c r="BD906" s="271"/>
      <c r="BE906" s="271"/>
      <c r="BF906" s="271"/>
    </row>
    <row r="907" spans="2:58" ht="16" thickBot="1" x14ac:dyDescent="0.25">
      <c r="B907" s="660"/>
      <c r="C907" s="275">
        <v>7867.38</v>
      </c>
      <c r="D907" s="661"/>
      <c r="E907" s="303"/>
      <c r="F907" s="303" t="s">
        <v>9</v>
      </c>
      <c r="G907" s="271">
        <v>8</v>
      </c>
      <c r="H907" s="271">
        <v>1095.92</v>
      </c>
      <c r="I907" s="271">
        <v>2</v>
      </c>
      <c r="J907" s="271">
        <v>409.98</v>
      </c>
      <c r="K907" s="271">
        <v>8</v>
      </c>
      <c r="L907" s="271">
        <v>1455.92</v>
      </c>
      <c r="M907" s="271">
        <v>10</v>
      </c>
      <c r="N907" s="271">
        <v>1729.9</v>
      </c>
      <c r="O907" s="271">
        <v>15</v>
      </c>
      <c r="P907" s="271">
        <v>1949.85</v>
      </c>
      <c r="Q907" s="271"/>
      <c r="R907" s="271"/>
      <c r="S907" s="271"/>
      <c r="T907" s="271"/>
      <c r="U907" s="271"/>
      <c r="V907" s="271"/>
      <c r="W907" s="271">
        <v>6</v>
      </c>
      <c r="X907" s="271">
        <v>257.94</v>
      </c>
      <c r="Y907" s="271"/>
      <c r="Z907" s="271"/>
      <c r="AA907" s="271"/>
      <c r="AB907" s="271"/>
      <c r="AC907" s="271">
        <v>6</v>
      </c>
      <c r="AD907" s="271">
        <v>593.94000000000005</v>
      </c>
      <c r="AE907" s="271"/>
      <c r="AF907" s="271"/>
      <c r="AG907" s="271"/>
      <c r="AH907" s="271"/>
      <c r="AI907" s="271"/>
      <c r="AJ907" s="271"/>
      <c r="AK907" s="271"/>
      <c r="AL907" s="271"/>
      <c r="AM907" s="271"/>
      <c r="AN907" s="271"/>
      <c r="AO907" s="271"/>
      <c r="AP907" s="271"/>
      <c r="AQ907" s="271"/>
      <c r="AR907" s="271"/>
      <c r="AS907" s="271"/>
      <c r="AT907" s="271"/>
      <c r="AU907" s="271"/>
      <c r="AV907" s="271"/>
      <c r="AW907" s="271"/>
      <c r="AX907" s="271"/>
      <c r="AY907" s="271"/>
      <c r="AZ907" s="271"/>
      <c r="BA907" s="271">
        <v>1</v>
      </c>
      <c r="BB907" s="271">
        <v>27.99</v>
      </c>
      <c r="BC907" s="271"/>
      <c r="BD907" s="271"/>
      <c r="BE907" s="271">
        <v>1</v>
      </c>
      <c r="BF907" s="271">
        <v>75.989999999999995</v>
      </c>
    </row>
    <row r="908" spans="2:58" ht="16" thickBot="1" x14ac:dyDescent="0.25">
      <c r="B908" s="682"/>
      <c r="C908" s="275">
        <v>33752.5</v>
      </c>
      <c r="D908" s="661"/>
      <c r="E908" s="303"/>
      <c r="F908" s="303" t="s">
        <v>6</v>
      </c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>
        <v>5</v>
      </c>
      <c r="T908" s="271">
        <v>3967.5</v>
      </c>
      <c r="U908" s="271">
        <v>20</v>
      </c>
      <c r="V908" s="271">
        <v>10580</v>
      </c>
      <c r="W908" s="271"/>
      <c r="X908" s="271"/>
      <c r="Y908" s="271"/>
      <c r="Z908" s="271"/>
      <c r="AA908" s="271">
        <v>3</v>
      </c>
      <c r="AB908" s="271">
        <v>15525</v>
      </c>
      <c r="AC908" s="271"/>
      <c r="AD908" s="271"/>
      <c r="AE908" s="271"/>
      <c r="AF908" s="271"/>
      <c r="AG908" s="271"/>
      <c r="AH908" s="271"/>
      <c r="AI908" s="271"/>
      <c r="AJ908" s="271"/>
      <c r="AK908" s="271"/>
      <c r="AL908" s="271"/>
      <c r="AM908" s="271"/>
      <c r="AN908" s="271"/>
      <c r="AO908" s="271"/>
      <c r="AP908" s="271"/>
      <c r="AQ908" s="271"/>
      <c r="AR908" s="271"/>
      <c r="AS908" s="271"/>
      <c r="AT908" s="271"/>
      <c r="AU908" s="271"/>
      <c r="AV908" s="271"/>
      <c r="AW908" s="271"/>
      <c r="AX908" s="271"/>
      <c r="AY908" s="271"/>
      <c r="AZ908" s="271"/>
      <c r="BA908" s="271"/>
      <c r="BB908" s="271"/>
      <c r="BC908" s="271"/>
      <c r="BD908" s="271"/>
      <c r="BE908" s="271"/>
      <c r="BF908" s="271"/>
    </row>
    <row r="909" spans="2:58" ht="16" thickBot="1" x14ac:dyDescent="0.25">
      <c r="B909" s="681" t="s">
        <v>20</v>
      </c>
      <c r="C909" s="275">
        <v>528.49</v>
      </c>
      <c r="D909" s="277"/>
      <c r="E909" s="279" t="s">
        <v>343</v>
      </c>
      <c r="F909" s="279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  <c r="AA909" s="271"/>
      <c r="AB909" s="271"/>
      <c r="AC909" s="271"/>
      <c r="AD909" s="271"/>
      <c r="AE909" s="271"/>
      <c r="AF909" s="271"/>
      <c r="AG909" s="271"/>
      <c r="AH909" s="271"/>
      <c r="AI909" s="271"/>
      <c r="AJ909" s="271"/>
      <c r="AK909" s="271"/>
      <c r="AL909" s="271"/>
      <c r="AM909" s="271"/>
      <c r="AN909" s="271"/>
      <c r="AO909" s="271"/>
      <c r="AP909" s="271"/>
      <c r="AQ909" s="271"/>
      <c r="AR909" s="271"/>
      <c r="AS909" s="271"/>
      <c r="AT909" s="271"/>
      <c r="AU909" s="271"/>
      <c r="AV909" s="271"/>
      <c r="AW909" s="271"/>
      <c r="AX909" s="271"/>
      <c r="AY909" s="271"/>
      <c r="AZ909" s="271"/>
      <c r="BA909" s="271"/>
      <c r="BB909" s="271"/>
      <c r="BC909" s="271"/>
      <c r="BD909" s="271"/>
      <c r="BE909" s="271"/>
      <c r="BF909" s="271"/>
    </row>
    <row r="910" spans="2:58" ht="16" thickBot="1" x14ac:dyDescent="0.25">
      <c r="B910" s="479"/>
      <c r="C910" s="680">
        <f>SUM(C900:C909)</f>
        <v>46799.89</v>
      </c>
      <c r="D910" s="159"/>
      <c r="E910" s="270"/>
      <c r="F910" s="281"/>
      <c r="G910" s="309"/>
      <c r="H910" s="310"/>
      <c r="I910" s="309"/>
      <c r="J910" s="310"/>
      <c r="K910" s="309"/>
      <c r="L910" s="310"/>
      <c r="M910" s="309"/>
      <c r="N910" s="310"/>
      <c r="O910" s="271"/>
      <c r="P910" s="271"/>
      <c r="Q910" s="310"/>
      <c r="R910" s="310"/>
      <c r="S910" s="309"/>
      <c r="T910" s="310"/>
      <c r="U910" s="309"/>
      <c r="V910" s="310"/>
      <c r="W910" s="309"/>
      <c r="X910" s="310"/>
      <c r="Y910" s="309"/>
      <c r="Z910" s="310"/>
      <c r="AA910" s="309"/>
      <c r="AB910" s="310"/>
      <c r="AC910" s="271"/>
      <c r="AD910" s="271"/>
      <c r="AE910" s="309"/>
      <c r="AF910" s="310"/>
      <c r="AG910" s="309"/>
      <c r="AH910" s="310"/>
      <c r="AI910" s="309"/>
      <c r="AJ910" s="310"/>
      <c r="AK910" s="309"/>
      <c r="AL910" s="310"/>
      <c r="AM910" s="309"/>
      <c r="AN910" s="310"/>
      <c r="AO910" s="309"/>
      <c r="AP910" s="310"/>
      <c r="AQ910" s="309"/>
      <c r="AR910" s="310"/>
      <c r="AS910" s="309"/>
      <c r="AT910" s="310"/>
      <c r="AU910" s="309"/>
      <c r="AV910" s="310"/>
      <c r="AW910" s="309"/>
      <c r="AX910" s="310"/>
      <c r="AY910" s="309"/>
      <c r="AZ910" s="310"/>
      <c r="BA910" s="271"/>
      <c r="BB910" s="271"/>
      <c r="BC910" s="271"/>
      <c r="BD910" s="271"/>
      <c r="BE910" s="271"/>
      <c r="BF910" s="271"/>
    </row>
    <row r="911" spans="2:58" ht="16" thickBot="1" x14ac:dyDescent="0.25">
      <c r="B911" s="289">
        <v>45762</v>
      </c>
      <c r="C911" s="275">
        <f>800+81+81</f>
        <v>962</v>
      </c>
      <c r="D911" s="277"/>
      <c r="E911" s="279" t="s">
        <v>999</v>
      </c>
      <c r="F911" s="279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  <c r="AA911" s="271"/>
      <c r="AB911" s="271"/>
      <c r="AC911" s="271"/>
      <c r="AD911" s="271"/>
      <c r="AE911" s="271"/>
      <c r="AF911" s="271"/>
      <c r="AG911" s="271"/>
      <c r="AH911" s="271"/>
      <c r="AI911" s="271"/>
      <c r="AJ911" s="271"/>
      <c r="AK911" s="271"/>
      <c r="AL911" s="271"/>
      <c r="AM911" s="271"/>
      <c r="AN911" s="271"/>
      <c r="AO911" s="271"/>
      <c r="AP911" s="271"/>
      <c r="AQ911" s="271"/>
      <c r="AR911" s="271"/>
      <c r="AS911" s="271"/>
      <c r="AT911" s="271"/>
      <c r="AU911" s="271"/>
      <c r="AV911" s="271"/>
      <c r="AW911" s="271"/>
      <c r="AX911" s="271"/>
      <c r="AY911" s="271"/>
      <c r="AZ911" s="271"/>
      <c r="BA911" s="271"/>
      <c r="BB911" s="271"/>
      <c r="BC911" s="271"/>
      <c r="BD911" s="271"/>
      <c r="BE911" s="271"/>
      <c r="BF911" s="271"/>
    </row>
    <row r="912" spans="2:58" ht="16" thickBot="1" x14ac:dyDescent="0.25">
      <c r="B912" s="289"/>
      <c r="C912" s="139">
        <v>449.91</v>
      </c>
      <c r="E912" s="575"/>
      <c r="F912" s="279" t="s">
        <v>14</v>
      </c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  <c r="AA912" s="271"/>
      <c r="AB912" s="271"/>
      <c r="AC912" s="271"/>
      <c r="AD912" s="271"/>
      <c r="AE912" s="271">
        <v>9</v>
      </c>
      <c r="AF912" s="271">
        <v>449.91</v>
      </c>
      <c r="AG912" s="271"/>
      <c r="AH912" s="271"/>
      <c r="AI912" s="271"/>
      <c r="AJ912" s="271"/>
      <c r="AK912" s="271"/>
      <c r="AL912" s="271"/>
      <c r="AM912" s="271"/>
      <c r="AN912" s="271"/>
      <c r="AO912" s="271"/>
      <c r="AP912" s="271"/>
      <c r="AQ912" s="271"/>
      <c r="AR912" s="271"/>
      <c r="AS912" s="271"/>
      <c r="AT912" s="271"/>
      <c r="AU912" s="271"/>
      <c r="AV912" s="271"/>
      <c r="AW912" s="271"/>
      <c r="AX912" s="271"/>
      <c r="AY912" s="271"/>
      <c r="AZ912" s="271"/>
      <c r="BA912" s="271"/>
      <c r="BB912" s="271"/>
      <c r="BC912" s="271"/>
      <c r="BD912" s="271"/>
      <c r="BE912" s="271"/>
      <c r="BF912" s="271"/>
    </row>
    <row r="913" spans="2:58" ht="16" thickBot="1" x14ac:dyDescent="0.25">
      <c r="B913" s="289"/>
      <c r="C913" s="4">
        <v>119.98</v>
      </c>
      <c r="E913" s="142" t="s">
        <v>538</v>
      </c>
      <c r="F913" s="279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  <c r="AA913" s="271"/>
      <c r="AB913" s="271"/>
      <c r="AC913" s="271"/>
      <c r="AD913" s="271"/>
      <c r="AE913" s="271"/>
      <c r="AF913" s="271"/>
      <c r="AG913" s="271"/>
      <c r="AH913" s="271"/>
      <c r="AI913" s="271"/>
      <c r="AJ913" s="271"/>
      <c r="AK913" s="271"/>
      <c r="AL913" s="271"/>
      <c r="AM913" s="271"/>
      <c r="AN913" s="271"/>
      <c r="AO913" s="271"/>
      <c r="AP913" s="271"/>
      <c r="AQ913" s="271"/>
      <c r="AR913" s="271"/>
      <c r="AS913" s="271"/>
      <c r="AT913" s="271"/>
      <c r="AU913" s="271"/>
      <c r="AV913" s="271"/>
      <c r="AW913" s="271"/>
      <c r="AX913" s="271"/>
      <c r="AY913" s="271"/>
      <c r="AZ913" s="271"/>
      <c r="BA913" s="271"/>
      <c r="BB913" s="271"/>
      <c r="BC913" s="271"/>
      <c r="BD913" s="271"/>
      <c r="BE913" s="271"/>
      <c r="BF913" s="271"/>
    </row>
    <row r="914" spans="2:58" ht="16" thickBot="1" x14ac:dyDescent="0.25">
      <c r="B914" s="289"/>
      <c r="C914" s="146">
        <v>9543.25</v>
      </c>
      <c r="E914" s="147"/>
      <c r="F914" s="279" t="s">
        <v>9</v>
      </c>
      <c r="G914" s="271">
        <v>9</v>
      </c>
      <c r="H914" s="271">
        <v>1232.9100000000001</v>
      </c>
      <c r="I914" s="271">
        <v>2</v>
      </c>
      <c r="J914" s="271">
        <v>409.98</v>
      </c>
      <c r="K914" s="271">
        <v>9</v>
      </c>
      <c r="L914" s="271">
        <v>1637.91</v>
      </c>
      <c r="M914" s="271">
        <v>12</v>
      </c>
      <c r="N914" s="271">
        <v>2075.88</v>
      </c>
      <c r="O914" s="271">
        <v>21</v>
      </c>
      <c r="P914" s="271">
        <v>2729.79</v>
      </c>
      <c r="Q914" s="271">
        <v>1</v>
      </c>
      <c r="R914" s="271">
        <v>145</v>
      </c>
      <c r="S914" s="271"/>
      <c r="T914" s="271"/>
      <c r="U914" s="271"/>
      <c r="V914" s="271"/>
      <c r="W914" s="271">
        <v>8</v>
      </c>
      <c r="X914" s="271">
        <v>343.92</v>
      </c>
      <c r="Y914" s="271"/>
      <c r="Z914" s="271"/>
      <c r="AA914" s="271"/>
      <c r="AB914" s="271"/>
      <c r="AC914" s="271">
        <v>6</v>
      </c>
      <c r="AD914" s="271">
        <v>593.94000000000005</v>
      </c>
      <c r="AE914" s="271"/>
      <c r="AF914" s="271"/>
      <c r="AG914" s="271"/>
      <c r="AH914" s="271"/>
      <c r="AI914" s="271"/>
      <c r="AJ914" s="271"/>
      <c r="AK914" s="271"/>
      <c r="AL914" s="271"/>
      <c r="AM914" s="271"/>
      <c r="AN914" s="271"/>
      <c r="AO914" s="271"/>
      <c r="AP914" s="271"/>
      <c r="AQ914" s="271"/>
      <c r="AR914" s="271"/>
      <c r="AS914" s="271"/>
      <c r="AT914" s="271"/>
      <c r="AU914" s="271"/>
      <c r="AV914" s="271"/>
      <c r="AW914" s="271"/>
      <c r="AX914" s="271"/>
      <c r="AY914" s="271"/>
      <c r="AZ914" s="271"/>
      <c r="BA914" s="271">
        <v>1</v>
      </c>
      <c r="BB914" s="271">
        <v>27.99</v>
      </c>
      <c r="BC914" s="271"/>
      <c r="BD914" s="271"/>
      <c r="BE914" s="271"/>
      <c r="BF914" s="271"/>
    </row>
    <row r="915" spans="2:58" ht="16" thickBot="1" x14ac:dyDescent="0.25">
      <c r="B915" s="289"/>
      <c r="C915" s="4">
        <v>16.899999999999999</v>
      </c>
      <c r="E915" s="142" t="s">
        <v>334</v>
      </c>
      <c r="F915" s="279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  <c r="AA915" s="271"/>
      <c r="AB915" s="271"/>
      <c r="AC915" s="271"/>
      <c r="AD915" s="271"/>
      <c r="AE915" s="271"/>
      <c r="AF915" s="271"/>
      <c r="AG915" s="271"/>
      <c r="AH915" s="271"/>
      <c r="AI915" s="271"/>
      <c r="AJ915" s="271"/>
      <c r="AK915" s="271"/>
      <c r="AL915" s="271"/>
      <c r="AM915" s="271"/>
      <c r="AN915" s="271"/>
      <c r="AO915" s="271"/>
      <c r="AP915" s="271"/>
      <c r="AQ915" s="271"/>
      <c r="AR915" s="271"/>
      <c r="AS915" s="271"/>
      <c r="AT915" s="271"/>
      <c r="AU915" s="271"/>
      <c r="AV915" s="271"/>
      <c r="AW915" s="271"/>
      <c r="AX915" s="271"/>
      <c r="AY915" s="271"/>
      <c r="AZ915" s="271"/>
      <c r="BA915" s="271"/>
      <c r="BB915" s="271"/>
      <c r="BC915" s="271"/>
      <c r="BD915" s="271"/>
      <c r="BE915" s="271"/>
      <c r="BF915" s="271"/>
    </row>
    <row r="916" spans="2:58" ht="16" thickBot="1" x14ac:dyDescent="0.25">
      <c r="B916" s="289"/>
      <c r="C916" s="4"/>
      <c r="E916" s="142"/>
      <c r="F916" s="279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  <c r="AA916" s="271"/>
      <c r="AB916" s="271"/>
      <c r="AC916" s="271"/>
      <c r="AD916" s="271"/>
      <c r="AE916" s="271"/>
      <c r="AF916" s="271"/>
      <c r="AG916" s="271"/>
      <c r="AH916" s="271"/>
      <c r="AI916" s="271"/>
      <c r="AJ916" s="271"/>
      <c r="AK916" s="271"/>
      <c r="AL916" s="271"/>
      <c r="AM916" s="271"/>
      <c r="AN916" s="271"/>
      <c r="AO916" s="271"/>
      <c r="AP916" s="271"/>
      <c r="AQ916" s="271"/>
      <c r="AR916" s="271"/>
      <c r="AS916" s="271"/>
      <c r="AT916" s="271"/>
      <c r="AU916" s="271"/>
      <c r="AV916" s="271"/>
      <c r="AW916" s="271"/>
      <c r="AX916" s="271"/>
      <c r="AY916" s="271"/>
      <c r="AZ916" s="271"/>
      <c r="BA916" s="271"/>
      <c r="BB916" s="271"/>
      <c r="BC916" s="271"/>
      <c r="BD916" s="271"/>
      <c r="BE916" s="271"/>
      <c r="BF916" s="271"/>
    </row>
    <row r="917" spans="2:58" ht="16" thickBot="1" x14ac:dyDescent="0.25">
      <c r="B917" s="289"/>
      <c r="C917" s="275"/>
      <c r="D917" s="277"/>
      <c r="E917" s="279"/>
      <c r="F917" s="279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  <c r="AA917" s="271"/>
      <c r="AB917" s="271"/>
      <c r="AC917" s="271"/>
      <c r="AD917" s="271"/>
      <c r="AE917" s="271"/>
      <c r="AF917" s="271"/>
      <c r="AG917" s="271"/>
      <c r="AH917" s="271"/>
      <c r="AI917" s="271"/>
      <c r="AJ917" s="271"/>
      <c r="AK917" s="271"/>
      <c r="AL917" s="271"/>
      <c r="AM917" s="271"/>
      <c r="AN917" s="271"/>
      <c r="AO917" s="271"/>
      <c r="AP917" s="271"/>
      <c r="AQ917" s="271"/>
      <c r="AR917" s="271"/>
      <c r="AS917" s="271"/>
      <c r="AT917" s="271"/>
      <c r="AU917" s="271"/>
      <c r="AV917" s="271"/>
      <c r="AW917" s="271"/>
      <c r="AX917" s="271"/>
      <c r="AY917" s="271"/>
      <c r="AZ917" s="271"/>
      <c r="BA917" s="271"/>
      <c r="BB917" s="271"/>
      <c r="BC917" s="271"/>
      <c r="BD917" s="271"/>
      <c r="BE917" s="271"/>
      <c r="BF917" s="271"/>
    </row>
    <row r="918" spans="2:58" ht="16" thickBot="1" x14ac:dyDescent="0.25">
      <c r="B918" s="289"/>
      <c r="C918" s="275"/>
      <c r="D918" s="277"/>
      <c r="E918" s="279"/>
      <c r="F918" s="279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  <c r="AA918" s="271"/>
      <c r="AB918" s="271"/>
      <c r="AC918" s="271"/>
      <c r="AD918" s="271"/>
      <c r="AE918" s="271"/>
      <c r="AF918" s="271"/>
      <c r="AG918" s="271"/>
      <c r="AH918" s="271"/>
      <c r="AI918" s="271"/>
      <c r="AJ918" s="271"/>
      <c r="AK918" s="271"/>
      <c r="AL918" s="271"/>
      <c r="AM918" s="271"/>
      <c r="AN918" s="271"/>
      <c r="AO918" s="271"/>
      <c r="AP918" s="271"/>
      <c r="AQ918" s="271"/>
      <c r="AR918" s="271"/>
      <c r="AS918" s="271"/>
      <c r="AT918" s="271"/>
      <c r="AU918" s="271"/>
      <c r="AV918" s="271"/>
      <c r="AW918" s="271"/>
      <c r="AX918" s="271"/>
      <c r="AY918" s="271"/>
      <c r="AZ918" s="271"/>
      <c r="BA918" s="271"/>
      <c r="BB918" s="271"/>
      <c r="BC918" s="271"/>
      <c r="BD918" s="271"/>
      <c r="BE918" s="271"/>
      <c r="BF918" s="271"/>
    </row>
    <row r="919" spans="2:58" ht="16" thickBot="1" x14ac:dyDescent="0.25">
      <c r="B919" s="289" t="s">
        <v>90</v>
      </c>
      <c r="C919" s="275"/>
      <c r="D919" s="277"/>
      <c r="E919" s="279"/>
      <c r="F919" s="279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  <c r="AA919" s="271"/>
      <c r="AB919" s="271"/>
      <c r="AC919" s="271"/>
      <c r="AD919" s="271"/>
      <c r="AE919" s="271"/>
      <c r="AF919" s="271"/>
      <c r="AG919" s="271"/>
      <c r="AH919" s="271"/>
      <c r="AI919" s="271"/>
      <c r="AJ919" s="271"/>
      <c r="AK919" s="271"/>
      <c r="AL919" s="271"/>
      <c r="AM919" s="271"/>
      <c r="AN919" s="271"/>
      <c r="AO919" s="271"/>
      <c r="AP919" s="271"/>
      <c r="AQ919" s="271"/>
      <c r="AR919" s="271"/>
      <c r="AS919" s="271"/>
      <c r="AT919" s="271"/>
      <c r="AU919" s="271"/>
      <c r="AV919" s="271"/>
      <c r="AW919" s="271"/>
      <c r="AX919" s="271"/>
      <c r="AY919" s="271"/>
      <c r="AZ919" s="271"/>
      <c r="BA919" s="271"/>
      <c r="BB919" s="271"/>
      <c r="BC919" s="271"/>
      <c r="BD919" s="271"/>
      <c r="BE919" s="271"/>
      <c r="BF919" s="271"/>
    </row>
    <row r="920" spans="2:58" ht="16" thickBot="1" x14ac:dyDescent="0.25">
      <c r="B920" s="292"/>
      <c r="C920" s="159">
        <f>SUM(C911:C919)</f>
        <v>11092.039999999999</v>
      </c>
      <c r="D920" s="159"/>
      <c r="E920" s="270"/>
      <c r="F920" s="281"/>
      <c r="G920" s="309"/>
      <c r="H920" s="310"/>
      <c r="I920" s="309"/>
      <c r="J920" s="310"/>
      <c r="K920" s="309"/>
      <c r="L920" s="310"/>
      <c r="M920" s="309"/>
      <c r="N920" s="310"/>
      <c r="O920" s="271"/>
      <c r="P920" s="271"/>
      <c r="Q920" s="310"/>
      <c r="R920" s="310"/>
      <c r="S920" s="309"/>
      <c r="T920" s="310"/>
      <c r="U920" s="309"/>
      <c r="V920" s="310"/>
      <c r="W920" s="309"/>
      <c r="X920" s="310"/>
      <c r="Y920" s="309"/>
      <c r="Z920" s="310"/>
      <c r="AA920" s="309"/>
      <c r="AB920" s="310"/>
      <c r="AC920" s="271"/>
      <c r="AD920" s="271"/>
      <c r="AE920" s="309"/>
      <c r="AF920" s="310"/>
      <c r="AG920" s="309"/>
      <c r="AH920" s="310"/>
      <c r="AI920" s="309"/>
      <c r="AJ920" s="310"/>
      <c r="AK920" s="309"/>
      <c r="AL920" s="310"/>
      <c r="AM920" s="309"/>
      <c r="AN920" s="310"/>
      <c r="AO920" s="309"/>
      <c r="AP920" s="310"/>
      <c r="AQ920" s="309"/>
      <c r="AR920" s="310"/>
      <c r="AS920" s="309"/>
      <c r="AT920" s="310"/>
      <c r="AU920" s="309"/>
      <c r="AV920" s="310"/>
      <c r="AW920" s="309"/>
      <c r="AX920" s="310"/>
      <c r="AY920" s="309"/>
      <c r="AZ920" s="310"/>
      <c r="BA920" s="271"/>
      <c r="BB920" s="271"/>
      <c r="BC920" s="271"/>
      <c r="BD920" s="271"/>
      <c r="BE920" s="271"/>
      <c r="BF920" s="271"/>
    </row>
    <row r="921" spans="2:58" ht="16" thickBot="1" x14ac:dyDescent="0.25">
      <c r="B921" s="289">
        <v>45763</v>
      </c>
      <c r="C921" s="275">
        <v>800</v>
      </c>
      <c r="D921" s="277"/>
      <c r="E921" s="279" t="s">
        <v>186</v>
      </c>
      <c r="F921" s="279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  <c r="AA921" s="271"/>
      <c r="AB921" s="271"/>
      <c r="AC921" s="271"/>
      <c r="AD921" s="271"/>
      <c r="AE921" s="271"/>
      <c r="AF921" s="271"/>
      <c r="AG921" s="271"/>
      <c r="AH921" s="271"/>
      <c r="AI921" s="271"/>
      <c r="AJ921" s="271"/>
      <c r="AK921" s="271"/>
      <c r="AL921" s="271"/>
      <c r="AM921" s="271"/>
      <c r="AN921" s="271"/>
      <c r="AO921" s="271"/>
      <c r="AP921" s="271"/>
      <c r="AQ921" s="271"/>
      <c r="AR921" s="271"/>
      <c r="AS921" s="271"/>
      <c r="AT921" s="271"/>
      <c r="AU921" s="271"/>
      <c r="AV921" s="271"/>
      <c r="AW921" s="271"/>
      <c r="AX921" s="271"/>
      <c r="AY921" s="271"/>
      <c r="AZ921" s="271"/>
      <c r="BA921" s="271"/>
      <c r="BB921" s="271"/>
      <c r="BC921" s="271"/>
      <c r="BD921" s="271"/>
      <c r="BE921" s="271"/>
      <c r="BF921" s="271"/>
    </row>
    <row r="922" spans="2:58" ht="16" thickBot="1" x14ac:dyDescent="0.25">
      <c r="B922" s="289"/>
      <c r="C922" s="285">
        <v>180</v>
      </c>
      <c r="D922" s="277"/>
      <c r="E922" s="279" t="s">
        <v>334</v>
      </c>
      <c r="F922" s="279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  <c r="AA922" s="271"/>
      <c r="AB922" s="271"/>
      <c r="AC922" s="271"/>
      <c r="AD922" s="271"/>
      <c r="AE922" s="271"/>
      <c r="AF922" s="271"/>
      <c r="AG922" s="271"/>
      <c r="AH922" s="271"/>
      <c r="AI922" s="271"/>
      <c r="AJ922" s="271"/>
      <c r="AK922" s="271"/>
      <c r="AL922" s="271"/>
      <c r="AM922" s="271"/>
      <c r="AN922" s="271"/>
      <c r="AO922" s="271"/>
      <c r="AP922" s="271"/>
      <c r="AQ922" s="271"/>
      <c r="AR922" s="271"/>
      <c r="AS922" s="271"/>
      <c r="AT922" s="271"/>
      <c r="AU922" s="271"/>
      <c r="AV922" s="271"/>
      <c r="AW922" s="271"/>
      <c r="AX922" s="271"/>
      <c r="AY922" s="271"/>
      <c r="AZ922" s="271"/>
      <c r="BA922" s="271"/>
      <c r="BB922" s="271"/>
      <c r="BC922" s="271"/>
      <c r="BD922" s="271"/>
      <c r="BE922" s="271"/>
      <c r="BF922" s="271"/>
    </row>
    <row r="923" spans="2:58" ht="16" thickBot="1" x14ac:dyDescent="0.25">
      <c r="B923" s="289"/>
      <c r="C923" s="285">
        <v>1500</v>
      </c>
      <c r="D923" s="277"/>
      <c r="E923" s="279" t="s">
        <v>3</v>
      </c>
      <c r="F923" s="279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  <c r="AA923" s="271"/>
      <c r="AB923" s="271"/>
      <c r="AC923" s="271"/>
      <c r="AD923" s="271"/>
      <c r="AE923" s="271"/>
      <c r="AF923" s="271"/>
      <c r="AG923" s="271"/>
      <c r="AH923" s="271"/>
      <c r="AI923" s="271"/>
      <c r="AJ923" s="271"/>
      <c r="AK923" s="271"/>
      <c r="AL923" s="271"/>
      <c r="AM923" s="271"/>
      <c r="AN923" s="271"/>
      <c r="AO923" s="271"/>
      <c r="AP923" s="271"/>
      <c r="AQ923" s="271"/>
      <c r="AR923" s="271"/>
      <c r="AS923" s="271"/>
      <c r="AT923" s="271"/>
      <c r="AU923" s="271"/>
      <c r="AV923" s="271"/>
      <c r="AW923" s="271"/>
      <c r="AX923" s="271"/>
      <c r="AY923" s="271"/>
      <c r="AZ923" s="271"/>
      <c r="BA923" s="271"/>
      <c r="BB923" s="271"/>
      <c r="BC923" s="271"/>
      <c r="BD923" s="271"/>
      <c r="BE923" s="271"/>
      <c r="BF923" s="271"/>
    </row>
    <row r="924" spans="2:58" ht="16" thickBot="1" x14ac:dyDescent="0.25">
      <c r="B924" s="289"/>
      <c r="C924" s="285">
        <f>299.94+299.94+149.97</f>
        <v>749.85</v>
      </c>
      <c r="D924" s="277"/>
      <c r="E924" s="279"/>
      <c r="F924" s="279" t="s">
        <v>14</v>
      </c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  <c r="AA924" s="271"/>
      <c r="AB924" s="271"/>
      <c r="AC924" s="271"/>
      <c r="AD924" s="271"/>
      <c r="AE924" s="271">
        <v>15</v>
      </c>
      <c r="AF924" s="271">
        <f>AE924*49.99</f>
        <v>749.85</v>
      </c>
      <c r="AG924" s="271"/>
      <c r="AH924" s="271"/>
      <c r="AI924" s="271"/>
      <c r="AJ924" s="271"/>
      <c r="AK924" s="271"/>
      <c r="AL924" s="271"/>
      <c r="AM924" s="271"/>
      <c r="AN924" s="271"/>
      <c r="AO924" s="271"/>
      <c r="AP924" s="271"/>
      <c r="AQ924" s="271"/>
      <c r="AR924" s="271"/>
      <c r="AS924" s="271"/>
      <c r="AT924" s="271"/>
      <c r="AU924" s="271"/>
      <c r="AV924" s="271"/>
      <c r="AW924" s="271"/>
      <c r="AX924" s="271"/>
      <c r="AY924" s="271"/>
      <c r="AZ924" s="271"/>
      <c r="BA924" s="271"/>
      <c r="BB924" s="271"/>
      <c r="BC924" s="271"/>
      <c r="BD924" s="271"/>
      <c r="BE924" s="271"/>
      <c r="BF924" s="271"/>
    </row>
    <row r="925" spans="2:58" ht="16" thickBot="1" x14ac:dyDescent="0.25">
      <c r="B925" s="289"/>
      <c r="C925" s="285">
        <v>2640</v>
      </c>
      <c r="D925" s="277"/>
      <c r="E925" s="279" t="s">
        <v>1005</v>
      </c>
      <c r="F925" s="279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  <c r="AA925" s="271"/>
      <c r="AB925" s="271"/>
      <c r="AC925" s="271"/>
      <c r="AD925" s="271"/>
      <c r="AE925" s="271"/>
      <c r="AF925" s="271"/>
      <c r="AG925" s="271"/>
      <c r="AH925" s="271"/>
      <c r="AI925" s="271"/>
      <c r="AJ925" s="271"/>
      <c r="AK925" s="271"/>
      <c r="AL925" s="271"/>
      <c r="AM925" s="271"/>
      <c r="AN925" s="271"/>
      <c r="AO925" s="271"/>
      <c r="AP925" s="271"/>
      <c r="AQ925" s="271"/>
      <c r="AR925" s="271"/>
      <c r="AS925" s="271"/>
      <c r="AT925" s="271"/>
      <c r="AU925" s="271"/>
      <c r="AV925" s="271"/>
      <c r="AW925" s="271"/>
      <c r="AX925" s="271"/>
      <c r="AY925" s="271"/>
      <c r="AZ925" s="271"/>
      <c r="BA925" s="271"/>
      <c r="BB925" s="271"/>
      <c r="BC925" s="271"/>
      <c r="BD925" s="271"/>
      <c r="BE925" s="271"/>
      <c r="BF925" s="271"/>
    </row>
    <row r="926" spans="2:58" ht="16" thickBot="1" x14ac:dyDescent="0.25">
      <c r="B926" s="289"/>
      <c r="C926" s="285">
        <v>13966.23</v>
      </c>
      <c r="D926" s="277"/>
      <c r="E926" s="279"/>
      <c r="F926" s="279" t="s">
        <v>9</v>
      </c>
      <c r="G926" s="271">
        <v>15</v>
      </c>
      <c r="H926" s="271">
        <v>2054.85</v>
      </c>
      <c r="I926" s="271">
        <v>4</v>
      </c>
      <c r="J926" s="271">
        <v>819.96</v>
      </c>
      <c r="K926" s="271">
        <v>14</v>
      </c>
      <c r="L926" s="271">
        <v>2547.86</v>
      </c>
      <c r="M926" s="271">
        <v>18</v>
      </c>
      <c r="N926" s="271">
        <v>3113.82</v>
      </c>
      <c r="O926" s="271">
        <v>9</v>
      </c>
      <c r="P926" s="271">
        <v>3375</v>
      </c>
      <c r="Q926" s="271"/>
      <c r="R926" s="271"/>
      <c r="S926" s="271"/>
      <c r="T926" s="271"/>
      <c r="U926" s="271"/>
      <c r="V926" s="271"/>
      <c r="W926" s="271">
        <v>8</v>
      </c>
      <c r="X926" s="271">
        <v>719.92</v>
      </c>
      <c r="Y926" s="271"/>
      <c r="Z926" s="271"/>
      <c r="AA926" s="271"/>
      <c r="AB926" s="271"/>
      <c r="AC926" s="271">
        <v>9</v>
      </c>
      <c r="AD926" s="271">
        <v>890.91</v>
      </c>
      <c r="AE926" s="271"/>
      <c r="AF926" s="271"/>
      <c r="AG926" s="271"/>
      <c r="AH926" s="271"/>
      <c r="AI926" s="271"/>
      <c r="AJ926" s="271"/>
      <c r="AK926" s="271"/>
      <c r="AL926" s="271"/>
      <c r="AM926" s="271"/>
      <c r="AN926" s="271"/>
      <c r="AO926" s="271"/>
      <c r="AP926" s="271"/>
      <c r="AQ926" s="271"/>
      <c r="AR926" s="271"/>
      <c r="AS926" s="271"/>
      <c r="AT926" s="271"/>
      <c r="AU926" s="271"/>
      <c r="AV926" s="271"/>
      <c r="AW926" s="271"/>
      <c r="AX926" s="271"/>
      <c r="AY926" s="271"/>
      <c r="AZ926" s="271"/>
      <c r="BA926" s="271">
        <v>2</v>
      </c>
      <c r="BB926" s="271">
        <v>55.98</v>
      </c>
      <c r="BC926" s="271"/>
      <c r="BD926" s="271"/>
      <c r="BE926" s="271">
        <v>1</v>
      </c>
      <c r="BF926" s="271">
        <v>75.989999999999995</v>
      </c>
    </row>
    <row r="927" spans="2:58" ht="16" thickBot="1" x14ac:dyDescent="0.25">
      <c r="B927" s="289"/>
      <c r="C927" s="285"/>
      <c r="D927" s="277"/>
      <c r="E927" s="279"/>
      <c r="F927" s="279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  <c r="AA927" s="271"/>
      <c r="AB927" s="271"/>
      <c r="AC927" s="271"/>
      <c r="AD927" s="271"/>
      <c r="AE927" s="271"/>
      <c r="AF927" s="271"/>
      <c r="AG927" s="271"/>
      <c r="AH927" s="271"/>
      <c r="AI927" s="271"/>
      <c r="AJ927" s="271"/>
      <c r="AK927" s="271"/>
      <c r="AL927" s="271"/>
      <c r="AM927" s="271"/>
      <c r="AN927" s="271"/>
      <c r="AO927" s="271"/>
      <c r="AP927" s="271"/>
      <c r="AQ927" s="271"/>
      <c r="AR927" s="271"/>
      <c r="AS927" s="271"/>
      <c r="AT927" s="271"/>
      <c r="AU927" s="271"/>
      <c r="AV927" s="271"/>
      <c r="AW927" s="271"/>
      <c r="AX927" s="271"/>
      <c r="AY927" s="271"/>
      <c r="AZ927" s="271"/>
      <c r="BA927" s="271"/>
      <c r="BB927" s="271"/>
      <c r="BC927" s="271"/>
      <c r="BD927" s="271"/>
      <c r="BE927" s="271"/>
      <c r="BF927" s="271"/>
    </row>
    <row r="928" spans="2:58" ht="16" thickBot="1" x14ac:dyDescent="0.25">
      <c r="B928" s="288" t="s">
        <v>22</v>
      </c>
      <c r="C928" s="287"/>
      <c r="D928" s="290"/>
      <c r="E928" s="290"/>
      <c r="F928" s="296"/>
      <c r="G928" s="309"/>
      <c r="H928" s="310"/>
      <c r="I928" s="309"/>
      <c r="J928" s="310"/>
      <c r="K928" s="309"/>
      <c r="L928" s="310"/>
      <c r="M928" s="309"/>
      <c r="N928" s="310"/>
      <c r="O928" s="271"/>
      <c r="P928" s="271"/>
      <c r="Q928" s="309"/>
      <c r="R928" s="310"/>
      <c r="S928" s="309"/>
      <c r="T928" s="310"/>
      <c r="U928" s="309"/>
      <c r="V928" s="310"/>
      <c r="W928" s="309"/>
      <c r="X928" s="310"/>
      <c r="Y928" s="309"/>
      <c r="Z928" s="310"/>
      <c r="AA928" s="309"/>
      <c r="AB928" s="310"/>
      <c r="AC928" s="271"/>
      <c r="AD928" s="271"/>
      <c r="AE928" s="309"/>
      <c r="AF928" s="310"/>
      <c r="AG928" s="309"/>
      <c r="AH928" s="310"/>
      <c r="AI928" s="309"/>
      <c r="AJ928" s="310"/>
      <c r="AK928" s="309"/>
      <c r="AL928" s="310"/>
      <c r="AM928" s="309"/>
      <c r="AN928" s="310"/>
      <c r="AO928" s="309"/>
      <c r="AP928" s="310"/>
      <c r="AQ928" s="309"/>
      <c r="AR928" s="310"/>
      <c r="AS928" s="309"/>
      <c r="AT928" s="310"/>
      <c r="AU928" s="309"/>
      <c r="AV928" s="310"/>
      <c r="AW928" s="309"/>
      <c r="AX928" s="310"/>
      <c r="AY928" s="309"/>
      <c r="AZ928" s="310"/>
      <c r="BA928" s="271"/>
      <c r="BB928" s="271"/>
      <c r="BC928" s="271"/>
      <c r="BD928" s="271"/>
      <c r="BE928" s="271"/>
      <c r="BF928" s="271"/>
    </row>
    <row r="929" spans="2:58" ht="16" thickBot="1" x14ac:dyDescent="0.25">
      <c r="B929" s="292"/>
      <c r="C929" s="159">
        <f>SUM(C921:C928)</f>
        <v>19836.080000000002</v>
      </c>
      <c r="D929" s="159"/>
      <c r="E929" s="270"/>
      <c r="F929" s="297"/>
      <c r="G929" s="309"/>
      <c r="H929" s="310"/>
      <c r="I929" s="309"/>
      <c r="J929" s="310"/>
      <c r="K929" s="309"/>
      <c r="L929" s="310"/>
      <c r="M929" s="309"/>
      <c r="N929" s="310"/>
      <c r="O929" s="271"/>
      <c r="P929" s="271"/>
      <c r="Q929" s="310"/>
      <c r="R929" s="310"/>
      <c r="S929" s="309"/>
      <c r="T929" s="310"/>
      <c r="U929" s="309"/>
      <c r="V929" s="310"/>
      <c r="W929" s="309"/>
      <c r="X929" s="310"/>
      <c r="Y929" s="309"/>
      <c r="Z929" s="310"/>
      <c r="AA929" s="309"/>
      <c r="AB929" s="310"/>
      <c r="AC929" s="271"/>
      <c r="AD929" s="271"/>
      <c r="AE929" s="309"/>
      <c r="AF929" s="310"/>
      <c r="AG929" s="309"/>
      <c r="AH929" s="310"/>
      <c r="AI929" s="309"/>
      <c r="AJ929" s="310"/>
      <c r="AK929" s="309"/>
      <c r="AL929" s="310"/>
      <c r="AM929" s="309"/>
      <c r="AN929" s="310"/>
      <c r="AO929" s="309"/>
      <c r="AP929" s="310"/>
      <c r="AQ929" s="309"/>
      <c r="AR929" s="310"/>
      <c r="AS929" s="309"/>
      <c r="AT929" s="310"/>
      <c r="AU929" s="309"/>
      <c r="AV929" s="310"/>
      <c r="AW929" s="309"/>
      <c r="AX929" s="310"/>
      <c r="AY929" s="309"/>
      <c r="AZ929" s="310"/>
      <c r="BA929" s="271"/>
      <c r="BB929" s="271"/>
      <c r="BC929" s="271"/>
      <c r="BD929" s="271"/>
      <c r="BE929" s="271"/>
      <c r="BF929" s="271"/>
    </row>
    <row r="930" spans="2:58" ht="16" thickBot="1" x14ac:dyDescent="0.25">
      <c r="B930" s="289">
        <v>45764</v>
      </c>
      <c r="C930" s="295">
        <f>2119.19+600+81+81</f>
        <v>2881.19</v>
      </c>
      <c r="D930" s="275"/>
      <c r="E930" s="274" t="s">
        <v>296</v>
      </c>
      <c r="F930" s="301"/>
      <c r="G930" s="309"/>
      <c r="H930" s="310"/>
      <c r="I930" s="309"/>
      <c r="J930" s="310"/>
      <c r="K930" s="309"/>
      <c r="L930" s="310"/>
      <c r="M930" s="309"/>
      <c r="N930" s="310"/>
      <c r="O930" s="271"/>
      <c r="P930" s="271"/>
      <c r="Q930" s="309"/>
      <c r="R930" s="310"/>
      <c r="S930" s="309"/>
      <c r="T930" s="310"/>
      <c r="U930" s="309"/>
      <c r="V930" s="310"/>
      <c r="W930" s="309"/>
      <c r="X930" s="310"/>
      <c r="Y930" s="309"/>
      <c r="Z930" s="310"/>
      <c r="AA930" s="309"/>
      <c r="AB930" s="310"/>
      <c r="AC930" s="271"/>
      <c r="AD930" s="271"/>
      <c r="AE930" s="309"/>
      <c r="AF930" s="310"/>
      <c r="AG930" s="309"/>
      <c r="AH930" s="310"/>
      <c r="AI930" s="309"/>
      <c r="AJ930" s="310"/>
      <c r="AK930" s="309"/>
      <c r="AL930" s="310"/>
      <c r="AM930" s="309"/>
      <c r="AN930" s="310"/>
      <c r="AO930" s="309"/>
      <c r="AP930" s="310"/>
      <c r="AQ930" s="309"/>
      <c r="AR930" s="310"/>
      <c r="AS930" s="309"/>
      <c r="AT930" s="310"/>
      <c r="AU930" s="309"/>
      <c r="AV930" s="310"/>
      <c r="AW930" s="309"/>
      <c r="AX930" s="310"/>
      <c r="AY930" s="309"/>
      <c r="AZ930" s="310"/>
      <c r="BA930" s="271"/>
      <c r="BB930" s="271"/>
      <c r="BC930" s="271"/>
      <c r="BD930" s="271"/>
      <c r="BE930" s="271"/>
      <c r="BF930" s="271"/>
    </row>
    <row r="931" spans="2:58" ht="16" thickBot="1" x14ac:dyDescent="0.25">
      <c r="B931" s="289"/>
      <c r="C931" s="295">
        <f>44.99+6748.66</f>
        <v>6793.65</v>
      </c>
      <c r="D931" s="275"/>
      <c r="E931" s="275"/>
      <c r="F931" s="302" t="s">
        <v>9</v>
      </c>
      <c r="G931" s="309">
        <v>8</v>
      </c>
      <c r="H931" s="310">
        <v>1095.92</v>
      </c>
      <c r="I931" s="309">
        <v>3</v>
      </c>
      <c r="J931" s="310">
        <v>614.97</v>
      </c>
      <c r="K931" s="309">
        <v>3</v>
      </c>
      <c r="L931" s="310">
        <v>545.97</v>
      </c>
      <c r="M931" s="309">
        <v>8</v>
      </c>
      <c r="N931" s="310">
        <v>1383.92</v>
      </c>
      <c r="O931" s="271">
        <v>5</v>
      </c>
      <c r="P931" s="271">
        <v>1875</v>
      </c>
      <c r="Q931" s="309">
        <v>1</v>
      </c>
      <c r="R931" s="310">
        <v>289.98</v>
      </c>
      <c r="S931" s="309"/>
      <c r="T931" s="310"/>
      <c r="U931" s="309"/>
      <c r="V931" s="310"/>
      <c r="W931" s="309">
        <v>4</v>
      </c>
      <c r="X931" s="310">
        <v>359.96</v>
      </c>
      <c r="Y931" s="309"/>
      <c r="Z931" s="310"/>
      <c r="AA931" s="309"/>
      <c r="AB931" s="310"/>
      <c r="AC931" s="271">
        <v>5</v>
      </c>
      <c r="AD931" s="271">
        <v>494.95</v>
      </c>
      <c r="AE931" s="309"/>
      <c r="AF931" s="310"/>
      <c r="AG931" s="309"/>
      <c r="AH931" s="310"/>
      <c r="AI931" s="309"/>
      <c r="AJ931" s="310"/>
      <c r="AK931" s="309"/>
      <c r="AL931" s="310"/>
      <c r="AM931" s="309"/>
      <c r="AN931" s="310"/>
      <c r="AO931" s="309"/>
      <c r="AP931" s="310"/>
      <c r="AQ931" s="309"/>
      <c r="AR931" s="310"/>
      <c r="AS931" s="309"/>
      <c r="AT931" s="310"/>
      <c r="AU931" s="309"/>
      <c r="AV931" s="310"/>
      <c r="AW931" s="309"/>
      <c r="AX931" s="310"/>
      <c r="AY931" s="309"/>
      <c r="AZ931" s="310"/>
      <c r="BA931" s="271">
        <v>1</v>
      </c>
      <c r="BB931" s="271">
        <v>27.99</v>
      </c>
      <c r="BC931" s="271"/>
      <c r="BD931" s="271"/>
      <c r="BE931" s="271"/>
      <c r="BF931" s="271"/>
    </row>
    <row r="932" spans="2:58" ht="16" thickBot="1" x14ac:dyDescent="0.25">
      <c r="B932" s="289"/>
      <c r="C932" s="295">
        <v>371.93</v>
      </c>
      <c r="D932" s="275"/>
      <c r="E932" s="275"/>
      <c r="F932" s="302" t="s">
        <v>14</v>
      </c>
      <c r="G932" s="309"/>
      <c r="H932" s="310"/>
      <c r="I932" s="309"/>
      <c r="J932" s="310"/>
      <c r="K932" s="309"/>
      <c r="L932" s="310"/>
      <c r="M932" s="309"/>
      <c r="N932" s="310"/>
      <c r="O932" s="271"/>
      <c r="P932" s="271"/>
      <c r="Q932" s="309"/>
      <c r="R932" s="310"/>
      <c r="S932" s="309"/>
      <c r="T932" s="310"/>
      <c r="U932" s="309"/>
      <c r="V932" s="310"/>
      <c r="W932" s="309"/>
      <c r="X932" s="310"/>
      <c r="Y932" s="309"/>
      <c r="Z932" s="310"/>
      <c r="AA932" s="309"/>
      <c r="AB932" s="310"/>
      <c r="AC932" s="271"/>
      <c r="AD932" s="271"/>
      <c r="AE932" s="309">
        <v>7</v>
      </c>
      <c r="AF932" s="310">
        <v>349.93</v>
      </c>
      <c r="AG932" s="309"/>
      <c r="AH932" s="310"/>
      <c r="AI932" s="309"/>
      <c r="AJ932" s="310"/>
      <c r="AK932" s="309"/>
      <c r="AL932" s="310"/>
      <c r="AM932" s="309"/>
      <c r="AN932" s="310"/>
      <c r="AO932" s="309"/>
      <c r="AP932" s="310"/>
      <c r="AQ932" s="309"/>
      <c r="AR932" s="310"/>
      <c r="AS932" s="309"/>
      <c r="AT932" s="310"/>
      <c r="AU932" s="309"/>
      <c r="AV932" s="310"/>
      <c r="AW932" s="309"/>
      <c r="AX932" s="310"/>
      <c r="AY932" s="309"/>
      <c r="AZ932" s="310"/>
      <c r="BA932" s="271"/>
      <c r="BB932" s="271"/>
      <c r="BC932" s="271"/>
      <c r="BD932" s="271"/>
      <c r="BE932" s="271"/>
      <c r="BF932" s="271"/>
    </row>
    <row r="933" spans="2:58" ht="16" thickBot="1" x14ac:dyDescent="0.25">
      <c r="B933" s="289"/>
      <c r="C933" s="295">
        <v>7157.54</v>
      </c>
      <c r="D933" s="275"/>
      <c r="E933" s="275"/>
      <c r="F933" s="302" t="s">
        <v>311</v>
      </c>
      <c r="G933" s="309"/>
      <c r="H933" s="310"/>
      <c r="I933" s="309"/>
      <c r="J933" s="310"/>
      <c r="K933" s="309"/>
      <c r="L933" s="310"/>
      <c r="M933" s="309"/>
      <c r="N933" s="310"/>
      <c r="O933" s="271"/>
      <c r="P933" s="271"/>
      <c r="Q933" s="309"/>
      <c r="R933" s="310"/>
      <c r="S933" s="309"/>
      <c r="T933" s="310"/>
      <c r="U933" s="309"/>
      <c r="V933" s="310"/>
      <c r="W933" s="309"/>
      <c r="X933" s="310"/>
      <c r="Y933" s="309"/>
      <c r="Z933" s="310"/>
      <c r="AA933" s="309"/>
      <c r="AB933" s="310"/>
      <c r="AC933" s="271"/>
      <c r="AD933" s="271"/>
      <c r="AE933" s="309"/>
      <c r="AF933" s="310"/>
      <c r="AG933" s="309"/>
      <c r="AH933" s="310"/>
      <c r="AI933" s="309"/>
      <c r="AJ933" s="310"/>
      <c r="AK933" s="309"/>
      <c r="AL933" s="310"/>
      <c r="AM933" s="309"/>
      <c r="AN933" s="310"/>
      <c r="AO933" s="309"/>
      <c r="AP933" s="310"/>
      <c r="AQ933" s="309"/>
      <c r="AR933" s="310"/>
      <c r="AS933" s="309"/>
      <c r="AT933" s="310"/>
      <c r="AU933" s="309"/>
      <c r="AV933" s="310"/>
      <c r="AW933" s="309">
        <v>15</v>
      </c>
      <c r="AX933" s="310">
        <f>7157.54/2</f>
        <v>3578.77</v>
      </c>
      <c r="AY933" s="309">
        <v>15</v>
      </c>
      <c r="AZ933" s="310">
        <v>3578.77</v>
      </c>
      <c r="BA933" s="271"/>
      <c r="BB933" s="271"/>
      <c r="BC933" s="271"/>
      <c r="BD933" s="271"/>
      <c r="BE933" s="271"/>
      <c r="BF933" s="271"/>
    </row>
    <row r="934" spans="2:58" ht="16" thickBot="1" x14ac:dyDescent="0.25">
      <c r="B934" s="289"/>
      <c r="C934" s="295"/>
      <c r="D934" s="275"/>
      <c r="E934" s="275"/>
      <c r="F934" s="302"/>
      <c r="G934" s="309"/>
      <c r="H934" s="310"/>
      <c r="I934" s="309"/>
      <c r="J934" s="310"/>
      <c r="K934" s="309"/>
      <c r="L934" s="310"/>
      <c r="M934" s="309"/>
      <c r="N934" s="310"/>
      <c r="O934" s="271"/>
      <c r="P934" s="271"/>
      <c r="Q934" s="309"/>
      <c r="R934" s="310"/>
      <c r="S934" s="309"/>
      <c r="T934" s="310"/>
      <c r="U934" s="309"/>
      <c r="V934" s="310"/>
      <c r="W934" s="309"/>
      <c r="X934" s="310"/>
      <c r="Y934" s="309"/>
      <c r="Z934" s="310"/>
      <c r="AA934" s="309"/>
      <c r="AB934" s="310"/>
      <c r="AC934" s="271"/>
      <c r="AD934" s="271"/>
      <c r="AE934" s="309"/>
      <c r="AF934" s="310"/>
      <c r="AG934" s="309"/>
      <c r="AH934" s="310"/>
      <c r="AI934" s="309"/>
      <c r="AJ934" s="310"/>
      <c r="AK934" s="309"/>
      <c r="AL934" s="310"/>
      <c r="AM934" s="309"/>
      <c r="AN934" s="310"/>
      <c r="AO934" s="309"/>
      <c r="AP934" s="310"/>
      <c r="AQ934" s="309"/>
      <c r="AR934" s="310"/>
      <c r="AS934" s="309"/>
      <c r="AT934" s="310"/>
      <c r="AU934" s="309"/>
      <c r="AV934" s="310"/>
      <c r="AW934" s="309"/>
      <c r="AX934" s="310"/>
      <c r="AY934" s="309"/>
      <c r="AZ934" s="310"/>
      <c r="BA934" s="271"/>
      <c r="BB934" s="271"/>
      <c r="BC934" s="271"/>
      <c r="BD934" s="271"/>
      <c r="BE934" s="271"/>
      <c r="BF934" s="271"/>
    </row>
    <row r="935" spans="2:58" ht="16" thickBot="1" x14ac:dyDescent="0.25">
      <c r="B935" s="289" t="s">
        <v>23</v>
      </c>
      <c r="C935" s="295"/>
      <c r="D935" s="275"/>
      <c r="E935" s="275"/>
      <c r="F935" s="302"/>
      <c r="G935" s="309"/>
      <c r="H935" s="310"/>
      <c r="I935" s="309"/>
      <c r="J935" s="310"/>
      <c r="K935" s="309"/>
      <c r="L935" s="310"/>
      <c r="M935" s="309"/>
      <c r="N935" s="310"/>
      <c r="O935" s="271"/>
      <c r="P935" s="271"/>
      <c r="Q935" s="309"/>
      <c r="R935" s="310"/>
      <c r="S935" s="309"/>
      <c r="T935" s="310"/>
      <c r="U935" s="309"/>
      <c r="V935" s="310"/>
      <c r="W935" s="309"/>
      <c r="X935" s="310"/>
      <c r="Y935" s="309"/>
      <c r="Z935" s="310"/>
      <c r="AA935" s="309"/>
      <c r="AB935" s="310"/>
      <c r="AC935" s="271"/>
      <c r="AD935" s="271"/>
      <c r="AE935" s="309"/>
      <c r="AF935" s="310"/>
      <c r="AG935" s="309"/>
      <c r="AH935" s="310"/>
      <c r="AI935" s="309"/>
      <c r="AJ935" s="310"/>
      <c r="AK935" s="309"/>
      <c r="AL935" s="310"/>
      <c r="AM935" s="309"/>
      <c r="AN935" s="310"/>
      <c r="AO935" s="309"/>
      <c r="AP935" s="310"/>
      <c r="AQ935" s="309"/>
      <c r="AR935" s="310"/>
      <c r="AS935" s="309"/>
      <c r="AT935" s="310"/>
      <c r="AU935" s="309"/>
      <c r="AV935" s="310"/>
      <c r="AW935" s="309"/>
      <c r="AX935" s="310"/>
      <c r="AY935" s="309"/>
      <c r="AZ935" s="310"/>
      <c r="BA935" s="271"/>
      <c r="BB935" s="271"/>
      <c r="BC935" s="271"/>
      <c r="BD935" s="271"/>
      <c r="BE935" s="271"/>
      <c r="BF935" s="271"/>
    </row>
    <row r="936" spans="2:58" ht="16" thickBot="1" x14ac:dyDescent="0.25">
      <c r="B936" s="298"/>
      <c r="C936" s="656">
        <f>SUM(C930:C935)</f>
        <v>17204.310000000001</v>
      </c>
      <c r="D936" s="656"/>
      <c r="E936" s="578"/>
      <c r="F936" s="553"/>
      <c r="G936" s="309"/>
      <c r="H936" s="310"/>
      <c r="I936" s="309"/>
      <c r="J936" s="310"/>
      <c r="K936" s="309"/>
      <c r="L936" s="310"/>
      <c r="M936" s="309"/>
      <c r="N936" s="310"/>
      <c r="O936" s="271"/>
      <c r="P936" s="271"/>
      <c r="Q936" s="309"/>
      <c r="R936" s="310"/>
      <c r="S936" s="309"/>
      <c r="T936" s="310"/>
      <c r="U936" s="309"/>
      <c r="V936" s="310"/>
      <c r="W936" s="309"/>
      <c r="X936" s="310"/>
      <c r="Y936" s="309"/>
      <c r="Z936" s="310"/>
      <c r="AA936" s="309"/>
      <c r="AB936" s="310"/>
      <c r="AC936" s="271"/>
      <c r="AD936" s="271"/>
      <c r="AE936" s="309"/>
      <c r="AF936" s="310"/>
      <c r="AG936" s="309"/>
      <c r="AH936" s="310"/>
      <c r="AI936" s="309"/>
      <c r="AJ936" s="310"/>
      <c r="AK936" s="309"/>
      <c r="AL936" s="310"/>
      <c r="AM936" s="309"/>
      <c r="AN936" s="310"/>
      <c r="AO936" s="309"/>
      <c r="AP936" s="310"/>
      <c r="AQ936" s="309"/>
      <c r="AR936" s="310"/>
      <c r="AS936" s="309"/>
      <c r="AT936" s="310"/>
      <c r="AU936" s="309"/>
      <c r="AV936" s="310"/>
      <c r="AW936" s="309"/>
      <c r="AX936" s="310"/>
      <c r="AY936" s="309"/>
      <c r="AZ936" s="310"/>
      <c r="BA936" s="271"/>
      <c r="BB936" s="271"/>
      <c r="BC936" s="271"/>
      <c r="BD936" s="271"/>
      <c r="BE936" s="271"/>
      <c r="BF936" s="271"/>
    </row>
    <row r="937" spans="2:58" ht="16" thickBot="1" x14ac:dyDescent="0.25">
      <c r="B937" s="479">
        <v>45765</v>
      </c>
      <c r="C937" s="299">
        <v>600</v>
      </c>
      <c r="D937" s="300"/>
      <c r="E937" s="274" t="s">
        <v>186</v>
      </c>
      <c r="F937" s="301"/>
      <c r="G937" s="309"/>
      <c r="H937" s="310"/>
      <c r="I937" s="309"/>
      <c r="J937" s="310"/>
      <c r="K937" s="309"/>
      <c r="L937" s="310"/>
      <c r="M937" s="309"/>
      <c r="N937" s="310"/>
      <c r="O937" s="271"/>
      <c r="P937" s="271"/>
      <c r="Q937" s="309"/>
      <c r="R937" s="310"/>
      <c r="S937" s="309"/>
      <c r="T937" s="310"/>
      <c r="U937" s="309"/>
      <c r="V937" s="310"/>
      <c r="W937" s="309"/>
      <c r="X937" s="310"/>
      <c r="Y937" s="309"/>
      <c r="Z937" s="310"/>
      <c r="AA937" s="309"/>
      <c r="AB937" s="310"/>
      <c r="AC937" s="271"/>
      <c r="AD937" s="271"/>
      <c r="AE937" s="309"/>
      <c r="AF937" s="310"/>
      <c r="AG937" s="309"/>
      <c r="AH937" s="310"/>
      <c r="AI937" s="309"/>
      <c r="AJ937" s="310"/>
      <c r="AK937" s="309"/>
      <c r="AL937" s="310"/>
      <c r="AM937" s="309"/>
      <c r="AN937" s="310"/>
      <c r="AO937" s="309"/>
      <c r="AP937" s="310"/>
      <c r="AQ937" s="309"/>
      <c r="AR937" s="310"/>
      <c r="AS937" s="309"/>
      <c r="AT937" s="310"/>
      <c r="AU937" s="309"/>
      <c r="AV937" s="310"/>
      <c r="AW937" s="309"/>
      <c r="AX937" s="310"/>
      <c r="AY937" s="309"/>
      <c r="AZ937" s="310"/>
      <c r="BA937" s="271"/>
      <c r="BB937" s="271"/>
      <c r="BC937" s="271"/>
      <c r="BD937" s="271"/>
      <c r="BE937" s="271"/>
      <c r="BF937" s="271"/>
    </row>
    <row r="938" spans="2:58" ht="16" thickBot="1" x14ac:dyDescent="0.25">
      <c r="B938" s="479"/>
      <c r="C938" s="299">
        <v>90</v>
      </c>
      <c r="D938" s="300"/>
      <c r="E938" s="275" t="s">
        <v>377</v>
      </c>
      <c r="F938" s="302"/>
      <c r="G938" s="309"/>
      <c r="H938" s="310"/>
      <c r="I938" s="309"/>
      <c r="J938" s="310"/>
      <c r="K938" s="309"/>
      <c r="L938" s="310"/>
      <c r="M938" s="309"/>
      <c r="N938" s="310"/>
      <c r="O938" s="271"/>
      <c r="P938" s="271"/>
      <c r="Q938" s="309"/>
      <c r="R938" s="310"/>
      <c r="S938" s="309"/>
      <c r="T938" s="310"/>
      <c r="U938" s="309"/>
      <c r="V938" s="310"/>
      <c r="W938" s="309"/>
      <c r="X938" s="310"/>
      <c r="Y938" s="309"/>
      <c r="Z938" s="310"/>
      <c r="AA938" s="309"/>
      <c r="AB938" s="310"/>
      <c r="AC938" s="271"/>
      <c r="AD938" s="271"/>
      <c r="AE938" s="309"/>
      <c r="AF938" s="310"/>
      <c r="AG938" s="309"/>
      <c r="AH938" s="310"/>
      <c r="AI938" s="309"/>
      <c r="AJ938" s="310"/>
      <c r="AK938" s="309"/>
      <c r="AL938" s="310"/>
      <c r="AM938" s="309"/>
      <c r="AN938" s="310"/>
      <c r="AO938" s="309"/>
      <c r="AP938" s="310"/>
      <c r="AQ938" s="309"/>
      <c r="AR938" s="310"/>
      <c r="AS938" s="309"/>
      <c r="AT938" s="310"/>
      <c r="AU938" s="309"/>
      <c r="AV938" s="310"/>
      <c r="AW938" s="309"/>
      <c r="AX938" s="310"/>
      <c r="AY938" s="309"/>
      <c r="AZ938" s="310"/>
      <c r="BA938" s="271"/>
      <c r="BB938" s="271"/>
      <c r="BC938" s="271"/>
      <c r="BD938" s="271"/>
      <c r="BE938" s="271"/>
      <c r="BF938" s="271"/>
    </row>
    <row r="939" spans="2:58" ht="16" thickBot="1" x14ac:dyDescent="0.25">
      <c r="B939" s="479"/>
      <c r="C939" s="299">
        <v>349.93</v>
      </c>
      <c r="D939" s="300"/>
      <c r="E939" s="275"/>
      <c r="F939" s="302" t="s">
        <v>14</v>
      </c>
      <c r="G939" s="309"/>
      <c r="H939" s="310"/>
      <c r="I939" s="309"/>
      <c r="J939" s="310"/>
      <c r="K939" s="309"/>
      <c r="L939" s="310"/>
      <c r="M939" s="309"/>
      <c r="N939" s="310"/>
      <c r="O939" s="271"/>
      <c r="P939" s="271"/>
      <c r="Q939" s="309"/>
      <c r="R939" s="310"/>
      <c r="S939" s="309"/>
      <c r="T939" s="310"/>
      <c r="U939" s="309"/>
      <c r="V939" s="310"/>
      <c r="W939" s="309"/>
      <c r="X939" s="310"/>
      <c r="Y939" s="309"/>
      <c r="Z939" s="310"/>
      <c r="AA939" s="309"/>
      <c r="AB939" s="310"/>
      <c r="AC939" s="271"/>
      <c r="AD939" s="271"/>
      <c r="AE939" s="309">
        <v>7</v>
      </c>
      <c r="AF939" s="310">
        <v>349.93</v>
      </c>
      <c r="AG939" s="309"/>
      <c r="AH939" s="310"/>
      <c r="AI939" s="309"/>
      <c r="AJ939" s="310"/>
      <c r="AK939" s="309"/>
      <c r="AL939" s="310"/>
      <c r="AM939" s="309"/>
      <c r="AN939" s="310"/>
      <c r="AO939" s="309"/>
      <c r="AP939" s="310"/>
      <c r="AQ939" s="309"/>
      <c r="AR939" s="310"/>
      <c r="AS939" s="309"/>
      <c r="AT939" s="310"/>
      <c r="AU939" s="309"/>
      <c r="AV939" s="310"/>
      <c r="AW939" s="309"/>
      <c r="AX939" s="310"/>
      <c r="AY939" s="309"/>
      <c r="AZ939" s="310"/>
      <c r="BA939" s="271"/>
      <c r="BB939" s="271"/>
      <c r="BC939" s="271"/>
      <c r="BD939" s="271"/>
      <c r="BE939" s="271"/>
      <c r="BF939" s="271"/>
    </row>
    <row r="940" spans="2:58" ht="16" thickBot="1" x14ac:dyDescent="0.25">
      <c r="B940" s="479"/>
      <c r="C940" s="299">
        <v>7423.58</v>
      </c>
      <c r="D940" s="300"/>
      <c r="E940" s="275"/>
      <c r="F940" s="302" t="s">
        <v>9</v>
      </c>
      <c r="G940" s="309">
        <v>8</v>
      </c>
      <c r="H940" s="310">
        <v>1095.92</v>
      </c>
      <c r="I940" s="309">
        <v>2</v>
      </c>
      <c r="J940" s="310">
        <v>409.98</v>
      </c>
      <c r="K940" s="309">
        <v>8</v>
      </c>
      <c r="L940" s="310">
        <v>1455.92</v>
      </c>
      <c r="M940" s="309">
        <v>8</v>
      </c>
      <c r="N940" s="310">
        <v>1383.92</v>
      </c>
      <c r="O940" s="271">
        <v>5</v>
      </c>
      <c r="P940" s="271">
        <v>1875</v>
      </c>
      <c r="Q940" s="309"/>
      <c r="R940" s="310"/>
      <c r="S940" s="309"/>
      <c r="T940" s="310"/>
      <c r="U940" s="309"/>
      <c r="V940" s="310"/>
      <c r="W940" s="309">
        <v>4</v>
      </c>
      <c r="X940" s="310">
        <v>359.96</v>
      </c>
      <c r="Y940" s="309"/>
      <c r="Z940" s="310"/>
      <c r="AA940" s="309"/>
      <c r="AB940" s="310"/>
      <c r="AC940" s="271">
        <v>5</v>
      </c>
      <c r="AD940" s="271">
        <v>494.95</v>
      </c>
      <c r="AE940" s="309"/>
      <c r="AF940" s="310"/>
      <c r="AG940" s="309"/>
      <c r="AH940" s="310"/>
      <c r="AI940" s="309"/>
      <c r="AJ940" s="310"/>
      <c r="AK940" s="309"/>
      <c r="AL940" s="310"/>
      <c r="AM940" s="309">
        <v>1</v>
      </c>
      <c r="AN940" s="310">
        <v>49.99</v>
      </c>
      <c r="AO940" s="309"/>
      <c r="AP940" s="310"/>
      <c r="AQ940" s="309"/>
      <c r="AR940" s="310"/>
      <c r="AS940" s="309"/>
      <c r="AT940" s="310"/>
      <c r="AU940" s="309"/>
      <c r="AV940" s="310"/>
      <c r="AW940" s="309"/>
      <c r="AX940" s="310"/>
      <c r="AY940" s="309"/>
      <c r="AZ940" s="310"/>
      <c r="BA940" s="271">
        <v>1</v>
      </c>
      <c r="BB940" s="271">
        <v>27.99</v>
      </c>
      <c r="BC940" s="271"/>
      <c r="BD940" s="271"/>
      <c r="BE940" s="271"/>
      <c r="BF940" s="271"/>
    </row>
    <row r="941" spans="2:58" ht="16" thickBot="1" x14ac:dyDescent="0.25">
      <c r="B941" s="479"/>
      <c r="C941" s="657"/>
      <c r="D941" s="657"/>
      <c r="E941" s="285"/>
      <c r="F941" s="302"/>
      <c r="G941" s="309"/>
      <c r="H941" s="310"/>
      <c r="I941" s="309"/>
      <c r="J941" s="310"/>
      <c r="K941" s="309"/>
      <c r="L941" s="310"/>
      <c r="M941" s="309"/>
      <c r="N941" s="310"/>
      <c r="O941" s="271"/>
      <c r="P941" s="271"/>
      <c r="Q941" s="309"/>
      <c r="R941" s="310"/>
      <c r="S941" s="309"/>
      <c r="T941" s="310"/>
      <c r="U941" s="309"/>
      <c r="V941" s="310"/>
      <c r="W941" s="309"/>
      <c r="X941" s="310"/>
      <c r="Y941" s="309"/>
      <c r="Z941" s="310"/>
      <c r="AA941" s="309"/>
      <c r="AB941" s="310"/>
      <c r="AC941" s="271"/>
      <c r="AD941" s="271"/>
      <c r="AE941" s="309"/>
      <c r="AF941" s="310"/>
      <c r="AG941" s="309"/>
      <c r="AH941" s="310"/>
      <c r="AI941" s="309"/>
      <c r="AJ941" s="310"/>
      <c r="AK941" s="309"/>
      <c r="AL941" s="310"/>
      <c r="AM941" s="309"/>
      <c r="AN941" s="310"/>
      <c r="AO941" s="309"/>
      <c r="AP941" s="310"/>
      <c r="AQ941" s="309"/>
      <c r="AR941" s="310"/>
      <c r="AS941" s="309"/>
      <c r="AT941" s="310"/>
      <c r="AU941" s="309"/>
      <c r="AV941" s="310"/>
      <c r="AW941" s="309"/>
      <c r="AX941" s="310"/>
      <c r="AY941" s="309"/>
      <c r="AZ941" s="310"/>
      <c r="BA941" s="271"/>
      <c r="BB941" s="271"/>
      <c r="BC941" s="271"/>
      <c r="BD941" s="271"/>
      <c r="BE941" s="271"/>
      <c r="BF941" s="271"/>
    </row>
    <row r="942" spans="2:58" ht="16" thickBot="1" x14ac:dyDescent="0.25">
      <c r="B942" s="479" t="s">
        <v>24</v>
      </c>
      <c r="C942" s="299"/>
      <c r="D942" s="300"/>
      <c r="E942" s="275"/>
      <c r="F942" s="302"/>
      <c r="G942" s="309"/>
      <c r="H942" s="310"/>
      <c r="I942" s="309"/>
      <c r="J942" s="310"/>
      <c r="K942" s="309"/>
      <c r="L942" s="310"/>
      <c r="M942" s="309"/>
      <c r="N942" s="310"/>
      <c r="O942" s="271"/>
      <c r="P942" s="271"/>
      <c r="Q942" s="309"/>
      <c r="R942" s="310"/>
      <c r="S942" s="309"/>
      <c r="T942" s="310"/>
      <c r="U942" s="309"/>
      <c r="V942" s="310"/>
      <c r="W942" s="309"/>
      <c r="X942" s="310"/>
      <c r="Y942" s="309"/>
      <c r="Z942" s="310"/>
      <c r="AA942" s="309"/>
      <c r="AB942" s="310"/>
      <c r="AC942" s="271"/>
      <c r="AD942" s="271"/>
      <c r="AE942" s="309"/>
      <c r="AF942" s="310"/>
      <c r="AG942" s="309"/>
      <c r="AH942" s="310"/>
      <c r="AI942" s="309"/>
      <c r="AJ942" s="310"/>
      <c r="AK942" s="309"/>
      <c r="AL942" s="310"/>
      <c r="AM942" s="309"/>
      <c r="AN942" s="310"/>
      <c r="AO942" s="309"/>
      <c r="AP942" s="310"/>
      <c r="AQ942" s="309"/>
      <c r="AR942" s="310"/>
      <c r="AS942" s="309"/>
      <c r="AT942" s="310"/>
      <c r="AU942" s="309"/>
      <c r="AV942" s="310"/>
      <c r="AW942" s="309"/>
      <c r="AX942" s="310"/>
      <c r="AY942" s="309"/>
      <c r="AZ942" s="310"/>
      <c r="BA942" s="271"/>
      <c r="BB942" s="271"/>
      <c r="BC942" s="271"/>
      <c r="BD942" s="271"/>
      <c r="BE942" s="271"/>
      <c r="BF942" s="271"/>
    </row>
    <row r="943" spans="2:58" ht="16" thickBot="1" x14ac:dyDescent="0.25">
      <c r="B943" s="577"/>
      <c r="C943" s="159">
        <f>SUM(C937:C942)</f>
        <v>8463.51</v>
      </c>
      <c r="D943" s="159"/>
      <c r="E943" s="270"/>
      <c r="F943" s="271"/>
      <c r="G943" s="309"/>
      <c r="H943" s="310"/>
      <c r="I943" s="309"/>
      <c r="J943" s="310"/>
      <c r="K943" s="309"/>
      <c r="L943" s="310"/>
      <c r="M943" s="309"/>
      <c r="N943" s="310"/>
      <c r="O943" s="271"/>
      <c r="P943" s="271"/>
      <c r="Q943" s="309"/>
      <c r="R943" s="310"/>
      <c r="S943" s="309"/>
      <c r="T943" s="310"/>
      <c r="U943" s="309"/>
      <c r="V943" s="310"/>
      <c r="W943" s="309"/>
      <c r="X943" s="310"/>
      <c r="Y943" s="309"/>
      <c r="Z943" s="310"/>
      <c r="AA943" s="309"/>
      <c r="AB943" s="310"/>
      <c r="AC943" s="271"/>
      <c r="AD943" s="271"/>
      <c r="AE943" s="309"/>
      <c r="AF943" s="310"/>
      <c r="AG943" s="309"/>
      <c r="AH943" s="310"/>
      <c r="AI943" s="309"/>
      <c r="AJ943" s="310"/>
      <c r="AK943" s="309"/>
      <c r="AL943" s="310"/>
      <c r="AM943" s="309"/>
      <c r="AN943" s="310"/>
      <c r="AO943" s="309"/>
      <c r="AP943" s="310"/>
      <c r="AQ943" s="309"/>
      <c r="AR943" s="310"/>
      <c r="AS943" s="309"/>
      <c r="AT943" s="310"/>
      <c r="AU943" s="309"/>
      <c r="AV943" s="310"/>
      <c r="AW943" s="309"/>
      <c r="AX943" s="310"/>
      <c r="AY943" s="309"/>
      <c r="AZ943" s="310"/>
      <c r="BA943" s="271"/>
      <c r="BB943" s="271"/>
      <c r="BC943" s="271"/>
      <c r="BD943" s="271"/>
      <c r="BE943" s="271"/>
      <c r="BF943" s="271"/>
    </row>
    <row r="944" spans="2:58" ht="16" thickBot="1" x14ac:dyDescent="0.25">
      <c r="B944" s="289">
        <v>45766</v>
      </c>
      <c r="C944" s="299"/>
      <c r="D944" s="300"/>
      <c r="E944" s="274"/>
      <c r="F944" s="302"/>
      <c r="G944" s="309"/>
      <c r="H944" s="310"/>
      <c r="I944" s="309"/>
      <c r="J944" s="310"/>
      <c r="K944" s="309"/>
      <c r="L944" s="310"/>
      <c r="M944" s="309"/>
      <c r="N944" s="310"/>
      <c r="O944" s="271"/>
      <c r="P944" s="271"/>
      <c r="Q944" s="309"/>
      <c r="R944" s="310"/>
      <c r="S944" s="309"/>
      <c r="T944" s="310"/>
      <c r="U944" s="309"/>
      <c r="V944" s="310"/>
      <c r="W944" s="309"/>
      <c r="X944" s="310"/>
      <c r="Y944" s="309"/>
      <c r="Z944" s="310"/>
      <c r="AA944" s="309"/>
      <c r="AB944" s="310"/>
      <c r="AC944" s="271"/>
      <c r="AD944" s="271"/>
      <c r="AE944" s="309"/>
      <c r="AF944" s="310"/>
      <c r="AG944" s="309"/>
      <c r="AH944" s="310"/>
      <c r="AI944" s="309"/>
      <c r="AJ944" s="310"/>
      <c r="AK944" s="309"/>
      <c r="AL944" s="310"/>
      <c r="AM944" s="309"/>
      <c r="AN944" s="310"/>
      <c r="AO944" s="309"/>
      <c r="AP944" s="310"/>
      <c r="AQ944" s="309"/>
      <c r="AR944" s="310"/>
      <c r="AS944" s="309"/>
      <c r="AT944" s="310"/>
      <c r="AU944" s="309"/>
      <c r="AV944" s="310"/>
      <c r="AW944" s="309"/>
      <c r="AX944" s="310"/>
      <c r="AY944" s="309"/>
      <c r="AZ944" s="310"/>
      <c r="BA944" s="271"/>
      <c r="BB944" s="271"/>
      <c r="BC944" s="271"/>
      <c r="BD944" s="271"/>
      <c r="BE944" s="271"/>
      <c r="BF944" s="271"/>
    </row>
    <row r="945" spans="2:58" ht="16" thickBot="1" x14ac:dyDescent="0.25">
      <c r="B945" s="289"/>
      <c r="C945" s="299"/>
      <c r="D945" s="300"/>
      <c r="E945" s="275"/>
      <c r="F945" s="302"/>
      <c r="G945" s="309"/>
      <c r="H945" s="310"/>
      <c r="I945" s="309"/>
      <c r="J945" s="310"/>
      <c r="K945" s="309"/>
      <c r="L945" s="310"/>
      <c r="M945" s="309"/>
      <c r="N945" s="310"/>
      <c r="O945" s="271"/>
      <c r="P945" s="271"/>
      <c r="Q945" s="309"/>
      <c r="R945" s="310"/>
      <c r="S945" s="309"/>
      <c r="T945" s="310"/>
      <c r="U945" s="309"/>
      <c r="V945" s="310"/>
      <c r="W945" s="309"/>
      <c r="X945" s="310"/>
      <c r="Y945" s="309"/>
      <c r="Z945" s="310"/>
      <c r="AA945" s="309"/>
      <c r="AB945" s="310"/>
      <c r="AC945" s="271"/>
      <c r="AD945" s="271"/>
      <c r="AE945" s="309"/>
      <c r="AF945" s="310"/>
      <c r="AG945" s="309"/>
      <c r="AH945" s="310"/>
      <c r="AI945" s="309"/>
      <c r="AJ945" s="310"/>
      <c r="AK945" s="309"/>
      <c r="AL945" s="310"/>
      <c r="AM945" s="309"/>
      <c r="AN945" s="310"/>
      <c r="AO945" s="309"/>
      <c r="AP945" s="310"/>
      <c r="AQ945" s="309"/>
      <c r="AR945" s="310"/>
      <c r="AS945" s="309"/>
      <c r="AT945" s="310"/>
      <c r="AU945" s="309"/>
      <c r="AV945" s="310"/>
      <c r="AW945" s="309"/>
      <c r="AX945" s="310"/>
      <c r="AY945" s="309"/>
      <c r="AZ945" s="310"/>
      <c r="BA945" s="271"/>
      <c r="BB945" s="271"/>
      <c r="BC945" s="271"/>
      <c r="BD945" s="271"/>
      <c r="BE945" s="271"/>
      <c r="BF945" s="271"/>
    </row>
    <row r="946" spans="2:58" ht="16" thickBot="1" x14ac:dyDescent="0.25">
      <c r="B946" s="289"/>
      <c r="C946" s="299"/>
      <c r="D946" s="300"/>
      <c r="E946" s="275"/>
      <c r="F946" s="302"/>
      <c r="G946" s="309"/>
      <c r="H946" s="310"/>
      <c r="I946" s="309"/>
      <c r="J946" s="310"/>
      <c r="K946" s="309"/>
      <c r="L946" s="310"/>
      <c r="M946" s="309"/>
      <c r="N946" s="310"/>
      <c r="O946" s="271"/>
      <c r="P946" s="271"/>
      <c r="Q946" s="309"/>
      <c r="R946" s="310"/>
      <c r="S946" s="309"/>
      <c r="T946" s="310"/>
      <c r="U946" s="309"/>
      <c r="V946" s="310"/>
      <c r="W946" s="309"/>
      <c r="X946" s="310"/>
      <c r="Y946" s="309"/>
      <c r="Z946" s="310"/>
      <c r="AA946" s="309"/>
      <c r="AB946" s="310"/>
      <c r="AC946" s="271"/>
      <c r="AD946" s="271"/>
      <c r="AE946" s="309"/>
      <c r="AF946" s="310"/>
      <c r="AG946" s="309"/>
      <c r="AH946" s="310"/>
      <c r="AI946" s="309"/>
      <c r="AJ946" s="310"/>
      <c r="AK946" s="309"/>
      <c r="AL946" s="310"/>
      <c r="AM946" s="309"/>
      <c r="AN946" s="310"/>
      <c r="AO946" s="309"/>
      <c r="AP946" s="310"/>
      <c r="AQ946" s="309"/>
      <c r="AR946" s="310"/>
      <c r="AS946" s="309"/>
      <c r="AT946" s="310"/>
      <c r="AU946" s="309"/>
      <c r="AV946" s="310"/>
      <c r="AW946" s="309"/>
      <c r="AX946" s="310"/>
      <c r="AY946" s="309"/>
      <c r="AZ946" s="310"/>
      <c r="BA946" s="271"/>
      <c r="BB946" s="271"/>
      <c r="BC946" s="271"/>
      <c r="BD946" s="271"/>
      <c r="BE946" s="271"/>
      <c r="BF946" s="271"/>
    </row>
    <row r="947" spans="2:58" ht="16" thickBot="1" x14ac:dyDescent="0.25">
      <c r="B947" s="289"/>
      <c r="C947" s="299"/>
      <c r="D947" s="300"/>
      <c r="E947" s="275"/>
      <c r="F947" s="302"/>
      <c r="G947" s="309"/>
      <c r="H947" s="310"/>
      <c r="I947" s="309"/>
      <c r="J947" s="310"/>
      <c r="K947" s="309"/>
      <c r="L947" s="310"/>
      <c r="M947" s="309"/>
      <c r="N947" s="310"/>
      <c r="O947" s="271"/>
      <c r="P947" s="271"/>
      <c r="Q947" s="309"/>
      <c r="R947" s="310"/>
      <c r="S947" s="309"/>
      <c r="T947" s="310"/>
      <c r="U947" s="309"/>
      <c r="V947" s="310"/>
      <c r="W947" s="309"/>
      <c r="X947" s="310"/>
      <c r="Y947" s="309"/>
      <c r="Z947" s="310"/>
      <c r="AA947" s="309"/>
      <c r="AB947" s="310"/>
      <c r="AC947" s="271"/>
      <c r="AD947" s="271"/>
      <c r="AE947" s="309"/>
      <c r="AF947" s="310"/>
      <c r="AG947" s="309"/>
      <c r="AH947" s="310"/>
      <c r="AI947" s="309"/>
      <c r="AJ947" s="310"/>
      <c r="AK947" s="309"/>
      <c r="AL947" s="310"/>
      <c r="AM947" s="309"/>
      <c r="AN947" s="310"/>
      <c r="AO947" s="309"/>
      <c r="AP947" s="310"/>
      <c r="AQ947" s="309"/>
      <c r="AR947" s="310"/>
      <c r="AS947" s="309"/>
      <c r="AT947" s="310"/>
      <c r="AU947" s="309"/>
      <c r="AV947" s="310"/>
      <c r="AW947" s="309"/>
      <c r="AX947" s="310"/>
      <c r="AY947" s="309"/>
      <c r="AZ947" s="310"/>
      <c r="BA947" s="271"/>
      <c r="BB947" s="271"/>
      <c r="BC947" s="271"/>
      <c r="BD947" s="271"/>
      <c r="BE947" s="271"/>
      <c r="BF947" s="271"/>
    </row>
    <row r="948" spans="2:58" ht="16" thickBot="1" x14ac:dyDescent="0.25">
      <c r="B948" s="289"/>
      <c r="C948" s="299"/>
      <c r="D948" s="300"/>
      <c r="E948" s="275"/>
      <c r="F948" s="302"/>
      <c r="G948" s="309"/>
      <c r="H948" s="310"/>
      <c r="I948" s="309"/>
      <c r="J948" s="310"/>
      <c r="K948" s="309"/>
      <c r="L948" s="310"/>
      <c r="M948" s="309"/>
      <c r="N948" s="310"/>
      <c r="O948" s="271"/>
      <c r="P948" s="271"/>
      <c r="Q948" s="309"/>
      <c r="R948" s="310"/>
      <c r="S948" s="309"/>
      <c r="T948" s="310"/>
      <c r="U948" s="309"/>
      <c r="V948" s="310"/>
      <c r="W948" s="309"/>
      <c r="X948" s="310"/>
      <c r="Y948" s="309"/>
      <c r="Z948" s="310"/>
      <c r="AA948" s="309"/>
      <c r="AB948" s="310"/>
      <c r="AC948" s="271"/>
      <c r="AD948" s="271"/>
      <c r="AE948" s="309"/>
      <c r="AF948" s="310"/>
      <c r="AG948" s="309"/>
      <c r="AH948" s="310"/>
      <c r="AI948" s="309"/>
      <c r="AJ948" s="310"/>
      <c r="AK948" s="309"/>
      <c r="AL948" s="310"/>
      <c r="AM948" s="309"/>
      <c r="AN948" s="310"/>
      <c r="AO948" s="309"/>
      <c r="AP948" s="310"/>
      <c r="AQ948" s="309"/>
      <c r="AR948" s="310"/>
      <c r="AS948" s="309"/>
      <c r="AT948" s="310"/>
      <c r="AU948" s="309"/>
      <c r="AV948" s="310"/>
      <c r="AW948" s="309"/>
      <c r="AX948" s="310"/>
      <c r="AY948" s="309"/>
      <c r="AZ948" s="310"/>
      <c r="BA948" s="271"/>
      <c r="BB948" s="271"/>
      <c r="BC948" s="271"/>
      <c r="BD948" s="271"/>
      <c r="BE948" s="271"/>
      <c r="BF948" s="271"/>
    </row>
    <row r="949" spans="2:58" ht="16" thickBot="1" x14ac:dyDescent="0.25">
      <c r="B949" s="289"/>
      <c r="C949" s="299"/>
      <c r="D949" s="300"/>
      <c r="E949" s="275"/>
      <c r="F949" s="302"/>
      <c r="G949" s="309"/>
      <c r="H949" s="310"/>
      <c r="I949" s="309"/>
      <c r="J949" s="310"/>
      <c r="K949" s="309"/>
      <c r="L949" s="310"/>
      <c r="M949" s="309"/>
      <c r="N949" s="310"/>
      <c r="O949" s="271"/>
      <c r="P949" s="271"/>
      <c r="Q949" s="309"/>
      <c r="R949" s="310"/>
      <c r="S949" s="309"/>
      <c r="T949" s="310"/>
      <c r="U949" s="309"/>
      <c r="V949" s="310"/>
      <c r="W949" s="309"/>
      <c r="X949" s="310"/>
      <c r="Y949" s="309"/>
      <c r="Z949" s="310"/>
      <c r="AA949" s="309"/>
      <c r="AB949" s="310"/>
      <c r="AC949" s="271"/>
      <c r="AD949" s="271"/>
      <c r="AE949" s="309"/>
      <c r="AF949" s="310"/>
      <c r="AG949" s="309"/>
      <c r="AH949" s="310"/>
      <c r="AI949" s="309"/>
      <c r="AJ949" s="310"/>
      <c r="AK949" s="309"/>
      <c r="AL949" s="310"/>
      <c r="AM949" s="309"/>
      <c r="AN949" s="310"/>
      <c r="AO949" s="309"/>
      <c r="AP949" s="310"/>
      <c r="AQ949" s="309"/>
      <c r="AR949" s="310"/>
      <c r="AS949" s="309"/>
      <c r="AT949" s="310"/>
      <c r="AU949" s="309"/>
      <c r="AV949" s="310"/>
      <c r="AW949" s="309"/>
      <c r="AX949" s="310"/>
      <c r="AY949" s="309"/>
      <c r="AZ949" s="310"/>
      <c r="BA949" s="271"/>
      <c r="BB949" s="271"/>
      <c r="BC949" s="271"/>
      <c r="BD949" s="271"/>
      <c r="BE949" s="271"/>
      <c r="BF949" s="271"/>
    </row>
    <row r="950" spans="2:58" ht="16" thickBot="1" x14ac:dyDescent="0.25">
      <c r="B950" s="289"/>
      <c r="C950" s="299"/>
      <c r="D950" s="300"/>
      <c r="E950" s="275"/>
      <c r="F950" s="302"/>
      <c r="G950" s="309"/>
      <c r="H950" s="310"/>
      <c r="I950" s="309"/>
      <c r="J950" s="310"/>
      <c r="K950" s="309"/>
      <c r="L950" s="310"/>
      <c r="M950" s="309"/>
      <c r="N950" s="310"/>
      <c r="O950" s="271"/>
      <c r="P950" s="271"/>
      <c r="Q950" s="309"/>
      <c r="R950" s="310"/>
      <c r="S950" s="309"/>
      <c r="T950" s="310"/>
      <c r="U950" s="309"/>
      <c r="V950" s="310"/>
      <c r="W950" s="309"/>
      <c r="X950" s="310"/>
      <c r="Y950" s="309"/>
      <c r="Z950" s="310"/>
      <c r="AA950" s="309"/>
      <c r="AB950" s="310"/>
      <c r="AC950" s="271"/>
      <c r="AD950" s="271"/>
      <c r="AE950" s="309"/>
      <c r="AF950" s="310"/>
      <c r="AG950" s="309"/>
      <c r="AH950" s="310"/>
      <c r="AI950" s="309"/>
      <c r="AJ950" s="310"/>
      <c r="AK950" s="309"/>
      <c r="AL950" s="310"/>
      <c r="AM950" s="309"/>
      <c r="AN950" s="310"/>
      <c r="AO950" s="309"/>
      <c r="AP950" s="310"/>
      <c r="AQ950" s="309"/>
      <c r="AR950" s="310"/>
      <c r="AS950" s="309"/>
      <c r="AT950" s="310"/>
      <c r="AU950" s="309"/>
      <c r="AV950" s="310"/>
      <c r="AW950" s="309"/>
      <c r="AX950" s="310"/>
      <c r="AY950" s="309"/>
      <c r="AZ950" s="310"/>
      <c r="BA950" s="271"/>
      <c r="BB950" s="271"/>
      <c r="BC950" s="271"/>
      <c r="BD950" s="271"/>
      <c r="BE950" s="271"/>
      <c r="BF950" s="271"/>
    </row>
    <row r="951" spans="2:58" ht="16" thickBot="1" x14ac:dyDescent="0.25">
      <c r="B951" s="288" t="s">
        <v>25</v>
      </c>
      <c r="C951" s="284"/>
      <c r="D951" s="291"/>
      <c r="E951" s="290"/>
      <c r="F951" s="293"/>
      <c r="G951" s="309"/>
      <c r="H951" s="310"/>
      <c r="I951" s="309"/>
      <c r="J951" s="310"/>
      <c r="K951" s="309"/>
      <c r="L951" s="310"/>
      <c r="M951" s="309"/>
      <c r="N951" s="310"/>
      <c r="O951" s="271"/>
      <c r="P951" s="271"/>
      <c r="Q951" s="309"/>
      <c r="R951" s="310"/>
      <c r="S951" s="309"/>
      <c r="T951" s="310"/>
      <c r="U951" s="309"/>
      <c r="V951" s="310"/>
      <c r="W951" s="309"/>
      <c r="X951" s="310"/>
      <c r="Y951" s="309"/>
      <c r="Z951" s="310"/>
      <c r="AA951" s="309"/>
      <c r="AB951" s="310"/>
      <c r="AC951" s="271"/>
      <c r="AD951" s="271"/>
      <c r="AE951" s="309"/>
      <c r="AF951" s="310"/>
      <c r="AG951" s="309"/>
      <c r="AH951" s="310"/>
      <c r="AI951" s="309"/>
      <c r="AJ951" s="310"/>
      <c r="AK951" s="309"/>
      <c r="AL951" s="310"/>
      <c r="AM951" s="309"/>
      <c r="AN951" s="310"/>
      <c r="AO951" s="309"/>
      <c r="AP951" s="310"/>
      <c r="AQ951" s="309"/>
      <c r="AR951" s="310"/>
      <c r="AS951" s="309"/>
      <c r="AT951" s="310"/>
      <c r="AU951" s="309"/>
      <c r="AV951" s="310"/>
      <c r="AW951" s="309"/>
      <c r="AX951" s="310"/>
      <c r="AY951" s="309"/>
      <c r="AZ951" s="310"/>
      <c r="BA951" s="271"/>
      <c r="BB951" s="271"/>
      <c r="BC951" s="271"/>
      <c r="BD951" s="271"/>
      <c r="BE951" s="271"/>
      <c r="BF951" s="271"/>
    </row>
    <row r="952" spans="2:58" ht="16" thickBot="1" x14ac:dyDescent="0.25">
      <c r="B952" s="668"/>
      <c r="C952" s="640">
        <f>SUM(C944:C951)</f>
        <v>0</v>
      </c>
      <c r="D952" s="159"/>
      <c r="E952" s="270"/>
      <c r="F952" s="271"/>
      <c r="G952" s="309"/>
      <c r="H952" s="310"/>
      <c r="I952" s="309"/>
      <c r="J952" s="310"/>
      <c r="K952" s="309"/>
      <c r="L952" s="310"/>
      <c r="M952" s="309"/>
      <c r="N952" s="310"/>
      <c r="O952" s="271"/>
      <c r="P952" s="271"/>
      <c r="Q952" s="309"/>
      <c r="R952" s="310"/>
      <c r="S952" s="309"/>
      <c r="T952" s="310"/>
      <c r="U952" s="309"/>
      <c r="V952" s="310"/>
      <c r="W952" s="309"/>
      <c r="X952" s="310"/>
      <c r="Y952" s="309"/>
      <c r="Z952" s="310"/>
      <c r="AA952" s="309"/>
      <c r="AB952" s="310"/>
      <c r="AC952" s="271"/>
      <c r="AD952" s="271"/>
      <c r="AE952" s="309"/>
      <c r="AF952" s="310"/>
      <c r="AG952" s="309"/>
      <c r="AH952" s="310"/>
      <c r="AI952" s="309"/>
      <c r="AJ952" s="310"/>
      <c r="AK952" s="309"/>
      <c r="AL952" s="310"/>
      <c r="AM952" s="309"/>
      <c r="AN952" s="310"/>
      <c r="AO952" s="309"/>
      <c r="AP952" s="310"/>
      <c r="AQ952" s="309"/>
      <c r="AR952" s="310"/>
      <c r="AS952" s="309"/>
      <c r="AT952" s="310"/>
      <c r="AU952" s="309"/>
      <c r="AV952" s="310"/>
      <c r="AW952" s="309"/>
      <c r="AX952" s="310"/>
      <c r="AY952" s="309"/>
      <c r="AZ952" s="310"/>
      <c r="BA952" s="271"/>
      <c r="BB952" s="271"/>
      <c r="BC952" s="271"/>
      <c r="BD952" s="271"/>
      <c r="BE952" s="271"/>
      <c r="BF952" s="271"/>
    </row>
    <row r="953" spans="2:58" ht="16" thickBot="1" x14ac:dyDescent="0.25">
      <c r="B953" s="479">
        <v>45767</v>
      </c>
      <c r="C953" s="657"/>
      <c r="D953" s="641"/>
      <c r="E953" s="274"/>
      <c r="F953" s="301"/>
      <c r="G953" s="550"/>
      <c r="H953" s="310"/>
      <c r="I953" s="309"/>
      <c r="J953" s="310"/>
      <c r="K953" s="309"/>
      <c r="L953" s="310"/>
      <c r="M953" s="309"/>
      <c r="N953" s="310"/>
      <c r="O953" s="271"/>
      <c r="P953" s="271"/>
      <c r="Q953" s="309"/>
      <c r="R953" s="310"/>
      <c r="S953" s="309"/>
      <c r="T953" s="310"/>
      <c r="U953" s="309"/>
      <c r="V953" s="310"/>
      <c r="W953" s="309"/>
      <c r="X953" s="310"/>
      <c r="Y953" s="309"/>
      <c r="Z953" s="310"/>
      <c r="AA953" s="309"/>
      <c r="AB953" s="310"/>
      <c r="AC953" s="271"/>
      <c r="AD953" s="271"/>
      <c r="AE953" s="309"/>
      <c r="AF953" s="310"/>
      <c r="AG953" s="309"/>
      <c r="AH953" s="310"/>
      <c r="AI953" s="309"/>
      <c r="AJ953" s="310"/>
      <c r="AK953" s="309"/>
      <c r="AL953" s="310"/>
      <c r="AM953" s="309"/>
      <c r="AN953" s="310"/>
      <c r="AO953" s="309"/>
      <c r="AP953" s="310"/>
      <c r="AQ953" s="309"/>
      <c r="AR953" s="310"/>
      <c r="AS953" s="309"/>
      <c r="AT953" s="310"/>
      <c r="AU953" s="309"/>
      <c r="AV953" s="310"/>
      <c r="AW953" s="309"/>
      <c r="AX953" s="310"/>
      <c r="AY953" s="309"/>
      <c r="AZ953" s="310"/>
      <c r="BA953" s="271"/>
      <c r="BB953" s="271"/>
      <c r="BC953" s="271"/>
      <c r="BD953" s="271"/>
      <c r="BE953" s="271"/>
      <c r="BF953" s="271"/>
    </row>
    <row r="954" spans="2:58" ht="16" thickBot="1" x14ac:dyDescent="0.25">
      <c r="B954" s="479"/>
      <c r="C954" s="657"/>
      <c r="D954" s="657"/>
      <c r="E954" s="285"/>
      <c r="F954" s="302"/>
      <c r="G954" s="550"/>
      <c r="H954" s="310"/>
      <c r="I954" s="309"/>
      <c r="J954" s="310"/>
      <c r="K954" s="309"/>
      <c r="L954" s="310"/>
      <c r="M954" s="309"/>
      <c r="N954" s="310"/>
      <c r="O954" s="271"/>
      <c r="P954" s="271"/>
      <c r="Q954" s="309"/>
      <c r="R954" s="310"/>
      <c r="S954" s="309"/>
      <c r="T954" s="310"/>
      <c r="U954" s="309"/>
      <c r="V954" s="310"/>
      <c r="W954" s="309"/>
      <c r="X954" s="310"/>
      <c r="Y954" s="309"/>
      <c r="Z954" s="310"/>
      <c r="AA954" s="309"/>
      <c r="AB954" s="310"/>
      <c r="AC954" s="271"/>
      <c r="AD954" s="271"/>
      <c r="AE954" s="309"/>
      <c r="AF954" s="310"/>
      <c r="AG954" s="309"/>
      <c r="AH954" s="310"/>
      <c r="AI954" s="309"/>
      <c r="AJ954" s="310"/>
      <c r="AK954" s="309"/>
      <c r="AL954" s="310"/>
      <c r="AM954" s="309"/>
      <c r="AN954" s="310"/>
      <c r="AO954" s="309"/>
      <c r="AP954" s="310"/>
      <c r="AQ954" s="309"/>
      <c r="AR954" s="310"/>
      <c r="AS954" s="309"/>
      <c r="AT954" s="310"/>
      <c r="AU954" s="309"/>
      <c r="AV954" s="310"/>
      <c r="AW954" s="309"/>
      <c r="AX954" s="310"/>
      <c r="AY954" s="309"/>
      <c r="AZ954" s="310"/>
      <c r="BA954" s="271"/>
      <c r="BB954" s="271"/>
      <c r="BC954" s="271"/>
      <c r="BD954" s="271"/>
      <c r="BE954" s="271"/>
      <c r="BF954" s="271"/>
    </row>
    <row r="955" spans="2:58" ht="16" thickBot="1" x14ac:dyDescent="0.25">
      <c r="B955" s="479"/>
      <c r="C955" s="657"/>
      <c r="D955" s="657"/>
      <c r="E955" s="285"/>
      <c r="F955" s="302"/>
      <c r="G955" s="550"/>
      <c r="H955" s="310"/>
      <c r="I955" s="309"/>
      <c r="J955" s="310"/>
      <c r="K955" s="309"/>
      <c r="L955" s="310"/>
      <c r="M955" s="309"/>
      <c r="N955" s="310"/>
      <c r="O955" s="271"/>
      <c r="P955" s="271"/>
      <c r="Q955" s="309"/>
      <c r="R955" s="310"/>
      <c r="S955" s="309"/>
      <c r="T955" s="310"/>
      <c r="U955" s="309"/>
      <c r="V955" s="310"/>
      <c r="W955" s="309"/>
      <c r="X955" s="310"/>
      <c r="Y955" s="309"/>
      <c r="Z955" s="310"/>
      <c r="AA955" s="309"/>
      <c r="AB955" s="310"/>
      <c r="AC955" s="271"/>
      <c r="AD955" s="271"/>
      <c r="AE955" s="309"/>
      <c r="AF955" s="310"/>
      <c r="AG955" s="309"/>
      <c r="AH955" s="310"/>
      <c r="AI955" s="309"/>
      <c r="AJ955" s="310"/>
      <c r="AK955" s="309"/>
      <c r="AL955" s="310"/>
      <c r="AM955" s="309"/>
      <c r="AN955" s="310"/>
      <c r="AO955" s="309"/>
      <c r="AP955" s="310"/>
      <c r="AQ955" s="309"/>
      <c r="AR955" s="310"/>
      <c r="AS955" s="309"/>
      <c r="AT955" s="310"/>
      <c r="AU955" s="309"/>
      <c r="AV955" s="310"/>
      <c r="AW955" s="309"/>
      <c r="AX955" s="310"/>
      <c r="AY955" s="309"/>
      <c r="AZ955" s="310"/>
      <c r="BA955" s="271"/>
      <c r="BB955" s="271"/>
      <c r="BC955" s="271"/>
      <c r="BD955" s="271"/>
      <c r="BE955" s="271"/>
      <c r="BF955" s="271"/>
    </row>
    <row r="956" spans="2:58" ht="16" thickBot="1" x14ac:dyDescent="0.25">
      <c r="B956" s="479"/>
      <c r="C956" s="657"/>
      <c r="D956" s="657"/>
      <c r="E956" s="285"/>
      <c r="F956" s="302"/>
      <c r="G956" s="550"/>
      <c r="H956" s="310"/>
      <c r="I956" s="309"/>
      <c r="J956" s="310"/>
      <c r="K956" s="309"/>
      <c r="L956" s="310"/>
      <c r="M956" s="309"/>
      <c r="N956" s="310"/>
      <c r="O956" s="271"/>
      <c r="P956" s="271"/>
      <c r="Q956" s="309"/>
      <c r="R956" s="310"/>
      <c r="S956" s="309"/>
      <c r="T956" s="310"/>
      <c r="U956" s="309"/>
      <c r="V956" s="310"/>
      <c r="W956" s="309"/>
      <c r="X956" s="310"/>
      <c r="Y956" s="309"/>
      <c r="Z956" s="310"/>
      <c r="AA956" s="309"/>
      <c r="AB956" s="310"/>
      <c r="AC956" s="271"/>
      <c r="AD956" s="271"/>
      <c r="AE956" s="309"/>
      <c r="AF956" s="310"/>
      <c r="AG956" s="309"/>
      <c r="AH956" s="310"/>
      <c r="AI956" s="309"/>
      <c r="AJ956" s="310"/>
      <c r="AK956" s="309"/>
      <c r="AL956" s="310"/>
      <c r="AM956" s="309"/>
      <c r="AN956" s="310"/>
      <c r="AO956" s="309"/>
      <c r="AP956" s="310"/>
      <c r="AQ956" s="309"/>
      <c r="AR956" s="310"/>
      <c r="AS956" s="309"/>
      <c r="AT956" s="310"/>
      <c r="AU956" s="309"/>
      <c r="AV956" s="310"/>
      <c r="AW956" s="309"/>
      <c r="AX956" s="310"/>
      <c r="AY956" s="309"/>
      <c r="AZ956" s="310"/>
      <c r="BA956" s="271"/>
      <c r="BB956" s="271"/>
      <c r="BC956" s="271"/>
      <c r="BD956" s="271"/>
      <c r="BE956" s="271"/>
      <c r="BF956" s="271"/>
    </row>
    <row r="957" spans="2:58" ht="16" thickBot="1" x14ac:dyDescent="0.25">
      <c r="B957" s="479"/>
      <c r="C957" s="657"/>
      <c r="D957" s="657"/>
      <c r="E957" s="285"/>
      <c r="F957" s="302"/>
      <c r="G957" s="550"/>
      <c r="H957" s="310"/>
      <c r="I957" s="309"/>
      <c r="J957" s="310"/>
      <c r="K957" s="309"/>
      <c r="L957" s="310"/>
      <c r="M957" s="309"/>
      <c r="N957" s="310"/>
      <c r="O957" s="271"/>
      <c r="P957" s="271"/>
      <c r="Q957" s="309"/>
      <c r="R957" s="310"/>
      <c r="S957" s="309"/>
      <c r="T957" s="310"/>
      <c r="U957" s="309"/>
      <c r="V957" s="310"/>
      <c r="W957" s="309"/>
      <c r="X957" s="310"/>
      <c r="Y957" s="309"/>
      <c r="Z957" s="310"/>
      <c r="AA957" s="309"/>
      <c r="AB957" s="310"/>
      <c r="AC957" s="271"/>
      <c r="AD957" s="271"/>
      <c r="AE957" s="309"/>
      <c r="AF957" s="310"/>
      <c r="AG957" s="309"/>
      <c r="AH957" s="310"/>
      <c r="AI957" s="309"/>
      <c r="AJ957" s="310"/>
      <c r="AK957" s="309"/>
      <c r="AL957" s="310"/>
      <c r="AM957" s="309"/>
      <c r="AN957" s="310"/>
      <c r="AO957" s="309"/>
      <c r="AP957" s="310"/>
      <c r="AQ957" s="309"/>
      <c r="AR957" s="310"/>
      <c r="AS957" s="309"/>
      <c r="AT957" s="310"/>
      <c r="AU957" s="309"/>
      <c r="AV957" s="310"/>
      <c r="AW957" s="309"/>
      <c r="AX957" s="310"/>
      <c r="AY957" s="309"/>
      <c r="AZ957" s="310"/>
      <c r="BA957" s="271"/>
      <c r="BB957" s="271"/>
      <c r="BC957" s="271"/>
      <c r="BD957" s="271"/>
      <c r="BE957" s="271"/>
      <c r="BF957" s="271"/>
    </row>
    <row r="958" spans="2:58" ht="16" thickBot="1" x14ac:dyDescent="0.25">
      <c r="B958" s="479"/>
      <c r="C958" s="657"/>
      <c r="D958" s="657"/>
      <c r="E958" s="285"/>
      <c r="F958" s="302"/>
      <c r="G958" s="550"/>
      <c r="H958" s="310"/>
      <c r="I958" s="309"/>
      <c r="J958" s="310"/>
      <c r="K958" s="309"/>
      <c r="L958" s="310"/>
      <c r="M958" s="309"/>
      <c r="N958" s="310"/>
      <c r="O958" s="271"/>
      <c r="P958" s="271"/>
      <c r="Q958" s="309"/>
      <c r="R958" s="310"/>
      <c r="S958" s="309"/>
      <c r="T958" s="310"/>
      <c r="U958" s="309"/>
      <c r="V958" s="310"/>
      <c r="W958" s="309"/>
      <c r="X958" s="310"/>
      <c r="Y958" s="309"/>
      <c r="Z958" s="310"/>
      <c r="AA958" s="309"/>
      <c r="AB958" s="310"/>
      <c r="AC958" s="271"/>
      <c r="AD958" s="271"/>
      <c r="AE958" s="309"/>
      <c r="AF958" s="310"/>
      <c r="AG958" s="309"/>
      <c r="AH958" s="310"/>
      <c r="AI958" s="309"/>
      <c r="AJ958" s="310"/>
      <c r="AK958" s="309"/>
      <c r="AL958" s="310"/>
      <c r="AM958" s="309"/>
      <c r="AN958" s="310"/>
      <c r="AO958" s="309"/>
      <c r="AP958" s="310"/>
      <c r="AQ958" s="309"/>
      <c r="AR958" s="310"/>
      <c r="AS958" s="309"/>
      <c r="AT958" s="310"/>
      <c r="AU958" s="309"/>
      <c r="AV958" s="310"/>
      <c r="AW958" s="309"/>
      <c r="AX958" s="310"/>
      <c r="AY958" s="309"/>
      <c r="AZ958" s="310"/>
      <c r="BA958" s="271"/>
      <c r="BB958" s="271"/>
      <c r="BC958" s="271"/>
      <c r="BD958" s="271"/>
      <c r="BE958" s="271"/>
      <c r="BF958" s="271"/>
    </row>
    <row r="959" spans="2:58" ht="16" thickBot="1" x14ac:dyDescent="0.25">
      <c r="B959" s="549" t="s">
        <v>26</v>
      </c>
      <c r="C959" s="554"/>
      <c r="D959" s="291"/>
      <c r="E959" s="290"/>
      <c r="F959" s="293"/>
      <c r="G959" s="550"/>
      <c r="H959" s="310"/>
      <c r="I959" s="309"/>
      <c r="J959" s="310"/>
      <c r="K959" s="309"/>
      <c r="L959" s="310"/>
      <c r="M959" s="309"/>
      <c r="N959" s="310"/>
      <c r="O959" s="271"/>
      <c r="P959" s="271"/>
      <c r="Q959" s="309"/>
      <c r="R959" s="310"/>
      <c r="S959" s="309"/>
      <c r="T959" s="310"/>
      <c r="U959" s="309"/>
      <c r="V959" s="310"/>
      <c r="W959" s="309"/>
      <c r="X959" s="310"/>
      <c r="Y959" s="309"/>
      <c r="Z959" s="310"/>
      <c r="AA959" s="309"/>
      <c r="AB959" s="310"/>
      <c r="AC959" s="271"/>
      <c r="AD959" s="271"/>
      <c r="AE959" s="309"/>
      <c r="AF959" s="310"/>
      <c r="AG959" s="309"/>
      <c r="AH959" s="310"/>
      <c r="AI959" s="309"/>
      <c r="AJ959" s="310"/>
      <c r="AK959" s="309"/>
      <c r="AL959" s="310"/>
      <c r="AM959" s="309"/>
      <c r="AN959" s="310"/>
      <c r="AO959" s="309"/>
      <c r="AP959" s="310"/>
      <c r="AQ959" s="309"/>
      <c r="AR959" s="310"/>
      <c r="AS959" s="309"/>
      <c r="AT959" s="310"/>
      <c r="AU959" s="309"/>
      <c r="AV959" s="310"/>
      <c r="AW959" s="309"/>
      <c r="AX959" s="310"/>
      <c r="AY959" s="309"/>
      <c r="AZ959" s="310"/>
      <c r="BA959" s="271"/>
      <c r="BB959" s="271"/>
      <c r="BC959" s="271"/>
      <c r="BD959" s="271"/>
      <c r="BE959" s="271"/>
      <c r="BF959" s="271"/>
    </row>
    <row r="960" spans="2:58" ht="16" thickBot="1" x14ac:dyDescent="0.25">
      <c r="B960" s="292"/>
      <c r="C960" s="551">
        <f>SUM(C953:C959)</f>
        <v>0</v>
      </c>
      <c r="D960" s="551"/>
      <c r="E960" s="552"/>
      <c r="F960" s="553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  <c r="AA960" s="271"/>
      <c r="AB960" s="271"/>
      <c r="AC960" s="271"/>
      <c r="AD960" s="271"/>
      <c r="AE960" s="309"/>
      <c r="AF960" s="310"/>
      <c r="AG960" s="309"/>
      <c r="AH960" s="310"/>
      <c r="AI960" s="309"/>
      <c r="AJ960" s="310"/>
      <c r="AK960" s="309"/>
      <c r="AL960" s="310"/>
      <c r="AM960" s="309"/>
      <c r="AN960" s="310"/>
      <c r="AO960" s="309"/>
      <c r="AP960" s="310"/>
      <c r="AQ960" s="309"/>
      <c r="AR960" s="310"/>
      <c r="AS960" s="309"/>
      <c r="AT960" s="310"/>
      <c r="AU960" s="309"/>
      <c r="AV960" s="310"/>
      <c r="AW960" s="309"/>
      <c r="AX960" s="310"/>
      <c r="AY960" s="309"/>
      <c r="AZ960" s="310"/>
      <c r="BA960" s="271"/>
      <c r="BB960" s="271"/>
      <c r="BC960" s="271"/>
      <c r="BD960" s="271"/>
      <c r="BE960" s="271"/>
      <c r="BF960" s="271"/>
    </row>
    <row r="961" spans="2:58" ht="16" thickBot="1" x14ac:dyDescent="0.25">
      <c r="B961" s="761" t="s">
        <v>329</v>
      </c>
      <c r="C961" s="311"/>
      <c r="D961" s="312"/>
      <c r="E961" s="285"/>
      <c r="F961" s="302"/>
      <c r="G961" s="306">
        <f t="shared" ref="G961:AD961" si="30">SUM(G910:G959)</f>
        <v>40</v>
      </c>
      <c r="H961" s="307">
        <f t="shared" si="30"/>
        <v>5479.6</v>
      </c>
      <c r="I961" s="306">
        <f t="shared" si="30"/>
        <v>11</v>
      </c>
      <c r="J961" s="307">
        <f t="shared" si="30"/>
        <v>2254.8900000000003</v>
      </c>
      <c r="K961" s="306">
        <f t="shared" si="30"/>
        <v>34</v>
      </c>
      <c r="L961" s="307">
        <f t="shared" si="30"/>
        <v>6187.6600000000008</v>
      </c>
      <c r="M961" s="306">
        <f t="shared" si="30"/>
        <v>46</v>
      </c>
      <c r="N961" s="307">
        <f t="shared" si="30"/>
        <v>7957.5400000000009</v>
      </c>
      <c r="O961" s="308">
        <f t="shared" si="30"/>
        <v>40</v>
      </c>
      <c r="P961" s="308">
        <f t="shared" si="30"/>
        <v>9854.7900000000009</v>
      </c>
      <c r="Q961" s="306">
        <f t="shared" si="30"/>
        <v>2</v>
      </c>
      <c r="R961" s="307">
        <f t="shared" si="30"/>
        <v>434.98</v>
      </c>
      <c r="S961" s="306">
        <f t="shared" si="30"/>
        <v>0</v>
      </c>
      <c r="T961" s="307">
        <f t="shared" si="30"/>
        <v>0</v>
      </c>
      <c r="U961" s="306">
        <f t="shared" si="30"/>
        <v>0</v>
      </c>
      <c r="V961" s="307">
        <f t="shared" si="30"/>
        <v>0</v>
      </c>
      <c r="W961" s="306">
        <f t="shared" si="30"/>
        <v>24</v>
      </c>
      <c r="X961" s="307">
        <f t="shared" si="30"/>
        <v>1783.76</v>
      </c>
      <c r="Y961" s="306">
        <f t="shared" si="30"/>
        <v>0</v>
      </c>
      <c r="Z961" s="307">
        <f t="shared" si="30"/>
        <v>0</v>
      </c>
      <c r="AA961" s="306">
        <f t="shared" si="30"/>
        <v>0</v>
      </c>
      <c r="AB961" s="307">
        <f t="shared" si="30"/>
        <v>0</v>
      </c>
      <c r="AC961" s="308">
        <f t="shared" si="30"/>
        <v>25</v>
      </c>
      <c r="AD961" s="308">
        <f t="shared" si="30"/>
        <v>2474.75</v>
      </c>
      <c r="AE961" s="306">
        <f t="shared" ref="AE961:BF961" si="31">SUM(AE910:AE960)</f>
        <v>38</v>
      </c>
      <c r="AF961" s="307">
        <f t="shared" si="31"/>
        <v>1899.6200000000001</v>
      </c>
      <c r="AG961" s="306">
        <f t="shared" si="31"/>
        <v>0</v>
      </c>
      <c r="AH961" s="307">
        <f t="shared" si="31"/>
        <v>0</v>
      </c>
      <c r="AI961" s="306">
        <f t="shared" si="31"/>
        <v>0</v>
      </c>
      <c r="AJ961" s="307">
        <f t="shared" si="31"/>
        <v>0</v>
      </c>
      <c r="AK961" s="306">
        <f t="shared" si="31"/>
        <v>0</v>
      </c>
      <c r="AL961" s="307">
        <f t="shared" si="31"/>
        <v>0</v>
      </c>
      <c r="AM961" s="306">
        <f t="shared" si="31"/>
        <v>1</v>
      </c>
      <c r="AN961" s="307">
        <f t="shared" si="31"/>
        <v>49.99</v>
      </c>
      <c r="AO961" s="306">
        <f t="shared" si="31"/>
        <v>0</v>
      </c>
      <c r="AP961" s="307">
        <f t="shared" si="31"/>
        <v>0</v>
      </c>
      <c r="AQ961" s="306">
        <f t="shared" si="31"/>
        <v>0</v>
      </c>
      <c r="AR961" s="307">
        <f t="shared" si="31"/>
        <v>0</v>
      </c>
      <c r="AS961" s="306">
        <f t="shared" si="31"/>
        <v>0</v>
      </c>
      <c r="AT961" s="307">
        <f t="shared" si="31"/>
        <v>0</v>
      </c>
      <c r="AU961" s="306">
        <f t="shared" si="31"/>
        <v>0</v>
      </c>
      <c r="AV961" s="307">
        <f t="shared" si="31"/>
        <v>0</v>
      </c>
      <c r="AW961" s="306">
        <f t="shared" si="31"/>
        <v>15</v>
      </c>
      <c r="AX961" s="307">
        <f t="shared" si="31"/>
        <v>3578.77</v>
      </c>
      <c r="AY961" s="306">
        <f t="shared" si="31"/>
        <v>15</v>
      </c>
      <c r="AZ961" s="307">
        <f t="shared" si="31"/>
        <v>3578.77</v>
      </c>
      <c r="BA961" s="306">
        <f t="shared" si="31"/>
        <v>5</v>
      </c>
      <c r="BB961" s="307">
        <f t="shared" si="31"/>
        <v>139.94999999999999</v>
      </c>
      <c r="BC961" s="306">
        <f t="shared" si="31"/>
        <v>0</v>
      </c>
      <c r="BD961" s="307">
        <f t="shared" si="31"/>
        <v>0</v>
      </c>
      <c r="BE961" s="306">
        <f t="shared" si="31"/>
        <v>1</v>
      </c>
      <c r="BF961" s="307">
        <f t="shared" si="31"/>
        <v>75.989999999999995</v>
      </c>
    </row>
    <row r="962" spans="2:58" ht="16" thickBot="1" x14ac:dyDescent="0.25">
      <c r="B962" s="762"/>
      <c r="C962" s="160">
        <f>SUM(C960,C952,C943,C936,C929,C920,C910)</f>
        <v>103395.83</v>
      </c>
      <c r="D962" s="160"/>
      <c r="E962" s="304"/>
      <c r="F962" s="294"/>
      <c r="G962" s="752" t="s">
        <v>29</v>
      </c>
      <c r="H962" s="752"/>
      <c r="I962" s="752" t="s">
        <v>30</v>
      </c>
      <c r="J962" s="752"/>
      <c r="K962" s="752" t="s">
        <v>31</v>
      </c>
      <c r="L962" s="752"/>
      <c r="M962" s="752" t="s">
        <v>32</v>
      </c>
      <c r="N962" s="752"/>
      <c r="O962" s="752" t="s">
        <v>33</v>
      </c>
      <c r="P962" s="752"/>
      <c r="Q962" s="752" t="s">
        <v>247</v>
      </c>
      <c r="R962" s="752"/>
      <c r="S962" s="752" t="s">
        <v>34</v>
      </c>
      <c r="T962" s="752"/>
      <c r="U962" s="752" t="s">
        <v>35</v>
      </c>
      <c r="V962" s="752"/>
      <c r="W962" s="752" t="s">
        <v>36</v>
      </c>
      <c r="X962" s="752"/>
      <c r="Y962" s="752" t="s">
        <v>37</v>
      </c>
      <c r="Z962" s="752"/>
      <c r="AA962" s="752" t="s">
        <v>38</v>
      </c>
      <c r="AB962" s="752"/>
      <c r="AC962" s="752" t="s">
        <v>39</v>
      </c>
      <c r="AD962" s="752"/>
      <c r="AE962" s="752" t="s">
        <v>40</v>
      </c>
      <c r="AF962" s="752"/>
      <c r="AG962" s="752" t="s">
        <v>41</v>
      </c>
      <c r="AH962" s="752"/>
      <c r="AI962" s="752" t="s">
        <v>42</v>
      </c>
      <c r="AJ962" s="752"/>
      <c r="AK962" s="752" t="s">
        <v>43</v>
      </c>
      <c r="AL962" s="752"/>
      <c r="AM962" s="752" t="s">
        <v>157</v>
      </c>
      <c r="AN962" s="752"/>
      <c r="AO962" s="752" t="s">
        <v>248</v>
      </c>
      <c r="AP962" s="752"/>
      <c r="AQ962" s="752" t="s">
        <v>249</v>
      </c>
      <c r="AR962" s="752"/>
      <c r="AS962" s="752" t="s">
        <v>150</v>
      </c>
      <c r="AT962" s="752"/>
      <c r="AU962" s="752" t="s">
        <v>151</v>
      </c>
      <c r="AV962" s="752"/>
      <c r="AW962" s="752" t="s">
        <v>44</v>
      </c>
      <c r="AX962" s="752"/>
      <c r="AY962" s="752" t="s">
        <v>250</v>
      </c>
      <c r="AZ962" s="752"/>
      <c r="BA962" s="752" t="s">
        <v>45</v>
      </c>
      <c r="BB962" s="752"/>
      <c r="BC962" s="752" t="s">
        <v>46</v>
      </c>
      <c r="BD962" s="752"/>
      <c r="BE962" s="752" t="s">
        <v>92</v>
      </c>
      <c r="BF962" s="752"/>
    </row>
    <row r="963" spans="2:58" ht="16" thickBot="1" x14ac:dyDescent="0.25">
      <c r="B963" s="282"/>
      <c r="C963" s="285"/>
      <c r="D963" s="275"/>
      <c r="E963" s="284"/>
      <c r="F963" s="293"/>
      <c r="G963" s="752" t="s">
        <v>50</v>
      </c>
      <c r="H963" s="752"/>
      <c r="I963" s="752" t="s">
        <v>51</v>
      </c>
      <c r="J963" s="752"/>
      <c r="K963" s="752" t="s">
        <v>51</v>
      </c>
      <c r="L963" s="752"/>
      <c r="M963" s="752" t="s">
        <v>52</v>
      </c>
      <c r="N963" s="752"/>
      <c r="O963" s="752">
        <v>180</v>
      </c>
      <c r="P963" s="752"/>
      <c r="Q963" s="752" t="s">
        <v>53</v>
      </c>
      <c r="R963" s="752"/>
      <c r="S963" s="752" t="s">
        <v>54</v>
      </c>
      <c r="T963" s="752"/>
      <c r="U963" s="752" t="s">
        <v>54</v>
      </c>
      <c r="V963" s="752"/>
      <c r="W963" s="752" t="s">
        <v>55</v>
      </c>
      <c r="X963" s="752"/>
      <c r="Y963" s="752" t="s">
        <v>54</v>
      </c>
      <c r="Z963" s="752"/>
      <c r="AA963" s="752" t="s">
        <v>54</v>
      </c>
      <c r="AB963" s="752"/>
      <c r="AC963" s="752" t="s">
        <v>56</v>
      </c>
      <c r="AD963" s="752"/>
      <c r="AE963" s="752" t="s">
        <v>57</v>
      </c>
      <c r="AF963" s="752"/>
      <c r="AG963" s="752" t="s">
        <v>57</v>
      </c>
      <c r="AH963" s="752"/>
      <c r="AI963" s="752" t="s">
        <v>58</v>
      </c>
      <c r="AJ963" s="752"/>
      <c r="AK963" s="752" t="s">
        <v>300</v>
      </c>
      <c r="AL963" s="752"/>
      <c r="AM963" s="752" t="s">
        <v>301</v>
      </c>
      <c r="AN963" s="752"/>
      <c r="AO963" s="752">
        <v>20</v>
      </c>
      <c r="AP963" s="752"/>
      <c r="AQ963" s="752">
        <v>20</v>
      </c>
      <c r="AR963" s="752"/>
      <c r="AS963" s="752" t="s">
        <v>57</v>
      </c>
      <c r="AT963" s="752"/>
      <c r="AU963" s="752" t="s">
        <v>302</v>
      </c>
      <c r="AV963" s="752"/>
      <c r="AW963" s="752">
        <v>100</v>
      </c>
      <c r="AX963" s="752"/>
      <c r="AY963" s="752">
        <v>100</v>
      </c>
      <c r="AZ963" s="752"/>
      <c r="BA963" s="752" t="s">
        <v>59</v>
      </c>
      <c r="BB963" s="752"/>
      <c r="BC963" s="752" t="s">
        <v>51</v>
      </c>
      <c r="BD963" s="752"/>
      <c r="BE963" s="752" t="s">
        <v>53</v>
      </c>
      <c r="BF963" s="752"/>
    </row>
    <row r="964" spans="2:58" ht="16" thickBot="1" x14ac:dyDescent="0.25">
      <c r="B964" s="162"/>
      <c r="C964" s="286"/>
      <c r="D964" s="273"/>
      <c r="E964" s="280"/>
      <c r="F964" s="305"/>
      <c r="G964" s="752">
        <v>151</v>
      </c>
      <c r="H964" s="752"/>
      <c r="I964" s="752">
        <v>167.99</v>
      </c>
      <c r="J964" s="752"/>
      <c r="K964" s="752">
        <v>144.99</v>
      </c>
      <c r="L964" s="752"/>
      <c r="M964" s="760">
        <v>169.99</v>
      </c>
      <c r="N964" s="760"/>
      <c r="O964" s="760">
        <v>274.99</v>
      </c>
      <c r="P964" s="760"/>
      <c r="Q964" s="760">
        <v>102.99</v>
      </c>
      <c r="R964" s="760"/>
      <c r="S964" s="752">
        <v>910.5</v>
      </c>
      <c r="T964" s="752"/>
      <c r="U964" s="752">
        <v>460.75</v>
      </c>
      <c r="V964" s="752"/>
      <c r="W964" s="752">
        <v>1048.95</v>
      </c>
      <c r="X964" s="752"/>
      <c r="Y964" s="752">
        <v>772.8</v>
      </c>
      <c r="Z964" s="752"/>
      <c r="AA964" s="752">
        <v>3450</v>
      </c>
      <c r="AB964" s="752"/>
      <c r="AC964" s="760">
        <v>89.99</v>
      </c>
      <c r="AD964" s="760"/>
      <c r="AE964" s="752">
        <v>39.99</v>
      </c>
      <c r="AF964" s="752"/>
      <c r="AG964" s="752">
        <v>498</v>
      </c>
      <c r="AH964" s="752"/>
      <c r="AI964" s="752">
        <v>4.99</v>
      </c>
      <c r="AJ964" s="752"/>
      <c r="AK964" s="752">
        <v>132.25</v>
      </c>
      <c r="AL964" s="752"/>
      <c r="AM964" s="752">
        <v>47.99</v>
      </c>
      <c r="AN964" s="752"/>
      <c r="AO964" s="752">
        <v>560</v>
      </c>
      <c r="AP964" s="752"/>
      <c r="AQ964" s="752">
        <v>560</v>
      </c>
      <c r="AR964" s="752"/>
      <c r="AS964" s="752">
        <v>613.5</v>
      </c>
      <c r="AT964" s="752"/>
      <c r="AU964" s="752">
        <v>313.89999999999998</v>
      </c>
      <c r="AV964" s="752"/>
      <c r="AW964" s="752">
        <v>405.8</v>
      </c>
      <c r="AX964" s="752"/>
      <c r="AY964" s="752">
        <v>218.99</v>
      </c>
      <c r="AZ964" s="752"/>
      <c r="BA964" s="752">
        <v>24.99</v>
      </c>
      <c r="BB964" s="752"/>
      <c r="BC964" s="752">
        <v>1425</v>
      </c>
      <c r="BD964" s="752"/>
      <c r="BE964" s="752">
        <v>54.99</v>
      </c>
      <c r="BF964" s="752"/>
    </row>
    <row r="965" spans="2:58" ht="16" thickBot="1" x14ac:dyDescent="0.25">
      <c r="B965" s="162"/>
      <c r="C965" s="753" t="str">
        <f>L965</f>
        <v>14 - 20 APRIL 2025</v>
      </c>
      <c r="D965" s="754"/>
      <c r="E965" s="754"/>
      <c r="F965" s="754"/>
      <c r="G965" s="755"/>
      <c r="H965" s="756"/>
      <c r="I965" s="163"/>
      <c r="J965" s="157"/>
      <c r="K965" s="157"/>
      <c r="L965" s="757" t="str">
        <f>AL965</f>
        <v>14 - 20 APRIL 2025</v>
      </c>
      <c r="M965" s="755"/>
      <c r="N965" s="755"/>
      <c r="O965" s="755"/>
      <c r="P965" s="755"/>
      <c r="Q965" s="755"/>
      <c r="R965" s="755"/>
      <c r="S965" s="755"/>
      <c r="T965" s="756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758"/>
      <c r="AH965" s="758"/>
      <c r="AI965" s="164"/>
      <c r="AJ965" s="157"/>
      <c r="AK965" s="157"/>
      <c r="AL965" s="759" t="str">
        <f>AW965</f>
        <v>14 - 20 APRIL 2025</v>
      </c>
      <c r="AM965" s="759"/>
      <c r="AN965" s="759"/>
      <c r="AO965" s="759"/>
      <c r="AP965" s="157"/>
      <c r="AQ965" s="157"/>
      <c r="AR965" s="157"/>
      <c r="AS965" s="157"/>
      <c r="AT965" s="157"/>
      <c r="AU965" s="157"/>
      <c r="AV965" s="157"/>
      <c r="AW965" s="757" t="str">
        <f>AW896</f>
        <v>14 - 20 APRIL 2025</v>
      </c>
      <c r="AX965" s="755" t="s">
        <v>28</v>
      </c>
      <c r="AY965" s="755"/>
      <c r="AZ965" s="755"/>
      <c r="BA965" s="755"/>
      <c r="BB965" s="755"/>
      <c r="BC965" s="755"/>
      <c r="BD965" s="756"/>
      <c r="BE965" s="157"/>
      <c r="BF965" s="157"/>
    </row>
    <row r="966" spans="2:58" ht="16" thickBot="1" x14ac:dyDescent="0.25"/>
    <row r="967" spans="2:58" ht="16" thickBot="1" x14ac:dyDescent="0.25">
      <c r="B967" s="156" t="s">
        <v>27</v>
      </c>
      <c r="C967" s="753" t="s">
        <v>1027</v>
      </c>
      <c r="D967" s="754"/>
      <c r="E967" s="754"/>
      <c r="F967" s="754"/>
      <c r="G967" s="763"/>
      <c r="H967" s="764"/>
      <c r="I967" s="163"/>
      <c r="J967" s="157"/>
      <c r="K967" s="157"/>
      <c r="L967" s="765" t="str">
        <f>C967</f>
        <v>21 - 27 APRIL 2025</v>
      </c>
      <c r="M967" s="763"/>
      <c r="N967" s="763"/>
      <c r="O967" s="763"/>
      <c r="P967" s="763"/>
      <c r="Q967" s="763"/>
      <c r="R967" s="763"/>
      <c r="S967" s="763"/>
      <c r="T967" s="764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766"/>
      <c r="AH967" s="766"/>
      <c r="AI967" s="753" t="str">
        <f>L967</f>
        <v>21 - 27 APRIL 2025</v>
      </c>
      <c r="AJ967" s="754"/>
      <c r="AK967" s="754"/>
      <c r="AL967" s="754"/>
      <c r="AM967" s="754"/>
      <c r="AN967" s="754"/>
      <c r="AO967" s="767"/>
      <c r="AP967" s="157"/>
      <c r="AQ967" s="157"/>
      <c r="AR967" s="157"/>
      <c r="AS967" s="157"/>
      <c r="AT967" s="157"/>
      <c r="AU967" s="157"/>
      <c r="AV967" s="157"/>
      <c r="AW967" s="765" t="str">
        <f>AI967</f>
        <v>21 - 27 APRIL 2025</v>
      </c>
      <c r="AX967" s="763" t="s">
        <v>28</v>
      </c>
      <c r="AY967" s="763"/>
      <c r="AZ967" s="763"/>
      <c r="BA967" s="763"/>
      <c r="BB967" s="763"/>
      <c r="BC967" s="763"/>
      <c r="BD967" s="764"/>
      <c r="BE967" s="157"/>
      <c r="BF967" s="157"/>
    </row>
    <row r="968" spans="2:58" ht="16" thickBot="1" x14ac:dyDescent="0.25">
      <c r="B968" s="158"/>
      <c r="C968" s="161"/>
      <c r="D968" s="161"/>
      <c r="E968" s="157"/>
      <c r="F968" s="157"/>
      <c r="G968" s="752" t="s">
        <v>29</v>
      </c>
      <c r="H968" s="752"/>
      <c r="I968" s="752" t="s">
        <v>30</v>
      </c>
      <c r="J968" s="752"/>
      <c r="K968" s="752" t="s">
        <v>31</v>
      </c>
      <c r="L968" s="752"/>
      <c r="M968" s="752" t="s">
        <v>32</v>
      </c>
      <c r="N968" s="752"/>
      <c r="O968" s="752" t="s">
        <v>33</v>
      </c>
      <c r="P968" s="752"/>
      <c r="Q968" s="752" t="s">
        <v>247</v>
      </c>
      <c r="R968" s="752"/>
      <c r="S968" s="752" t="s">
        <v>34</v>
      </c>
      <c r="T968" s="752"/>
      <c r="U968" s="752" t="s">
        <v>35</v>
      </c>
      <c r="V968" s="752"/>
      <c r="W968" s="752" t="s">
        <v>36</v>
      </c>
      <c r="X968" s="752"/>
      <c r="Y968" s="752" t="s">
        <v>37</v>
      </c>
      <c r="Z968" s="752"/>
      <c r="AA968" s="752" t="s">
        <v>38</v>
      </c>
      <c r="AB968" s="752"/>
      <c r="AC968" s="752" t="s">
        <v>39</v>
      </c>
      <c r="AD968" s="752"/>
      <c r="AE968" s="752" t="s">
        <v>40</v>
      </c>
      <c r="AF968" s="752"/>
      <c r="AG968" s="752" t="s">
        <v>41</v>
      </c>
      <c r="AH968" s="752"/>
      <c r="AI968" s="752" t="s">
        <v>42</v>
      </c>
      <c r="AJ968" s="752"/>
      <c r="AK968" s="752" t="s">
        <v>43</v>
      </c>
      <c r="AL968" s="752"/>
      <c r="AM968" s="752" t="s">
        <v>157</v>
      </c>
      <c r="AN968" s="752"/>
      <c r="AO968" s="752" t="s">
        <v>248</v>
      </c>
      <c r="AP968" s="752"/>
      <c r="AQ968" s="752" t="s">
        <v>249</v>
      </c>
      <c r="AR968" s="752"/>
      <c r="AS968" s="752" t="s">
        <v>150</v>
      </c>
      <c r="AT968" s="752"/>
      <c r="AU968" s="752" t="s">
        <v>151</v>
      </c>
      <c r="AV968" s="752"/>
      <c r="AW968" s="752" t="s">
        <v>44</v>
      </c>
      <c r="AX968" s="752"/>
      <c r="AY968" s="752" t="s">
        <v>250</v>
      </c>
      <c r="AZ968" s="752"/>
      <c r="BA968" s="752" t="s">
        <v>45</v>
      </c>
      <c r="BB968" s="752"/>
      <c r="BC968" s="752" t="s">
        <v>46</v>
      </c>
      <c r="BD968" s="752"/>
      <c r="BE968" s="752" t="s">
        <v>92</v>
      </c>
      <c r="BF968" s="752"/>
    </row>
    <row r="969" spans="2:58" ht="16" thickBot="1" x14ac:dyDescent="0.25">
      <c r="B969" s="156" t="s">
        <v>47</v>
      </c>
      <c r="C969" s="156" t="s">
        <v>48</v>
      </c>
      <c r="D969" s="283"/>
      <c r="E969" s="271"/>
      <c r="F969" s="271" t="s">
        <v>49</v>
      </c>
      <c r="G969" s="752" t="s">
        <v>50</v>
      </c>
      <c r="H969" s="752"/>
      <c r="I969" s="752" t="s">
        <v>51</v>
      </c>
      <c r="J969" s="752"/>
      <c r="K969" s="752" t="s">
        <v>51</v>
      </c>
      <c r="L969" s="752"/>
      <c r="M969" s="752" t="s">
        <v>52</v>
      </c>
      <c r="N969" s="752"/>
      <c r="O969" s="752">
        <v>180</v>
      </c>
      <c r="P969" s="752"/>
      <c r="Q969" s="752" t="s">
        <v>53</v>
      </c>
      <c r="R969" s="752"/>
      <c r="S969" s="752" t="s">
        <v>54</v>
      </c>
      <c r="T969" s="752"/>
      <c r="U969" s="752" t="s">
        <v>54</v>
      </c>
      <c r="V969" s="752"/>
      <c r="W969" s="752" t="s">
        <v>55</v>
      </c>
      <c r="X969" s="752"/>
      <c r="Y969" s="752" t="s">
        <v>54</v>
      </c>
      <c r="Z969" s="752"/>
      <c r="AA969" s="752" t="s">
        <v>54</v>
      </c>
      <c r="AB969" s="752"/>
      <c r="AC969" s="752" t="s">
        <v>56</v>
      </c>
      <c r="AD969" s="752"/>
      <c r="AE969" s="752" t="s">
        <v>57</v>
      </c>
      <c r="AF969" s="752"/>
      <c r="AG969" s="752" t="s">
        <v>57</v>
      </c>
      <c r="AH969" s="752"/>
      <c r="AI969" s="752" t="s">
        <v>58</v>
      </c>
      <c r="AJ969" s="752"/>
      <c r="AK969" s="752" t="s">
        <v>300</v>
      </c>
      <c r="AL969" s="752"/>
      <c r="AM969" s="752" t="s">
        <v>301</v>
      </c>
      <c r="AN969" s="752"/>
      <c r="AO969" s="752">
        <v>20</v>
      </c>
      <c r="AP969" s="752"/>
      <c r="AQ969" s="752">
        <v>20</v>
      </c>
      <c r="AR969" s="752"/>
      <c r="AS969" s="752" t="s">
        <v>57</v>
      </c>
      <c r="AT969" s="752"/>
      <c r="AU969" s="752" t="s">
        <v>302</v>
      </c>
      <c r="AV969" s="752"/>
      <c r="AW969" s="752">
        <v>100</v>
      </c>
      <c r="AX969" s="752"/>
      <c r="AY969" s="752">
        <v>100</v>
      </c>
      <c r="AZ969" s="752"/>
      <c r="BA969" s="752" t="s">
        <v>59</v>
      </c>
      <c r="BB969" s="752"/>
      <c r="BC969" s="752" t="s">
        <v>51</v>
      </c>
      <c r="BD969" s="752"/>
      <c r="BE969" s="752" t="s">
        <v>53</v>
      </c>
      <c r="BF969" s="752"/>
    </row>
    <row r="970" spans="2:58" ht="16" thickBot="1" x14ac:dyDescent="0.25">
      <c r="B970" s="156"/>
      <c r="C970" s="156" t="s">
        <v>60</v>
      </c>
      <c r="D970" s="283"/>
      <c r="E970" s="271" t="s">
        <v>61</v>
      </c>
      <c r="F970" s="271" t="s">
        <v>62</v>
      </c>
      <c r="G970" s="752">
        <v>151</v>
      </c>
      <c r="H970" s="752"/>
      <c r="I970" s="752">
        <v>167.99</v>
      </c>
      <c r="J970" s="752"/>
      <c r="K970" s="752">
        <v>144.99</v>
      </c>
      <c r="L970" s="752"/>
      <c r="M970" s="760">
        <v>169.99</v>
      </c>
      <c r="N970" s="760"/>
      <c r="O970" s="760">
        <v>274.99</v>
      </c>
      <c r="P970" s="760"/>
      <c r="Q970" s="760">
        <v>135</v>
      </c>
      <c r="R970" s="760"/>
      <c r="S970" s="752">
        <v>910.5</v>
      </c>
      <c r="T970" s="752"/>
      <c r="U970" s="752">
        <v>460.75</v>
      </c>
      <c r="V970" s="752"/>
      <c r="W970" s="752">
        <v>1048.95</v>
      </c>
      <c r="X970" s="752"/>
      <c r="Y970" s="752">
        <v>772.8</v>
      </c>
      <c r="Z970" s="752"/>
      <c r="AA970" s="752">
        <v>3450</v>
      </c>
      <c r="AB970" s="752"/>
      <c r="AC970" s="760">
        <v>99.99</v>
      </c>
      <c r="AD970" s="760"/>
      <c r="AE970" s="752">
        <v>29.99</v>
      </c>
      <c r="AF970" s="752"/>
      <c r="AG970" s="752">
        <v>548</v>
      </c>
      <c r="AH970" s="752"/>
      <c r="AI970" s="752">
        <v>4.99</v>
      </c>
      <c r="AJ970" s="752"/>
      <c r="AK970" s="752">
        <v>132.25</v>
      </c>
      <c r="AL970" s="752"/>
      <c r="AM970" s="752">
        <v>47.99</v>
      </c>
      <c r="AN970" s="752"/>
      <c r="AO970" s="752">
        <v>560</v>
      </c>
      <c r="AP970" s="752"/>
      <c r="AQ970" s="752">
        <v>560</v>
      </c>
      <c r="AR970" s="752"/>
      <c r="AS970" s="752">
        <v>613.5</v>
      </c>
      <c r="AT970" s="752"/>
      <c r="AU970" s="752">
        <v>313.89999999999998</v>
      </c>
      <c r="AV970" s="752"/>
      <c r="AW970" s="752">
        <v>405.8</v>
      </c>
      <c r="AX970" s="752"/>
      <c r="AY970" s="752">
        <v>218.99</v>
      </c>
      <c r="AZ970" s="752"/>
      <c r="BA970" s="752">
        <v>24.99</v>
      </c>
      <c r="BB970" s="752"/>
      <c r="BC970" s="752">
        <v>1425</v>
      </c>
      <c r="BD970" s="752"/>
      <c r="BE970" s="752">
        <v>54.99</v>
      </c>
      <c r="BF970" s="752"/>
    </row>
    <row r="971" spans="2:58" ht="16" thickBot="1" x14ac:dyDescent="0.25">
      <c r="B971" s="272">
        <v>45754</v>
      </c>
      <c r="C971" s="274">
        <v>850</v>
      </c>
      <c r="D971" s="276"/>
      <c r="E971" s="278" t="s">
        <v>186</v>
      </c>
      <c r="F971" s="278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  <c r="AA971" s="271"/>
      <c r="AB971" s="271"/>
      <c r="AC971" s="271"/>
      <c r="AD971" s="271"/>
      <c r="AE971" s="271"/>
      <c r="AF971" s="271"/>
      <c r="AG971" s="271"/>
      <c r="AH971" s="271"/>
      <c r="AI971" s="271"/>
      <c r="AJ971" s="271"/>
      <c r="AK971" s="271"/>
      <c r="AL971" s="271"/>
      <c r="AM971" s="271"/>
      <c r="AN971" s="271"/>
      <c r="AO971" s="271"/>
      <c r="AP971" s="271"/>
      <c r="AQ971" s="271"/>
      <c r="AR971" s="271"/>
      <c r="AS971" s="271"/>
      <c r="AT971" s="271"/>
      <c r="AU971" s="271"/>
      <c r="AV971" s="271"/>
      <c r="AW971" s="271"/>
      <c r="AX971" s="271"/>
      <c r="AY971" s="271"/>
      <c r="AZ971" s="271"/>
      <c r="BA971" s="271"/>
      <c r="BB971" s="271"/>
      <c r="BC971" s="271"/>
      <c r="BD971" s="271"/>
      <c r="BE971" s="271"/>
      <c r="BF971" s="271"/>
    </row>
    <row r="972" spans="2:58" ht="16" thickBot="1" x14ac:dyDescent="0.25">
      <c r="B972" s="660"/>
      <c r="C972" s="275">
        <v>119.94</v>
      </c>
      <c r="D972" s="661"/>
      <c r="E972" s="303"/>
      <c r="F972" s="303" t="s">
        <v>14</v>
      </c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  <c r="AA972" s="271"/>
      <c r="AB972" s="271"/>
      <c r="AC972" s="271"/>
      <c r="AD972" s="271"/>
      <c r="AE972" s="271">
        <v>6</v>
      </c>
      <c r="AF972" s="271">
        <v>119.94</v>
      </c>
      <c r="AG972" s="271"/>
      <c r="AH972" s="271"/>
      <c r="AI972" s="271"/>
      <c r="AJ972" s="271"/>
      <c r="AK972" s="271"/>
      <c r="AL972" s="271"/>
      <c r="AM972" s="271"/>
      <c r="AN972" s="271"/>
      <c r="AO972" s="271"/>
      <c r="AP972" s="271"/>
      <c r="AQ972" s="271"/>
      <c r="AR972" s="271"/>
      <c r="AS972" s="271"/>
      <c r="AT972" s="271"/>
      <c r="AU972" s="271"/>
      <c r="AV972" s="271"/>
      <c r="AW972" s="271"/>
      <c r="AX972" s="271"/>
      <c r="AY972" s="271"/>
      <c r="AZ972" s="271"/>
      <c r="BA972" s="271"/>
      <c r="BB972" s="271"/>
      <c r="BC972" s="271"/>
      <c r="BD972" s="271"/>
      <c r="BE972" s="271"/>
      <c r="BF972" s="271"/>
    </row>
    <row r="973" spans="2:58" ht="16" thickBot="1" x14ac:dyDescent="0.25">
      <c r="B973" s="660"/>
      <c r="C973" s="275">
        <v>6414.68</v>
      </c>
      <c r="D973" s="661"/>
      <c r="E973" s="303"/>
      <c r="F973" s="303" t="s">
        <v>9</v>
      </c>
      <c r="G973" s="271">
        <v>8</v>
      </c>
      <c r="H973" s="271">
        <v>1119.92</v>
      </c>
      <c r="I973" s="271"/>
      <c r="J973" s="271"/>
      <c r="K973" s="271">
        <v>4</v>
      </c>
      <c r="L973" s="271">
        <v>727.96</v>
      </c>
      <c r="M973" s="271">
        <v>9</v>
      </c>
      <c r="N973" s="271">
        <v>1556.91</v>
      </c>
      <c r="O973" s="271">
        <v>15</v>
      </c>
      <c r="P973" s="271">
        <v>1920</v>
      </c>
      <c r="Q973" s="271"/>
      <c r="R973" s="271"/>
      <c r="S973" s="271"/>
      <c r="T973" s="271"/>
      <c r="U973" s="271"/>
      <c r="V973" s="271"/>
      <c r="W973" s="271">
        <v>4</v>
      </c>
      <c r="X973" s="271">
        <v>359.96</v>
      </c>
      <c r="Y973" s="271"/>
      <c r="Z973" s="271"/>
      <c r="AA973" s="271"/>
      <c r="AB973" s="271"/>
      <c r="AC973" s="271">
        <v>6</v>
      </c>
      <c r="AD973" s="271">
        <v>593.94000000000005</v>
      </c>
      <c r="AE973" s="271"/>
      <c r="AF973" s="271"/>
      <c r="AG973" s="271"/>
      <c r="AH973" s="271"/>
      <c r="AI973" s="271"/>
      <c r="AJ973" s="271"/>
      <c r="AK973" s="271"/>
      <c r="AL973" s="271"/>
      <c r="AM973" s="271"/>
      <c r="AN973" s="271"/>
      <c r="AO973" s="271"/>
      <c r="AP973" s="271"/>
      <c r="AQ973" s="271"/>
      <c r="AR973" s="271"/>
      <c r="AS973" s="271"/>
      <c r="AT973" s="271"/>
      <c r="AU973" s="271"/>
      <c r="AV973" s="271"/>
      <c r="AW973" s="271"/>
      <c r="AX973" s="271"/>
      <c r="AY973" s="271"/>
      <c r="AZ973" s="271"/>
      <c r="BA973" s="271"/>
      <c r="BB973" s="271"/>
      <c r="BC973" s="271"/>
      <c r="BD973" s="271"/>
      <c r="BE973" s="271">
        <v>1</v>
      </c>
      <c r="BF973" s="271">
        <v>75.989999999999995</v>
      </c>
    </row>
    <row r="974" spans="2:58" ht="16" thickBot="1" x14ac:dyDescent="0.25">
      <c r="B974" s="660"/>
      <c r="C974" s="275"/>
      <c r="D974" s="661"/>
      <c r="E974" s="303"/>
      <c r="F974" s="303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  <c r="AA974" s="271"/>
      <c r="AB974" s="271"/>
      <c r="AC974" s="271"/>
      <c r="AD974" s="271"/>
      <c r="AE974" s="271"/>
      <c r="AF974" s="271"/>
      <c r="AG974" s="271"/>
      <c r="AH974" s="271"/>
      <c r="AI974" s="271"/>
      <c r="AJ974" s="271"/>
      <c r="AK974" s="271"/>
      <c r="AL974" s="271"/>
      <c r="AM974" s="271"/>
      <c r="AN974" s="271"/>
      <c r="AO974" s="271"/>
      <c r="AP974" s="271"/>
      <c r="AQ974" s="271"/>
      <c r="AR974" s="271"/>
      <c r="AS974" s="271"/>
      <c r="AT974" s="271"/>
      <c r="AU974" s="271"/>
      <c r="AV974" s="271"/>
      <c r="AW974" s="271"/>
      <c r="AX974" s="271"/>
      <c r="AY974" s="271"/>
      <c r="AZ974" s="271"/>
      <c r="BA974" s="271"/>
      <c r="BB974" s="271"/>
      <c r="BC974" s="271"/>
      <c r="BD974" s="271"/>
      <c r="BE974" s="271"/>
      <c r="BF974" s="271"/>
    </row>
    <row r="975" spans="2:58" ht="16" thickBot="1" x14ac:dyDescent="0.25">
      <c r="B975" s="660"/>
      <c r="C975" s="275"/>
      <c r="D975" s="661"/>
      <c r="E975" s="303"/>
      <c r="F975" s="303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  <c r="AA975" s="271"/>
      <c r="AB975" s="271"/>
      <c r="AC975" s="271"/>
      <c r="AD975" s="271"/>
      <c r="AE975" s="271"/>
      <c r="AF975" s="271"/>
      <c r="AG975" s="271"/>
      <c r="AH975" s="271"/>
      <c r="AI975" s="271"/>
      <c r="AJ975" s="271"/>
      <c r="AK975" s="271"/>
      <c r="AL975" s="271"/>
      <c r="AM975" s="271"/>
      <c r="AN975" s="271"/>
      <c r="AO975" s="271"/>
      <c r="AP975" s="271"/>
      <c r="AQ975" s="271"/>
      <c r="AR975" s="271"/>
      <c r="AS975" s="271"/>
      <c r="AT975" s="271"/>
      <c r="AU975" s="271"/>
      <c r="AV975" s="271"/>
      <c r="AW975" s="271"/>
      <c r="AX975" s="271"/>
      <c r="AY975" s="271"/>
      <c r="AZ975" s="271"/>
      <c r="BA975" s="271"/>
      <c r="BB975" s="271"/>
      <c r="BC975" s="271"/>
      <c r="BD975" s="271"/>
      <c r="BE975" s="271"/>
      <c r="BF975" s="271"/>
    </row>
    <row r="976" spans="2:58" ht="16" thickBot="1" x14ac:dyDescent="0.25">
      <c r="B976" s="681" t="s">
        <v>20</v>
      </c>
      <c r="C976" s="275"/>
      <c r="D976" s="277"/>
      <c r="E976" s="279"/>
      <c r="F976" s="279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  <c r="AA976" s="271"/>
      <c r="AB976" s="271"/>
      <c r="AC976" s="271"/>
      <c r="AD976" s="271"/>
      <c r="AE976" s="271"/>
      <c r="AF976" s="271"/>
      <c r="AG976" s="271"/>
      <c r="AH976" s="271"/>
      <c r="AI976" s="271"/>
      <c r="AJ976" s="271"/>
      <c r="AK976" s="271"/>
      <c r="AL976" s="271"/>
      <c r="AM976" s="271"/>
      <c r="AN976" s="271"/>
      <c r="AO976" s="271"/>
      <c r="AP976" s="271"/>
      <c r="AQ976" s="271"/>
      <c r="AR976" s="271"/>
      <c r="AS976" s="271"/>
      <c r="AT976" s="271"/>
      <c r="AU976" s="271"/>
      <c r="AV976" s="271"/>
      <c r="AW976" s="271"/>
      <c r="AX976" s="271"/>
      <c r="AY976" s="271"/>
      <c r="AZ976" s="271"/>
      <c r="BA976" s="271"/>
      <c r="BB976" s="271"/>
      <c r="BC976" s="271"/>
      <c r="BD976" s="271"/>
      <c r="BE976" s="271"/>
      <c r="BF976" s="271"/>
    </row>
    <row r="977" spans="2:58" ht="16" thickBot="1" x14ac:dyDescent="0.25">
      <c r="B977" s="479"/>
      <c r="C977" s="680">
        <f>SUM(C971:C976)</f>
        <v>7384.6200000000008</v>
      </c>
      <c r="D977" s="159"/>
      <c r="E977" s="270"/>
      <c r="F977" s="281"/>
      <c r="G977" s="309"/>
      <c r="H977" s="310"/>
      <c r="I977" s="309"/>
      <c r="J977" s="310"/>
      <c r="K977" s="309"/>
      <c r="L977" s="310"/>
      <c r="M977" s="309"/>
      <c r="N977" s="310"/>
      <c r="O977" s="271"/>
      <c r="P977" s="271"/>
      <c r="Q977" s="310"/>
      <c r="R977" s="310"/>
      <c r="S977" s="309"/>
      <c r="T977" s="310"/>
      <c r="U977" s="309"/>
      <c r="V977" s="310"/>
      <c r="W977" s="309"/>
      <c r="X977" s="310"/>
      <c r="Y977" s="309"/>
      <c r="Z977" s="310"/>
      <c r="AA977" s="309"/>
      <c r="AB977" s="310"/>
      <c r="AC977" s="271"/>
      <c r="AD977" s="271"/>
      <c r="AE977" s="309"/>
      <c r="AF977" s="310"/>
      <c r="AG977" s="309"/>
      <c r="AH977" s="310"/>
      <c r="AI977" s="309"/>
      <c r="AJ977" s="310"/>
      <c r="AK977" s="309"/>
      <c r="AL977" s="310"/>
      <c r="AM977" s="309"/>
      <c r="AN977" s="310"/>
      <c r="AO977" s="309"/>
      <c r="AP977" s="310"/>
      <c r="AQ977" s="309"/>
      <c r="AR977" s="310"/>
      <c r="AS977" s="309"/>
      <c r="AT977" s="310"/>
      <c r="AU977" s="309"/>
      <c r="AV977" s="310"/>
      <c r="AW977" s="309"/>
      <c r="AX977" s="310"/>
      <c r="AY977" s="309"/>
      <c r="AZ977" s="310"/>
      <c r="BA977" s="271"/>
      <c r="BB977" s="271"/>
      <c r="BC977" s="271"/>
      <c r="BD977" s="271"/>
      <c r="BE977" s="271"/>
      <c r="BF977" s="271"/>
    </row>
    <row r="978" spans="2:58" ht="16" thickBot="1" x14ac:dyDescent="0.25">
      <c r="B978" s="289">
        <v>45755</v>
      </c>
      <c r="C978" s="275">
        <v>2072</v>
      </c>
      <c r="D978" s="277"/>
      <c r="E978" s="279" t="s">
        <v>296</v>
      </c>
      <c r="F978" s="279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  <c r="AA978" s="271"/>
      <c r="AB978" s="271"/>
      <c r="AC978" s="271"/>
      <c r="AD978" s="271"/>
      <c r="AE978" s="271"/>
      <c r="AF978" s="271"/>
      <c r="AG978" s="271"/>
      <c r="AH978" s="271"/>
      <c r="AI978" s="271"/>
      <c r="AJ978" s="271"/>
      <c r="AK978" s="271"/>
      <c r="AL978" s="271"/>
      <c r="AM978" s="271"/>
      <c r="AN978" s="271"/>
      <c r="AO978" s="271"/>
      <c r="AP978" s="271"/>
      <c r="AQ978" s="271"/>
      <c r="AR978" s="271"/>
      <c r="AS978" s="271"/>
      <c r="AT978" s="271"/>
      <c r="AU978" s="271"/>
      <c r="AV978" s="271"/>
      <c r="AW978" s="271"/>
      <c r="AX978" s="271"/>
      <c r="AY978" s="271"/>
      <c r="AZ978" s="271"/>
      <c r="BA978" s="271"/>
      <c r="BB978" s="271"/>
      <c r="BC978" s="271"/>
      <c r="BD978" s="271"/>
      <c r="BE978" s="271"/>
      <c r="BF978" s="271"/>
    </row>
    <row r="979" spans="2:58" ht="16" thickBot="1" x14ac:dyDescent="0.25">
      <c r="B979" s="289"/>
      <c r="C979" s="139">
        <v>128</v>
      </c>
      <c r="E979" s="575" t="s">
        <v>426</v>
      </c>
      <c r="F979" s="279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  <c r="AA979" s="271"/>
      <c r="AB979" s="271"/>
      <c r="AC979" s="271"/>
      <c r="AD979" s="271"/>
      <c r="AE979" s="271"/>
      <c r="AF979" s="271"/>
      <c r="AG979" s="271"/>
      <c r="AH979" s="271"/>
      <c r="AI979" s="271"/>
      <c r="AJ979" s="271"/>
      <c r="AK979" s="271"/>
      <c r="AL979" s="271"/>
      <c r="AM979" s="271"/>
      <c r="AN979" s="271"/>
      <c r="AO979" s="271"/>
      <c r="AP979" s="271"/>
      <c r="AQ979" s="271"/>
      <c r="AR979" s="271"/>
      <c r="AS979" s="271"/>
      <c r="AT979" s="271"/>
      <c r="AU979" s="271"/>
      <c r="AV979" s="271"/>
      <c r="AW979" s="271"/>
      <c r="AX979" s="271"/>
      <c r="AY979" s="271"/>
      <c r="AZ979" s="271"/>
      <c r="BA979" s="271"/>
      <c r="BB979" s="271"/>
      <c r="BC979" s="271"/>
      <c r="BD979" s="271"/>
      <c r="BE979" s="271"/>
      <c r="BF979" s="271"/>
    </row>
    <row r="980" spans="2:58" ht="16" thickBot="1" x14ac:dyDescent="0.25">
      <c r="B980" s="289"/>
      <c r="C980" s="4">
        <v>164.99</v>
      </c>
      <c r="E980" s="142"/>
      <c r="F980" s="279" t="s">
        <v>297</v>
      </c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>
        <v>1</v>
      </c>
      <c r="R980" s="271">
        <v>164.99</v>
      </c>
      <c r="S980" s="271"/>
      <c r="T980" s="271"/>
      <c r="U980" s="271"/>
      <c r="V980" s="271"/>
      <c r="W980" s="271"/>
      <c r="X980" s="271"/>
      <c r="Y980" s="271"/>
      <c r="Z980" s="271"/>
      <c r="AA980" s="271"/>
      <c r="AB980" s="271"/>
      <c r="AC980" s="271"/>
      <c r="AD980" s="271"/>
      <c r="AE980" s="271"/>
      <c r="AF980" s="271"/>
      <c r="AG980" s="271"/>
      <c r="AH980" s="271"/>
      <c r="AI980" s="271"/>
      <c r="AJ980" s="271"/>
      <c r="AK980" s="271"/>
      <c r="AL980" s="271"/>
      <c r="AM980" s="271"/>
      <c r="AN980" s="271"/>
      <c r="AO980" s="271"/>
      <c r="AP980" s="271"/>
      <c r="AQ980" s="271"/>
      <c r="AR980" s="271"/>
      <c r="AS980" s="271"/>
      <c r="AT980" s="271"/>
      <c r="AU980" s="271"/>
      <c r="AV980" s="271"/>
      <c r="AW980" s="271"/>
      <c r="AX980" s="271"/>
      <c r="AY980" s="271"/>
      <c r="AZ980" s="271"/>
      <c r="BA980" s="271"/>
      <c r="BB980" s="271"/>
      <c r="BC980" s="271"/>
      <c r="BD980" s="271"/>
      <c r="BE980" s="271"/>
      <c r="BF980" s="271"/>
    </row>
    <row r="981" spans="2:58" ht="16" thickBot="1" x14ac:dyDescent="0.25">
      <c r="B981" s="289"/>
      <c r="C981" s="146">
        <v>5733.9</v>
      </c>
      <c r="E981" s="147"/>
      <c r="F981" s="279" t="s">
        <v>11</v>
      </c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>
        <v>8</v>
      </c>
      <c r="V981" s="271">
        <v>4795.12</v>
      </c>
      <c r="W981" s="271"/>
      <c r="X981" s="271"/>
      <c r="Y981" s="271"/>
      <c r="Z981" s="271"/>
      <c r="AA981" s="271"/>
      <c r="AB981" s="271"/>
      <c r="AC981" s="271"/>
      <c r="AD981" s="271"/>
      <c r="AE981" s="271"/>
      <c r="AF981" s="271"/>
      <c r="AG981" s="271"/>
      <c r="AH981" s="271"/>
      <c r="AI981" s="271"/>
      <c r="AJ981" s="271"/>
      <c r="AK981" s="271">
        <v>4</v>
      </c>
      <c r="AL981" s="271">
        <v>759.8</v>
      </c>
      <c r="AM981" s="271"/>
      <c r="AN981" s="271"/>
      <c r="AO981" s="271"/>
      <c r="AP981" s="271"/>
      <c r="AQ981" s="271"/>
      <c r="AR981" s="271"/>
      <c r="AS981" s="271"/>
      <c r="AT981" s="271"/>
      <c r="AU981" s="271"/>
      <c r="AV981" s="271"/>
      <c r="AW981" s="271"/>
      <c r="AX981" s="271"/>
      <c r="AY981" s="271"/>
      <c r="AZ981" s="271"/>
      <c r="BA981" s="271"/>
      <c r="BB981" s="271"/>
      <c r="BC981" s="271"/>
      <c r="BD981" s="271"/>
      <c r="BE981" s="271"/>
      <c r="BF981" s="271"/>
    </row>
    <row r="982" spans="2:58" ht="16" thickBot="1" x14ac:dyDescent="0.25">
      <c r="B982" s="289"/>
      <c r="C982" s="4">
        <v>599.9</v>
      </c>
      <c r="E982" s="142"/>
      <c r="F982" s="279" t="s">
        <v>14</v>
      </c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  <c r="AA982" s="271"/>
      <c r="AB982" s="271"/>
      <c r="AC982" s="271"/>
      <c r="AD982" s="271"/>
      <c r="AE982" s="271">
        <v>10</v>
      </c>
      <c r="AF982" s="271">
        <v>599.9</v>
      </c>
      <c r="AG982" s="271"/>
      <c r="AH982" s="271"/>
      <c r="AI982" s="271"/>
      <c r="AJ982" s="271"/>
      <c r="AK982" s="271"/>
      <c r="AL982" s="271"/>
      <c r="AM982" s="271"/>
      <c r="AN982" s="271"/>
      <c r="AO982" s="271"/>
      <c r="AP982" s="271"/>
      <c r="AQ982" s="271"/>
      <c r="AR982" s="271"/>
      <c r="AS982" s="271"/>
      <c r="AT982" s="271"/>
      <c r="AU982" s="271"/>
      <c r="AV982" s="271"/>
      <c r="AW982" s="271"/>
      <c r="AX982" s="271"/>
      <c r="AY982" s="271"/>
      <c r="AZ982" s="271"/>
      <c r="BA982" s="271"/>
      <c r="BB982" s="271"/>
      <c r="BC982" s="271"/>
      <c r="BD982" s="271"/>
      <c r="BE982" s="271"/>
      <c r="BF982" s="271"/>
    </row>
    <row r="983" spans="2:58" ht="16" thickBot="1" x14ac:dyDescent="0.25">
      <c r="B983" s="289"/>
      <c r="C983" s="4">
        <v>7924.45</v>
      </c>
      <c r="E983" s="142"/>
      <c r="F983" s="279" t="s">
        <v>9</v>
      </c>
      <c r="G983" s="271">
        <v>9</v>
      </c>
      <c r="H983" s="271">
        <v>1259.9100000000001</v>
      </c>
      <c r="I983" s="271">
        <v>3</v>
      </c>
      <c r="J983" s="271">
        <v>614.97</v>
      </c>
      <c r="K983" s="271">
        <v>7</v>
      </c>
      <c r="L983" s="271">
        <v>1273.93</v>
      </c>
      <c r="M983" s="271">
        <v>10</v>
      </c>
      <c r="N983" s="271">
        <v>1729.9</v>
      </c>
      <c r="O983" s="271">
        <v>18</v>
      </c>
      <c r="P983" s="271">
        <v>2303.8200000000002</v>
      </c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  <c r="AA983" s="271"/>
      <c r="AB983" s="271"/>
      <c r="AC983" s="271">
        <v>6</v>
      </c>
      <c r="AD983" s="271">
        <v>593.94000000000005</v>
      </c>
      <c r="AE983" s="271"/>
      <c r="AF983" s="271"/>
      <c r="AG983" s="271"/>
      <c r="AH983" s="271"/>
      <c r="AI983" s="271"/>
      <c r="AJ983" s="271"/>
      <c r="AK983" s="271"/>
      <c r="AL983" s="271"/>
      <c r="AM983" s="271"/>
      <c r="AN983" s="271"/>
      <c r="AO983" s="271"/>
      <c r="AP983" s="271"/>
      <c r="AQ983" s="271"/>
      <c r="AR983" s="271"/>
      <c r="AS983" s="271"/>
      <c r="AT983" s="271"/>
      <c r="AU983" s="271"/>
      <c r="AV983" s="271"/>
      <c r="AW983" s="271"/>
      <c r="AX983" s="271"/>
      <c r="AY983" s="271"/>
      <c r="AZ983" s="271"/>
      <c r="BA983" s="271">
        <v>1</v>
      </c>
      <c r="BB983" s="271">
        <v>27.99</v>
      </c>
      <c r="BC983" s="271"/>
      <c r="BD983" s="271"/>
      <c r="BE983" s="271">
        <v>1</v>
      </c>
      <c r="BF983" s="271">
        <v>59.99</v>
      </c>
    </row>
    <row r="984" spans="2:58" ht="16" thickBot="1" x14ac:dyDescent="0.25">
      <c r="B984" s="289"/>
      <c r="C984" s="275">
        <v>21565</v>
      </c>
      <c r="D984" s="277"/>
      <c r="E984" s="279" t="s">
        <v>12</v>
      </c>
      <c r="F984" s="279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  <c r="AA984" s="271"/>
      <c r="AB984" s="271"/>
      <c r="AC984" s="271"/>
      <c r="AD984" s="271"/>
      <c r="AE984" s="271"/>
      <c r="AF984" s="271"/>
      <c r="AG984" s="271"/>
      <c r="AH984" s="271"/>
      <c r="AI984" s="271"/>
      <c r="AJ984" s="271"/>
      <c r="AK984" s="271"/>
      <c r="AL984" s="271"/>
      <c r="AM984" s="271"/>
      <c r="AN984" s="271"/>
      <c r="AO984" s="271"/>
      <c r="AP984" s="271"/>
      <c r="AQ984" s="271"/>
      <c r="AR984" s="271"/>
      <c r="AS984" s="271"/>
      <c r="AT984" s="271"/>
      <c r="AU984" s="271"/>
      <c r="AV984" s="271"/>
      <c r="AW984" s="271"/>
      <c r="AX984" s="271"/>
      <c r="AY984" s="271"/>
      <c r="AZ984" s="271"/>
      <c r="BA984" s="271"/>
      <c r="BB984" s="271"/>
      <c r="BC984" s="271"/>
      <c r="BD984" s="271"/>
      <c r="BE984" s="271"/>
      <c r="BF984" s="271"/>
    </row>
    <row r="985" spans="2:58" ht="16" thickBot="1" x14ac:dyDescent="0.25">
      <c r="B985" s="289"/>
      <c r="C985" s="275"/>
      <c r="D985" s="277"/>
      <c r="E985" s="279"/>
      <c r="F985" s="279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  <c r="AA985" s="271"/>
      <c r="AB985" s="271"/>
      <c r="AC985" s="271"/>
      <c r="AD985" s="271"/>
      <c r="AE985" s="271"/>
      <c r="AF985" s="271"/>
      <c r="AG985" s="271"/>
      <c r="AH985" s="271"/>
      <c r="AI985" s="271"/>
      <c r="AJ985" s="271"/>
      <c r="AK985" s="271"/>
      <c r="AL985" s="271"/>
      <c r="AM985" s="271"/>
      <c r="AN985" s="271"/>
      <c r="AO985" s="271"/>
      <c r="AP985" s="271"/>
      <c r="AQ985" s="271"/>
      <c r="AR985" s="271"/>
      <c r="AS985" s="271"/>
      <c r="AT985" s="271"/>
      <c r="AU985" s="271"/>
      <c r="AV985" s="271"/>
      <c r="AW985" s="271"/>
      <c r="AX985" s="271"/>
      <c r="AY985" s="271"/>
      <c r="AZ985" s="271"/>
      <c r="BA985" s="271"/>
      <c r="BB985" s="271"/>
      <c r="BC985" s="271"/>
      <c r="BD985" s="271"/>
      <c r="BE985" s="271"/>
      <c r="BF985" s="271"/>
    </row>
    <row r="986" spans="2:58" ht="16" thickBot="1" x14ac:dyDescent="0.25">
      <c r="B986" s="289" t="s">
        <v>90</v>
      </c>
      <c r="C986" s="275"/>
      <c r="D986" s="277"/>
      <c r="E986" s="279"/>
      <c r="F986" s="279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  <c r="AA986" s="271"/>
      <c r="AB986" s="271"/>
      <c r="AC986" s="271"/>
      <c r="AD986" s="271"/>
      <c r="AE986" s="271"/>
      <c r="AF986" s="271"/>
      <c r="AG986" s="271"/>
      <c r="AH986" s="271"/>
      <c r="AI986" s="271"/>
      <c r="AJ986" s="271"/>
      <c r="AK986" s="271"/>
      <c r="AL986" s="271"/>
      <c r="AM986" s="271"/>
      <c r="AN986" s="271"/>
      <c r="AO986" s="271"/>
      <c r="AP986" s="271"/>
      <c r="AQ986" s="271"/>
      <c r="AR986" s="271"/>
      <c r="AS986" s="271"/>
      <c r="AT986" s="271"/>
      <c r="AU986" s="271"/>
      <c r="AV986" s="271"/>
      <c r="AW986" s="271"/>
      <c r="AX986" s="271"/>
      <c r="AY986" s="271"/>
      <c r="AZ986" s="271"/>
      <c r="BA986" s="271"/>
      <c r="BB986" s="271"/>
      <c r="BC986" s="271"/>
      <c r="BD986" s="271"/>
      <c r="BE986" s="271"/>
      <c r="BF986" s="271"/>
    </row>
    <row r="987" spans="2:58" ht="16" thickBot="1" x14ac:dyDescent="0.25">
      <c r="B987" s="292"/>
      <c r="C987" s="159">
        <f>SUM(C978:C986)</f>
        <v>38188.239999999998</v>
      </c>
      <c r="D987" s="159"/>
      <c r="E987" s="270"/>
      <c r="F987" s="281"/>
      <c r="G987" s="309"/>
      <c r="H987" s="310"/>
      <c r="I987" s="309"/>
      <c r="J987" s="310"/>
      <c r="K987" s="309"/>
      <c r="L987" s="310"/>
      <c r="M987" s="309"/>
      <c r="N987" s="310"/>
      <c r="O987" s="271"/>
      <c r="P987" s="271"/>
      <c r="Q987" s="310"/>
      <c r="R987" s="310"/>
      <c r="S987" s="309"/>
      <c r="T987" s="310"/>
      <c r="U987" s="309"/>
      <c r="V987" s="310"/>
      <c r="W987" s="309"/>
      <c r="X987" s="310"/>
      <c r="Y987" s="309"/>
      <c r="Z987" s="310"/>
      <c r="AA987" s="309"/>
      <c r="AB987" s="310"/>
      <c r="AC987" s="271"/>
      <c r="AD987" s="271"/>
      <c r="AE987" s="309"/>
      <c r="AF987" s="310"/>
      <c r="AG987" s="309"/>
      <c r="AH987" s="310"/>
      <c r="AI987" s="309"/>
      <c r="AJ987" s="310"/>
      <c r="AK987" s="309"/>
      <c r="AL987" s="310"/>
      <c r="AM987" s="309"/>
      <c r="AN987" s="310"/>
      <c r="AO987" s="309"/>
      <c r="AP987" s="310"/>
      <c r="AQ987" s="309"/>
      <c r="AR987" s="310"/>
      <c r="AS987" s="309"/>
      <c r="AT987" s="310"/>
      <c r="AU987" s="309"/>
      <c r="AV987" s="310"/>
      <c r="AW987" s="309"/>
      <c r="AX987" s="310"/>
      <c r="AY987" s="309"/>
      <c r="AZ987" s="310"/>
      <c r="BA987" s="271"/>
      <c r="BB987" s="271"/>
      <c r="BC987" s="271"/>
      <c r="BD987" s="271"/>
      <c r="BE987" s="271"/>
      <c r="BF987" s="271"/>
    </row>
    <row r="988" spans="2:58" ht="16" thickBot="1" x14ac:dyDescent="0.25">
      <c r="B988" s="289">
        <v>45756</v>
      </c>
      <c r="C988" s="275">
        <v>800</v>
      </c>
      <c r="D988" s="277"/>
      <c r="E988" s="279"/>
      <c r="F988" s="279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  <c r="AA988" s="271"/>
      <c r="AB988" s="271"/>
      <c r="AC988" s="271"/>
      <c r="AD988" s="271"/>
      <c r="AE988" s="271"/>
      <c r="AF988" s="271"/>
      <c r="AG988" s="271"/>
      <c r="AH988" s="271"/>
      <c r="AI988" s="271"/>
      <c r="AJ988" s="271"/>
      <c r="AK988" s="271"/>
      <c r="AL988" s="271"/>
      <c r="AM988" s="271"/>
      <c r="AN988" s="271"/>
      <c r="AO988" s="271"/>
      <c r="AP988" s="271"/>
      <c r="AQ988" s="271"/>
      <c r="AR988" s="271"/>
      <c r="AS988" s="271"/>
      <c r="AT988" s="271"/>
      <c r="AU988" s="271"/>
      <c r="AV988" s="271"/>
      <c r="AW988" s="271"/>
      <c r="AX988" s="271"/>
      <c r="AY988" s="271"/>
      <c r="AZ988" s="271"/>
      <c r="BA988" s="271"/>
      <c r="BB988" s="271"/>
      <c r="BC988" s="271"/>
      <c r="BD988" s="271"/>
      <c r="BE988" s="271"/>
      <c r="BF988" s="271"/>
    </row>
    <row r="989" spans="2:58" ht="16" thickBot="1" x14ac:dyDescent="0.25">
      <c r="B989" s="288" t="s">
        <v>22</v>
      </c>
      <c r="C989" s="287"/>
      <c r="D989" s="290"/>
      <c r="E989" s="290"/>
      <c r="F989" s="296"/>
      <c r="G989" s="309"/>
      <c r="H989" s="310"/>
      <c r="I989" s="309"/>
      <c r="J989" s="310"/>
      <c r="K989" s="309"/>
      <c r="L989" s="310"/>
      <c r="M989" s="309"/>
      <c r="N989" s="310"/>
      <c r="O989" s="271"/>
      <c r="P989" s="271"/>
      <c r="Q989" s="309"/>
      <c r="R989" s="310"/>
      <c r="S989" s="309"/>
      <c r="T989" s="310"/>
      <c r="U989" s="309"/>
      <c r="V989" s="310"/>
      <c r="W989" s="309"/>
      <c r="X989" s="310"/>
      <c r="Y989" s="309"/>
      <c r="Z989" s="310"/>
      <c r="AA989" s="309"/>
      <c r="AB989" s="310"/>
      <c r="AC989" s="271"/>
      <c r="AD989" s="271"/>
      <c r="AE989" s="309"/>
      <c r="AF989" s="310"/>
      <c r="AG989" s="309"/>
      <c r="AH989" s="310"/>
      <c r="AI989" s="309"/>
      <c r="AJ989" s="310"/>
      <c r="AK989" s="309"/>
      <c r="AL989" s="310"/>
      <c r="AM989" s="309"/>
      <c r="AN989" s="310"/>
      <c r="AO989" s="309"/>
      <c r="AP989" s="310"/>
      <c r="AQ989" s="309"/>
      <c r="AR989" s="310"/>
      <c r="AS989" s="309"/>
      <c r="AT989" s="310"/>
      <c r="AU989" s="309"/>
      <c r="AV989" s="310"/>
      <c r="AW989" s="309"/>
      <c r="AX989" s="310"/>
      <c r="AY989" s="309"/>
      <c r="AZ989" s="310"/>
      <c r="BA989" s="271"/>
      <c r="BB989" s="271"/>
      <c r="BC989" s="271"/>
      <c r="BD989" s="271"/>
      <c r="BE989" s="271"/>
      <c r="BF989" s="271"/>
    </row>
    <row r="990" spans="2:58" ht="16" thickBot="1" x14ac:dyDescent="0.25">
      <c r="B990" s="292"/>
      <c r="C990" s="159">
        <f>SUM(C988:C989)</f>
        <v>800</v>
      </c>
      <c r="D990" s="159"/>
      <c r="E990" s="270"/>
      <c r="F990" s="297"/>
      <c r="G990" s="309"/>
      <c r="H990" s="310"/>
      <c r="I990" s="309"/>
      <c r="J990" s="310"/>
      <c r="K990" s="309"/>
      <c r="L990" s="310"/>
      <c r="M990" s="309"/>
      <c r="N990" s="310"/>
      <c r="O990" s="271"/>
      <c r="P990" s="271"/>
      <c r="Q990" s="310"/>
      <c r="R990" s="310"/>
      <c r="S990" s="309"/>
      <c r="T990" s="310"/>
      <c r="U990" s="309"/>
      <c r="V990" s="310"/>
      <c r="W990" s="309"/>
      <c r="X990" s="310"/>
      <c r="Y990" s="309"/>
      <c r="Z990" s="310"/>
      <c r="AA990" s="309"/>
      <c r="AB990" s="310"/>
      <c r="AC990" s="271"/>
      <c r="AD990" s="271"/>
      <c r="AE990" s="309"/>
      <c r="AF990" s="310"/>
      <c r="AG990" s="309"/>
      <c r="AH990" s="310"/>
      <c r="AI990" s="309"/>
      <c r="AJ990" s="310"/>
      <c r="AK990" s="309"/>
      <c r="AL990" s="310"/>
      <c r="AM990" s="309"/>
      <c r="AN990" s="310"/>
      <c r="AO990" s="309"/>
      <c r="AP990" s="310"/>
      <c r="AQ990" s="309"/>
      <c r="AR990" s="310"/>
      <c r="AS990" s="309"/>
      <c r="AT990" s="310"/>
      <c r="AU990" s="309"/>
      <c r="AV990" s="310"/>
      <c r="AW990" s="309"/>
      <c r="AX990" s="310"/>
      <c r="AY990" s="309"/>
      <c r="AZ990" s="310"/>
      <c r="BA990" s="271"/>
      <c r="BB990" s="271"/>
      <c r="BC990" s="271"/>
      <c r="BD990" s="271"/>
      <c r="BE990" s="271"/>
      <c r="BF990" s="271"/>
    </row>
    <row r="991" spans="2:58" ht="16" thickBot="1" x14ac:dyDescent="0.25">
      <c r="B991" s="289">
        <v>45757</v>
      </c>
      <c r="C991" s="295">
        <v>800</v>
      </c>
      <c r="D991" s="275"/>
      <c r="E991" s="274" t="s">
        <v>186</v>
      </c>
      <c r="F991" s="301"/>
      <c r="G991" s="309"/>
      <c r="H991" s="310"/>
      <c r="I991" s="309"/>
      <c r="J991" s="310"/>
      <c r="K991" s="309"/>
      <c r="L991" s="310"/>
      <c r="M991" s="309"/>
      <c r="N991" s="310"/>
      <c r="O991" s="271"/>
      <c r="P991" s="271"/>
      <c r="Q991" s="309"/>
      <c r="R991" s="310"/>
      <c r="S991" s="309"/>
      <c r="T991" s="310"/>
      <c r="U991" s="309"/>
      <c r="V991" s="310"/>
      <c r="W991" s="309"/>
      <c r="X991" s="310"/>
      <c r="Y991" s="309"/>
      <c r="Z991" s="310"/>
      <c r="AA991" s="309"/>
      <c r="AB991" s="310"/>
      <c r="AC991" s="271"/>
      <c r="AD991" s="271"/>
      <c r="AE991" s="309"/>
      <c r="AF991" s="310"/>
      <c r="AG991" s="309"/>
      <c r="AH991" s="310"/>
      <c r="AI991" s="309"/>
      <c r="AJ991" s="310"/>
      <c r="AK991" s="309"/>
      <c r="AL991" s="310"/>
      <c r="AM991" s="309"/>
      <c r="AN991" s="310"/>
      <c r="AO991" s="309"/>
      <c r="AP991" s="310"/>
      <c r="AQ991" s="309"/>
      <c r="AR991" s="310"/>
      <c r="AS991" s="309"/>
      <c r="AT991" s="310"/>
      <c r="AU991" s="309"/>
      <c r="AV991" s="310"/>
      <c r="AW991" s="309"/>
      <c r="AX991" s="310"/>
      <c r="AY991" s="309"/>
      <c r="AZ991" s="310"/>
      <c r="BA991" s="271"/>
      <c r="BB991" s="271"/>
      <c r="BC991" s="271"/>
      <c r="BD991" s="271"/>
      <c r="BE991" s="271"/>
      <c r="BF991" s="271"/>
    </row>
    <row r="992" spans="2:58" ht="16" thickBot="1" x14ac:dyDescent="0.25">
      <c r="B992" s="289"/>
      <c r="C992" s="295">
        <f>479.92+129.25</f>
        <v>609.17000000000007</v>
      </c>
      <c r="D992" s="275"/>
      <c r="E992" s="275"/>
      <c r="F992" s="302" t="s">
        <v>14</v>
      </c>
      <c r="G992" s="309"/>
      <c r="H992" s="310"/>
      <c r="I992" s="309"/>
      <c r="J992" s="310"/>
      <c r="K992" s="309"/>
      <c r="L992" s="310"/>
      <c r="M992" s="309"/>
      <c r="N992" s="310"/>
      <c r="O992" s="271"/>
      <c r="P992" s="271"/>
      <c r="Q992" s="309"/>
      <c r="R992" s="310"/>
      <c r="S992" s="309"/>
      <c r="T992" s="310"/>
      <c r="U992" s="309"/>
      <c r="V992" s="310"/>
      <c r="W992" s="309"/>
      <c r="X992" s="310"/>
      <c r="Y992" s="309"/>
      <c r="Z992" s="310"/>
      <c r="AA992" s="309"/>
      <c r="AB992" s="310"/>
      <c r="AC992" s="271"/>
      <c r="AD992" s="271"/>
      <c r="AE992" s="309">
        <v>8</v>
      </c>
      <c r="AF992" s="310">
        <v>479.92</v>
      </c>
      <c r="AG992" s="309"/>
      <c r="AH992" s="310"/>
      <c r="AI992" s="309"/>
      <c r="AJ992" s="310"/>
      <c r="AK992" s="309"/>
      <c r="AL992" s="310"/>
      <c r="AM992" s="309"/>
      <c r="AN992" s="310"/>
      <c r="AO992" s="309"/>
      <c r="AP992" s="310"/>
      <c r="AQ992" s="309"/>
      <c r="AR992" s="310"/>
      <c r="AS992" s="309"/>
      <c r="AT992" s="310"/>
      <c r="AU992" s="309"/>
      <c r="AV992" s="310"/>
      <c r="AW992" s="309"/>
      <c r="AX992" s="310"/>
      <c r="AY992" s="309"/>
      <c r="AZ992" s="310"/>
      <c r="BA992" s="271"/>
      <c r="BB992" s="271"/>
      <c r="BC992" s="271"/>
      <c r="BD992" s="271"/>
      <c r="BE992" s="271"/>
      <c r="BF992" s="271"/>
    </row>
    <row r="993" spans="2:58" ht="16" thickBot="1" x14ac:dyDescent="0.25">
      <c r="B993" s="289"/>
      <c r="C993" s="295">
        <v>7601.61</v>
      </c>
      <c r="D993" s="275"/>
      <c r="E993" s="275"/>
      <c r="F993" s="302" t="s">
        <v>9</v>
      </c>
      <c r="G993" s="309">
        <v>9</v>
      </c>
      <c r="H993" s="310">
        <v>1259.9100000000001</v>
      </c>
      <c r="I993" s="309">
        <v>2</v>
      </c>
      <c r="J993" s="310">
        <v>409.98</v>
      </c>
      <c r="K993" s="309">
        <v>8</v>
      </c>
      <c r="L993" s="310">
        <v>1455.92</v>
      </c>
      <c r="M993" s="309">
        <v>8</v>
      </c>
      <c r="N993" s="310">
        <v>1383.92</v>
      </c>
      <c r="O993" s="271">
        <v>15</v>
      </c>
      <c r="P993" s="271">
        <v>1905</v>
      </c>
      <c r="Q993" s="309">
        <v>1</v>
      </c>
      <c r="R993" s="310">
        <v>144.99</v>
      </c>
      <c r="S993" s="309"/>
      <c r="T993" s="310"/>
      <c r="U993" s="309">
        <v>4</v>
      </c>
      <c r="V993" s="310">
        <v>359.96</v>
      </c>
      <c r="W993" s="309"/>
      <c r="X993" s="310"/>
      <c r="Y993" s="309"/>
      <c r="Z993" s="310"/>
      <c r="AA993" s="309"/>
      <c r="AB993" s="310"/>
      <c r="AC993" s="271">
        <v>6</v>
      </c>
      <c r="AD993" s="271">
        <v>593.94000000000005</v>
      </c>
      <c r="AE993" s="309"/>
      <c r="AF993" s="310"/>
      <c r="AG993" s="309"/>
      <c r="AH993" s="310"/>
      <c r="AI993" s="309"/>
      <c r="AJ993" s="310"/>
      <c r="AK993" s="309"/>
      <c r="AL993" s="310"/>
      <c r="AM993" s="309"/>
      <c r="AN993" s="310"/>
      <c r="AO993" s="309"/>
      <c r="AP993" s="310"/>
      <c r="AQ993" s="309"/>
      <c r="AR993" s="310"/>
      <c r="AS993" s="309"/>
      <c r="AT993" s="310"/>
      <c r="AU993" s="309"/>
      <c r="AV993" s="310"/>
      <c r="AW993" s="309"/>
      <c r="AX993" s="310"/>
      <c r="AY993" s="309"/>
      <c r="AZ993" s="310"/>
      <c r="BA993" s="271">
        <v>1</v>
      </c>
      <c r="BB993" s="271">
        <v>27.99</v>
      </c>
      <c r="BC993" s="271"/>
      <c r="BD993" s="271"/>
      <c r="BE993" s="271"/>
      <c r="BF993" s="271"/>
    </row>
    <row r="994" spans="2:58" ht="16" thickBot="1" x14ac:dyDescent="0.25">
      <c r="B994" s="289"/>
      <c r="C994" s="295">
        <v>370</v>
      </c>
      <c r="D994" s="275"/>
      <c r="E994" s="275" t="s">
        <v>396</v>
      </c>
      <c r="F994" s="302"/>
      <c r="G994" s="309"/>
      <c r="H994" s="310"/>
      <c r="I994" s="309"/>
      <c r="J994" s="310"/>
      <c r="K994" s="309"/>
      <c r="L994" s="310"/>
      <c r="M994" s="309"/>
      <c r="N994" s="310"/>
      <c r="O994" s="271"/>
      <c r="P994" s="271"/>
      <c r="Q994" s="309"/>
      <c r="R994" s="310"/>
      <c r="S994" s="309"/>
      <c r="T994" s="310"/>
      <c r="U994" s="309"/>
      <c r="V994" s="310"/>
      <c r="W994" s="309"/>
      <c r="X994" s="310"/>
      <c r="Y994" s="309"/>
      <c r="Z994" s="310"/>
      <c r="AA994" s="309"/>
      <c r="AB994" s="310"/>
      <c r="AC994" s="271"/>
      <c r="AD994" s="271"/>
      <c r="AE994" s="309"/>
      <c r="AF994" s="310"/>
      <c r="AG994" s="309"/>
      <c r="AH994" s="310"/>
      <c r="AI994" s="309"/>
      <c r="AJ994" s="310"/>
      <c r="AK994" s="309"/>
      <c r="AL994" s="310"/>
      <c r="AM994" s="309"/>
      <c r="AN994" s="310"/>
      <c r="AO994" s="309"/>
      <c r="AP994" s="310"/>
      <c r="AQ994" s="309"/>
      <c r="AR994" s="310"/>
      <c r="AS994" s="309"/>
      <c r="AT994" s="310"/>
      <c r="AU994" s="309"/>
      <c r="AV994" s="310"/>
      <c r="AW994" s="309"/>
      <c r="AX994" s="310"/>
      <c r="AY994" s="309"/>
      <c r="AZ994" s="310"/>
      <c r="BA994" s="271"/>
      <c r="BB994" s="271"/>
      <c r="BC994" s="271"/>
      <c r="BD994" s="271"/>
      <c r="BE994" s="271"/>
      <c r="BF994" s="271"/>
    </row>
    <row r="995" spans="2:58" ht="16" thickBot="1" x14ac:dyDescent="0.25">
      <c r="B995" s="289" t="s">
        <v>23</v>
      </c>
      <c r="C995" s="295">
        <v>7157.54</v>
      </c>
      <c r="D995" s="275"/>
      <c r="E995" s="275"/>
      <c r="F995" s="302" t="s">
        <v>311</v>
      </c>
      <c r="G995" s="309"/>
      <c r="H995" s="310"/>
      <c r="I995" s="309"/>
      <c r="J995" s="310"/>
      <c r="K995" s="309"/>
      <c r="L995" s="310"/>
      <c r="M995" s="309"/>
      <c r="N995" s="310"/>
      <c r="O995" s="271"/>
      <c r="P995" s="271"/>
      <c r="Q995" s="309"/>
      <c r="R995" s="310"/>
      <c r="S995" s="309"/>
      <c r="T995" s="310"/>
      <c r="U995" s="309"/>
      <c r="V995" s="310"/>
      <c r="W995" s="309"/>
      <c r="X995" s="310"/>
      <c r="Y995" s="309"/>
      <c r="Z995" s="310"/>
      <c r="AA995" s="309"/>
      <c r="AB995" s="310"/>
      <c r="AC995" s="271"/>
      <c r="AD995" s="271"/>
      <c r="AE995" s="309"/>
      <c r="AF995" s="310"/>
      <c r="AG995" s="309"/>
      <c r="AH995" s="310"/>
      <c r="AI995" s="309"/>
      <c r="AJ995" s="310"/>
      <c r="AK995" s="309"/>
      <c r="AL995" s="310"/>
      <c r="AM995" s="309"/>
      <c r="AN995" s="310"/>
      <c r="AO995" s="309"/>
      <c r="AP995" s="310"/>
      <c r="AQ995" s="309"/>
      <c r="AR995" s="310"/>
      <c r="AS995" s="309"/>
      <c r="AT995" s="310"/>
      <c r="AU995" s="309"/>
      <c r="AV995" s="310"/>
      <c r="AW995" s="309">
        <v>15</v>
      </c>
      <c r="AX995" s="310">
        <f>7157.54/2</f>
        <v>3578.77</v>
      </c>
      <c r="AY995" s="309">
        <v>15</v>
      </c>
      <c r="AZ995" s="310">
        <v>3578.77</v>
      </c>
      <c r="BA995" s="271"/>
      <c r="BB995" s="271"/>
      <c r="BC995" s="271"/>
      <c r="BD995" s="271"/>
      <c r="BE995" s="271"/>
      <c r="BF995" s="271"/>
    </row>
    <row r="996" spans="2:58" ht="16" thickBot="1" x14ac:dyDescent="0.25">
      <c r="B996" s="298"/>
      <c r="C996" s="656">
        <f>SUM(C991:C995)</f>
        <v>16538.32</v>
      </c>
      <c r="D996" s="656"/>
      <c r="E996" s="578"/>
      <c r="F996" s="553"/>
      <c r="G996" s="309"/>
      <c r="H996" s="310"/>
      <c r="I996" s="309"/>
      <c r="J996" s="310"/>
      <c r="K996" s="309"/>
      <c r="L996" s="310"/>
      <c r="M996" s="309"/>
      <c r="N996" s="310"/>
      <c r="O996" s="271"/>
      <c r="P996" s="271"/>
      <c r="Q996" s="309"/>
      <c r="R996" s="310"/>
      <c r="S996" s="309"/>
      <c r="T996" s="310"/>
      <c r="U996" s="309"/>
      <c r="V996" s="310"/>
      <c r="W996" s="309"/>
      <c r="X996" s="310"/>
      <c r="Y996" s="309"/>
      <c r="Z996" s="310"/>
      <c r="AA996" s="309"/>
      <c r="AB996" s="310"/>
      <c r="AC996" s="271"/>
      <c r="AD996" s="271"/>
      <c r="AE996" s="309"/>
      <c r="AF996" s="310"/>
      <c r="AG996" s="309"/>
      <c r="AH996" s="310"/>
      <c r="AI996" s="309"/>
      <c r="AJ996" s="310"/>
      <c r="AK996" s="309"/>
      <c r="AL996" s="310"/>
      <c r="AM996" s="309"/>
      <c r="AN996" s="310"/>
      <c r="AO996" s="309"/>
      <c r="AP996" s="310"/>
      <c r="AQ996" s="309"/>
      <c r="AR996" s="310"/>
      <c r="AS996" s="309"/>
      <c r="AT996" s="310"/>
      <c r="AU996" s="309"/>
      <c r="AV996" s="310"/>
      <c r="AW996" s="309"/>
      <c r="AX996" s="310"/>
      <c r="AY996" s="309"/>
      <c r="AZ996" s="310"/>
      <c r="BA996" s="271"/>
      <c r="BB996" s="271"/>
      <c r="BC996" s="271"/>
      <c r="BD996" s="271"/>
      <c r="BE996" s="271"/>
      <c r="BF996" s="271"/>
    </row>
    <row r="997" spans="2:58" ht="16" thickBot="1" x14ac:dyDescent="0.25">
      <c r="B997" s="479">
        <v>45758</v>
      </c>
      <c r="C997" s="299">
        <v>806.95</v>
      </c>
      <c r="D997" s="300"/>
      <c r="E997" s="274" t="s">
        <v>186</v>
      </c>
      <c r="F997" s="301"/>
      <c r="G997" s="309"/>
      <c r="H997" s="310"/>
      <c r="I997" s="309"/>
      <c r="J997" s="310"/>
      <c r="K997" s="309"/>
      <c r="L997" s="310"/>
      <c r="M997" s="309"/>
      <c r="N997" s="310"/>
      <c r="O997" s="271"/>
      <c r="P997" s="271"/>
      <c r="Q997" s="309"/>
      <c r="R997" s="310"/>
      <c r="S997" s="309"/>
      <c r="T997" s="310"/>
      <c r="U997" s="309"/>
      <c r="V997" s="310"/>
      <c r="W997" s="309"/>
      <c r="X997" s="310"/>
      <c r="Y997" s="309"/>
      <c r="Z997" s="310"/>
      <c r="AA997" s="309"/>
      <c r="AB997" s="310"/>
      <c r="AC997" s="271"/>
      <c r="AD997" s="271"/>
      <c r="AE997" s="309"/>
      <c r="AF997" s="310"/>
      <c r="AG997" s="309"/>
      <c r="AH997" s="310"/>
      <c r="AI997" s="309"/>
      <c r="AJ997" s="310"/>
      <c r="AK997" s="309"/>
      <c r="AL997" s="310"/>
      <c r="AM997" s="309"/>
      <c r="AN997" s="310"/>
      <c r="AO997" s="309"/>
      <c r="AP997" s="310"/>
      <c r="AQ997" s="309"/>
      <c r="AR997" s="310"/>
      <c r="AS997" s="309"/>
      <c r="AT997" s="310"/>
      <c r="AU997" s="309"/>
      <c r="AV997" s="310"/>
      <c r="AW997" s="309"/>
      <c r="AX997" s="310"/>
      <c r="AY997" s="309"/>
      <c r="AZ997" s="310"/>
      <c r="BA997" s="271"/>
      <c r="BB997" s="271"/>
      <c r="BC997" s="271"/>
      <c r="BD997" s="271"/>
      <c r="BE997" s="271"/>
      <c r="BF997" s="271"/>
    </row>
    <row r="998" spans="2:58" ht="16" thickBot="1" x14ac:dyDescent="0.25">
      <c r="B998" s="479" t="s">
        <v>24</v>
      </c>
      <c r="C998" s="299"/>
      <c r="D998" s="300"/>
      <c r="E998" s="275"/>
      <c r="F998" s="302"/>
      <c r="G998" s="309"/>
      <c r="H998" s="310"/>
      <c r="I998" s="309"/>
      <c r="J998" s="310"/>
      <c r="K998" s="309"/>
      <c r="L998" s="310"/>
      <c r="M998" s="309"/>
      <c r="N998" s="310"/>
      <c r="O998" s="271"/>
      <c r="P998" s="271"/>
      <c r="Q998" s="309"/>
      <c r="R998" s="310"/>
      <c r="S998" s="309"/>
      <c r="T998" s="310"/>
      <c r="U998" s="309"/>
      <c r="V998" s="310"/>
      <c r="W998" s="309"/>
      <c r="X998" s="310"/>
      <c r="Y998" s="309"/>
      <c r="Z998" s="310"/>
      <c r="AA998" s="309"/>
      <c r="AB998" s="310"/>
      <c r="AC998" s="271"/>
      <c r="AD998" s="271"/>
      <c r="AE998" s="309"/>
      <c r="AF998" s="310"/>
      <c r="AG998" s="309"/>
      <c r="AH998" s="310"/>
      <c r="AI998" s="309"/>
      <c r="AJ998" s="310"/>
      <c r="AK998" s="309"/>
      <c r="AL998" s="310"/>
      <c r="AM998" s="309"/>
      <c r="AN998" s="310"/>
      <c r="AO998" s="309"/>
      <c r="AP998" s="310"/>
      <c r="AQ998" s="309"/>
      <c r="AR998" s="310"/>
      <c r="AS998" s="309"/>
      <c r="AT998" s="310"/>
      <c r="AU998" s="309"/>
      <c r="AV998" s="310"/>
      <c r="AW998" s="309"/>
      <c r="AX998" s="310"/>
      <c r="AY998" s="309"/>
      <c r="AZ998" s="310"/>
      <c r="BA998" s="271"/>
      <c r="BB998" s="271"/>
      <c r="BC998" s="271"/>
      <c r="BD998" s="271"/>
      <c r="BE998" s="271"/>
      <c r="BF998" s="271"/>
    </row>
    <row r="999" spans="2:58" ht="16" thickBot="1" x14ac:dyDescent="0.25">
      <c r="B999" s="577"/>
      <c r="C999" s="159">
        <f>SUM(C997:C998)</f>
        <v>806.95</v>
      </c>
      <c r="D999" s="159"/>
      <c r="E999" s="270"/>
      <c r="F999" s="271"/>
      <c r="G999" s="309"/>
      <c r="H999" s="310"/>
      <c r="I999" s="309"/>
      <c r="J999" s="310"/>
      <c r="K999" s="309"/>
      <c r="L999" s="310"/>
      <c r="M999" s="309"/>
      <c r="N999" s="310"/>
      <c r="O999" s="271"/>
      <c r="P999" s="271"/>
      <c r="Q999" s="309"/>
      <c r="R999" s="310"/>
      <c r="S999" s="309"/>
      <c r="T999" s="310"/>
      <c r="U999" s="309"/>
      <c r="V999" s="310"/>
      <c r="W999" s="309"/>
      <c r="X999" s="310"/>
      <c r="Y999" s="309"/>
      <c r="Z999" s="310"/>
      <c r="AA999" s="309"/>
      <c r="AB999" s="310"/>
      <c r="AC999" s="271"/>
      <c r="AD999" s="271"/>
      <c r="AE999" s="309"/>
      <c r="AF999" s="310"/>
      <c r="AG999" s="309"/>
      <c r="AH999" s="310"/>
      <c r="AI999" s="309"/>
      <c r="AJ999" s="310"/>
      <c r="AK999" s="309"/>
      <c r="AL999" s="310"/>
      <c r="AM999" s="309"/>
      <c r="AN999" s="310"/>
      <c r="AO999" s="309"/>
      <c r="AP999" s="310"/>
      <c r="AQ999" s="309"/>
      <c r="AR999" s="310"/>
      <c r="AS999" s="309"/>
      <c r="AT999" s="310"/>
      <c r="AU999" s="309"/>
      <c r="AV999" s="310"/>
      <c r="AW999" s="309"/>
      <c r="AX999" s="310"/>
      <c r="AY999" s="309"/>
      <c r="AZ999" s="310"/>
      <c r="BA999" s="271"/>
      <c r="BB999" s="271"/>
      <c r="BC999" s="271"/>
      <c r="BD999" s="271"/>
      <c r="BE999" s="271"/>
      <c r="BF999" s="271"/>
    </row>
    <row r="1000" spans="2:58" ht="16" thickBot="1" x14ac:dyDescent="0.25">
      <c r="B1000" s="289">
        <v>45759</v>
      </c>
      <c r="C1000" s="299">
        <v>1500</v>
      </c>
      <c r="D1000" s="300"/>
      <c r="E1000" s="274" t="s">
        <v>3</v>
      </c>
      <c r="F1000" s="302"/>
      <c r="G1000" s="309"/>
      <c r="H1000" s="310"/>
      <c r="I1000" s="309"/>
      <c r="J1000" s="310"/>
      <c r="K1000" s="309"/>
      <c r="L1000" s="310"/>
      <c r="M1000" s="309"/>
      <c r="N1000" s="310"/>
      <c r="O1000" s="271"/>
      <c r="P1000" s="271"/>
      <c r="Q1000" s="309"/>
      <c r="R1000" s="310"/>
      <c r="S1000" s="309"/>
      <c r="T1000" s="310"/>
      <c r="U1000" s="309"/>
      <c r="V1000" s="310"/>
      <c r="W1000" s="309"/>
      <c r="X1000" s="310"/>
      <c r="Y1000" s="309"/>
      <c r="Z1000" s="310"/>
      <c r="AA1000" s="309"/>
      <c r="AB1000" s="310"/>
      <c r="AC1000" s="271"/>
      <c r="AD1000" s="271"/>
      <c r="AE1000" s="309"/>
      <c r="AF1000" s="310"/>
      <c r="AG1000" s="309"/>
      <c r="AH1000" s="310"/>
      <c r="AI1000" s="309"/>
      <c r="AJ1000" s="310"/>
      <c r="AK1000" s="309"/>
      <c r="AL1000" s="310"/>
      <c r="AM1000" s="309"/>
      <c r="AN1000" s="310"/>
      <c r="AO1000" s="309"/>
      <c r="AP1000" s="310"/>
      <c r="AQ1000" s="309"/>
      <c r="AR1000" s="310"/>
      <c r="AS1000" s="309"/>
      <c r="AT1000" s="310"/>
      <c r="AU1000" s="309"/>
      <c r="AV1000" s="310"/>
      <c r="AW1000" s="309"/>
      <c r="AX1000" s="310"/>
      <c r="AY1000" s="309"/>
      <c r="AZ1000" s="310"/>
      <c r="BA1000" s="271"/>
      <c r="BB1000" s="271"/>
      <c r="BC1000" s="271"/>
      <c r="BD1000" s="271"/>
      <c r="BE1000" s="271"/>
      <c r="BF1000" s="271"/>
    </row>
    <row r="1001" spans="2:58" ht="16" thickBot="1" x14ac:dyDescent="0.25">
      <c r="B1001" s="289"/>
      <c r="C1001" s="299">
        <v>145</v>
      </c>
      <c r="D1001" s="300"/>
      <c r="E1001" s="275" t="s">
        <v>297</v>
      </c>
      <c r="F1001" s="302"/>
      <c r="G1001" s="309"/>
      <c r="H1001" s="310"/>
      <c r="I1001" s="309"/>
      <c r="J1001" s="310"/>
      <c r="K1001" s="309"/>
      <c r="L1001" s="310"/>
      <c r="M1001" s="309"/>
      <c r="N1001" s="310"/>
      <c r="O1001" s="271"/>
      <c r="P1001" s="271"/>
      <c r="Q1001" s="309"/>
      <c r="R1001" s="310"/>
      <c r="S1001" s="309"/>
      <c r="T1001" s="310"/>
      <c r="U1001" s="309"/>
      <c r="V1001" s="310"/>
      <c r="W1001" s="309"/>
      <c r="X1001" s="310"/>
      <c r="Y1001" s="309"/>
      <c r="Z1001" s="310"/>
      <c r="AA1001" s="309"/>
      <c r="AB1001" s="310"/>
      <c r="AC1001" s="271"/>
      <c r="AD1001" s="271"/>
      <c r="AE1001" s="309"/>
      <c r="AF1001" s="310"/>
      <c r="AG1001" s="309"/>
      <c r="AH1001" s="310"/>
      <c r="AI1001" s="309"/>
      <c r="AJ1001" s="310"/>
      <c r="AK1001" s="309"/>
      <c r="AL1001" s="310"/>
      <c r="AM1001" s="309"/>
      <c r="AN1001" s="310"/>
      <c r="AO1001" s="309"/>
      <c r="AP1001" s="310"/>
      <c r="AQ1001" s="309"/>
      <c r="AR1001" s="310"/>
      <c r="AS1001" s="309"/>
      <c r="AT1001" s="310"/>
      <c r="AU1001" s="309"/>
      <c r="AV1001" s="310"/>
      <c r="AW1001" s="309"/>
      <c r="AX1001" s="310"/>
      <c r="AY1001" s="309"/>
      <c r="AZ1001" s="310"/>
      <c r="BA1001" s="271"/>
      <c r="BB1001" s="271"/>
      <c r="BC1001" s="271"/>
      <c r="BD1001" s="271"/>
      <c r="BE1001" s="271"/>
      <c r="BF1001" s="271"/>
    </row>
    <row r="1002" spans="2:58" ht="16" thickBot="1" x14ac:dyDescent="0.25">
      <c r="B1002" s="289"/>
      <c r="C1002" s="299">
        <v>461.19</v>
      </c>
      <c r="D1002" s="300"/>
      <c r="E1002" s="275"/>
      <c r="F1002" s="302" t="s">
        <v>14</v>
      </c>
      <c r="G1002" s="309"/>
      <c r="H1002" s="310"/>
      <c r="I1002" s="309"/>
      <c r="J1002" s="310"/>
      <c r="K1002" s="309"/>
      <c r="L1002" s="310"/>
      <c r="M1002" s="309"/>
      <c r="N1002" s="310"/>
      <c r="O1002" s="271"/>
      <c r="P1002" s="271"/>
      <c r="Q1002" s="309"/>
      <c r="R1002" s="310"/>
      <c r="S1002" s="309"/>
      <c r="T1002" s="310"/>
      <c r="U1002" s="309"/>
      <c r="V1002" s="310"/>
      <c r="W1002" s="309"/>
      <c r="X1002" s="310"/>
      <c r="Y1002" s="309"/>
      <c r="Z1002" s="310"/>
      <c r="AA1002" s="309"/>
      <c r="AB1002" s="310"/>
      <c r="AC1002" s="271"/>
      <c r="AD1002" s="271"/>
      <c r="AE1002" s="309">
        <v>6</v>
      </c>
      <c r="AF1002" s="310">
        <v>359.94</v>
      </c>
      <c r="AG1002" s="309"/>
      <c r="AH1002" s="310"/>
      <c r="AI1002" s="309"/>
      <c r="AJ1002" s="310"/>
      <c r="AK1002" s="309"/>
      <c r="AL1002" s="310"/>
      <c r="AM1002" s="309"/>
      <c r="AN1002" s="310"/>
      <c r="AO1002" s="309"/>
      <c r="AP1002" s="310"/>
      <c r="AQ1002" s="309"/>
      <c r="AR1002" s="310"/>
      <c r="AS1002" s="309"/>
      <c r="AT1002" s="310"/>
      <c r="AU1002" s="309"/>
      <c r="AV1002" s="310"/>
      <c r="AW1002" s="309"/>
      <c r="AX1002" s="310"/>
      <c r="AY1002" s="309"/>
      <c r="AZ1002" s="310"/>
      <c r="BA1002" s="271">
        <v>5</v>
      </c>
      <c r="BB1002" s="271">
        <v>99.95</v>
      </c>
      <c r="BC1002" s="271"/>
      <c r="BD1002" s="271"/>
      <c r="BE1002" s="271"/>
      <c r="BF1002" s="271"/>
    </row>
    <row r="1003" spans="2:58" ht="16" thickBot="1" x14ac:dyDescent="0.25">
      <c r="B1003" s="289"/>
      <c r="C1003" s="299">
        <v>7333.42</v>
      </c>
      <c r="D1003" s="300"/>
      <c r="E1003" s="275"/>
      <c r="F1003" s="302" t="s">
        <v>9</v>
      </c>
      <c r="G1003" s="309">
        <v>8</v>
      </c>
      <c r="H1003" s="310">
        <v>1095.92</v>
      </c>
      <c r="I1003" s="309">
        <v>3</v>
      </c>
      <c r="J1003" s="310">
        <v>614.97</v>
      </c>
      <c r="K1003" s="309">
        <v>5</v>
      </c>
      <c r="L1003" s="310">
        <v>909.95</v>
      </c>
      <c r="M1003" s="309">
        <v>8</v>
      </c>
      <c r="N1003" s="310">
        <v>1383.92</v>
      </c>
      <c r="O1003" s="271">
        <v>15</v>
      </c>
      <c r="P1003" s="271">
        <v>1934.85</v>
      </c>
      <c r="Q1003" s="309">
        <v>1</v>
      </c>
      <c r="R1003" s="310">
        <v>144.99</v>
      </c>
      <c r="S1003" s="309"/>
      <c r="T1003" s="310"/>
      <c r="U1003" s="309"/>
      <c r="V1003" s="310"/>
      <c r="W1003" s="309">
        <v>4</v>
      </c>
      <c r="X1003" s="310">
        <v>171.96</v>
      </c>
      <c r="Y1003" s="309"/>
      <c r="Z1003" s="310"/>
      <c r="AA1003" s="309"/>
      <c r="AB1003" s="310"/>
      <c r="AC1003" s="271">
        <v>7</v>
      </c>
      <c r="AD1003" s="271">
        <v>692.93</v>
      </c>
      <c r="AE1003" s="309"/>
      <c r="AF1003" s="310"/>
      <c r="AG1003" s="309"/>
      <c r="AH1003" s="310"/>
      <c r="AI1003" s="309"/>
      <c r="AJ1003" s="310"/>
      <c r="AK1003" s="309"/>
      <c r="AL1003" s="310"/>
      <c r="AM1003" s="309">
        <v>1</v>
      </c>
      <c r="AN1003" s="310">
        <v>43.99</v>
      </c>
      <c r="AO1003" s="309"/>
      <c r="AP1003" s="310"/>
      <c r="AQ1003" s="309"/>
      <c r="AR1003" s="310"/>
      <c r="AS1003" s="309"/>
      <c r="AT1003" s="310"/>
      <c r="AU1003" s="309"/>
      <c r="AV1003" s="310"/>
      <c r="AW1003" s="309"/>
      <c r="AX1003" s="310"/>
      <c r="AY1003" s="309"/>
      <c r="AZ1003" s="310"/>
      <c r="BA1003" s="271"/>
      <c r="BB1003" s="271"/>
      <c r="BC1003" s="271"/>
      <c r="BD1003" s="271"/>
      <c r="BE1003" s="271">
        <v>1</v>
      </c>
      <c r="BF1003" s="271">
        <v>79.989999999999995</v>
      </c>
    </row>
    <row r="1004" spans="2:58" ht="16" thickBot="1" x14ac:dyDescent="0.25">
      <c r="B1004" s="289"/>
      <c r="C1004" s="299">
        <v>21670</v>
      </c>
      <c r="D1004" s="300"/>
      <c r="E1004" s="275" t="s">
        <v>12</v>
      </c>
      <c r="F1004" s="302"/>
      <c r="G1004" s="309"/>
      <c r="H1004" s="310"/>
      <c r="I1004" s="309"/>
      <c r="J1004" s="310"/>
      <c r="K1004" s="309"/>
      <c r="L1004" s="310"/>
      <c r="M1004" s="309"/>
      <c r="N1004" s="310"/>
      <c r="O1004" s="271"/>
      <c r="P1004" s="271"/>
      <c r="Q1004" s="309"/>
      <c r="R1004" s="310"/>
      <c r="S1004" s="309"/>
      <c r="T1004" s="310"/>
      <c r="U1004" s="309"/>
      <c r="V1004" s="310"/>
      <c r="W1004" s="309"/>
      <c r="X1004" s="310"/>
      <c r="Y1004" s="309"/>
      <c r="Z1004" s="310"/>
      <c r="AA1004" s="309"/>
      <c r="AB1004" s="310"/>
      <c r="AC1004" s="271"/>
      <c r="AD1004" s="271"/>
      <c r="AE1004" s="309"/>
      <c r="AF1004" s="310"/>
      <c r="AG1004" s="309"/>
      <c r="AH1004" s="310"/>
      <c r="AI1004" s="309"/>
      <c r="AJ1004" s="310"/>
      <c r="AK1004" s="309"/>
      <c r="AL1004" s="310"/>
      <c r="AM1004" s="309"/>
      <c r="AN1004" s="310"/>
      <c r="AO1004" s="309"/>
      <c r="AP1004" s="310"/>
      <c r="AQ1004" s="309"/>
      <c r="AR1004" s="310"/>
      <c r="AS1004" s="309"/>
      <c r="AT1004" s="310"/>
      <c r="AU1004" s="309"/>
      <c r="AV1004" s="310"/>
      <c r="AW1004" s="309"/>
      <c r="AX1004" s="310"/>
      <c r="AY1004" s="309"/>
      <c r="AZ1004" s="310"/>
      <c r="BA1004" s="271"/>
      <c r="BB1004" s="271"/>
      <c r="BC1004" s="271"/>
      <c r="BD1004" s="271"/>
      <c r="BE1004" s="271"/>
      <c r="BF1004" s="271"/>
    </row>
    <row r="1005" spans="2:58" ht="16" thickBot="1" x14ac:dyDescent="0.25">
      <c r="B1005" s="289"/>
      <c r="C1005" s="299"/>
      <c r="D1005" s="300"/>
      <c r="E1005" s="275"/>
      <c r="F1005" s="302"/>
      <c r="G1005" s="309"/>
      <c r="H1005" s="310"/>
      <c r="I1005" s="309"/>
      <c r="J1005" s="310"/>
      <c r="K1005" s="309"/>
      <c r="L1005" s="310"/>
      <c r="M1005" s="309"/>
      <c r="N1005" s="310"/>
      <c r="O1005" s="271"/>
      <c r="P1005" s="271"/>
      <c r="Q1005" s="309"/>
      <c r="R1005" s="310"/>
      <c r="S1005" s="309"/>
      <c r="T1005" s="310"/>
      <c r="U1005" s="309"/>
      <c r="V1005" s="310"/>
      <c r="W1005" s="309"/>
      <c r="X1005" s="310"/>
      <c r="Y1005" s="309"/>
      <c r="Z1005" s="310"/>
      <c r="AA1005" s="309"/>
      <c r="AB1005" s="310"/>
      <c r="AC1005" s="271"/>
      <c r="AD1005" s="271"/>
      <c r="AE1005" s="309"/>
      <c r="AF1005" s="310"/>
      <c r="AG1005" s="309"/>
      <c r="AH1005" s="310"/>
      <c r="AI1005" s="309"/>
      <c r="AJ1005" s="310"/>
      <c r="AK1005" s="309"/>
      <c r="AL1005" s="310"/>
      <c r="AM1005" s="309"/>
      <c r="AN1005" s="310"/>
      <c r="AO1005" s="309"/>
      <c r="AP1005" s="310"/>
      <c r="AQ1005" s="309"/>
      <c r="AR1005" s="310"/>
      <c r="AS1005" s="309"/>
      <c r="AT1005" s="310"/>
      <c r="AU1005" s="309"/>
      <c r="AV1005" s="310"/>
      <c r="AW1005" s="309"/>
      <c r="AX1005" s="310"/>
      <c r="AY1005" s="309"/>
      <c r="AZ1005" s="310"/>
      <c r="BA1005" s="271"/>
      <c r="BB1005" s="271"/>
      <c r="BC1005" s="271"/>
      <c r="BD1005" s="271"/>
      <c r="BE1005" s="271"/>
      <c r="BF1005" s="271"/>
    </row>
    <row r="1006" spans="2:58" ht="16" thickBot="1" x14ac:dyDescent="0.25">
      <c r="B1006" s="289"/>
      <c r="C1006" s="299"/>
      <c r="D1006" s="300"/>
      <c r="E1006" s="275"/>
      <c r="F1006" s="302"/>
      <c r="G1006" s="309"/>
      <c r="H1006" s="310"/>
      <c r="I1006" s="309"/>
      <c r="J1006" s="310"/>
      <c r="K1006" s="309"/>
      <c r="L1006" s="310"/>
      <c r="M1006" s="309"/>
      <c r="N1006" s="310"/>
      <c r="O1006" s="271"/>
      <c r="P1006" s="271"/>
      <c r="Q1006" s="309"/>
      <c r="R1006" s="310"/>
      <c r="S1006" s="309"/>
      <c r="T1006" s="310"/>
      <c r="U1006" s="309"/>
      <c r="V1006" s="310"/>
      <c r="W1006" s="309"/>
      <c r="X1006" s="310"/>
      <c r="Y1006" s="309"/>
      <c r="Z1006" s="310"/>
      <c r="AA1006" s="309"/>
      <c r="AB1006" s="310"/>
      <c r="AC1006" s="271"/>
      <c r="AD1006" s="271"/>
      <c r="AE1006" s="309"/>
      <c r="AF1006" s="310"/>
      <c r="AG1006" s="309"/>
      <c r="AH1006" s="310"/>
      <c r="AI1006" s="309"/>
      <c r="AJ1006" s="310"/>
      <c r="AK1006" s="309"/>
      <c r="AL1006" s="310"/>
      <c r="AM1006" s="309"/>
      <c r="AN1006" s="310"/>
      <c r="AO1006" s="309"/>
      <c r="AP1006" s="310"/>
      <c r="AQ1006" s="309"/>
      <c r="AR1006" s="310"/>
      <c r="AS1006" s="309"/>
      <c r="AT1006" s="310"/>
      <c r="AU1006" s="309"/>
      <c r="AV1006" s="310"/>
      <c r="AW1006" s="309"/>
      <c r="AX1006" s="310"/>
      <c r="AY1006" s="309"/>
      <c r="AZ1006" s="310"/>
      <c r="BA1006" s="271"/>
      <c r="BB1006" s="271"/>
      <c r="BC1006" s="271"/>
      <c r="BD1006" s="271"/>
      <c r="BE1006" s="271"/>
      <c r="BF1006" s="271"/>
    </row>
    <row r="1007" spans="2:58" ht="16" thickBot="1" x14ac:dyDescent="0.25">
      <c r="B1007" s="288" t="s">
        <v>25</v>
      </c>
      <c r="C1007" s="284"/>
      <c r="D1007" s="291"/>
      <c r="E1007" s="290"/>
      <c r="F1007" s="293"/>
      <c r="G1007" s="309"/>
      <c r="H1007" s="310"/>
      <c r="I1007" s="309"/>
      <c r="J1007" s="310"/>
      <c r="K1007" s="309"/>
      <c r="L1007" s="310"/>
      <c r="M1007" s="309"/>
      <c r="N1007" s="310"/>
      <c r="O1007" s="271"/>
      <c r="P1007" s="271"/>
      <c r="Q1007" s="309"/>
      <c r="R1007" s="310"/>
      <c r="S1007" s="309"/>
      <c r="T1007" s="310"/>
      <c r="U1007" s="309"/>
      <c r="V1007" s="310"/>
      <c r="W1007" s="309"/>
      <c r="X1007" s="310"/>
      <c r="Y1007" s="309"/>
      <c r="Z1007" s="310"/>
      <c r="AA1007" s="309"/>
      <c r="AB1007" s="310"/>
      <c r="AC1007" s="271"/>
      <c r="AD1007" s="271"/>
      <c r="AE1007" s="309"/>
      <c r="AF1007" s="310"/>
      <c r="AG1007" s="309"/>
      <c r="AH1007" s="310"/>
      <c r="AI1007" s="309"/>
      <c r="AJ1007" s="310"/>
      <c r="AK1007" s="309"/>
      <c r="AL1007" s="310"/>
      <c r="AM1007" s="309"/>
      <c r="AN1007" s="310"/>
      <c r="AO1007" s="309"/>
      <c r="AP1007" s="310"/>
      <c r="AQ1007" s="309"/>
      <c r="AR1007" s="310"/>
      <c r="AS1007" s="309"/>
      <c r="AT1007" s="310"/>
      <c r="AU1007" s="309"/>
      <c r="AV1007" s="310"/>
      <c r="AW1007" s="309"/>
      <c r="AX1007" s="310"/>
      <c r="AY1007" s="309"/>
      <c r="AZ1007" s="310"/>
      <c r="BA1007" s="271"/>
      <c r="BB1007" s="271"/>
      <c r="BC1007" s="271"/>
      <c r="BD1007" s="271"/>
      <c r="BE1007" s="271"/>
      <c r="BF1007" s="271"/>
    </row>
    <row r="1008" spans="2:58" ht="16" thickBot="1" x14ac:dyDescent="0.25">
      <c r="B1008" s="668"/>
      <c r="C1008" s="640">
        <f>SUM(C1000:C1007)</f>
        <v>31109.61</v>
      </c>
      <c r="D1008" s="159"/>
      <c r="E1008" s="270"/>
      <c r="F1008" s="271"/>
      <c r="G1008" s="309"/>
      <c r="H1008" s="310"/>
      <c r="I1008" s="309"/>
      <c r="J1008" s="310"/>
      <c r="K1008" s="309"/>
      <c r="L1008" s="310"/>
      <c r="M1008" s="309"/>
      <c r="N1008" s="310"/>
      <c r="O1008" s="271"/>
      <c r="P1008" s="271"/>
      <c r="Q1008" s="309"/>
      <c r="R1008" s="310"/>
      <c r="S1008" s="309"/>
      <c r="T1008" s="310"/>
      <c r="U1008" s="309"/>
      <c r="V1008" s="310"/>
      <c r="W1008" s="309"/>
      <c r="X1008" s="310"/>
      <c r="Y1008" s="309"/>
      <c r="Z1008" s="310"/>
      <c r="AA1008" s="309"/>
      <c r="AB1008" s="310"/>
      <c r="AC1008" s="271"/>
      <c r="AD1008" s="271"/>
      <c r="AE1008" s="309"/>
      <c r="AF1008" s="310"/>
      <c r="AG1008" s="309"/>
      <c r="AH1008" s="310"/>
      <c r="AI1008" s="309"/>
      <c r="AJ1008" s="310"/>
      <c r="AK1008" s="309"/>
      <c r="AL1008" s="310"/>
      <c r="AM1008" s="309"/>
      <c r="AN1008" s="310"/>
      <c r="AO1008" s="309"/>
      <c r="AP1008" s="310"/>
      <c r="AQ1008" s="309"/>
      <c r="AR1008" s="310"/>
      <c r="AS1008" s="309"/>
      <c r="AT1008" s="310"/>
      <c r="AU1008" s="309"/>
      <c r="AV1008" s="310"/>
      <c r="AW1008" s="309"/>
      <c r="AX1008" s="310"/>
      <c r="AY1008" s="309"/>
      <c r="AZ1008" s="310"/>
      <c r="BA1008" s="271"/>
      <c r="BB1008" s="271"/>
      <c r="BC1008" s="271"/>
      <c r="BD1008" s="271"/>
      <c r="BE1008" s="271"/>
      <c r="BF1008" s="271"/>
    </row>
    <row r="1009" spans="2:58" ht="16" thickBot="1" x14ac:dyDescent="0.25">
      <c r="B1009" s="479">
        <v>45760</v>
      </c>
      <c r="C1009" s="657"/>
      <c r="D1009" s="641"/>
      <c r="E1009" s="274"/>
      <c r="F1009" s="301"/>
      <c r="G1009" s="550"/>
      <c r="H1009" s="310"/>
      <c r="I1009" s="309"/>
      <c r="J1009" s="310"/>
      <c r="K1009" s="309"/>
      <c r="L1009" s="310"/>
      <c r="M1009" s="309"/>
      <c r="N1009" s="310"/>
      <c r="O1009" s="271"/>
      <c r="P1009" s="271"/>
      <c r="Q1009" s="309"/>
      <c r="R1009" s="310"/>
      <c r="S1009" s="309"/>
      <c r="T1009" s="310"/>
      <c r="U1009" s="309"/>
      <c r="V1009" s="310"/>
      <c r="W1009" s="309"/>
      <c r="X1009" s="310"/>
      <c r="Y1009" s="309"/>
      <c r="Z1009" s="310"/>
      <c r="AA1009" s="309"/>
      <c r="AB1009" s="310"/>
      <c r="AC1009" s="271"/>
      <c r="AD1009" s="271"/>
      <c r="AE1009" s="309"/>
      <c r="AF1009" s="310"/>
      <c r="AG1009" s="309"/>
      <c r="AH1009" s="310"/>
      <c r="AI1009" s="309"/>
      <c r="AJ1009" s="310"/>
      <c r="AK1009" s="309"/>
      <c r="AL1009" s="310"/>
      <c r="AM1009" s="309"/>
      <c r="AN1009" s="310"/>
      <c r="AO1009" s="309"/>
      <c r="AP1009" s="310"/>
      <c r="AQ1009" s="309"/>
      <c r="AR1009" s="310"/>
      <c r="AS1009" s="309"/>
      <c r="AT1009" s="310"/>
      <c r="AU1009" s="309"/>
      <c r="AV1009" s="310"/>
      <c r="AW1009" s="309"/>
      <c r="AX1009" s="310"/>
      <c r="AY1009" s="309"/>
      <c r="AZ1009" s="310"/>
      <c r="BA1009" s="271"/>
      <c r="BB1009" s="271"/>
      <c r="BC1009" s="271"/>
      <c r="BD1009" s="271"/>
      <c r="BE1009" s="271"/>
      <c r="BF1009" s="271"/>
    </row>
    <row r="1010" spans="2:58" ht="16" thickBot="1" x14ac:dyDescent="0.25">
      <c r="B1010" s="479"/>
      <c r="C1010" s="657"/>
      <c r="D1010" s="657"/>
      <c r="E1010" s="285"/>
      <c r="F1010" s="302"/>
      <c r="G1010" s="550"/>
      <c r="H1010" s="310"/>
      <c r="I1010" s="309"/>
      <c r="J1010" s="310"/>
      <c r="K1010" s="309"/>
      <c r="L1010" s="310"/>
      <c r="M1010" s="309"/>
      <c r="N1010" s="310"/>
      <c r="O1010" s="271"/>
      <c r="P1010" s="271"/>
      <c r="Q1010" s="309"/>
      <c r="R1010" s="310"/>
      <c r="S1010" s="309"/>
      <c r="T1010" s="310"/>
      <c r="U1010" s="309"/>
      <c r="V1010" s="310"/>
      <c r="W1010" s="309"/>
      <c r="X1010" s="310"/>
      <c r="Y1010" s="309"/>
      <c r="Z1010" s="310"/>
      <c r="AA1010" s="309"/>
      <c r="AB1010" s="310"/>
      <c r="AC1010" s="271"/>
      <c r="AD1010" s="271"/>
      <c r="AE1010" s="309"/>
      <c r="AF1010" s="310"/>
      <c r="AG1010" s="309"/>
      <c r="AH1010" s="310"/>
      <c r="AI1010" s="309"/>
      <c r="AJ1010" s="310"/>
      <c r="AK1010" s="309"/>
      <c r="AL1010" s="310"/>
      <c r="AM1010" s="309"/>
      <c r="AN1010" s="310"/>
      <c r="AO1010" s="309"/>
      <c r="AP1010" s="310"/>
      <c r="AQ1010" s="309"/>
      <c r="AR1010" s="310"/>
      <c r="AS1010" s="309"/>
      <c r="AT1010" s="310"/>
      <c r="AU1010" s="309"/>
      <c r="AV1010" s="310"/>
      <c r="AW1010" s="309"/>
      <c r="AX1010" s="310"/>
      <c r="AY1010" s="309"/>
      <c r="AZ1010" s="310"/>
      <c r="BA1010" s="271"/>
      <c r="BB1010" s="271"/>
      <c r="BC1010" s="271"/>
      <c r="BD1010" s="271"/>
      <c r="BE1010" s="271"/>
      <c r="BF1010" s="271"/>
    </row>
    <row r="1011" spans="2:58" ht="16" thickBot="1" x14ac:dyDescent="0.25">
      <c r="B1011" s="479"/>
      <c r="C1011" s="657"/>
      <c r="D1011" s="657"/>
      <c r="E1011" s="285"/>
      <c r="F1011" s="302"/>
      <c r="G1011" s="550"/>
      <c r="H1011" s="310"/>
      <c r="I1011" s="309"/>
      <c r="J1011" s="310"/>
      <c r="K1011" s="309"/>
      <c r="L1011" s="310"/>
      <c r="M1011" s="309"/>
      <c r="N1011" s="310"/>
      <c r="O1011" s="271"/>
      <c r="P1011" s="271"/>
      <c r="Q1011" s="309"/>
      <c r="R1011" s="310"/>
      <c r="S1011" s="309"/>
      <c r="T1011" s="310"/>
      <c r="U1011" s="309"/>
      <c r="V1011" s="310"/>
      <c r="W1011" s="309"/>
      <c r="X1011" s="310"/>
      <c r="Y1011" s="309"/>
      <c r="Z1011" s="310"/>
      <c r="AA1011" s="309"/>
      <c r="AB1011" s="310"/>
      <c r="AC1011" s="271"/>
      <c r="AD1011" s="271"/>
      <c r="AE1011" s="309"/>
      <c r="AF1011" s="310"/>
      <c r="AG1011" s="309"/>
      <c r="AH1011" s="310"/>
      <c r="AI1011" s="309"/>
      <c r="AJ1011" s="310"/>
      <c r="AK1011" s="309"/>
      <c r="AL1011" s="310"/>
      <c r="AM1011" s="309"/>
      <c r="AN1011" s="310"/>
      <c r="AO1011" s="309"/>
      <c r="AP1011" s="310"/>
      <c r="AQ1011" s="309"/>
      <c r="AR1011" s="310"/>
      <c r="AS1011" s="309"/>
      <c r="AT1011" s="310"/>
      <c r="AU1011" s="309"/>
      <c r="AV1011" s="310"/>
      <c r="AW1011" s="309"/>
      <c r="AX1011" s="310"/>
      <c r="AY1011" s="309"/>
      <c r="AZ1011" s="310"/>
      <c r="BA1011" s="271"/>
      <c r="BB1011" s="271"/>
      <c r="BC1011" s="271"/>
      <c r="BD1011" s="271"/>
      <c r="BE1011" s="271"/>
      <c r="BF1011" s="271"/>
    </row>
    <row r="1012" spans="2:58" ht="16" thickBot="1" x14ac:dyDescent="0.25">
      <c r="B1012" s="479"/>
      <c r="C1012" s="657"/>
      <c r="D1012" s="657"/>
      <c r="E1012" s="285"/>
      <c r="F1012" s="302"/>
      <c r="G1012" s="550"/>
      <c r="H1012" s="310"/>
      <c r="I1012" s="309"/>
      <c r="J1012" s="310"/>
      <c r="K1012" s="309"/>
      <c r="L1012" s="310"/>
      <c r="M1012" s="309"/>
      <c r="N1012" s="310"/>
      <c r="O1012" s="271"/>
      <c r="P1012" s="271"/>
      <c r="Q1012" s="309"/>
      <c r="R1012" s="310"/>
      <c r="S1012" s="309"/>
      <c r="T1012" s="310"/>
      <c r="U1012" s="309"/>
      <c r="V1012" s="310"/>
      <c r="W1012" s="309"/>
      <c r="X1012" s="310"/>
      <c r="Y1012" s="309"/>
      <c r="Z1012" s="310"/>
      <c r="AA1012" s="309"/>
      <c r="AB1012" s="310"/>
      <c r="AC1012" s="271"/>
      <c r="AD1012" s="271"/>
      <c r="AE1012" s="309"/>
      <c r="AF1012" s="310"/>
      <c r="AG1012" s="309"/>
      <c r="AH1012" s="310"/>
      <c r="AI1012" s="309"/>
      <c r="AJ1012" s="310"/>
      <c r="AK1012" s="309"/>
      <c r="AL1012" s="310"/>
      <c r="AM1012" s="309"/>
      <c r="AN1012" s="310"/>
      <c r="AO1012" s="309"/>
      <c r="AP1012" s="310"/>
      <c r="AQ1012" s="309"/>
      <c r="AR1012" s="310"/>
      <c r="AS1012" s="309"/>
      <c r="AT1012" s="310"/>
      <c r="AU1012" s="309"/>
      <c r="AV1012" s="310"/>
      <c r="AW1012" s="309"/>
      <c r="AX1012" s="310"/>
      <c r="AY1012" s="309"/>
      <c r="AZ1012" s="310"/>
      <c r="BA1012" s="271"/>
      <c r="BB1012" s="271"/>
      <c r="BC1012" s="271"/>
      <c r="BD1012" s="271"/>
      <c r="BE1012" s="271"/>
      <c r="BF1012" s="271"/>
    </row>
    <row r="1013" spans="2:58" ht="16" thickBot="1" x14ac:dyDescent="0.25">
      <c r="B1013" s="479"/>
      <c r="C1013" s="657"/>
      <c r="D1013" s="657"/>
      <c r="E1013" s="285"/>
      <c r="F1013" s="302"/>
      <c r="G1013" s="550"/>
      <c r="H1013" s="310"/>
      <c r="I1013" s="309"/>
      <c r="J1013" s="310"/>
      <c r="K1013" s="309"/>
      <c r="L1013" s="310"/>
      <c r="M1013" s="309"/>
      <c r="N1013" s="310"/>
      <c r="O1013" s="271"/>
      <c r="P1013" s="271"/>
      <c r="Q1013" s="309"/>
      <c r="R1013" s="310"/>
      <c r="S1013" s="309"/>
      <c r="T1013" s="310"/>
      <c r="U1013" s="309"/>
      <c r="V1013" s="310"/>
      <c r="W1013" s="309"/>
      <c r="X1013" s="310"/>
      <c r="Y1013" s="309"/>
      <c r="Z1013" s="310"/>
      <c r="AA1013" s="309"/>
      <c r="AB1013" s="310"/>
      <c r="AC1013" s="271"/>
      <c r="AD1013" s="271"/>
      <c r="AE1013" s="309"/>
      <c r="AF1013" s="310"/>
      <c r="AG1013" s="309"/>
      <c r="AH1013" s="310"/>
      <c r="AI1013" s="309"/>
      <c r="AJ1013" s="310"/>
      <c r="AK1013" s="309"/>
      <c r="AL1013" s="310"/>
      <c r="AM1013" s="309"/>
      <c r="AN1013" s="310"/>
      <c r="AO1013" s="309"/>
      <c r="AP1013" s="310"/>
      <c r="AQ1013" s="309"/>
      <c r="AR1013" s="310"/>
      <c r="AS1013" s="309"/>
      <c r="AT1013" s="310"/>
      <c r="AU1013" s="309"/>
      <c r="AV1013" s="310"/>
      <c r="AW1013" s="309"/>
      <c r="AX1013" s="310"/>
      <c r="AY1013" s="309"/>
      <c r="AZ1013" s="310"/>
      <c r="BA1013" s="271"/>
      <c r="BB1013" s="271"/>
      <c r="BC1013" s="271"/>
      <c r="BD1013" s="271"/>
      <c r="BE1013" s="271"/>
      <c r="BF1013" s="271"/>
    </row>
    <row r="1014" spans="2:58" ht="16" thickBot="1" x14ac:dyDescent="0.25">
      <c r="B1014" s="479"/>
      <c r="C1014" s="657"/>
      <c r="D1014" s="657"/>
      <c r="E1014" s="285"/>
      <c r="F1014" s="302"/>
      <c r="G1014" s="550"/>
      <c r="H1014" s="310"/>
      <c r="I1014" s="309"/>
      <c r="J1014" s="310"/>
      <c r="K1014" s="309"/>
      <c r="L1014" s="310"/>
      <c r="M1014" s="309"/>
      <c r="N1014" s="310"/>
      <c r="O1014" s="271"/>
      <c r="P1014" s="271"/>
      <c r="Q1014" s="309"/>
      <c r="R1014" s="310"/>
      <c r="S1014" s="309"/>
      <c r="T1014" s="310"/>
      <c r="U1014" s="309"/>
      <c r="V1014" s="310"/>
      <c r="W1014" s="309"/>
      <c r="X1014" s="310"/>
      <c r="Y1014" s="309"/>
      <c r="Z1014" s="310"/>
      <c r="AA1014" s="309"/>
      <c r="AB1014" s="310"/>
      <c r="AC1014" s="271"/>
      <c r="AD1014" s="271"/>
      <c r="AE1014" s="309"/>
      <c r="AF1014" s="310"/>
      <c r="AG1014" s="309"/>
      <c r="AH1014" s="310"/>
      <c r="AI1014" s="309"/>
      <c r="AJ1014" s="310"/>
      <c r="AK1014" s="309"/>
      <c r="AL1014" s="310"/>
      <c r="AM1014" s="309"/>
      <c r="AN1014" s="310"/>
      <c r="AO1014" s="309"/>
      <c r="AP1014" s="310"/>
      <c r="AQ1014" s="309"/>
      <c r="AR1014" s="310"/>
      <c r="AS1014" s="309"/>
      <c r="AT1014" s="310"/>
      <c r="AU1014" s="309"/>
      <c r="AV1014" s="310"/>
      <c r="AW1014" s="309"/>
      <c r="AX1014" s="310"/>
      <c r="AY1014" s="309"/>
      <c r="AZ1014" s="310"/>
      <c r="BA1014" s="271"/>
      <c r="BB1014" s="271"/>
      <c r="BC1014" s="271"/>
      <c r="BD1014" s="271"/>
      <c r="BE1014" s="271"/>
      <c r="BF1014" s="271"/>
    </row>
    <row r="1015" spans="2:58" ht="16" thickBot="1" x14ac:dyDescent="0.25">
      <c r="B1015" s="549" t="s">
        <v>26</v>
      </c>
      <c r="C1015" s="554"/>
      <c r="D1015" s="291"/>
      <c r="E1015" s="290"/>
      <c r="F1015" s="293"/>
      <c r="G1015" s="550"/>
      <c r="H1015" s="310"/>
      <c r="I1015" s="309"/>
      <c r="J1015" s="310"/>
      <c r="K1015" s="309"/>
      <c r="L1015" s="310"/>
      <c r="M1015" s="309"/>
      <c r="N1015" s="310"/>
      <c r="O1015" s="271"/>
      <c r="P1015" s="271"/>
      <c r="Q1015" s="309"/>
      <c r="R1015" s="310"/>
      <c r="S1015" s="309"/>
      <c r="T1015" s="310"/>
      <c r="U1015" s="309"/>
      <c r="V1015" s="310"/>
      <c r="W1015" s="309"/>
      <c r="X1015" s="310"/>
      <c r="Y1015" s="309"/>
      <c r="Z1015" s="310"/>
      <c r="AA1015" s="309"/>
      <c r="AB1015" s="310"/>
      <c r="AC1015" s="271"/>
      <c r="AD1015" s="271"/>
      <c r="AE1015" s="309"/>
      <c r="AF1015" s="310"/>
      <c r="AG1015" s="309"/>
      <c r="AH1015" s="310"/>
      <c r="AI1015" s="309"/>
      <c r="AJ1015" s="310"/>
      <c r="AK1015" s="309"/>
      <c r="AL1015" s="310"/>
      <c r="AM1015" s="309"/>
      <c r="AN1015" s="310"/>
      <c r="AO1015" s="309"/>
      <c r="AP1015" s="310"/>
      <c r="AQ1015" s="309"/>
      <c r="AR1015" s="310"/>
      <c r="AS1015" s="309"/>
      <c r="AT1015" s="310"/>
      <c r="AU1015" s="309"/>
      <c r="AV1015" s="310"/>
      <c r="AW1015" s="309"/>
      <c r="AX1015" s="310"/>
      <c r="AY1015" s="309"/>
      <c r="AZ1015" s="310"/>
      <c r="BA1015" s="271"/>
      <c r="BB1015" s="271"/>
      <c r="BC1015" s="271"/>
      <c r="BD1015" s="271"/>
      <c r="BE1015" s="271"/>
      <c r="BF1015" s="271"/>
    </row>
    <row r="1016" spans="2:58" ht="16" thickBot="1" x14ac:dyDescent="0.25">
      <c r="B1016" s="292"/>
      <c r="C1016" s="551">
        <f>SUM(C1009:C1015)</f>
        <v>0</v>
      </c>
      <c r="D1016" s="551"/>
      <c r="E1016" s="552"/>
      <c r="F1016" s="553"/>
      <c r="G1016" s="271"/>
      <c r="H1016" s="271"/>
      <c r="I1016" s="271"/>
      <c r="J1016" s="271"/>
      <c r="K1016" s="271"/>
      <c r="L1016" s="271"/>
      <c r="M1016" s="271"/>
      <c r="N1016" s="271"/>
      <c r="O1016" s="271"/>
      <c r="P1016" s="271"/>
      <c r="Q1016" s="271"/>
      <c r="R1016" s="271"/>
      <c r="S1016" s="271"/>
      <c r="T1016" s="271"/>
      <c r="U1016" s="271"/>
      <c r="V1016" s="271"/>
      <c r="W1016" s="271"/>
      <c r="X1016" s="271"/>
      <c r="Y1016" s="271"/>
      <c r="Z1016" s="271"/>
      <c r="AA1016" s="271"/>
      <c r="AB1016" s="271"/>
      <c r="AC1016" s="271"/>
      <c r="AD1016" s="271"/>
      <c r="AE1016" s="309"/>
      <c r="AF1016" s="310"/>
      <c r="AG1016" s="309"/>
      <c r="AH1016" s="310"/>
      <c r="AI1016" s="309"/>
      <c r="AJ1016" s="310"/>
      <c r="AK1016" s="309"/>
      <c r="AL1016" s="310"/>
      <c r="AM1016" s="309"/>
      <c r="AN1016" s="310"/>
      <c r="AO1016" s="309"/>
      <c r="AP1016" s="310"/>
      <c r="AQ1016" s="309"/>
      <c r="AR1016" s="310"/>
      <c r="AS1016" s="309"/>
      <c r="AT1016" s="310"/>
      <c r="AU1016" s="309"/>
      <c r="AV1016" s="310"/>
      <c r="AW1016" s="309"/>
      <c r="AX1016" s="310"/>
      <c r="AY1016" s="309"/>
      <c r="AZ1016" s="310"/>
      <c r="BA1016" s="271"/>
      <c r="BB1016" s="271"/>
      <c r="BC1016" s="271"/>
      <c r="BD1016" s="271"/>
      <c r="BE1016" s="271"/>
      <c r="BF1016" s="271"/>
    </row>
    <row r="1017" spans="2:58" ht="16" thickBot="1" x14ac:dyDescent="0.25">
      <c r="B1017" s="761" t="s">
        <v>329</v>
      </c>
      <c r="C1017" s="311"/>
      <c r="D1017" s="312"/>
      <c r="E1017" s="285"/>
      <c r="F1017" s="302"/>
      <c r="G1017" s="306">
        <f t="shared" ref="G1017:AD1017" si="32">SUM(G977:G1015)</f>
        <v>26</v>
      </c>
      <c r="H1017" s="307">
        <f t="shared" si="32"/>
        <v>3615.7400000000002</v>
      </c>
      <c r="I1017" s="306">
        <f t="shared" si="32"/>
        <v>8</v>
      </c>
      <c r="J1017" s="307">
        <f t="shared" si="32"/>
        <v>1639.92</v>
      </c>
      <c r="K1017" s="306">
        <f t="shared" si="32"/>
        <v>20</v>
      </c>
      <c r="L1017" s="307">
        <f t="shared" si="32"/>
        <v>3639.8</v>
      </c>
      <c r="M1017" s="306">
        <f t="shared" si="32"/>
        <v>26</v>
      </c>
      <c r="N1017" s="307">
        <f t="shared" si="32"/>
        <v>4497.74</v>
      </c>
      <c r="O1017" s="308">
        <f t="shared" si="32"/>
        <v>48</v>
      </c>
      <c r="P1017" s="308">
        <f t="shared" si="32"/>
        <v>6143.67</v>
      </c>
      <c r="Q1017" s="306">
        <f t="shared" si="32"/>
        <v>3</v>
      </c>
      <c r="R1017" s="307">
        <f t="shared" si="32"/>
        <v>454.97</v>
      </c>
      <c r="S1017" s="306">
        <f t="shared" si="32"/>
        <v>0</v>
      </c>
      <c r="T1017" s="307">
        <f t="shared" si="32"/>
        <v>0</v>
      </c>
      <c r="U1017" s="306">
        <f t="shared" si="32"/>
        <v>12</v>
      </c>
      <c r="V1017" s="307">
        <f t="shared" si="32"/>
        <v>5155.08</v>
      </c>
      <c r="W1017" s="306">
        <f t="shared" si="32"/>
        <v>4</v>
      </c>
      <c r="X1017" s="307">
        <f t="shared" si="32"/>
        <v>171.96</v>
      </c>
      <c r="Y1017" s="306">
        <f t="shared" si="32"/>
        <v>0</v>
      </c>
      <c r="Z1017" s="307">
        <f t="shared" si="32"/>
        <v>0</v>
      </c>
      <c r="AA1017" s="306">
        <f t="shared" si="32"/>
        <v>0</v>
      </c>
      <c r="AB1017" s="307">
        <f t="shared" si="32"/>
        <v>0</v>
      </c>
      <c r="AC1017" s="308">
        <f t="shared" si="32"/>
        <v>19</v>
      </c>
      <c r="AD1017" s="308">
        <f t="shared" si="32"/>
        <v>1880.81</v>
      </c>
      <c r="AE1017" s="306">
        <f t="shared" ref="AE1017:BF1017" si="33">SUM(AE977:AE1016)</f>
        <v>24</v>
      </c>
      <c r="AF1017" s="307">
        <f t="shared" si="33"/>
        <v>1439.76</v>
      </c>
      <c r="AG1017" s="306">
        <f t="shared" si="33"/>
        <v>0</v>
      </c>
      <c r="AH1017" s="307">
        <f t="shared" si="33"/>
        <v>0</v>
      </c>
      <c r="AI1017" s="306">
        <f t="shared" si="33"/>
        <v>0</v>
      </c>
      <c r="AJ1017" s="307">
        <f t="shared" si="33"/>
        <v>0</v>
      </c>
      <c r="AK1017" s="306">
        <f t="shared" si="33"/>
        <v>4</v>
      </c>
      <c r="AL1017" s="307">
        <f t="shared" si="33"/>
        <v>759.8</v>
      </c>
      <c r="AM1017" s="306">
        <f t="shared" si="33"/>
        <v>1</v>
      </c>
      <c r="AN1017" s="307">
        <f t="shared" si="33"/>
        <v>43.99</v>
      </c>
      <c r="AO1017" s="306">
        <f t="shared" si="33"/>
        <v>0</v>
      </c>
      <c r="AP1017" s="307">
        <f t="shared" si="33"/>
        <v>0</v>
      </c>
      <c r="AQ1017" s="306">
        <f t="shared" si="33"/>
        <v>0</v>
      </c>
      <c r="AR1017" s="307">
        <f t="shared" si="33"/>
        <v>0</v>
      </c>
      <c r="AS1017" s="306">
        <f t="shared" si="33"/>
        <v>0</v>
      </c>
      <c r="AT1017" s="307">
        <f t="shared" si="33"/>
        <v>0</v>
      </c>
      <c r="AU1017" s="306">
        <f t="shared" si="33"/>
        <v>0</v>
      </c>
      <c r="AV1017" s="307">
        <f t="shared" si="33"/>
        <v>0</v>
      </c>
      <c r="AW1017" s="306">
        <f t="shared" si="33"/>
        <v>15</v>
      </c>
      <c r="AX1017" s="307">
        <f t="shared" si="33"/>
        <v>3578.77</v>
      </c>
      <c r="AY1017" s="306">
        <f t="shared" si="33"/>
        <v>15</v>
      </c>
      <c r="AZ1017" s="307">
        <f t="shared" si="33"/>
        <v>3578.77</v>
      </c>
      <c r="BA1017" s="306">
        <f t="shared" si="33"/>
        <v>7</v>
      </c>
      <c r="BB1017" s="307">
        <f t="shared" si="33"/>
        <v>155.93</v>
      </c>
      <c r="BC1017" s="306">
        <f t="shared" si="33"/>
        <v>0</v>
      </c>
      <c r="BD1017" s="307">
        <f t="shared" si="33"/>
        <v>0</v>
      </c>
      <c r="BE1017" s="306">
        <f t="shared" si="33"/>
        <v>2</v>
      </c>
      <c r="BF1017" s="307">
        <f t="shared" si="33"/>
        <v>139.97999999999999</v>
      </c>
    </row>
    <row r="1018" spans="2:58" ht="16" thickBot="1" x14ac:dyDescent="0.25">
      <c r="B1018" s="762"/>
      <c r="C1018" s="160">
        <f>SUM(C1016,C1008,C999,C996,C990,C987,C977)</f>
        <v>94827.739999999991</v>
      </c>
      <c r="D1018" s="160"/>
      <c r="E1018" s="304"/>
      <c r="F1018" s="294"/>
      <c r="G1018" s="752" t="s">
        <v>29</v>
      </c>
      <c r="H1018" s="752"/>
      <c r="I1018" s="752" t="s">
        <v>30</v>
      </c>
      <c r="J1018" s="752"/>
      <c r="K1018" s="752" t="s">
        <v>31</v>
      </c>
      <c r="L1018" s="752"/>
      <c r="M1018" s="752" t="s">
        <v>32</v>
      </c>
      <c r="N1018" s="752"/>
      <c r="O1018" s="752" t="s">
        <v>33</v>
      </c>
      <c r="P1018" s="752"/>
      <c r="Q1018" s="752" t="s">
        <v>247</v>
      </c>
      <c r="R1018" s="752"/>
      <c r="S1018" s="752" t="s">
        <v>34</v>
      </c>
      <c r="T1018" s="752"/>
      <c r="U1018" s="752" t="s">
        <v>35</v>
      </c>
      <c r="V1018" s="752"/>
      <c r="W1018" s="752" t="s">
        <v>36</v>
      </c>
      <c r="X1018" s="752"/>
      <c r="Y1018" s="752" t="s">
        <v>37</v>
      </c>
      <c r="Z1018" s="752"/>
      <c r="AA1018" s="752" t="s">
        <v>38</v>
      </c>
      <c r="AB1018" s="752"/>
      <c r="AC1018" s="752" t="s">
        <v>39</v>
      </c>
      <c r="AD1018" s="752"/>
      <c r="AE1018" s="752" t="s">
        <v>40</v>
      </c>
      <c r="AF1018" s="752"/>
      <c r="AG1018" s="752" t="s">
        <v>41</v>
      </c>
      <c r="AH1018" s="752"/>
      <c r="AI1018" s="752" t="s">
        <v>42</v>
      </c>
      <c r="AJ1018" s="752"/>
      <c r="AK1018" s="752" t="s">
        <v>43</v>
      </c>
      <c r="AL1018" s="752"/>
      <c r="AM1018" s="752" t="s">
        <v>157</v>
      </c>
      <c r="AN1018" s="752"/>
      <c r="AO1018" s="752" t="s">
        <v>248</v>
      </c>
      <c r="AP1018" s="752"/>
      <c r="AQ1018" s="752" t="s">
        <v>249</v>
      </c>
      <c r="AR1018" s="752"/>
      <c r="AS1018" s="752" t="s">
        <v>150</v>
      </c>
      <c r="AT1018" s="752"/>
      <c r="AU1018" s="752" t="s">
        <v>151</v>
      </c>
      <c r="AV1018" s="752"/>
      <c r="AW1018" s="752" t="s">
        <v>44</v>
      </c>
      <c r="AX1018" s="752"/>
      <c r="AY1018" s="752" t="s">
        <v>250</v>
      </c>
      <c r="AZ1018" s="752"/>
      <c r="BA1018" s="752" t="s">
        <v>45</v>
      </c>
      <c r="BB1018" s="752"/>
      <c r="BC1018" s="752" t="s">
        <v>46</v>
      </c>
      <c r="BD1018" s="752"/>
      <c r="BE1018" s="752" t="s">
        <v>92</v>
      </c>
      <c r="BF1018" s="752"/>
    </row>
    <row r="1019" spans="2:58" ht="16" thickBot="1" x14ac:dyDescent="0.25">
      <c r="B1019" s="282"/>
      <c r="C1019" s="285"/>
      <c r="D1019" s="275"/>
      <c r="E1019" s="284"/>
      <c r="F1019" s="293"/>
      <c r="G1019" s="752" t="s">
        <v>50</v>
      </c>
      <c r="H1019" s="752"/>
      <c r="I1019" s="752" t="s">
        <v>51</v>
      </c>
      <c r="J1019" s="752"/>
      <c r="K1019" s="752" t="s">
        <v>51</v>
      </c>
      <c r="L1019" s="752"/>
      <c r="M1019" s="752" t="s">
        <v>52</v>
      </c>
      <c r="N1019" s="752"/>
      <c r="O1019" s="752">
        <v>180</v>
      </c>
      <c r="P1019" s="752"/>
      <c r="Q1019" s="752" t="s">
        <v>53</v>
      </c>
      <c r="R1019" s="752"/>
      <c r="S1019" s="752" t="s">
        <v>54</v>
      </c>
      <c r="T1019" s="752"/>
      <c r="U1019" s="752" t="s">
        <v>54</v>
      </c>
      <c r="V1019" s="752"/>
      <c r="W1019" s="752" t="s">
        <v>55</v>
      </c>
      <c r="X1019" s="752"/>
      <c r="Y1019" s="752" t="s">
        <v>54</v>
      </c>
      <c r="Z1019" s="752"/>
      <c r="AA1019" s="752" t="s">
        <v>54</v>
      </c>
      <c r="AB1019" s="752"/>
      <c r="AC1019" s="752" t="s">
        <v>56</v>
      </c>
      <c r="AD1019" s="752"/>
      <c r="AE1019" s="752" t="s">
        <v>57</v>
      </c>
      <c r="AF1019" s="752"/>
      <c r="AG1019" s="752" t="s">
        <v>57</v>
      </c>
      <c r="AH1019" s="752"/>
      <c r="AI1019" s="752" t="s">
        <v>58</v>
      </c>
      <c r="AJ1019" s="752"/>
      <c r="AK1019" s="752" t="s">
        <v>300</v>
      </c>
      <c r="AL1019" s="752"/>
      <c r="AM1019" s="752" t="s">
        <v>301</v>
      </c>
      <c r="AN1019" s="752"/>
      <c r="AO1019" s="752">
        <v>20</v>
      </c>
      <c r="AP1019" s="752"/>
      <c r="AQ1019" s="752">
        <v>20</v>
      </c>
      <c r="AR1019" s="752"/>
      <c r="AS1019" s="752" t="s">
        <v>57</v>
      </c>
      <c r="AT1019" s="752"/>
      <c r="AU1019" s="752" t="s">
        <v>302</v>
      </c>
      <c r="AV1019" s="752"/>
      <c r="AW1019" s="752">
        <v>100</v>
      </c>
      <c r="AX1019" s="752"/>
      <c r="AY1019" s="752">
        <v>100</v>
      </c>
      <c r="AZ1019" s="752"/>
      <c r="BA1019" s="752" t="s">
        <v>59</v>
      </c>
      <c r="BB1019" s="752"/>
      <c r="BC1019" s="752" t="s">
        <v>51</v>
      </c>
      <c r="BD1019" s="752"/>
      <c r="BE1019" s="752" t="s">
        <v>53</v>
      </c>
      <c r="BF1019" s="752"/>
    </row>
    <row r="1020" spans="2:58" ht="16" thickBot="1" x14ac:dyDescent="0.25">
      <c r="B1020" s="162"/>
      <c r="C1020" s="286"/>
      <c r="D1020" s="273"/>
      <c r="E1020" s="280"/>
      <c r="F1020" s="305"/>
      <c r="G1020" s="752">
        <v>151</v>
      </c>
      <c r="H1020" s="752"/>
      <c r="I1020" s="752">
        <v>167.99</v>
      </c>
      <c r="J1020" s="752"/>
      <c r="K1020" s="752">
        <v>144.99</v>
      </c>
      <c r="L1020" s="752"/>
      <c r="M1020" s="760">
        <v>169.99</v>
      </c>
      <c r="N1020" s="760"/>
      <c r="O1020" s="760">
        <v>274.99</v>
      </c>
      <c r="P1020" s="760"/>
      <c r="Q1020" s="760">
        <v>102.99</v>
      </c>
      <c r="R1020" s="760"/>
      <c r="S1020" s="752">
        <v>910.5</v>
      </c>
      <c r="T1020" s="752"/>
      <c r="U1020" s="752">
        <v>460.75</v>
      </c>
      <c r="V1020" s="752"/>
      <c r="W1020" s="752">
        <v>1048.95</v>
      </c>
      <c r="X1020" s="752"/>
      <c r="Y1020" s="752">
        <v>772.8</v>
      </c>
      <c r="Z1020" s="752"/>
      <c r="AA1020" s="752">
        <v>3450</v>
      </c>
      <c r="AB1020" s="752"/>
      <c r="AC1020" s="760">
        <v>89.99</v>
      </c>
      <c r="AD1020" s="760"/>
      <c r="AE1020" s="752">
        <v>39.99</v>
      </c>
      <c r="AF1020" s="752"/>
      <c r="AG1020" s="752">
        <v>498</v>
      </c>
      <c r="AH1020" s="752"/>
      <c r="AI1020" s="752">
        <v>4.99</v>
      </c>
      <c r="AJ1020" s="752"/>
      <c r="AK1020" s="752">
        <v>132.25</v>
      </c>
      <c r="AL1020" s="752"/>
      <c r="AM1020" s="752">
        <v>47.99</v>
      </c>
      <c r="AN1020" s="752"/>
      <c r="AO1020" s="752">
        <v>560</v>
      </c>
      <c r="AP1020" s="752"/>
      <c r="AQ1020" s="752">
        <v>560</v>
      </c>
      <c r="AR1020" s="752"/>
      <c r="AS1020" s="752">
        <v>613.5</v>
      </c>
      <c r="AT1020" s="752"/>
      <c r="AU1020" s="752">
        <v>313.89999999999998</v>
      </c>
      <c r="AV1020" s="752"/>
      <c r="AW1020" s="752">
        <v>405.8</v>
      </c>
      <c r="AX1020" s="752"/>
      <c r="AY1020" s="752">
        <v>218.99</v>
      </c>
      <c r="AZ1020" s="752"/>
      <c r="BA1020" s="752">
        <v>24.99</v>
      </c>
      <c r="BB1020" s="752"/>
      <c r="BC1020" s="752">
        <v>1425</v>
      </c>
      <c r="BD1020" s="752"/>
      <c r="BE1020" s="752">
        <v>54.99</v>
      </c>
      <c r="BF1020" s="752"/>
    </row>
    <row r="1021" spans="2:58" ht="16" thickBot="1" x14ac:dyDescent="0.25">
      <c r="B1021" s="162"/>
      <c r="C1021" s="753" t="str">
        <f>L1021</f>
        <v>21 - 27 APRIL 2025</v>
      </c>
      <c r="D1021" s="754"/>
      <c r="E1021" s="754"/>
      <c r="F1021" s="754"/>
      <c r="G1021" s="755"/>
      <c r="H1021" s="756"/>
      <c r="I1021" s="163"/>
      <c r="J1021" s="157"/>
      <c r="K1021" s="157"/>
      <c r="L1021" s="757" t="str">
        <f>AL1021</f>
        <v>21 - 27 APRIL 2025</v>
      </c>
      <c r="M1021" s="755"/>
      <c r="N1021" s="755"/>
      <c r="O1021" s="755"/>
      <c r="P1021" s="755"/>
      <c r="Q1021" s="755"/>
      <c r="R1021" s="755"/>
      <c r="S1021" s="755"/>
      <c r="T1021" s="756"/>
      <c r="U1021" s="157"/>
      <c r="V1021" s="157"/>
      <c r="W1021" s="157"/>
      <c r="X1021" s="157"/>
      <c r="Y1021" s="157"/>
      <c r="Z1021" s="157"/>
      <c r="AA1021" s="157"/>
      <c r="AB1021" s="157"/>
      <c r="AC1021" s="157"/>
      <c r="AD1021" s="157"/>
      <c r="AE1021" s="157"/>
      <c r="AF1021" s="157"/>
      <c r="AG1021" s="758"/>
      <c r="AH1021" s="758"/>
      <c r="AI1021" s="164"/>
      <c r="AJ1021" s="157"/>
      <c r="AK1021" s="157"/>
      <c r="AL1021" s="759" t="str">
        <f>AW1021</f>
        <v>21 - 27 APRIL 2025</v>
      </c>
      <c r="AM1021" s="759"/>
      <c r="AN1021" s="759"/>
      <c r="AO1021" s="759"/>
      <c r="AP1021" s="157"/>
      <c r="AQ1021" s="157"/>
      <c r="AR1021" s="157"/>
      <c r="AS1021" s="157"/>
      <c r="AT1021" s="157"/>
      <c r="AU1021" s="157"/>
      <c r="AV1021" s="157"/>
      <c r="AW1021" s="757" t="str">
        <f>AW967</f>
        <v>21 - 27 APRIL 2025</v>
      </c>
      <c r="AX1021" s="755" t="s">
        <v>28</v>
      </c>
      <c r="AY1021" s="755"/>
      <c r="AZ1021" s="755"/>
      <c r="BA1021" s="755"/>
      <c r="BB1021" s="755"/>
      <c r="BC1021" s="755"/>
      <c r="BD1021" s="756"/>
      <c r="BE1021" s="157"/>
      <c r="BF1021" s="157"/>
    </row>
    <row r="1022" spans="2:58" ht="16" thickBot="1" x14ac:dyDescent="0.25"/>
    <row r="1023" spans="2:58" ht="16" thickBot="1" x14ac:dyDescent="0.25">
      <c r="B1023" s="156" t="s">
        <v>27</v>
      </c>
      <c r="C1023" s="753" t="s">
        <v>1059</v>
      </c>
      <c r="D1023" s="754"/>
      <c r="E1023" s="754"/>
      <c r="F1023" s="754"/>
      <c r="G1023" s="763"/>
      <c r="H1023" s="764"/>
      <c r="I1023" s="163"/>
      <c r="J1023" s="157"/>
      <c r="K1023" s="157"/>
      <c r="L1023" s="765" t="str">
        <f>C1023</f>
        <v>28 APRIL - 4 MAY 2025</v>
      </c>
      <c r="M1023" s="763"/>
      <c r="N1023" s="763"/>
      <c r="O1023" s="763"/>
      <c r="P1023" s="763"/>
      <c r="Q1023" s="763"/>
      <c r="R1023" s="763"/>
      <c r="S1023" s="763"/>
      <c r="T1023" s="764"/>
      <c r="U1023" s="157"/>
      <c r="V1023" s="157"/>
      <c r="W1023" s="157"/>
      <c r="X1023" s="157"/>
      <c r="Y1023" s="157"/>
      <c r="Z1023" s="157"/>
      <c r="AA1023" s="157"/>
      <c r="AB1023" s="157"/>
      <c r="AC1023" s="157"/>
      <c r="AD1023" s="157"/>
      <c r="AE1023" s="157"/>
      <c r="AF1023" s="157"/>
      <c r="AG1023" s="766"/>
      <c r="AH1023" s="766"/>
      <c r="AI1023" s="753" t="str">
        <f>L1023</f>
        <v>28 APRIL - 4 MAY 2025</v>
      </c>
      <c r="AJ1023" s="754"/>
      <c r="AK1023" s="754"/>
      <c r="AL1023" s="754"/>
      <c r="AM1023" s="754"/>
      <c r="AN1023" s="754"/>
      <c r="AO1023" s="767"/>
      <c r="AP1023" s="157"/>
      <c r="AQ1023" s="157"/>
      <c r="AR1023" s="157"/>
      <c r="AS1023" s="157"/>
      <c r="AT1023" s="157"/>
      <c r="AU1023" s="157"/>
      <c r="AV1023" s="157"/>
      <c r="AW1023" s="765" t="str">
        <f>AI1023</f>
        <v>28 APRIL - 4 MAY 2025</v>
      </c>
      <c r="AX1023" s="763" t="s">
        <v>28</v>
      </c>
      <c r="AY1023" s="763"/>
      <c r="AZ1023" s="763"/>
      <c r="BA1023" s="763"/>
      <c r="BB1023" s="763"/>
      <c r="BC1023" s="763"/>
      <c r="BD1023" s="764"/>
      <c r="BE1023" s="157"/>
      <c r="BF1023" s="157"/>
    </row>
    <row r="1024" spans="2:58" ht="16" thickBot="1" x14ac:dyDescent="0.25">
      <c r="B1024" s="158"/>
      <c r="C1024" s="161"/>
      <c r="D1024" s="161"/>
      <c r="E1024" s="157"/>
      <c r="F1024" s="157"/>
      <c r="G1024" s="752" t="s">
        <v>29</v>
      </c>
      <c r="H1024" s="752"/>
      <c r="I1024" s="752" t="s">
        <v>30</v>
      </c>
      <c r="J1024" s="752"/>
      <c r="K1024" s="752" t="s">
        <v>31</v>
      </c>
      <c r="L1024" s="752"/>
      <c r="M1024" s="752" t="s">
        <v>32</v>
      </c>
      <c r="N1024" s="752"/>
      <c r="O1024" s="752" t="s">
        <v>33</v>
      </c>
      <c r="P1024" s="752"/>
      <c r="Q1024" s="752" t="s">
        <v>247</v>
      </c>
      <c r="R1024" s="752"/>
      <c r="S1024" s="752" t="s">
        <v>34</v>
      </c>
      <c r="T1024" s="752"/>
      <c r="U1024" s="752" t="s">
        <v>35</v>
      </c>
      <c r="V1024" s="752"/>
      <c r="W1024" s="752" t="s">
        <v>36</v>
      </c>
      <c r="X1024" s="752"/>
      <c r="Y1024" s="752" t="s">
        <v>37</v>
      </c>
      <c r="Z1024" s="752"/>
      <c r="AA1024" s="752" t="s">
        <v>38</v>
      </c>
      <c r="AB1024" s="752"/>
      <c r="AC1024" s="752" t="s">
        <v>39</v>
      </c>
      <c r="AD1024" s="752"/>
      <c r="AE1024" s="752" t="s">
        <v>40</v>
      </c>
      <c r="AF1024" s="752"/>
      <c r="AG1024" s="752" t="s">
        <v>41</v>
      </c>
      <c r="AH1024" s="752"/>
      <c r="AI1024" s="752" t="s">
        <v>42</v>
      </c>
      <c r="AJ1024" s="752"/>
      <c r="AK1024" s="752" t="s">
        <v>43</v>
      </c>
      <c r="AL1024" s="752"/>
      <c r="AM1024" s="752" t="s">
        <v>157</v>
      </c>
      <c r="AN1024" s="752"/>
      <c r="AO1024" s="752" t="s">
        <v>248</v>
      </c>
      <c r="AP1024" s="752"/>
      <c r="AQ1024" s="752" t="s">
        <v>249</v>
      </c>
      <c r="AR1024" s="752"/>
      <c r="AS1024" s="752" t="s">
        <v>150</v>
      </c>
      <c r="AT1024" s="752"/>
      <c r="AU1024" s="752" t="s">
        <v>151</v>
      </c>
      <c r="AV1024" s="752"/>
      <c r="AW1024" s="752" t="s">
        <v>44</v>
      </c>
      <c r="AX1024" s="752"/>
      <c r="AY1024" s="752" t="s">
        <v>250</v>
      </c>
      <c r="AZ1024" s="752"/>
      <c r="BA1024" s="752" t="s">
        <v>45</v>
      </c>
      <c r="BB1024" s="752"/>
      <c r="BC1024" s="752" t="s">
        <v>46</v>
      </c>
      <c r="BD1024" s="752"/>
      <c r="BE1024" s="752" t="s">
        <v>92</v>
      </c>
      <c r="BF1024" s="752"/>
    </row>
    <row r="1025" spans="2:58" ht="16" thickBot="1" x14ac:dyDescent="0.25">
      <c r="B1025" s="156" t="s">
        <v>47</v>
      </c>
      <c r="C1025" s="156" t="s">
        <v>48</v>
      </c>
      <c r="D1025" s="283"/>
      <c r="E1025" s="271"/>
      <c r="F1025" s="271" t="s">
        <v>49</v>
      </c>
      <c r="G1025" s="752" t="s">
        <v>50</v>
      </c>
      <c r="H1025" s="752"/>
      <c r="I1025" s="752" t="s">
        <v>51</v>
      </c>
      <c r="J1025" s="752"/>
      <c r="K1025" s="752" t="s">
        <v>51</v>
      </c>
      <c r="L1025" s="752"/>
      <c r="M1025" s="752" t="s">
        <v>52</v>
      </c>
      <c r="N1025" s="752"/>
      <c r="O1025" s="752">
        <v>180</v>
      </c>
      <c r="P1025" s="752"/>
      <c r="Q1025" s="752" t="s">
        <v>53</v>
      </c>
      <c r="R1025" s="752"/>
      <c r="S1025" s="752" t="s">
        <v>54</v>
      </c>
      <c r="T1025" s="752"/>
      <c r="U1025" s="752" t="s">
        <v>54</v>
      </c>
      <c r="V1025" s="752"/>
      <c r="W1025" s="752" t="s">
        <v>55</v>
      </c>
      <c r="X1025" s="752"/>
      <c r="Y1025" s="752" t="s">
        <v>54</v>
      </c>
      <c r="Z1025" s="752"/>
      <c r="AA1025" s="752" t="s">
        <v>54</v>
      </c>
      <c r="AB1025" s="752"/>
      <c r="AC1025" s="752" t="s">
        <v>56</v>
      </c>
      <c r="AD1025" s="752"/>
      <c r="AE1025" s="752" t="s">
        <v>57</v>
      </c>
      <c r="AF1025" s="752"/>
      <c r="AG1025" s="752" t="s">
        <v>57</v>
      </c>
      <c r="AH1025" s="752"/>
      <c r="AI1025" s="752" t="s">
        <v>58</v>
      </c>
      <c r="AJ1025" s="752"/>
      <c r="AK1025" s="752" t="s">
        <v>300</v>
      </c>
      <c r="AL1025" s="752"/>
      <c r="AM1025" s="752" t="s">
        <v>301</v>
      </c>
      <c r="AN1025" s="752"/>
      <c r="AO1025" s="752">
        <v>20</v>
      </c>
      <c r="AP1025" s="752"/>
      <c r="AQ1025" s="752">
        <v>20</v>
      </c>
      <c r="AR1025" s="752"/>
      <c r="AS1025" s="752" t="s">
        <v>57</v>
      </c>
      <c r="AT1025" s="752"/>
      <c r="AU1025" s="752" t="s">
        <v>302</v>
      </c>
      <c r="AV1025" s="752"/>
      <c r="AW1025" s="752">
        <v>100</v>
      </c>
      <c r="AX1025" s="752"/>
      <c r="AY1025" s="752">
        <v>100</v>
      </c>
      <c r="AZ1025" s="752"/>
      <c r="BA1025" s="752" t="s">
        <v>59</v>
      </c>
      <c r="BB1025" s="752"/>
      <c r="BC1025" s="752" t="s">
        <v>51</v>
      </c>
      <c r="BD1025" s="752"/>
      <c r="BE1025" s="752" t="s">
        <v>53</v>
      </c>
      <c r="BF1025" s="752"/>
    </row>
    <row r="1026" spans="2:58" ht="16" thickBot="1" x14ac:dyDescent="0.25">
      <c r="B1026" s="156"/>
      <c r="C1026" s="156" t="s">
        <v>60</v>
      </c>
      <c r="D1026" s="283"/>
      <c r="E1026" s="271" t="s">
        <v>61</v>
      </c>
      <c r="F1026" s="271" t="s">
        <v>62</v>
      </c>
      <c r="G1026" s="752">
        <v>151</v>
      </c>
      <c r="H1026" s="752"/>
      <c r="I1026" s="752">
        <v>167.99</v>
      </c>
      <c r="J1026" s="752"/>
      <c r="K1026" s="752">
        <v>144.99</v>
      </c>
      <c r="L1026" s="752"/>
      <c r="M1026" s="760">
        <v>169.99</v>
      </c>
      <c r="N1026" s="760"/>
      <c r="O1026" s="760">
        <v>274.99</v>
      </c>
      <c r="P1026" s="760"/>
      <c r="Q1026" s="760">
        <v>135</v>
      </c>
      <c r="R1026" s="760"/>
      <c r="S1026" s="752">
        <v>910.5</v>
      </c>
      <c r="T1026" s="752"/>
      <c r="U1026" s="752">
        <v>460.75</v>
      </c>
      <c r="V1026" s="752"/>
      <c r="W1026" s="752">
        <v>1048.95</v>
      </c>
      <c r="X1026" s="752"/>
      <c r="Y1026" s="752">
        <v>772.8</v>
      </c>
      <c r="Z1026" s="752"/>
      <c r="AA1026" s="752">
        <v>3450</v>
      </c>
      <c r="AB1026" s="752"/>
      <c r="AC1026" s="760">
        <v>99.99</v>
      </c>
      <c r="AD1026" s="760"/>
      <c r="AE1026" s="752">
        <v>29.99</v>
      </c>
      <c r="AF1026" s="752"/>
      <c r="AG1026" s="752">
        <v>548</v>
      </c>
      <c r="AH1026" s="752"/>
      <c r="AI1026" s="752">
        <v>4.99</v>
      </c>
      <c r="AJ1026" s="752"/>
      <c r="AK1026" s="752">
        <v>132.25</v>
      </c>
      <c r="AL1026" s="752"/>
      <c r="AM1026" s="752">
        <v>47.99</v>
      </c>
      <c r="AN1026" s="752"/>
      <c r="AO1026" s="752">
        <v>560</v>
      </c>
      <c r="AP1026" s="752"/>
      <c r="AQ1026" s="752">
        <v>560</v>
      </c>
      <c r="AR1026" s="752"/>
      <c r="AS1026" s="752">
        <v>613.5</v>
      </c>
      <c r="AT1026" s="752"/>
      <c r="AU1026" s="752">
        <v>313.89999999999998</v>
      </c>
      <c r="AV1026" s="752"/>
      <c r="AW1026" s="752">
        <v>405.8</v>
      </c>
      <c r="AX1026" s="752"/>
      <c r="AY1026" s="752">
        <v>218.99</v>
      </c>
      <c r="AZ1026" s="752"/>
      <c r="BA1026" s="752">
        <v>24.99</v>
      </c>
      <c r="BB1026" s="752"/>
      <c r="BC1026" s="752">
        <v>1425</v>
      </c>
      <c r="BD1026" s="752"/>
      <c r="BE1026" s="752">
        <v>54.99</v>
      </c>
      <c r="BF1026" s="752"/>
    </row>
    <row r="1027" spans="2:58" ht="16" thickBot="1" x14ac:dyDescent="0.25">
      <c r="B1027" s="272">
        <v>45775</v>
      </c>
      <c r="C1027" s="274">
        <v>673</v>
      </c>
      <c r="D1027" s="276"/>
      <c r="E1027" s="278" t="s">
        <v>186</v>
      </c>
      <c r="F1027" s="278"/>
      <c r="G1027" s="271"/>
      <c r="H1027" s="271"/>
      <c r="I1027" s="271"/>
      <c r="J1027" s="271"/>
      <c r="K1027" s="271"/>
      <c r="L1027" s="271"/>
      <c r="M1027" s="271"/>
      <c r="N1027" s="271"/>
      <c r="O1027" s="271"/>
      <c r="P1027" s="271"/>
      <c r="Q1027" s="271"/>
      <c r="R1027" s="271"/>
      <c r="S1027" s="271"/>
      <c r="T1027" s="271"/>
      <c r="U1027" s="271"/>
      <c r="V1027" s="271"/>
      <c r="W1027" s="271"/>
      <c r="X1027" s="271"/>
      <c r="Y1027" s="271"/>
      <c r="Z1027" s="271"/>
      <c r="AA1027" s="271"/>
      <c r="AB1027" s="271"/>
      <c r="AC1027" s="271"/>
      <c r="AD1027" s="271"/>
      <c r="AE1027" s="271"/>
      <c r="AF1027" s="271"/>
      <c r="AG1027" s="271"/>
      <c r="AH1027" s="271"/>
      <c r="AI1027" s="271"/>
      <c r="AJ1027" s="271"/>
      <c r="AK1027" s="271"/>
      <c r="AL1027" s="271"/>
      <c r="AM1027" s="271"/>
      <c r="AN1027" s="271"/>
      <c r="AO1027" s="271"/>
      <c r="AP1027" s="271"/>
      <c r="AQ1027" s="271"/>
      <c r="AR1027" s="271"/>
      <c r="AS1027" s="271"/>
      <c r="AT1027" s="271"/>
      <c r="AU1027" s="271"/>
      <c r="AV1027" s="271"/>
      <c r="AW1027" s="271"/>
      <c r="AX1027" s="271"/>
      <c r="AY1027" s="271"/>
      <c r="AZ1027" s="271"/>
      <c r="BA1027" s="271"/>
      <c r="BB1027" s="271"/>
      <c r="BC1027" s="271"/>
      <c r="BD1027" s="271"/>
      <c r="BE1027" s="271"/>
      <c r="BF1027" s="271"/>
    </row>
    <row r="1028" spans="2:58" ht="16" thickBot="1" x14ac:dyDescent="0.25">
      <c r="B1028" s="660"/>
      <c r="C1028" s="275">
        <v>106.99</v>
      </c>
      <c r="D1028" s="661"/>
      <c r="E1028" s="303"/>
      <c r="F1028" s="303" t="s">
        <v>297</v>
      </c>
      <c r="G1028" s="271"/>
      <c r="H1028" s="271"/>
      <c r="I1028" s="271"/>
      <c r="J1028" s="271"/>
      <c r="K1028" s="271"/>
      <c r="L1028" s="271"/>
      <c r="M1028" s="271"/>
      <c r="N1028" s="271"/>
      <c r="O1028" s="271"/>
      <c r="P1028" s="271"/>
      <c r="Q1028" s="271"/>
      <c r="R1028" s="271"/>
      <c r="S1028" s="271"/>
      <c r="T1028" s="271"/>
      <c r="U1028" s="271"/>
      <c r="V1028" s="271"/>
      <c r="W1028" s="271"/>
      <c r="X1028" s="271"/>
      <c r="Y1028" s="271"/>
      <c r="Z1028" s="271"/>
      <c r="AA1028" s="271"/>
      <c r="AB1028" s="271"/>
      <c r="AC1028" s="271"/>
      <c r="AD1028" s="271"/>
      <c r="AE1028" s="271"/>
      <c r="AF1028" s="271"/>
      <c r="AG1028" s="271"/>
      <c r="AH1028" s="271"/>
      <c r="AI1028" s="271"/>
      <c r="AJ1028" s="271"/>
      <c r="AK1028" s="271"/>
      <c r="AL1028" s="271"/>
      <c r="AM1028" s="271"/>
      <c r="AN1028" s="271"/>
      <c r="AO1028" s="271"/>
      <c r="AP1028" s="271"/>
      <c r="AQ1028" s="271"/>
      <c r="AR1028" s="271"/>
      <c r="AS1028" s="271"/>
      <c r="AT1028" s="271"/>
      <c r="AU1028" s="271"/>
      <c r="AV1028" s="271"/>
      <c r="AW1028" s="271"/>
      <c r="AX1028" s="271"/>
      <c r="AY1028" s="271"/>
      <c r="AZ1028" s="271"/>
      <c r="BA1028" s="271">
        <v>1</v>
      </c>
      <c r="BB1028" s="271">
        <v>29.99</v>
      </c>
      <c r="BC1028" s="271"/>
      <c r="BD1028" s="271"/>
      <c r="BE1028" s="271"/>
      <c r="BF1028" s="271"/>
    </row>
    <row r="1029" spans="2:58" ht="16" thickBot="1" x14ac:dyDescent="0.25">
      <c r="B1029" s="660"/>
      <c r="C1029" s="275">
        <v>480</v>
      </c>
      <c r="D1029" s="661"/>
      <c r="E1029" s="303" t="s">
        <v>396</v>
      </c>
      <c r="F1029" s="303"/>
      <c r="G1029" s="271"/>
      <c r="H1029" s="271"/>
      <c r="I1029" s="271"/>
      <c r="J1029" s="271"/>
      <c r="K1029" s="271"/>
      <c r="L1029" s="271"/>
      <c r="M1029" s="271"/>
      <c r="N1029" s="271"/>
      <c r="O1029" s="271"/>
      <c r="P1029" s="271"/>
      <c r="Q1029" s="271"/>
      <c r="R1029" s="271"/>
      <c r="S1029" s="271"/>
      <c r="T1029" s="271"/>
      <c r="U1029" s="271"/>
      <c r="V1029" s="271"/>
      <c r="W1029" s="271"/>
      <c r="X1029" s="271"/>
      <c r="Y1029" s="271"/>
      <c r="Z1029" s="271"/>
      <c r="AA1029" s="271"/>
      <c r="AB1029" s="271"/>
      <c r="AC1029" s="271"/>
      <c r="AD1029" s="271"/>
      <c r="AE1029" s="271"/>
      <c r="AF1029" s="271"/>
      <c r="AG1029" s="271"/>
      <c r="AH1029" s="271"/>
      <c r="AI1029" s="271"/>
      <c r="AJ1029" s="271"/>
      <c r="AK1029" s="271"/>
      <c r="AL1029" s="271"/>
      <c r="AM1029" s="271"/>
      <c r="AN1029" s="271"/>
      <c r="AO1029" s="271"/>
      <c r="AP1029" s="271"/>
      <c r="AQ1029" s="271"/>
      <c r="AR1029" s="271"/>
      <c r="AS1029" s="271"/>
      <c r="AT1029" s="271"/>
      <c r="AU1029" s="271"/>
      <c r="AV1029" s="271"/>
      <c r="AW1029" s="271"/>
      <c r="AX1029" s="271"/>
      <c r="AY1029" s="271"/>
      <c r="AZ1029" s="271"/>
      <c r="BA1029" s="271"/>
      <c r="BB1029" s="271"/>
      <c r="BC1029" s="271"/>
      <c r="BD1029" s="271"/>
      <c r="BE1029" s="271"/>
      <c r="BF1029" s="271"/>
    </row>
    <row r="1030" spans="2:58" ht="16" thickBot="1" x14ac:dyDescent="0.25">
      <c r="B1030" s="660"/>
      <c r="C1030" s="275">
        <v>1488.55</v>
      </c>
      <c r="D1030" s="661"/>
      <c r="E1030" s="303"/>
      <c r="F1030" s="303" t="s">
        <v>14</v>
      </c>
      <c r="G1030" s="271"/>
      <c r="H1030" s="271"/>
      <c r="I1030" s="271"/>
      <c r="J1030" s="271"/>
      <c r="K1030" s="271"/>
      <c r="L1030" s="271"/>
      <c r="M1030" s="271"/>
      <c r="N1030" s="271"/>
      <c r="O1030" s="271"/>
      <c r="P1030" s="271"/>
      <c r="Q1030" s="271"/>
      <c r="R1030" s="271"/>
      <c r="S1030" s="271">
        <v>32</v>
      </c>
      <c r="T1030" s="271">
        <f>1055.68-288</f>
        <v>767.68000000000006</v>
      </c>
      <c r="U1030" s="271"/>
      <c r="V1030" s="271"/>
      <c r="W1030" s="271"/>
      <c r="X1030" s="271"/>
      <c r="Y1030" s="271"/>
      <c r="Z1030" s="271"/>
      <c r="AA1030" s="271"/>
      <c r="AB1030" s="271"/>
      <c r="AC1030" s="271"/>
      <c r="AD1030" s="271"/>
      <c r="AE1030" s="271">
        <v>9</v>
      </c>
      <c r="AF1030" s="271">
        <v>494.91</v>
      </c>
      <c r="AG1030" s="271"/>
      <c r="AH1030" s="271"/>
      <c r="AI1030" s="271"/>
      <c r="AJ1030" s="271"/>
      <c r="AK1030" s="271"/>
      <c r="AL1030" s="271"/>
      <c r="AM1030" s="271"/>
      <c r="AN1030" s="271"/>
      <c r="AO1030" s="271"/>
      <c r="AP1030" s="271"/>
      <c r="AQ1030" s="271"/>
      <c r="AR1030" s="271"/>
      <c r="AS1030" s="271"/>
      <c r="AT1030" s="271"/>
      <c r="AU1030" s="271"/>
      <c r="AV1030" s="271"/>
      <c r="AW1030" s="271"/>
      <c r="AX1030" s="271"/>
      <c r="AY1030" s="271"/>
      <c r="AZ1030" s="271"/>
      <c r="BA1030" s="271"/>
      <c r="BB1030" s="271"/>
      <c r="BC1030" s="271"/>
      <c r="BD1030" s="271"/>
      <c r="BE1030" s="271"/>
      <c r="BF1030" s="271"/>
    </row>
    <row r="1031" spans="2:58" ht="16" thickBot="1" x14ac:dyDescent="0.25">
      <c r="B1031" s="660"/>
      <c r="C1031" s="275">
        <v>7530.6</v>
      </c>
      <c r="D1031" s="661"/>
      <c r="E1031" s="303"/>
      <c r="F1031" s="303" t="s">
        <v>9</v>
      </c>
      <c r="G1031" s="271">
        <v>8</v>
      </c>
      <c r="H1031" s="271">
        <v>1095.92</v>
      </c>
      <c r="I1031" s="271">
        <v>2</v>
      </c>
      <c r="J1031" s="271">
        <v>409.98</v>
      </c>
      <c r="K1031" s="271">
        <v>8</v>
      </c>
      <c r="L1031" s="271">
        <v>1455.92</v>
      </c>
      <c r="M1031" s="271">
        <v>10</v>
      </c>
      <c r="N1031" s="271">
        <v>1729.9</v>
      </c>
      <c r="O1031" s="271">
        <v>15</v>
      </c>
      <c r="P1031" s="271">
        <v>1905</v>
      </c>
      <c r="Q1031" s="271"/>
      <c r="R1031" s="271"/>
      <c r="S1031" s="271"/>
      <c r="T1031" s="271"/>
      <c r="U1031" s="271"/>
      <c r="V1031" s="271"/>
      <c r="W1031" s="271">
        <v>4</v>
      </c>
      <c r="X1031" s="271">
        <v>171.96</v>
      </c>
      <c r="Y1031" s="271"/>
      <c r="Z1031" s="271"/>
      <c r="AA1031" s="271"/>
      <c r="AB1031" s="271"/>
      <c r="AC1031" s="271">
        <v>6</v>
      </c>
      <c r="AD1031" s="271">
        <v>593.94000000000005</v>
      </c>
      <c r="AE1031" s="271"/>
      <c r="AF1031" s="271"/>
      <c r="AG1031" s="271"/>
      <c r="AH1031" s="271"/>
      <c r="AI1031" s="271"/>
      <c r="AJ1031" s="271"/>
      <c r="AK1031" s="271"/>
      <c r="AL1031" s="271"/>
      <c r="AM1031" s="271"/>
      <c r="AN1031" s="271"/>
      <c r="AO1031" s="271"/>
      <c r="AP1031" s="271"/>
      <c r="AQ1031" s="271"/>
      <c r="AR1031" s="271"/>
      <c r="AS1031" s="271"/>
      <c r="AT1031" s="271"/>
      <c r="AU1031" s="271"/>
      <c r="AV1031" s="271"/>
      <c r="AW1031" s="271"/>
      <c r="AX1031" s="271"/>
      <c r="AY1031" s="271"/>
      <c r="AZ1031" s="271"/>
      <c r="BA1031" s="271"/>
      <c r="BB1031" s="271"/>
      <c r="BC1031" s="271"/>
      <c r="BD1031" s="271"/>
      <c r="BE1031" s="271">
        <v>1</v>
      </c>
      <c r="BF1031" s="271">
        <v>79.989999999999995</v>
      </c>
    </row>
    <row r="1032" spans="2:58" ht="16" thickBot="1" x14ac:dyDescent="0.25">
      <c r="B1032" s="681" t="s">
        <v>20</v>
      </c>
      <c r="C1032" s="275"/>
      <c r="D1032" s="277"/>
      <c r="E1032" s="279"/>
      <c r="F1032" s="279"/>
      <c r="G1032" s="271"/>
      <c r="H1032" s="271"/>
      <c r="I1032" s="271"/>
      <c r="J1032" s="271"/>
      <c r="K1032" s="271"/>
      <c r="L1032" s="271"/>
      <c r="M1032" s="271"/>
      <c r="N1032" s="271"/>
      <c r="O1032" s="271"/>
      <c r="P1032" s="271"/>
      <c r="Q1032" s="271"/>
      <c r="R1032" s="271"/>
      <c r="S1032" s="271"/>
      <c r="T1032" s="271"/>
      <c r="U1032" s="271"/>
      <c r="V1032" s="271"/>
      <c r="W1032" s="271"/>
      <c r="X1032" s="271"/>
      <c r="Y1032" s="271"/>
      <c r="Z1032" s="271"/>
      <c r="AA1032" s="271"/>
      <c r="AB1032" s="271"/>
      <c r="AC1032" s="271"/>
      <c r="AD1032" s="271"/>
      <c r="AE1032" s="271"/>
      <c r="AF1032" s="271"/>
      <c r="AG1032" s="271"/>
      <c r="AH1032" s="271"/>
      <c r="AI1032" s="271"/>
      <c r="AJ1032" s="271"/>
      <c r="AK1032" s="271"/>
      <c r="AL1032" s="271"/>
      <c r="AM1032" s="271"/>
      <c r="AN1032" s="271"/>
      <c r="AO1032" s="271"/>
      <c r="AP1032" s="271"/>
      <c r="AQ1032" s="271"/>
      <c r="AR1032" s="271"/>
      <c r="AS1032" s="271"/>
      <c r="AT1032" s="271"/>
      <c r="AU1032" s="271"/>
      <c r="AV1032" s="271"/>
      <c r="AW1032" s="271"/>
      <c r="AX1032" s="271"/>
      <c r="AY1032" s="271"/>
      <c r="AZ1032" s="271"/>
      <c r="BA1032" s="271"/>
      <c r="BB1032" s="271"/>
      <c r="BC1032" s="271"/>
      <c r="BD1032" s="271"/>
      <c r="BE1032" s="271"/>
      <c r="BF1032" s="271"/>
    </row>
    <row r="1033" spans="2:58" ht="16" thickBot="1" x14ac:dyDescent="0.25">
      <c r="B1033" s="479"/>
      <c r="C1033" s="680">
        <f>SUM(C1027:C1032)</f>
        <v>10279.14</v>
      </c>
      <c r="D1033" s="159"/>
      <c r="E1033" s="270"/>
      <c r="F1033" s="281"/>
      <c r="G1033" s="309"/>
      <c r="H1033" s="310"/>
      <c r="I1033" s="309"/>
      <c r="J1033" s="310"/>
      <c r="K1033" s="309"/>
      <c r="L1033" s="310"/>
      <c r="M1033" s="309"/>
      <c r="N1033" s="310"/>
      <c r="O1033" s="271"/>
      <c r="P1033" s="271"/>
      <c r="Q1033" s="310"/>
      <c r="R1033" s="310"/>
      <c r="S1033" s="309"/>
      <c r="T1033" s="310"/>
      <c r="U1033" s="309"/>
      <c r="V1033" s="310"/>
      <c r="W1033" s="309"/>
      <c r="X1033" s="310"/>
      <c r="Y1033" s="309"/>
      <c r="Z1033" s="310"/>
      <c r="AA1033" s="309"/>
      <c r="AB1033" s="310"/>
      <c r="AC1033" s="271"/>
      <c r="AD1033" s="271"/>
      <c r="AE1033" s="309"/>
      <c r="AF1033" s="310"/>
      <c r="AG1033" s="309"/>
      <c r="AH1033" s="310"/>
      <c r="AI1033" s="309"/>
      <c r="AJ1033" s="310"/>
      <c r="AK1033" s="309"/>
      <c r="AL1033" s="310"/>
      <c r="AM1033" s="309"/>
      <c r="AN1033" s="310"/>
      <c r="AO1033" s="309"/>
      <c r="AP1033" s="310"/>
      <c r="AQ1033" s="309"/>
      <c r="AR1033" s="310"/>
      <c r="AS1033" s="309"/>
      <c r="AT1033" s="310"/>
      <c r="AU1033" s="309"/>
      <c r="AV1033" s="310"/>
      <c r="AW1033" s="309"/>
      <c r="AX1033" s="310"/>
      <c r="AY1033" s="309"/>
      <c r="AZ1033" s="310"/>
      <c r="BA1033" s="271"/>
      <c r="BB1033" s="271"/>
      <c r="BC1033" s="271"/>
      <c r="BD1033" s="271"/>
      <c r="BE1033" s="271"/>
      <c r="BF1033" s="271"/>
    </row>
    <row r="1034" spans="2:58" ht="16" thickBot="1" x14ac:dyDescent="0.25">
      <c r="B1034" s="289">
        <v>45776</v>
      </c>
      <c r="C1034" s="275">
        <f>592.8+81+81</f>
        <v>754.8</v>
      </c>
      <c r="D1034" s="277"/>
      <c r="E1034" s="279" t="s">
        <v>296</v>
      </c>
      <c r="F1034" s="279"/>
      <c r="G1034" s="271"/>
      <c r="H1034" s="271"/>
      <c r="I1034" s="271"/>
      <c r="J1034" s="271"/>
      <c r="K1034" s="271"/>
      <c r="L1034" s="271"/>
      <c r="M1034" s="271"/>
      <c r="N1034" s="271"/>
      <c r="O1034" s="271"/>
      <c r="P1034" s="271"/>
      <c r="Q1034" s="271"/>
      <c r="R1034" s="271"/>
      <c r="S1034" s="271"/>
      <c r="T1034" s="271"/>
      <c r="U1034" s="271"/>
      <c r="V1034" s="271"/>
      <c r="W1034" s="271"/>
      <c r="X1034" s="271"/>
      <c r="Y1034" s="271"/>
      <c r="Z1034" s="271"/>
      <c r="AA1034" s="271"/>
      <c r="AB1034" s="271"/>
      <c r="AC1034" s="271"/>
      <c r="AD1034" s="271"/>
      <c r="AE1034" s="271"/>
      <c r="AF1034" s="271"/>
      <c r="AG1034" s="271"/>
      <c r="AH1034" s="271"/>
      <c r="AI1034" s="271"/>
      <c r="AJ1034" s="271"/>
      <c r="AK1034" s="271"/>
      <c r="AL1034" s="271"/>
      <c r="AM1034" s="271"/>
      <c r="AN1034" s="271"/>
      <c r="AO1034" s="271"/>
      <c r="AP1034" s="271"/>
      <c r="AQ1034" s="271"/>
      <c r="AR1034" s="271"/>
      <c r="AS1034" s="271"/>
      <c r="AT1034" s="271"/>
      <c r="AU1034" s="271"/>
      <c r="AV1034" s="271"/>
      <c r="AW1034" s="271"/>
      <c r="AX1034" s="271"/>
      <c r="AY1034" s="271"/>
      <c r="AZ1034" s="271"/>
      <c r="BA1034" s="271"/>
      <c r="BB1034" s="271"/>
      <c r="BC1034" s="271"/>
      <c r="BD1034" s="271"/>
      <c r="BE1034" s="271"/>
      <c r="BF1034" s="271"/>
    </row>
    <row r="1035" spans="2:58" ht="16" thickBot="1" x14ac:dyDescent="0.25">
      <c r="B1035" s="289"/>
      <c r="C1035" s="139">
        <v>190.98</v>
      </c>
      <c r="E1035" s="575" t="s">
        <v>411</v>
      </c>
      <c r="F1035" s="279"/>
      <c r="G1035" s="271"/>
      <c r="H1035" s="271"/>
      <c r="I1035" s="271"/>
      <c r="J1035" s="271"/>
      <c r="K1035" s="271"/>
      <c r="L1035" s="271"/>
      <c r="M1035" s="271"/>
      <c r="N1035" s="271"/>
      <c r="O1035" s="271"/>
      <c r="P1035" s="271"/>
      <c r="Q1035" s="271"/>
      <c r="R1035" s="271"/>
      <c r="S1035" s="271"/>
      <c r="T1035" s="271"/>
      <c r="U1035" s="271"/>
      <c r="V1035" s="271"/>
      <c r="W1035" s="271"/>
      <c r="X1035" s="271"/>
      <c r="Y1035" s="271"/>
      <c r="Z1035" s="271"/>
      <c r="AA1035" s="271"/>
      <c r="AB1035" s="271"/>
      <c r="AC1035" s="271"/>
      <c r="AD1035" s="271"/>
      <c r="AE1035" s="271"/>
      <c r="AF1035" s="271"/>
      <c r="AG1035" s="271"/>
      <c r="AH1035" s="271"/>
      <c r="AI1035" s="271"/>
      <c r="AJ1035" s="271"/>
      <c r="AK1035" s="271"/>
      <c r="AL1035" s="271"/>
      <c r="AM1035" s="271"/>
      <c r="AN1035" s="271"/>
      <c r="AO1035" s="271"/>
      <c r="AP1035" s="271"/>
      <c r="AQ1035" s="271"/>
      <c r="AR1035" s="271"/>
      <c r="AS1035" s="271"/>
      <c r="AT1035" s="271"/>
      <c r="AU1035" s="271"/>
      <c r="AV1035" s="271"/>
      <c r="AW1035" s="271"/>
      <c r="AX1035" s="271"/>
      <c r="AY1035" s="271"/>
      <c r="AZ1035" s="271"/>
      <c r="BA1035" s="271"/>
      <c r="BB1035" s="271"/>
      <c r="BC1035" s="271"/>
      <c r="BD1035" s="271"/>
      <c r="BE1035" s="271"/>
      <c r="BF1035" s="271"/>
    </row>
    <row r="1036" spans="2:58" ht="16" thickBot="1" x14ac:dyDescent="0.25">
      <c r="B1036" s="289"/>
      <c r="C1036" s="4">
        <v>552</v>
      </c>
      <c r="E1036" s="142"/>
      <c r="F1036" s="279" t="s">
        <v>730</v>
      </c>
      <c r="G1036" s="271"/>
      <c r="H1036" s="271"/>
      <c r="I1036" s="271"/>
      <c r="J1036" s="271"/>
      <c r="K1036" s="271"/>
      <c r="L1036" s="271"/>
      <c r="M1036" s="271"/>
      <c r="N1036" s="271"/>
      <c r="O1036" s="271"/>
      <c r="P1036" s="271"/>
      <c r="Q1036" s="271"/>
      <c r="R1036" s="271"/>
      <c r="S1036" s="271"/>
      <c r="T1036" s="271"/>
      <c r="U1036" s="271"/>
      <c r="V1036" s="271"/>
      <c r="W1036" s="271"/>
      <c r="X1036" s="271"/>
      <c r="Y1036" s="271"/>
      <c r="Z1036" s="271"/>
      <c r="AA1036" s="271"/>
      <c r="AB1036" s="271"/>
      <c r="AC1036" s="271"/>
      <c r="AD1036" s="271"/>
      <c r="AE1036" s="271"/>
      <c r="AF1036" s="271"/>
      <c r="AG1036" s="271"/>
      <c r="AH1036" s="271"/>
      <c r="AI1036" s="271"/>
      <c r="AJ1036" s="271"/>
      <c r="AK1036" s="271"/>
      <c r="AL1036" s="271"/>
      <c r="AM1036" s="271"/>
      <c r="AN1036" s="271"/>
      <c r="AO1036" s="271"/>
      <c r="AP1036" s="271"/>
      <c r="AQ1036" s="271"/>
      <c r="AR1036" s="271"/>
      <c r="AS1036" s="271">
        <v>1</v>
      </c>
      <c r="AT1036" s="271">
        <v>500</v>
      </c>
      <c r="AU1036" s="271"/>
      <c r="AV1036" s="271"/>
      <c r="AW1036" s="271"/>
      <c r="AX1036" s="271"/>
      <c r="AY1036" s="271"/>
      <c r="AZ1036" s="271"/>
      <c r="BA1036" s="271"/>
      <c r="BB1036" s="271"/>
      <c r="BC1036" s="271"/>
      <c r="BD1036" s="271"/>
      <c r="BE1036" s="271"/>
      <c r="BF1036" s="271"/>
    </row>
    <row r="1037" spans="2:58" ht="16" thickBot="1" x14ac:dyDescent="0.25">
      <c r="B1037" s="289"/>
      <c r="C1037" s="146">
        <v>7367.59</v>
      </c>
      <c r="E1037" s="147"/>
      <c r="F1037" s="279" t="s">
        <v>9</v>
      </c>
      <c r="G1037" s="271">
        <v>8</v>
      </c>
      <c r="H1037" s="271">
        <v>1095.92</v>
      </c>
      <c r="I1037" s="271">
        <v>2</v>
      </c>
      <c r="J1037" s="271">
        <v>409.98</v>
      </c>
      <c r="K1037" s="271">
        <v>6</v>
      </c>
      <c r="L1037" s="271">
        <v>1091.94</v>
      </c>
      <c r="M1037" s="271">
        <v>8</v>
      </c>
      <c r="N1037" s="271">
        <v>1383.92</v>
      </c>
      <c r="O1037" s="271">
        <v>18</v>
      </c>
      <c r="P1037" s="271">
        <v>2286</v>
      </c>
      <c r="Q1037" s="271">
        <v>1</v>
      </c>
      <c r="R1037" s="271">
        <v>144.99</v>
      </c>
      <c r="S1037" s="271"/>
      <c r="T1037" s="271"/>
      <c r="U1037" s="271"/>
      <c r="V1037" s="271"/>
      <c r="W1037" s="271">
        <v>4</v>
      </c>
      <c r="X1037" s="271">
        <v>171.96</v>
      </c>
      <c r="Y1037" s="271"/>
      <c r="Z1037" s="271"/>
      <c r="AA1037" s="271"/>
      <c r="AB1037" s="271"/>
      <c r="AC1037" s="271">
        <v>7</v>
      </c>
      <c r="AD1037" s="271">
        <v>692.93</v>
      </c>
      <c r="AE1037" s="271"/>
      <c r="AF1037" s="271"/>
      <c r="AG1037" s="271"/>
      <c r="AH1037" s="271"/>
      <c r="AI1037" s="271"/>
      <c r="AJ1037" s="271"/>
      <c r="AK1037" s="271"/>
      <c r="AL1037" s="271"/>
      <c r="AM1037" s="271"/>
      <c r="AN1037" s="271"/>
      <c r="AO1037" s="271"/>
      <c r="AP1037" s="271"/>
      <c r="AQ1037" s="271"/>
      <c r="AR1037" s="271"/>
      <c r="AS1037" s="271"/>
      <c r="AT1037" s="271"/>
      <c r="AU1037" s="271"/>
      <c r="AV1037" s="271"/>
      <c r="AW1037" s="271"/>
      <c r="AX1037" s="271"/>
      <c r="AY1037" s="271"/>
      <c r="AZ1037" s="271"/>
      <c r="BA1037" s="271"/>
      <c r="BB1037" s="271"/>
      <c r="BC1037" s="271"/>
      <c r="BD1037" s="271"/>
      <c r="BE1037" s="271"/>
      <c r="BF1037" s="271"/>
    </row>
    <row r="1038" spans="2:58" ht="16" thickBot="1" x14ac:dyDescent="0.25">
      <c r="B1038" s="289"/>
      <c r="C1038" s="4">
        <v>20531.88</v>
      </c>
      <c r="E1038" s="142"/>
      <c r="F1038" s="279" t="s">
        <v>6</v>
      </c>
      <c r="G1038" s="271"/>
      <c r="H1038" s="271"/>
      <c r="I1038" s="271"/>
      <c r="J1038" s="271"/>
      <c r="K1038" s="271"/>
      <c r="L1038" s="271"/>
      <c r="M1038" s="271"/>
      <c r="N1038" s="271"/>
      <c r="O1038" s="271"/>
      <c r="P1038" s="271"/>
      <c r="Q1038" s="271"/>
      <c r="R1038" s="271"/>
      <c r="S1038" s="271">
        <v>4</v>
      </c>
      <c r="T1038" s="271">
        <v>3312</v>
      </c>
      <c r="U1038" s="271">
        <v>15</v>
      </c>
      <c r="V1038" s="271">
        <v>7935</v>
      </c>
      <c r="W1038" s="271"/>
      <c r="X1038" s="271"/>
      <c r="Y1038" s="271">
        <v>1</v>
      </c>
      <c r="Z1038" s="271">
        <v>772.8</v>
      </c>
      <c r="AA1038" s="271">
        <v>1</v>
      </c>
      <c r="AB1038" s="271">
        <v>5175</v>
      </c>
      <c r="AC1038" s="271"/>
      <c r="AD1038" s="271"/>
      <c r="AE1038" s="271"/>
      <c r="AF1038" s="271"/>
      <c r="AG1038" s="271"/>
      <c r="AH1038" s="271"/>
      <c r="AI1038" s="271"/>
      <c r="AJ1038" s="271"/>
      <c r="AK1038" s="271"/>
      <c r="AL1038" s="271"/>
      <c r="AM1038" s="271"/>
      <c r="AN1038" s="271"/>
      <c r="AO1038" s="271"/>
      <c r="AP1038" s="271"/>
      <c r="AQ1038" s="271"/>
      <c r="AR1038" s="271"/>
      <c r="AS1038" s="271"/>
      <c r="AT1038" s="271"/>
      <c r="AU1038" s="271">
        <v>2</v>
      </c>
      <c r="AV1038" s="271">
        <f>408.14+416.19</f>
        <v>824.32999999999993</v>
      </c>
      <c r="AW1038" s="271"/>
      <c r="AX1038" s="271"/>
      <c r="AY1038" s="271"/>
      <c r="AZ1038" s="271"/>
      <c r="BA1038" s="271"/>
      <c r="BB1038" s="271"/>
      <c r="BC1038" s="271"/>
      <c r="BD1038" s="271"/>
      <c r="BE1038" s="271"/>
      <c r="BF1038" s="271"/>
    </row>
    <row r="1039" spans="2:58" ht="16" thickBot="1" x14ac:dyDescent="0.25">
      <c r="B1039" s="289"/>
      <c r="C1039" s="4"/>
      <c r="E1039" s="142"/>
      <c r="F1039" s="279"/>
      <c r="G1039" s="271"/>
      <c r="H1039" s="271"/>
      <c r="I1039" s="271"/>
      <c r="J1039" s="271"/>
      <c r="K1039" s="271"/>
      <c r="L1039" s="271"/>
      <c r="M1039" s="271"/>
      <c r="N1039" s="271"/>
      <c r="O1039" s="271"/>
      <c r="P1039" s="271"/>
      <c r="Q1039" s="271"/>
      <c r="R1039" s="271"/>
      <c r="S1039" s="271"/>
      <c r="T1039" s="271"/>
      <c r="U1039" s="271"/>
      <c r="V1039" s="271"/>
      <c r="W1039" s="271"/>
      <c r="X1039" s="271"/>
      <c r="Y1039" s="271"/>
      <c r="Z1039" s="271"/>
      <c r="AA1039" s="271"/>
      <c r="AB1039" s="271"/>
      <c r="AC1039" s="271"/>
      <c r="AD1039" s="271"/>
      <c r="AE1039" s="271"/>
      <c r="AF1039" s="271"/>
      <c r="AG1039" s="271"/>
      <c r="AH1039" s="271"/>
      <c r="AI1039" s="271"/>
      <c r="AJ1039" s="271"/>
      <c r="AK1039" s="271"/>
      <c r="AL1039" s="271"/>
      <c r="AM1039" s="271"/>
      <c r="AN1039" s="271"/>
      <c r="AO1039" s="271"/>
      <c r="AP1039" s="271"/>
      <c r="AQ1039" s="271"/>
      <c r="AR1039" s="271"/>
      <c r="AS1039" s="271"/>
      <c r="AT1039" s="271"/>
      <c r="AU1039" s="271"/>
      <c r="AV1039" s="271"/>
      <c r="AW1039" s="271"/>
      <c r="AX1039" s="271"/>
      <c r="AY1039" s="271"/>
      <c r="AZ1039" s="271"/>
      <c r="BA1039" s="271"/>
      <c r="BB1039" s="271"/>
      <c r="BC1039" s="271"/>
      <c r="BD1039" s="271"/>
      <c r="BE1039" s="271"/>
      <c r="BF1039" s="271"/>
    </row>
    <row r="1040" spans="2:58" ht="16" thickBot="1" x14ac:dyDescent="0.25">
      <c r="B1040" s="289"/>
      <c r="C1040" s="275"/>
      <c r="D1040" s="277"/>
      <c r="E1040" s="279"/>
      <c r="F1040" s="279"/>
      <c r="G1040" s="271"/>
      <c r="H1040" s="271"/>
      <c r="I1040" s="271"/>
      <c r="J1040" s="271"/>
      <c r="K1040" s="271"/>
      <c r="L1040" s="271"/>
      <c r="M1040" s="271"/>
      <c r="N1040" s="271"/>
      <c r="O1040" s="271"/>
      <c r="P1040" s="271"/>
      <c r="Q1040" s="271"/>
      <c r="R1040" s="271"/>
      <c r="S1040" s="271"/>
      <c r="T1040" s="271"/>
      <c r="U1040" s="271"/>
      <c r="V1040" s="271"/>
      <c r="W1040" s="271"/>
      <c r="X1040" s="271"/>
      <c r="Y1040" s="271"/>
      <c r="Z1040" s="271"/>
      <c r="AA1040" s="271"/>
      <c r="AB1040" s="271"/>
      <c r="AC1040" s="271"/>
      <c r="AD1040" s="271"/>
      <c r="AE1040" s="271"/>
      <c r="AF1040" s="271"/>
      <c r="AG1040" s="271"/>
      <c r="AH1040" s="271"/>
      <c r="AI1040" s="271"/>
      <c r="AJ1040" s="271"/>
      <c r="AK1040" s="271"/>
      <c r="AL1040" s="271"/>
      <c r="AM1040" s="271"/>
      <c r="AN1040" s="271"/>
      <c r="AO1040" s="271"/>
      <c r="AP1040" s="271"/>
      <c r="AQ1040" s="271"/>
      <c r="AR1040" s="271"/>
      <c r="AS1040" s="271"/>
      <c r="AT1040" s="271"/>
      <c r="AU1040" s="271"/>
      <c r="AV1040" s="271"/>
      <c r="AW1040" s="271"/>
      <c r="AX1040" s="271"/>
      <c r="AY1040" s="271"/>
      <c r="AZ1040" s="271"/>
      <c r="BA1040" s="271"/>
      <c r="BB1040" s="271"/>
      <c r="BC1040" s="271"/>
      <c r="BD1040" s="271"/>
      <c r="BE1040" s="271"/>
      <c r="BF1040" s="271"/>
    </row>
    <row r="1041" spans="2:58" ht="16" thickBot="1" x14ac:dyDescent="0.25">
      <c r="B1041" s="289"/>
      <c r="C1041" s="275"/>
      <c r="D1041" s="277"/>
      <c r="E1041" s="279"/>
      <c r="F1041" s="279"/>
      <c r="G1041" s="271"/>
      <c r="H1041" s="271"/>
      <c r="I1041" s="271"/>
      <c r="J1041" s="271"/>
      <c r="K1041" s="271"/>
      <c r="L1041" s="271"/>
      <c r="M1041" s="271"/>
      <c r="N1041" s="271"/>
      <c r="O1041" s="271"/>
      <c r="P1041" s="271"/>
      <c r="Q1041" s="271"/>
      <c r="R1041" s="271"/>
      <c r="S1041" s="271"/>
      <c r="T1041" s="271"/>
      <c r="U1041" s="271"/>
      <c r="V1041" s="271"/>
      <c r="W1041" s="271"/>
      <c r="X1041" s="271"/>
      <c r="Y1041" s="271"/>
      <c r="Z1041" s="271"/>
      <c r="AA1041" s="271"/>
      <c r="AB1041" s="271"/>
      <c r="AC1041" s="271"/>
      <c r="AD1041" s="271"/>
      <c r="AE1041" s="271"/>
      <c r="AF1041" s="271"/>
      <c r="AG1041" s="271"/>
      <c r="AH1041" s="271"/>
      <c r="AI1041" s="271"/>
      <c r="AJ1041" s="271"/>
      <c r="AK1041" s="271"/>
      <c r="AL1041" s="271"/>
      <c r="AM1041" s="271"/>
      <c r="AN1041" s="271"/>
      <c r="AO1041" s="271"/>
      <c r="AP1041" s="271"/>
      <c r="AQ1041" s="271"/>
      <c r="AR1041" s="271"/>
      <c r="AS1041" s="271"/>
      <c r="AT1041" s="271"/>
      <c r="AU1041" s="271"/>
      <c r="AV1041" s="271"/>
      <c r="AW1041" s="271"/>
      <c r="AX1041" s="271"/>
      <c r="AY1041" s="271"/>
      <c r="AZ1041" s="271"/>
      <c r="BA1041" s="271"/>
      <c r="BB1041" s="271"/>
      <c r="BC1041" s="271"/>
      <c r="BD1041" s="271"/>
      <c r="BE1041" s="271"/>
      <c r="BF1041" s="271"/>
    </row>
    <row r="1042" spans="2:58" ht="16" thickBot="1" x14ac:dyDescent="0.25">
      <c r="B1042" s="289" t="s">
        <v>90</v>
      </c>
      <c r="C1042" s="275"/>
      <c r="D1042" s="277"/>
      <c r="E1042" s="279"/>
      <c r="F1042" s="279"/>
      <c r="G1042" s="271"/>
      <c r="H1042" s="271"/>
      <c r="I1042" s="271"/>
      <c r="J1042" s="271"/>
      <c r="K1042" s="271"/>
      <c r="L1042" s="271"/>
      <c r="M1042" s="271"/>
      <c r="N1042" s="271"/>
      <c r="O1042" s="271"/>
      <c r="P1042" s="271"/>
      <c r="Q1042" s="271"/>
      <c r="R1042" s="271"/>
      <c r="S1042" s="271"/>
      <c r="T1042" s="271"/>
      <c r="U1042" s="271"/>
      <c r="V1042" s="271"/>
      <c r="W1042" s="271"/>
      <c r="X1042" s="271"/>
      <c r="Y1042" s="271"/>
      <c r="Z1042" s="271"/>
      <c r="AA1042" s="271"/>
      <c r="AB1042" s="271"/>
      <c r="AC1042" s="271"/>
      <c r="AD1042" s="271"/>
      <c r="AE1042" s="271"/>
      <c r="AF1042" s="271"/>
      <c r="AG1042" s="271"/>
      <c r="AH1042" s="271"/>
      <c r="AI1042" s="271"/>
      <c r="AJ1042" s="271"/>
      <c r="AK1042" s="271"/>
      <c r="AL1042" s="271"/>
      <c r="AM1042" s="271"/>
      <c r="AN1042" s="271"/>
      <c r="AO1042" s="271"/>
      <c r="AP1042" s="271"/>
      <c r="AQ1042" s="271"/>
      <c r="AR1042" s="271"/>
      <c r="AS1042" s="271"/>
      <c r="AT1042" s="271"/>
      <c r="AU1042" s="271"/>
      <c r="AV1042" s="271"/>
      <c r="AW1042" s="271"/>
      <c r="AX1042" s="271"/>
      <c r="AY1042" s="271"/>
      <c r="AZ1042" s="271"/>
      <c r="BA1042" s="271"/>
      <c r="BB1042" s="271"/>
      <c r="BC1042" s="271"/>
      <c r="BD1042" s="271"/>
      <c r="BE1042" s="271"/>
      <c r="BF1042" s="271"/>
    </row>
    <row r="1043" spans="2:58" ht="16" thickBot="1" x14ac:dyDescent="0.25">
      <c r="B1043" s="292"/>
      <c r="C1043" s="159">
        <f>SUM(C1034:C1042)</f>
        <v>29397.25</v>
      </c>
      <c r="D1043" s="159"/>
      <c r="E1043" s="270"/>
      <c r="F1043" s="281"/>
      <c r="G1043" s="309"/>
      <c r="H1043" s="310"/>
      <c r="I1043" s="309"/>
      <c r="J1043" s="310"/>
      <c r="K1043" s="309"/>
      <c r="L1043" s="310"/>
      <c r="M1043" s="309"/>
      <c r="N1043" s="310"/>
      <c r="O1043" s="271"/>
      <c r="P1043" s="271"/>
      <c r="Q1043" s="310"/>
      <c r="R1043" s="310"/>
      <c r="S1043" s="309"/>
      <c r="T1043" s="310"/>
      <c r="U1043" s="309"/>
      <c r="V1043" s="310"/>
      <c r="W1043" s="309"/>
      <c r="X1043" s="310"/>
      <c r="Y1043" s="309"/>
      <c r="Z1043" s="310"/>
      <c r="AA1043" s="309"/>
      <c r="AB1043" s="310"/>
      <c r="AC1043" s="271"/>
      <c r="AD1043" s="271"/>
      <c r="AE1043" s="309"/>
      <c r="AF1043" s="310"/>
      <c r="AG1043" s="309"/>
      <c r="AH1043" s="310"/>
      <c r="AI1043" s="309"/>
      <c r="AJ1043" s="310"/>
      <c r="AK1043" s="309"/>
      <c r="AL1043" s="310"/>
      <c r="AM1043" s="309"/>
      <c r="AN1043" s="310"/>
      <c r="AO1043" s="309"/>
      <c r="AP1043" s="310"/>
      <c r="AQ1043" s="309"/>
      <c r="AR1043" s="310"/>
      <c r="AS1043" s="309"/>
      <c r="AT1043" s="310"/>
      <c r="AU1043" s="309"/>
      <c r="AV1043" s="310"/>
      <c r="AW1043" s="309"/>
      <c r="AX1043" s="310"/>
      <c r="AY1043" s="309"/>
      <c r="AZ1043" s="310"/>
      <c r="BA1043" s="271"/>
      <c r="BB1043" s="271"/>
      <c r="BC1043" s="271"/>
      <c r="BD1043" s="271"/>
      <c r="BE1043" s="271"/>
      <c r="BF1043" s="271"/>
    </row>
    <row r="1044" spans="2:58" ht="16" thickBot="1" x14ac:dyDescent="0.25">
      <c r="B1044" s="289">
        <v>45777</v>
      </c>
      <c r="C1044" s="275">
        <v>800</v>
      </c>
      <c r="D1044" s="277"/>
      <c r="E1044" s="279" t="s">
        <v>186</v>
      </c>
      <c r="F1044" s="279"/>
      <c r="G1044" s="271"/>
      <c r="H1044" s="271"/>
      <c r="I1044" s="271"/>
      <c r="J1044" s="271"/>
      <c r="K1044" s="271"/>
      <c r="L1044" s="271"/>
      <c r="M1044" s="271"/>
      <c r="N1044" s="271"/>
      <c r="O1044" s="271"/>
      <c r="P1044" s="271"/>
      <c r="Q1044" s="271"/>
      <c r="R1044" s="271"/>
      <c r="S1044" s="271"/>
      <c r="T1044" s="271"/>
      <c r="U1044" s="271"/>
      <c r="V1044" s="271"/>
      <c r="W1044" s="271"/>
      <c r="X1044" s="271"/>
      <c r="Y1044" s="271"/>
      <c r="Z1044" s="271"/>
      <c r="AA1044" s="271"/>
      <c r="AB1044" s="271"/>
      <c r="AC1044" s="271"/>
      <c r="AD1044" s="271"/>
      <c r="AE1044" s="271"/>
      <c r="AF1044" s="271"/>
      <c r="AG1044" s="271"/>
      <c r="AH1044" s="271"/>
      <c r="AI1044" s="271"/>
      <c r="AJ1044" s="271"/>
      <c r="AK1044" s="271"/>
      <c r="AL1044" s="271"/>
      <c r="AM1044" s="271"/>
      <c r="AN1044" s="271"/>
      <c r="AO1044" s="271"/>
      <c r="AP1044" s="271"/>
      <c r="AQ1044" s="271"/>
      <c r="AR1044" s="271"/>
      <c r="AS1044" s="271"/>
      <c r="AT1044" s="271"/>
      <c r="AU1044" s="271"/>
      <c r="AV1044" s="271"/>
      <c r="AW1044" s="271"/>
      <c r="AX1044" s="271"/>
      <c r="AY1044" s="271"/>
      <c r="AZ1044" s="271"/>
      <c r="BA1044" s="271"/>
      <c r="BB1044" s="271"/>
      <c r="BC1044" s="271"/>
      <c r="BD1044" s="271"/>
      <c r="BE1044" s="271"/>
      <c r="BF1044" s="271"/>
    </row>
    <row r="1045" spans="2:58" ht="16" thickBot="1" x14ac:dyDescent="0.25">
      <c r="B1045" s="288" t="s">
        <v>22</v>
      </c>
      <c r="C1045" s="287"/>
      <c r="D1045" s="290"/>
      <c r="E1045" s="290"/>
      <c r="F1045" s="296"/>
      <c r="G1045" s="309"/>
      <c r="H1045" s="310"/>
      <c r="I1045" s="309"/>
      <c r="J1045" s="310"/>
      <c r="K1045" s="309"/>
      <c r="L1045" s="310"/>
      <c r="M1045" s="309"/>
      <c r="N1045" s="310"/>
      <c r="O1045" s="271"/>
      <c r="P1045" s="271"/>
      <c r="Q1045" s="309"/>
      <c r="R1045" s="310"/>
      <c r="S1045" s="309"/>
      <c r="T1045" s="310"/>
      <c r="U1045" s="309"/>
      <c r="V1045" s="310"/>
      <c r="W1045" s="309"/>
      <c r="X1045" s="310"/>
      <c r="Y1045" s="309"/>
      <c r="Z1045" s="310"/>
      <c r="AA1045" s="309"/>
      <c r="AB1045" s="310"/>
      <c r="AC1045" s="271"/>
      <c r="AD1045" s="271"/>
      <c r="AE1045" s="309"/>
      <c r="AF1045" s="310"/>
      <c r="AG1045" s="309"/>
      <c r="AH1045" s="310"/>
      <c r="AI1045" s="309"/>
      <c r="AJ1045" s="310"/>
      <c r="AK1045" s="309"/>
      <c r="AL1045" s="310"/>
      <c r="AM1045" s="309"/>
      <c r="AN1045" s="310"/>
      <c r="AO1045" s="309"/>
      <c r="AP1045" s="310"/>
      <c r="AQ1045" s="309"/>
      <c r="AR1045" s="310"/>
      <c r="AS1045" s="309"/>
      <c r="AT1045" s="310"/>
      <c r="AU1045" s="309"/>
      <c r="AV1045" s="310"/>
      <c r="AW1045" s="309"/>
      <c r="AX1045" s="310"/>
      <c r="AY1045" s="309"/>
      <c r="AZ1045" s="310"/>
      <c r="BA1045" s="271"/>
      <c r="BB1045" s="271"/>
      <c r="BC1045" s="271"/>
      <c r="BD1045" s="271"/>
      <c r="BE1045" s="271"/>
      <c r="BF1045" s="271"/>
    </row>
    <row r="1046" spans="2:58" ht="16" thickBot="1" x14ac:dyDescent="0.25">
      <c r="B1046" s="292"/>
      <c r="C1046" s="159">
        <f>SUM(C1044:C1045)</f>
        <v>800</v>
      </c>
      <c r="D1046" s="159"/>
      <c r="E1046" s="270"/>
      <c r="F1046" s="297"/>
      <c r="G1046" s="309"/>
      <c r="H1046" s="310"/>
      <c r="I1046" s="309"/>
      <c r="J1046" s="310"/>
      <c r="K1046" s="309"/>
      <c r="L1046" s="310"/>
      <c r="M1046" s="309"/>
      <c r="N1046" s="310"/>
      <c r="O1046" s="271"/>
      <c r="P1046" s="271"/>
      <c r="Q1046" s="310"/>
      <c r="R1046" s="310"/>
      <c r="S1046" s="309"/>
      <c r="T1046" s="310"/>
      <c r="U1046" s="309"/>
      <c r="V1046" s="310"/>
      <c r="W1046" s="309"/>
      <c r="X1046" s="310"/>
      <c r="Y1046" s="309"/>
      <c r="Z1046" s="310"/>
      <c r="AA1046" s="309"/>
      <c r="AB1046" s="310"/>
      <c r="AC1046" s="271"/>
      <c r="AD1046" s="271"/>
      <c r="AE1046" s="309"/>
      <c r="AF1046" s="310"/>
      <c r="AG1046" s="309"/>
      <c r="AH1046" s="310"/>
      <c r="AI1046" s="309"/>
      <c r="AJ1046" s="310"/>
      <c r="AK1046" s="309"/>
      <c r="AL1046" s="310"/>
      <c r="AM1046" s="309"/>
      <c r="AN1046" s="310"/>
      <c r="AO1046" s="309"/>
      <c r="AP1046" s="310"/>
      <c r="AQ1046" s="309"/>
      <c r="AR1046" s="310"/>
      <c r="AS1046" s="309"/>
      <c r="AT1046" s="310"/>
      <c r="AU1046" s="309"/>
      <c r="AV1046" s="310"/>
      <c r="AW1046" s="309"/>
      <c r="AX1046" s="310"/>
      <c r="AY1046" s="309"/>
      <c r="AZ1046" s="310"/>
      <c r="BA1046" s="271"/>
      <c r="BB1046" s="271"/>
      <c r="BC1046" s="271"/>
      <c r="BD1046" s="271"/>
      <c r="BE1046" s="271"/>
      <c r="BF1046" s="271"/>
    </row>
    <row r="1047" spans="2:58" ht="16" thickBot="1" x14ac:dyDescent="0.25">
      <c r="B1047" s="289">
        <v>45778</v>
      </c>
      <c r="C1047" s="295">
        <f>800+1353.35</f>
        <v>2153.35</v>
      </c>
      <c r="D1047" s="275"/>
      <c r="E1047" s="274" t="s">
        <v>186</v>
      </c>
      <c r="F1047" s="301"/>
      <c r="G1047" s="309"/>
      <c r="H1047" s="310"/>
      <c r="I1047" s="309"/>
      <c r="J1047" s="310"/>
      <c r="K1047" s="309"/>
      <c r="L1047" s="310"/>
      <c r="M1047" s="309"/>
      <c r="N1047" s="310"/>
      <c r="O1047" s="271"/>
      <c r="P1047" s="271"/>
      <c r="Q1047" s="309"/>
      <c r="R1047" s="310"/>
      <c r="S1047" s="309"/>
      <c r="T1047" s="310"/>
      <c r="U1047" s="309"/>
      <c r="V1047" s="310"/>
      <c r="W1047" s="309"/>
      <c r="X1047" s="310"/>
      <c r="Y1047" s="309"/>
      <c r="Z1047" s="310"/>
      <c r="AA1047" s="309"/>
      <c r="AB1047" s="310"/>
      <c r="AC1047" s="271"/>
      <c r="AD1047" s="271"/>
      <c r="AE1047" s="309"/>
      <c r="AF1047" s="310"/>
      <c r="AG1047" s="309"/>
      <c r="AH1047" s="310"/>
      <c r="AI1047" s="309"/>
      <c r="AJ1047" s="310"/>
      <c r="AK1047" s="309"/>
      <c r="AL1047" s="310"/>
      <c r="AM1047" s="309"/>
      <c r="AN1047" s="310"/>
      <c r="AO1047" s="309"/>
      <c r="AP1047" s="310"/>
      <c r="AQ1047" s="309"/>
      <c r="AR1047" s="310"/>
      <c r="AS1047" s="309"/>
      <c r="AT1047" s="310"/>
      <c r="AU1047" s="309"/>
      <c r="AV1047" s="310"/>
      <c r="AW1047" s="309"/>
      <c r="AX1047" s="310"/>
      <c r="AY1047" s="309"/>
      <c r="AZ1047" s="310"/>
      <c r="BA1047" s="271"/>
      <c r="BB1047" s="271"/>
      <c r="BC1047" s="271"/>
      <c r="BD1047" s="271"/>
      <c r="BE1047" s="271"/>
      <c r="BF1047" s="271"/>
    </row>
    <row r="1048" spans="2:58" ht="16" thickBot="1" x14ac:dyDescent="0.25">
      <c r="B1048" s="289"/>
      <c r="C1048" s="295">
        <f>43.98+494.91</f>
        <v>538.89</v>
      </c>
      <c r="D1048" s="275"/>
      <c r="E1048" s="275"/>
      <c r="F1048" s="302" t="s">
        <v>14</v>
      </c>
      <c r="G1048" s="309"/>
      <c r="H1048" s="310"/>
      <c r="I1048" s="309"/>
      <c r="J1048" s="310"/>
      <c r="K1048" s="309"/>
      <c r="L1048" s="310"/>
      <c r="M1048" s="309"/>
      <c r="N1048" s="310"/>
      <c r="O1048" s="271"/>
      <c r="P1048" s="271"/>
      <c r="Q1048" s="309"/>
      <c r="R1048" s="310"/>
      <c r="S1048" s="309"/>
      <c r="T1048" s="310"/>
      <c r="U1048" s="309"/>
      <c r="V1048" s="310"/>
      <c r="W1048" s="309"/>
      <c r="X1048" s="310"/>
      <c r="Y1048" s="309"/>
      <c r="Z1048" s="310"/>
      <c r="AA1048" s="309"/>
      <c r="AB1048" s="310"/>
      <c r="AC1048" s="271"/>
      <c r="AD1048" s="271"/>
      <c r="AE1048" s="309">
        <v>9</v>
      </c>
      <c r="AF1048" s="310">
        <v>494.91</v>
      </c>
      <c r="AG1048" s="309"/>
      <c r="AH1048" s="310"/>
      <c r="AI1048" s="309"/>
      <c r="AJ1048" s="310"/>
      <c r="AK1048" s="309"/>
      <c r="AL1048" s="310"/>
      <c r="AM1048" s="309"/>
      <c r="AN1048" s="310"/>
      <c r="AO1048" s="309"/>
      <c r="AP1048" s="310"/>
      <c r="AQ1048" s="309"/>
      <c r="AR1048" s="310"/>
      <c r="AS1048" s="309"/>
      <c r="AT1048" s="310"/>
      <c r="AU1048" s="309"/>
      <c r="AV1048" s="310"/>
      <c r="AW1048" s="309"/>
      <c r="AX1048" s="310"/>
      <c r="AY1048" s="309"/>
      <c r="AZ1048" s="310"/>
      <c r="BA1048" s="271"/>
      <c r="BB1048" s="271"/>
      <c r="BC1048" s="271"/>
      <c r="BD1048" s="271"/>
      <c r="BE1048" s="271"/>
      <c r="BF1048" s="271"/>
    </row>
    <row r="1049" spans="2:58" ht="16" thickBot="1" x14ac:dyDescent="0.25">
      <c r="B1049" s="289"/>
      <c r="C1049" s="295">
        <v>9784.4500000000007</v>
      </c>
      <c r="D1049" s="275"/>
      <c r="E1049" s="275"/>
      <c r="F1049" s="302" t="s">
        <v>9</v>
      </c>
      <c r="G1049" s="309">
        <v>10</v>
      </c>
      <c r="H1049" s="310">
        <v>1399.9</v>
      </c>
      <c r="I1049" s="309">
        <v>2</v>
      </c>
      <c r="J1049" s="310">
        <v>409.98</v>
      </c>
      <c r="K1049" s="309">
        <v>9</v>
      </c>
      <c r="L1049" s="310">
        <v>1637.91</v>
      </c>
      <c r="M1049" s="309">
        <v>12</v>
      </c>
      <c r="N1049" s="310">
        <v>2075.88</v>
      </c>
      <c r="O1049" s="271">
        <v>21</v>
      </c>
      <c r="P1049" s="271">
        <v>2688</v>
      </c>
      <c r="Q1049" s="309">
        <v>1</v>
      </c>
      <c r="R1049" s="310">
        <v>144.99</v>
      </c>
      <c r="S1049" s="309"/>
      <c r="T1049" s="310"/>
      <c r="U1049" s="309"/>
      <c r="V1049" s="310"/>
      <c r="W1049" s="309">
        <v>6</v>
      </c>
      <c r="X1049" s="310">
        <v>257.94</v>
      </c>
      <c r="Y1049" s="309"/>
      <c r="Z1049" s="310"/>
      <c r="AA1049" s="309"/>
      <c r="AB1049" s="310"/>
      <c r="AC1049" s="271">
        <v>8</v>
      </c>
      <c r="AD1049" s="271">
        <v>791.92</v>
      </c>
      <c r="AE1049" s="309"/>
      <c r="AF1049" s="310"/>
      <c r="AG1049" s="309"/>
      <c r="AH1049" s="310"/>
      <c r="AI1049" s="309"/>
      <c r="AJ1049" s="310"/>
      <c r="AK1049" s="309"/>
      <c r="AL1049" s="310"/>
      <c r="AM1049" s="309"/>
      <c r="AN1049" s="310"/>
      <c r="AO1049" s="309"/>
      <c r="AP1049" s="310"/>
      <c r="AQ1049" s="309"/>
      <c r="AR1049" s="310"/>
      <c r="AS1049" s="309"/>
      <c r="AT1049" s="310"/>
      <c r="AU1049" s="309"/>
      <c r="AV1049" s="310"/>
      <c r="AW1049" s="309"/>
      <c r="AX1049" s="310"/>
      <c r="AY1049" s="309"/>
      <c r="AZ1049" s="310"/>
      <c r="BA1049" s="271">
        <v>1</v>
      </c>
      <c r="BB1049" s="271">
        <v>27.99</v>
      </c>
      <c r="BC1049" s="271"/>
      <c r="BD1049" s="271"/>
      <c r="BE1049" s="271">
        <v>1</v>
      </c>
      <c r="BF1049" s="271">
        <v>79.989999999999995</v>
      </c>
    </row>
    <row r="1050" spans="2:58" ht="16" thickBot="1" x14ac:dyDescent="0.25">
      <c r="B1050" s="289" t="s">
        <v>23</v>
      </c>
      <c r="C1050" s="295">
        <v>7157.54</v>
      </c>
      <c r="D1050" s="275"/>
      <c r="E1050" s="275"/>
      <c r="F1050" s="302" t="s">
        <v>311</v>
      </c>
      <c r="G1050" s="309"/>
      <c r="H1050" s="310"/>
      <c r="I1050" s="309"/>
      <c r="J1050" s="310"/>
      <c r="K1050" s="309"/>
      <c r="L1050" s="310"/>
      <c r="M1050" s="309"/>
      <c r="N1050" s="310"/>
      <c r="O1050" s="271"/>
      <c r="P1050" s="271"/>
      <c r="Q1050" s="309"/>
      <c r="R1050" s="310"/>
      <c r="S1050" s="309"/>
      <c r="T1050" s="310"/>
      <c r="U1050" s="309"/>
      <c r="V1050" s="310"/>
      <c r="W1050" s="309"/>
      <c r="X1050" s="310"/>
      <c r="Y1050" s="309"/>
      <c r="Z1050" s="310"/>
      <c r="AA1050" s="309"/>
      <c r="AB1050" s="310"/>
      <c r="AC1050" s="271"/>
      <c r="AD1050" s="271"/>
      <c r="AE1050" s="309"/>
      <c r="AF1050" s="310"/>
      <c r="AG1050" s="309"/>
      <c r="AH1050" s="310"/>
      <c r="AI1050" s="309"/>
      <c r="AJ1050" s="310"/>
      <c r="AK1050" s="309"/>
      <c r="AL1050" s="310"/>
      <c r="AM1050" s="309"/>
      <c r="AN1050" s="310"/>
      <c r="AO1050" s="309"/>
      <c r="AP1050" s="310"/>
      <c r="AQ1050" s="309"/>
      <c r="AR1050" s="310"/>
      <c r="AS1050" s="309"/>
      <c r="AT1050" s="310"/>
      <c r="AU1050" s="309"/>
      <c r="AV1050" s="310"/>
      <c r="AW1050" s="309">
        <v>15</v>
      </c>
      <c r="AX1050" s="310">
        <f>7157.54/2</f>
        <v>3578.77</v>
      </c>
      <c r="AY1050" s="309">
        <v>15</v>
      </c>
      <c r="AZ1050" s="310">
        <v>3578.77</v>
      </c>
      <c r="BA1050" s="271"/>
      <c r="BB1050" s="271"/>
      <c r="BC1050" s="271"/>
      <c r="BD1050" s="271"/>
      <c r="BE1050" s="271"/>
      <c r="BF1050" s="271"/>
    </row>
    <row r="1051" spans="2:58" ht="16" thickBot="1" x14ac:dyDescent="0.25">
      <c r="B1051" s="298"/>
      <c r="C1051" s="656">
        <f>SUM(C1047:C1050)</f>
        <v>19634.23</v>
      </c>
      <c r="D1051" s="656"/>
      <c r="E1051" s="578"/>
      <c r="F1051" s="553"/>
      <c r="G1051" s="309"/>
      <c r="H1051" s="310"/>
      <c r="I1051" s="309"/>
      <c r="J1051" s="310"/>
      <c r="K1051" s="309"/>
      <c r="L1051" s="310"/>
      <c r="M1051" s="309"/>
      <c r="N1051" s="310"/>
      <c r="O1051" s="271"/>
      <c r="P1051" s="271"/>
      <c r="Q1051" s="309"/>
      <c r="R1051" s="310"/>
      <c r="S1051" s="309"/>
      <c r="T1051" s="310"/>
      <c r="U1051" s="309"/>
      <c r="V1051" s="310"/>
      <c r="W1051" s="309"/>
      <c r="X1051" s="310"/>
      <c r="Y1051" s="309"/>
      <c r="Z1051" s="310"/>
      <c r="AA1051" s="309"/>
      <c r="AB1051" s="310"/>
      <c r="AC1051" s="271"/>
      <c r="AD1051" s="271"/>
      <c r="AE1051" s="309"/>
      <c r="AF1051" s="310"/>
      <c r="AG1051" s="309"/>
      <c r="AH1051" s="310"/>
      <c r="AI1051" s="309"/>
      <c r="AJ1051" s="310"/>
      <c r="AK1051" s="309"/>
      <c r="AL1051" s="310"/>
      <c r="AM1051" s="309"/>
      <c r="AN1051" s="310"/>
      <c r="AO1051" s="309"/>
      <c r="AP1051" s="310"/>
      <c r="AQ1051" s="309"/>
      <c r="AR1051" s="310"/>
      <c r="AS1051" s="309"/>
      <c r="AT1051" s="310"/>
      <c r="AU1051" s="309"/>
      <c r="AV1051" s="310"/>
      <c r="AW1051" s="309"/>
      <c r="AX1051" s="310"/>
      <c r="AY1051" s="309"/>
      <c r="AZ1051" s="310"/>
      <c r="BA1051" s="271"/>
      <c r="BB1051" s="271"/>
      <c r="BC1051" s="271"/>
      <c r="BD1051" s="271"/>
      <c r="BE1051" s="271"/>
      <c r="BF1051" s="271"/>
    </row>
    <row r="1052" spans="2:58" ht="16" thickBot="1" x14ac:dyDescent="0.25">
      <c r="B1052" s="479">
        <v>45779</v>
      </c>
      <c r="C1052" s="299">
        <v>800</v>
      </c>
      <c r="D1052" s="300"/>
      <c r="E1052" s="274" t="s">
        <v>186</v>
      </c>
      <c r="F1052" s="301"/>
      <c r="G1052" s="309"/>
      <c r="H1052" s="310"/>
      <c r="I1052" s="309"/>
      <c r="J1052" s="310"/>
      <c r="K1052" s="309"/>
      <c r="L1052" s="310"/>
      <c r="M1052" s="309"/>
      <c r="N1052" s="310"/>
      <c r="O1052" s="271"/>
      <c r="P1052" s="271"/>
      <c r="Q1052" s="309"/>
      <c r="R1052" s="310"/>
      <c r="S1052" s="309"/>
      <c r="T1052" s="310"/>
      <c r="U1052" s="309"/>
      <c r="V1052" s="310"/>
      <c r="W1052" s="309"/>
      <c r="X1052" s="310"/>
      <c r="Y1052" s="309"/>
      <c r="Z1052" s="310"/>
      <c r="AA1052" s="309"/>
      <c r="AB1052" s="310"/>
      <c r="AC1052" s="271"/>
      <c r="AD1052" s="271"/>
      <c r="AE1052" s="309"/>
      <c r="AF1052" s="310"/>
      <c r="AG1052" s="309"/>
      <c r="AH1052" s="310"/>
      <c r="AI1052" s="309"/>
      <c r="AJ1052" s="310"/>
      <c r="AK1052" s="309"/>
      <c r="AL1052" s="310"/>
      <c r="AM1052" s="309"/>
      <c r="AN1052" s="310"/>
      <c r="AO1052" s="309"/>
      <c r="AP1052" s="310"/>
      <c r="AQ1052" s="309"/>
      <c r="AR1052" s="310"/>
      <c r="AS1052" s="309"/>
      <c r="AT1052" s="310"/>
      <c r="AU1052" s="309"/>
      <c r="AV1052" s="310"/>
      <c r="AW1052" s="309"/>
      <c r="AX1052" s="310"/>
      <c r="AY1052" s="309"/>
      <c r="AZ1052" s="310"/>
      <c r="BA1052" s="271"/>
      <c r="BB1052" s="271"/>
      <c r="BC1052" s="271"/>
      <c r="BD1052" s="271"/>
      <c r="BE1052" s="271"/>
      <c r="BF1052" s="271"/>
    </row>
    <row r="1053" spans="2:58" ht="16" thickBot="1" x14ac:dyDescent="0.25">
      <c r="B1053" s="479"/>
      <c r="C1053" s="299">
        <v>180</v>
      </c>
      <c r="D1053" s="300"/>
      <c r="E1053" s="275" t="s">
        <v>334</v>
      </c>
      <c r="F1053" s="302"/>
      <c r="G1053" s="309"/>
      <c r="H1053" s="310"/>
      <c r="I1053" s="309"/>
      <c r="J1053" s="310"/>
      <c r="K1053" s="309"/>
      <c r="L1053" s="310"/>
      <c r="M1053" s="309"/>
      <c r="N1053" s="310"/>
      <c r="O1053" s="271"/>
      <c r="P1053" s="271"/>
      <c r="Q1053" s="309"/>
      <c r="R1053" s="310"/>
      <c r="S1053" s="309"/>
      <c r="T1053" s="310"/>
      <c r="U1053" s="309"/>
      <c r="V1053" s="310"/>
      <c r="W1053" s="309"/>
      <c r="X1053" s="310"/>
      <c r="Y1053" s="309"/>
      <c r="Z1053" s="310"/>
      <c r="AA1053" s="309"/>
      <c r="AB1053" s="310"/>
      <c r="AC1053" s="271"/>
      <c r="AD1053" s="271"/>
      <c r="AE1053" s="309"/>
      <c r="AF1053" s="310"/>
      <c r="AG1053" s="309"/>
      <c r="AH1053" s="310"/>
      <c r="AI1053" s="309"/>
      <c r="AJ1053" s="310"/>
      <c r="AK1053" s="309"/>
      <c r="AL1053" s="310"/>
      <c r="AM1053" s="309"/>
      <c r="AN1053" s="310"/>
      <c r="AO1053" s="309"/>
      <c r="AP1053" s="310"/>
      <c r="AQ1053" s="309"/>
      <c r="AR1053" s="310"/>
      <c r="AS1053" s="309"/>
      <c r="AT1053" s="310"/>
      <c r="AU1053" s="309"/>
      <c r="AV1053" s="310"/>
      <c r="AW1053" s="309"/>
      <c r="AX1053" s="310"/>
      <c r="AY1053" s="309"/>
      <c r="AZ1053" s="310"/>
      <c r="BA1053" s="271"/>
      <c r="BB1053" s="271"/>
      <c r="BC1053" s="271"/>
      <c r="BD1053" s="271"/>
      <c r="BE1053" s="271"/>
      <c r="BF1053" s="271"/>
    </row>
    <row r="1054" spans="2:58" ht="16" thickBot="1" x14ac:dyDescent="0.25">
      <c r="B1054" s="479"/>
      <c r="C1054" s="299">
        <v>1500</v>
      </c>
      <c r="D1054" s="300"/>
      <c r="E1054" s="275" t="s">
        <v>3</v>
      </c>
      <c r="F1054" s="302"/>
      <c r="G1054" s="309"/>
      <c r="H1054" s="310"/>
      <c r="I1054" s="309"/>
      <c r="J1054" s="310"/>
      <c r="K1054" s="309"/>
      <c r="L1054" s="310"/>
      <c r="M1054" s="309"/>
      <c r="N1054" s="310"/>
      <c r="O1054" s="271"/>
      <c r="P1054" s="271"/>
      <c r="Q1054" s="309"/>
      <c r="R1054" s="310"/>
      <c r="S1054" s="309"/>
      <c r="T1054" s="310"/>
      <c r="U1054" s="309"/>
      <c r="V1054" s="310"/>
      <c r="W1054" s="309"/>
      <c r="X1054" s="310"/>
      <c r="Y1054" s="309"/>
      <c r="Z1054" s="310"/>
      <c r="AA1054" s="309"/>
      <c r="AB1054" s="310"/>
      <c r="AC1054" s="271"/>
      <c r="AD1054" s="271"/>
      <c r="AE1054" s="309"/>
      <c r="AF1054" s="310"/>
      <c r="AG1054" s="309"/>
      <c r="AH1054" s="310"/>
      <c r="AI1054" s="309"/>
      <c r="AJ1054" s="310"/>
      <c r="AK1054" s="309"/>
      <c r="AL1054" s="310"/>
      <c r="AM1054" s="309"/>
      <c r="AN1054" s="310"/>
      <c r="AO1054" s="309"/>
      <c r="AP1054" s="310"/>
      <c r="AQ1054" s="309"/>
      <c r="AR1054" s="310"/>
      <c r="AS1054" s="309"/>
      <c r="AT1054" s="310"/>
      <c r="AU1054" s="309"/>
      <c r="AV1054" s="310"/>
      <c r="AW1054" s="309"/>
      <c r="AX1054" s="310"/>
      <c r="AY1054" s="309"/>
      <c r="AZ1054" s="310"/>
      <c r="BA1054" s="271"/>
      <c r="BB1054" s="271"/>
      <c r="BC1054" s="271"/>
      <c r="BD1054" s="271"/>
      <c r="BE1054" s="271"/>
      <c r="BF1054" s="271"/>
    </row>
    <row r="1055" spans="2:58" ht="16" thickBot="1" x14ac:dyDescent="0.25">
      <c r="B1055" s="479"/>
      <c r="C1055" s="299">
        <v>274.95</v>
      </c>
      <c r="D1055" s="300"/>
      <c r="E1055" s="275"/>
      <c r="F1055" s="302" t="s">
        <v>14</v>
      </c>
      <c r="G1055" s="309"/>
      <c r="H1055" s="310"/>
      <c r="I1055" s="309"/>
      <c r="J1055" s="310"/>
      <c r="K1055" s="309"/>
      <c r="L1055" s="310"/>
      <c r="M1055" s="309"/>
      <c r="N1055" s="310"/>
      <c r="O1055" s="271"/>
      <c r="P1055" s="271"/>
      <c r="Q1055" s="309"/>
      <c r="R1055" s="310"/>
      <c r="S1055" s="309"/>
      <c r="T1055" s="310"/>
      <c r="U1055" s="309"/>
      <c r="V1055" s="310"/>
      <c r="W1055" s="309"/>
      <c r="X1055" s="310"/>
      <c r="Y1055" s="309"/>
      <c r="Z1055" s="310"/>
      <c r="AA1055" s="309"/>
      <c r="AB1055" s="310"/>
      <c r="AC1055" s="271"/>
      <c r="AD1055" s="271"/>
      <c r="AE1055" s="309">
        <v>5</v>
      </c>
      <c r="AF1055" s="310">
        <v>274.95</v>
      </c>
      <c r="AG1055" s="309"/>
      <c r="AH1055" s="310"/>
      <c r="AI1055" s="309"/>
      <c r="AJ1055" s="310"/>
      <c r="AK1055" s="309"/>
      <c r="AL1055" s="310"/>
      <c r="AM1055" s="309"/>
      <c r="AN1055" s="310"/>
      <c r="AO1055" s="309"/>
      <c r="AP1055" s="310"/>
      <c r="AQ1055" s="309"/>
      <c r="AR1055" s="310"/>
      <c r="AS1055" s="309"/>
      <c r="AT1055" s="310"/>
      <c r="AU1055" s="309"/>
      <c r="AV1055" s="310"/>
      <c r="AW1055" s="309"/>
      <c r="AX1055" s="310"/>
      <c r="AY1055" s="309"/>
      <c r="AZ1055" s="310"/>
      <c r="BA1055" s="271"/>
      <c r="BB1055" s="271"/>
      <c r="BC1055" s="271"/>
      <c r="BD1055" s="271"/>
      <c r="BE1055" s="271"/>
      <c r="BF1055" s="271"/>
    </row>
    <row r="1056" spans="2:58" ht="16" thickBot="1" x14ac:dyDescent="0.25">
      <c r="B1056" s="479"/>
      <c r="C1056" s="657">
        <v>6539.52</v>
      </c>
      <c r="D1056" s="657"/>
      <c r="E1056" s="285"/>
      <c r="F1056" s="302" t="s">
        <v>9</v>
      </c>
      <c r="G1056" s="309">
        <v>8</v>
      </c>
      <c r="H1056" s="310">
        <v>1119.92</v>
      </c>
      <c r="I1056" s="309">
        <v>2</v>
      </c>
      <c r="J1056" s="310">
        <v>409.98</v>
      </c>
      <c r="K1056" s="309">
        <v>6</v>
      </c>
      <c r="L1056" s="310">
        <v>1109.94</v>
      </c>
      <c r="M1056" s="309">
        <v>8</v>
      </c>
      <c r="N1056" s="310">
        <v>1383.92</v>
      </c>
      <c r="O1056" s="271">
        <v>15</v>
      </c>
      <c r="P1056" s="271">
        <v>1919.85</v>
      </c>
      <c r="Q1056" s="309"/>
      <c r="R1056" s="310"/>
      <c r="S1056" s="309"/>
      <c r="T1056" s="310"/>
      <c r="U1056" s="309"/>
      <c r="V1056" s="310"/>
      <c r="W1056" s="309">
        <v>4</v>
      </c>
      <c r="X1056" s="310">
        <v>171.96</v>
      </c>
      <c r="Y1056" s="309"/>
      <c r="Z1056" s="310"/>
      <c r="AA1056" s="309"/>
      <c r="AB1056" s="310"/>
      <c r="AC1056" s="271">
        <v>4</v>
      </c>
      <c r="AD1056" s="271">
        <v>395.96</v>
      </c>
      <c r="AE1056" s="309"/>
      <c r="AF1056" s="310"/>
      <c r="AG1056" s="309"/>
      <c r="AH1056" s="310"/>
      <c r="AI1056" s="309"/>
      <c r="AJ1056" s="310"/>
      <c r="AK1056" s="309"/>
      <c r="AL1056" s="310"/>
      <c r="AM1056" s="309"/>
      <c r="AN1056" s="310"/>
      <c r="AO1056" s="309"/>
      <c r="AP1056" s="310"/>
      <c r="AQ1056" s="309"/>
      <c r="AR1056" s="310"/>
      <c r="AS1056" s="309"/>
      <c r="AT1056" s="310"/>
      <c r="AU1056" s="309"/>
      <c r="AV1056" s="310"/>
      <c r="AW1056" s="309"/>
      <c r="AX1056" s="310"/>
      <c r="AY1056" s="309"/>
      <c r="AZ1056" s="310"/>
      <c r="BA1056" s="271">
        <v>1</v>
      </c>
      <c r="BB1056" s="271">
        <v>27.99</v>
      </c>
      <c r="BC1056" s="271"/>
      <c r="BD1056" s="271"/>
      <c r="BE1056" s="271"/>
      <c r="BF1056" s="271"/>
    </row>
    <row r="1057" spans="2:58" ht="16" thickBot="1" x14ac:dyDescent="0.25">
      <c r="B1057" s="479" t="s">
        <v>24</v>
      </c>
      <c r="C1057" s="299"/>
      <c r="D1057" s="300"/>
      <c r="E1057" s="275"/>
      <c r="F1057" s="302"/>
      <c r="G1057" s="309"/>
      <c r="H1057" s="310"/>
      <c r="I1057" s="309"/>
      <c r="J1057" s="310"/>
      <c r="K1057" s="309"/>
      <c r="L1057" s="310"/>
      <c r="M1057" s="309"/>
      <c r="N1057" s="310"/>
      <c r="O1057" s="271"/>
      <c r="P1057" s="271"/>
      <c r="Q1057" s="309"/>
      <c r="R1057" s="310"/>
      <c r="S1057" s="309"/>
      <c r="T1057" s="310"/>
      <c r="U1057" s="309"/>
      <c r="V1057" s="310"/>
      <c r="W1057" s="309"/>
      <c r="X1057" s="310"/>
      <c r="Y1057" s="309"/>
      <c r="Z1057" s="310"/>
      <c r="AA1057" s="309"/>
      <c r="AB1057" s="310"/>
      <c r="AC1057" s="271"/>
      <c r="AD1057" s="271"/>
      <c r="AE1057" s="309"/>
      <c r="AF1057" s="310"/>
      <c r="AG1057" s="309"/>
      <c r="AH1057" s="310"/>
      <c r="AI1057" s="309"/>
      <c r="AJ1057" s="310"/>
      <c r="AK1057" s="309"/>
      <c r="AL1057" s="310"/>
      <c r="AM1057" s="309"/>
      <c r="AN1057" s="310"/>
      <c r="AO1057" s="309"/>
      <c r="AP1057" s="310"/>
      <c r="AQ1057" s="309"/>
      <c r="AR1057" s="310"/>
      <c r="AS1057" s="309"/>
      <c r="AT1057" s="310"/>
      <c r="AU1057" s="309"/>
      <c r="AV1057" s="310"/>
      <c r="AW1057" s="309"/>
      <c r="AX1057" s="310"/>
      <c r="AY1057" s="309"/>
      <c r="AZ1057" s="310"/>
      <c r="BA1057" s="271"/>
      <c r="BB1057" s="271"/>
      <c r="BC1057" s="271"/>
      <c r="BD1057" s="271"/>
      <c r="BE1057" s="271"/>
      <c r="BF1057" s="271"/>
    </row>
    <row r="1058" spans="2:58" ht="16" thickBot="1" x14ac:dyDescent="0.25">
      <c r="B1058" s="577"/>
      <c r="C1058" s="159">
        <f>SUM(C1052:C1057)</f>
        <v>9294.4700000000012</v>
      </c>
      <c r="D1058" s="159"/>
      <c r="E1058" s="270"/>
      <c r="F1058" s="271"/>
      <c r="G1058" s="309"/>
      <c r="H1058" s="310"/>
      <c r="I1058" s="309"/>
      <c r="J1058" s="310"/>
      <c r="K1058" s="309"/>
      <c r="L1058" s="310"/>
      <c r="M1058" s="309"/>
      <c r="N1058" s="310"/>
      <c r="O1058" s="271"/>
      <c r="P1058" s="271"/>
      <c r="Q1058" s="309"/>
      <c r="R1058" s="310"/>
      <c r="S1058" s="309"/>
      <c r="T1058" s="310"/>
      <c r="U1058" s="309"/>
      <c r="V1058" s="310"/>
      <c r="W1058" s="309"/>
      <c r="X1058" s="310"/>
      <c r="Y1058" s="309"/>
      <c r="Z1058" s="310"/>
      <c r="AA1058" s="309"/>
      <c r="AB1058" s="310"/>
      <c r="AC1058" s="271"/>
      <c r="AD1058" s="271"/>
      <c r="AE1058" s="309"/>
      <c r="AF1058" s="310"/>
      <c r="AG1058" s="309"/>
      <c r="AH1058" s="310"/>
      <c r="AI1058" s="309"/>
      <c r="AJ1058" s="310"/>
      <c r="AK1058" s="309"/>
      <c r="AL1058" s="310"/>
      <c r="AM1058" s="309"/>
      <c r="AN1058" s="310"/>
      <c r="AO1058" s="309"/>
      <c r="AP1058" s="310"/>
      <c r="AQ1058" s="309"/>
      <c r="AR1058" s="310"/>
      <c r="AS1058" s="309"/>
      <c r="AT1058" s="310"/>
      <c r="AU1058" s="309"/>
      <c r="AV1058" s="310"/>
      <c r="AW1058" s="309"/>
      <c r="AX1058" s="310"/>
      <c r="AY1058" s="309"/>
      <c r="AZ1058" s="310"/>
      <c r="BA1058" s="271"/>
      <c r="BB1058" s="271"/>
      <c r="BC1058" s="271"/>
      <c r="BD1058" s="271"/>
      <c r="BE1058" s="271"/>
      <c r="BF1058" s="271"/>
    </row>
    <row r="1059" spans="2:58" ht="16" thickBot="1" x14ac:dyDescent="0.25">
      <c r="B1059" s="289">
        <v>45780</v>
      </c>
      <c r="C1059" s="299">
        <v>19450</v>
      </c>
      <c r="D1059" s="300"/>
      <c r="E1059" s="274" t="s">
        <v>12</v>
      </c>
      <c r="F1059" s="302"/>
      <c r="G1059" s="309"/>
      <c r="H1059" s="310"/>
      <c r="I1059" s="309"/>
      <c r="J1059" s="310"/>
      <c r="K1059" s="309"/>
      <c r="L1059" s="310"/>
      <c r="M1059" s="309"/>
      <c r="N1059" s="310"/>
      <c r="O1059" s="271"/>
      <c r="P1059" s="271"/>
      <c r="Q1059" s="309"/>
      <c r="R1059" s="310"/>
      <c r="S1059" s="309"/>
      <c r="T1059" s="310"/>
      <c r="U1059" s="309"/>
      <c r="V1059" s="310"/>
      <c r="W1059" s="309"/>
      <c r="X1059" s="310"/>
      <c r="Y1059" s="309"/>
      <c r="Z1059" s="310"/>
      <c r="AA1059" s="309"/>
      <c r="AB1059" s="310"/>
      <c r="AC1059" s="271"/>
      <c r="AD1059" s="271"/>
      <c r="AE1059" s="309"/>
      <c r="AF1059" s="310"/>
      <c r="AG1059" s="309"/>
      <c r="AH1059" s="310"/>
      <c r="AI1059" s="309"/>
      <c r="AJ1059" s="310"/>
      <c r="AK1059" s="309"/>
      <c r="AL1059" s="310"/>
      <c r="AM1059" s="309"/>
      <c r="AN1059" s="310"/>
      <c r="AO1059" s="309"/>
      <c r="AP1059" s="310"/>
      <c r="AQ1059" s="309"/>
      <c r="AR1059" s="310"/>
      <c r="AS1059" s="309"/>
      <c r="AT1059" s="310"/>
      <c r="AU1059" s="309"/>
      <c r="AV1059" s="310"/>
      <c r="AW1059" s="309"/>
      <c r="AX1059" s="310"/>
      <c r="AY1059" s="309"/>
      <c r="AZ1059" s="310"/>
      <c r="BA1059" s="271"/>
      <c r="BB1059" s="271"/>
      <c r="BC1059" s="271"/>
      <c r="BD1059" s="271"/>
      <c r="BE1059" s="271"/>
      <c r="BF1059" s="271"/>
    </row>
    <row r="1060" spans="2:58" ht="16" thickBot="1" x14ac:dyDescent="0.25">
      <c r="B1060" s="289"/>
      <c r="C1060" s="299">
        <v>7129.44</v>
      </c>
      <c r="D1060" s="300"/>
      <c r="E1060" s="275"/>
      <c r="F1060" s="302" t="s">
        <v>9</v>
      </c>
      <c r="G1060" s="309">
        <v>8</v>
      </c>
      <c r="H1060" s="310">
        <v>1095.92</v>
      </c>
      <c r="I1060" s="309">
        <v>2</v>
      </c>
      <c r="J1060" s="310">
        <v>409.98</v>
      </c>
      <c r="K1060" s="309">
        <v>6</v>
      </c>
      <c r="L1060" s="310">
        <v>1109.94</v>
      </c>
      <c r="M1060" s="309">
        <v>8</v>
      </c>
      <c r="N1060" s="310">
        <v>1383.92</v>
      </c>
      <c r="O1060" s="271">
        <v>15</v>
      </c>
      <c r="P1060" s="271">
        <v>1949.85</v>
      </c>
      <c r="Q1060" s="309">
        <v>1</v>
      </c>
      <c r="R1060" s="310">
        <v>144.99</v>
      </c>
      <c r="S1060" s="309"/>
      <c r="T1060" s="310"/>
      <c r="U1060" s="309"/>
      <c r="V1060" s="310"/>
      <c r="W1060" s="309">
        <v>4</v>
      </c>
      <c r="X1060" s="310">
        <v>171.96</v>
      </c>
      <c r="Y1060" s="309"/>
      <c r="Z1060" s="310"/>
      <c r="AA1060" s="309"/>
      <c r="AB1060" s="310"/>
      <c r="AC1060" s="271">
        <v>5</v>
      </c>
      <c r="AD1060" s="271">
        <v>494.95</v>
      </c>
      <c r="AE1060" s="309"/>
      <c r="AF1060" s="310"/>
      <c r="AG1060" s="309"/>
      <c r="AH1060" s="310"/>
      <c r="AI1060" s="309"/>
      <c r="AJ1060" s="310"/>
      <c r="AK1060" s="309"/>
      <c r="AL1060" s="310"/>
      <c r="AM1060" s="309"/>
      <c r="AN1060" s="310"/>
      <c r="AO1060" s="309"/>
      <c r="AP1060" s="310"/>
      <c r="AQ1060" s="309"/>
      <c r="AR1060" s="310"/>
      <c r="AS1060" s="309"/>
      <c r="AT1060" s="310"/>
      <c r="AU1060" s="309"/>
      <c r="AV1060" s="310"/>
      <c r="AW1060" s="309"/>
      <c r="AX1060" s="310"/>
      <c r="AY1060" s="309"/>
      <c r="AZ1060" s="310"/>
      <c r="BA1060" s="271">
        <v>1</v>
      </c>
      <c r="BB1060" s="271">
        <v>27.99</v>
      </c>
      <c r="BC1060" s="271"/>
      <c r="BD1060" s="271"/>
      <c r="BE1060" s="271">
        <v>1</v>
      </c>
      <c r="BF1060" s="271">
        <v>79.989999999999995</v>
      </c>
    </row>
    <row r="1061" spans="2:58" ht="16" thickBot="1" x14ac:dyDescent="0.25">
      <c r="B1061" s="289"/>
      <c r="C1061" s="299"/>
      <c r="D1061" s="300"/>
      <c r="E1061" s="275"/>
      <c r="F1061" s="302"/>
      <c r="G1061" s="309"/>
      <c r="H1061" s="310"/>
      <c r="I1061" s="309"/>
      <c r="J1061" s="310"/>
      <c r="K1061" s="309"/>
      <c r="L1061" s="310"/>
      <c r="M1061" s="309"/>
      <c r="N1061" s="310"/>
      <c r="O1061" s="271"/>
      <c r="P1061" s="271"/>
      <c r="Q1061" s="309"/>
      <c r="R1061" s="310"/>
      <c r="S1061" s="309"/>
      <c r="T1061" s="310"/>
      <c r="U1061" s="309"/>
      <c r="V1061" s="310"/>
      <c r="W1061" s="309"/>
      <c r="X1061" s="310"/>
      <c r="Y1061" s="309"/>
      <c r="Z1061" s="310"/>
      <c r="AA1061" s="309"/>
      <c r="AB1061" s="310"/>
      <c r="AC1061" s="271"/>
      <c r="AD1061" s="271"/>
      <c r="AE1061" s="309"/>
      <c r="AF1061" s="310"/>
      <c r="AG1061" s="309"/>
      <c r="AH1061" s="310"/>
      <c r="AI1061" s="309"/>
      <c r="AJ1061" s="310"/>
      <c r="AK1061" s="309"/>
      <c r="AL1061" s="310"/>
      <c r="AM1061" s="309"/>
      <c r="AN1061" s="310"/>
      <c r="AO1061" s="309"/>
      <c r="AP1061" s="310"/>
      <c r="AQ1061" s="309"/>
      <c r="AR1061" s="310"/>
      <c r="AS1061" s="309"/>
      <c r="AT1061" s="310"/>
      <c r="AU1061" s="309"/>
      <c r="AV1061" s="310"/>
      <c r="AW1061" s="309"/>
      <c r="AX1061" s="310"/>
      <c r="AY1061" s="309"/>
      <c r="AZ1061" s="310"/>
      <c r="BA1061" s="271"/>
      <c r="BB1061" s="271"/>
      <c r="BC1061" s="271"/>
      <c r="BD1061" s="271"/>
      <c r="BE1061" s="271"/>
      <c r="BF1061" s="271"/>
    </row>
    <row r="1062" spans="2:58" ht="16" thickBot="1" x14ac:dyDescent="0.25">
      <c r="B1062" s="289"/>
      <c r="C1062" s="299"/>
      <c r="D1062" s="300"/>
      <c r="E1062" s="275"/>
      <c r="F1062" s="302"/>
      <c r="G1062" s="309"/>
      <c r="H1062" s="310"/>
      <c r="I1062" s="309"/>
      <c r="J1062" s="310"/>
      <c r="K1062" s="309"/>
      <c r="L1062" s="310"/>
      <c r="M1062" s="309"/>
      <c r="N1062" s="310"/>
      <c r="O1062" s="271"/>
      <c r="P1062" s="271"/>
      <c r="Q1062" s="309"/>
      <c r="R1062" s="310"/>
      <c r="S1062" s="309"/>
      <c r="T1062" s="310"/>
      <c r="U1062" s="309"/>
      <c r="V1062" s="310"/>
      <c r="W1062" s="309"/>
      <c r="X1062" s="310"/>
      <c r="Y1062" s="309"/>
      <c r="Z1062" s="310"/>
      <c r="AA1062" s="309"/>
      <c r="AB1062" s="310"/>
      <c r="AC1062" s="271"/>
      <c r="AD1062" s="271"/>
      <c r="AE1062" s="309"/>
      <c r="AF1062" s="310"/>
      <c r="AG1062" s="309"/>
      <c r="AH1062" s="310"/>
      <c r="AI1062" s="309"/>
      <c r="AJ1062" s="310"/>
      <c r="AK1062" s="309"/>
      <c r="AL1062" s="310"/>
      <c r="AM1062" s="309"/>
      <c r="AN1062" s="310"/>
      <c r="AO1062" s="309"/>
      <c r="AP1062" s="310"/>
      <c r="AQ1062" s="309"/>
      <c r="AR1062" s="310"/>
      <c r="AS1062" s="309"/>
      <c r="AT1062" s="310"/>
      <c r="AU1062" s="309"/>
      <c r="AV1062" s="310"/>
      <c r="AW1062" s="309"/>
      <c r="AX1062" s="310"/>
      <c r="AY1062" s="309"/>
      <c r="AZ1062" s="310"/>
      <c r="BA1062" s="271"/>
      <c r="BB1062" s="271"/>
      <c r="BC1062" s="271"/>
      <c r="BD1062" s="271"/>
      <c r="BE1062" s="271"/>
      <c r="BF1062" s="271"/>
    </row>
    <row r="1063" spans="2:58" ht="16" thickBot="1" x14ac:dyDescent="0.25">
      <c r="B1063" s="289"/>
      <c r="C1063" s="299"/>
      <c r="D1063" s="300"/>
      <c r="E1063" s="275"/>
      <c r="F1063" s="302"/>
      <c r="G1063" s="309"/>
      <c r="H1063" s="310"/>
      <c r="I1063" s="309"/>
      <c r="J1063" s="310"/>
      <c r="K1063" s="309"/>
      <c r="L1063" s="310"/>
      <c r="M1063" s="309"/>
      <c r="N1063" s="310"/>
      <c r="O1063" s="271"/>
      <c r="P1063" s="271"/>
      <c r="Q1063" s="309"/>
      <c r="R1063" s="310"/>
      <c r="S1063" s="309"/>
      <c r="T1063" s="310"/>
      <c r="U1063" s="309"/>
      <c r="V1063" s="310"/>
      <c r="W1063" s="309"/>
      <c r="X1063" s="310"/>
      <c r="Y1063" s="309"/>
      <c r="Z1063" s="310"/>
      <c r="AA1063" s="309"/>
      <c r="AB1063" s="310"/>
      <c r="AC1063" s="271"/>
      <c r="AD1063" s="271"/>
      <c r="AE1063" s="309"/>
      <c r="AF1063" s="310"/>
      <c r="AG1063" s="309"/>
      <c r="AH1063" s="310"/>
      <c r="AI1063" s="309"/>
      <c r="AJ1063" s="310"/>
      <c r="AK1063" s="309"/>
      <c r="AL1063" s="310"/>
      <c r="AM1063" s="309"/>
      <c r="AN1063" s="310"/>
      <c r="AO1063" s="309"/>
      <c r="AP1063" s="310"/>
      <c r="AQ1063" s="309"/>
      <c r="AR1063" s="310"/>
      <c r="AS1063" s="309"/>
      <c r="AT1063" s="310"/>
      <c r="AU1063" s="309"/>
      <c r="AV1063" s="310"/>
      <c r="AW1063" s="309"/>
      <c r="AX1063" s="310"/>
      <c r="AY1063" s="309"/>
      <c r="AZ1063" s="310"/>
      <c r="BA1063" s="271"/>
      <c r="BB1063" s="271"/>
      <c r="BC1063" s="271"/>
      <c r="BD1063" s="271"/>
      <c r="BE1063" s="271"/>
      <c r="BF1063" s="271"/>
    </row>
    <row r="1064" spans="2:58" ht="16" thickBot="1" x14ac:dyDescent="0.25">
      <c r="B1064" s="289"/>
      <c r="C1064" s="299"/>
      <c r="D1064" s="300"/>
      <c r="E1064" s="275"/>
      <c r="F1064" s="302"/>
      <c r="G1064" s="309"/>
      <c r="H1064" s="310"/>
      <c r="I1064" s="309"/>
      <c r="J1064" s="310"/>
      <c r="K1064" s="309"/>
      <c r="L1064" s="310"/>
      <c r="M1064" s="309"/>
      <c r="N1064" s="310"/>
      <c r="O1064" s="271"/>
      <c r="P1064" s="271"/>
      <c r="Q1064" s="309"/>
      <c r="R1064" s="310"/>
      <c r="S1064" s="309"/>
      <c r="T1064" s="310"/>
      <c r="U1064" s="309"/>
      <c r="V1064" s="310"/>
      <c r="W1064" s="309"/>
      <c r="X1064" s="310"/>
      <c r="Y1064" s="309"/>
      <c r="Z1064" s="310"/>
      <c r="AA1064" s="309"/>
      <c r="AB1064" s="310"/>
      <c r="AC1064" s="271"/>
      <c r="AD1064" s="271"/>
      <c r="AE1064" s="309"/>
      <c r="AF1064" s="310"/>
      <c r="AG1064" s="309"/>
      <c r="AH1064" s="310"/>
      <c r="AI1064" s="309"/>
      <c r="AJ1064" s="310"/>
      <c r="AK1064" s="309"/>
      <c r="AL1064" s="310"/>
      <c r="AM1064" s="309"/>
      <c r="AN1064" s="310"/>
      <c r="AO1064" s="309"/>
      <c r="AP1064" s="310"/>
      <c r="AQ1064" s="309"/>
      <c r="AR1064" s="310"/>
      <c r="AS1064" s="309"/>
      <c r="AT1064" s="310"/>
      <c r="AU1064" s="309"/>
      <c r="AV1064" s="310"/>
      <c r="AW1064" s="309"/>
      <c r="AX1064" s="310"/>
      <c r="AY1064" s="309"/>
      <c r="AZ1064" s="310"/>
      <c r="BA1064" s="271"/>
      <c r="BB1064" s="271"/>
      <c r="BC1064" s="271"/>
      <c r="BD1064" s="271"/>
      <c r="BE1064" s="271"/>
      <c r="BF1064" s="271"/>
    </row>
    <row r="1065" spans="2:58" ht="16" thickBot="1" x14ac:dyDescent="0.25">
      <c r="B1065" s="289"/>
      <c r="C1065" s="299"/>
      <c r="D1065" s="300"/>
      <c r="E1065" s="275"/>
      <c r="F1065" s="302"/>
      <c r="G1065" s="309"/>
      <c r="H1065" s="310"/>
      <c r="I1065" s="309"/>
      <c r="J1065" s="310"/>
      <c r="K1065" s="309"/>
      <c r="L1065" s="310"/>
      <c r="M1065" s="309"/>
      <c r="N1065" s="310"/>
      <c r="O1065" s="271"/>
      <c r="P1065" s="271"/>
      <c r="Q1065" s="309"/>
      <c r="R1065" s="310"/>
      <c r="S1065" s="309"/>
      <c r="T1065" s="310"/>
      <c r="U1065" s="309"/>
      <c r="V1065" s="310"/>
      <c r="W1065" s="309"/>
      <c r="X1065" s="310"/>
      <c r="Y1065" s="309"/>
      <c r="Z1065" s="310"/>
      <c r="AA1065" s="309"/>
      <c r="AB1065" s="310"/>
      <c r="AC1065" s="271"/>
      <c r="AD1065" s="271"/>
      <c r="AE1065" s="309"/>
      <c r="AF1065" s="310"/>
      <c r="AG1065" s="309"/>
      <c r="AH1065" s="310"/>
      <c r="AI1065" s="309"/>
      <c r="AJ1065" s="310"/>
      <c r="AK1065" s="309"/>
      <c r="AL1065" s="310"/>
      <c r="AM1065" s="309"/>
      <c r="AN1065" s="310"/>
      <c r="AO1065" s="309"/>
      <c r="AP1065" s="310"/>
      <c r="AQ1065" s="309"/>
      <c r="AR1065" s="310"/>
      <c r="AS1065" s="309"/>
      <c r="AT1065" s="310"/>
      <c r="AU1065" s="309"/>
      <c r="AV1065" s="310"/>
      <c r="AW1065" s="309"/>
      <c r="AX1065" s="310"/>
      <c r="AY1065" s="309"/>
      <c r="AZ1065" s="310"/>
      <c r="BA1065" s="271"/>
      <c r="BB1065" s="271"/>
      <c r="BC1065" s="271"/>
      <c r="BD1065" s="271"/>
      <c r="BE1065" s="271"/>
      <c r="BF1065" s="271"/>
    </row>
    <row r="1066" spans="2:58" ht="16" thickBot="1" x14ac:dyDescent="0.25">
      <c r="B1066" s="288" t="s">
        <v>25</v>
      </c>
      <c r="C1066" s="284"/>
      <c r="D1066" s="291"/>
      <c r="E1066" s="290"/>
      <c r="F1066" s="293"/>
      <c r="G1066" s="309"/>
      <c r="H1066" s="310"/>
      <c r="I1066" s="309"/>
      <c r="J1066" s="310"/>
      <c r="K1066" s="309"/>
      <c r="L1066" s="310"/>
      <c r="M1066" s="309"/>
      <c r="N1066" s="310"/>
      <c r="O1066" s="271"/>
      <c r="P1066" s="271"/>
      <c r="Q1066" s="309"/>
      <c r="R1066" s="310"/>
      <c r="S1066" s="309"/>
      <c r="T1066" s="310"/>
      <c r="U1066" s="309"/>
      <c r="V1066" s="310"/>
      <c r="W1066" s="309"/>
      <c r="X1066" s="310"/>
      <c r="Y1066" s="309"/>
      <c r="Z1066" s="310"/>
      <c r="AA1066" s="309"/>
      <c r="AB1066" s="310"/>
      <c r="AC1066" s="271"/>
      <c r="AD1066" s="271"/>
      <c r="AE1066" s="309"/>
      <c r="AF1066" s="310"/>
      <c r="AG1066" s="309"/>
      <c r="AH1066" s="310"/>
      <c r="AI1066" s="309"/>
      <c r="AJ1066" s="310"/>
      <c r="AK1066" s="309"/>
      <c r="AL1066" s="310"/>
      <c r="AM1066" s="309"/>
      <c r="AN1066" s="310"/>
      <c r="AO1066" s="309"/>
      <c r="AP1066" s="310"/>
      <c r="AQ1066" s="309"/>
      <c r="AR1066" s="310"/>
      <c r="AS1066" s="309"/>
      <c r="AT1066" s="310"/>
      <c r="AU1066" s="309"/>
      <c r="AV1066" s="310"/>
      <c r="AW1066" s="309"/>
      <c r="AX1066" s="310"/>
      <c r="AY1066" s="309"/>
      <c r="AZ1066" s="310"/>
      <c r="BA1066" s="271"/>
      <c r="BB1066" s="271"/>
      <c r="BC1066" s="271"/>
      <c r="BD1066" s="271"/>
      <c r="BE1066" s="271"/>
      <c r="BF1066" s="271"/>
    </row>
    <row r="1067" spans="2:58" ht="16" thickBot="1" x14ac:dyDescent="0.25">
      <c r="B1067" s="668"/>
      <c r="C1067" s="640">
        <f>SUM(C1059:C1066)</f>
        <v>26579.439999999999</v>
      </c>
      <c r="D1067" s="159"/>
      <c r="E1067" s="270"/>
      <c r="F1067" s="271"/>
      <c r="G1067" s="309"/>
      <c r="H1067" s="310"/>
      <c r="I1067" s="309"/>
      <c r="J1067" s="310"/>
      <c r="K1067" s="309"/>
      <c r="L1067" s="310"/>
      <c r="M1067" s="309"/>
      <c r="N1067" s="310"/>
      <c r="O1067" s="271"/>
      <c r="P1067" s="271"/>
      <c r="Q1067" s="309"/>
      <c r="R1067" s="310"/>
      <c r="S1067" s="309"/>
      <c r="T1067" s="310"/>
      <c r="U1067" s="309"/>
      <c r="V1067" s="310"/>
      <c r="W1067" s="309"/>
      <c r="X1067" s="310"/>
      <c r="Y1067" s="309"/>
      <c r="Z1067" s="310"/>
      <c r="AA1067" s="309"/>
      <c r="AB1067" s="310"/>
      <c r="AC1067" s="271"/>
      <c r="AD1067" s="271"/>
      <c r="AE1067" s="309"/>
      <c r="AF1067" s="310"/>
      <c r="AG1067" s="309"/>
      <c r="AH1067" s="310"/>
      <c r="AI1067" s="309"/>
      <c r="AJ1067" s="310"/>
      <c r="AK1067" s="309"/>
      <c r="AL1067" s="310"/>
      <c r="AM1067" s="309"/>
      <c r="AN1067" s="310"/>
      <c r="AO1067" s="309"/>
      <c r="AP1067" s="310"/>
      <c r="AQ1067" s="309"/>
      <c r="AR1067" s="310"/>
      <c r="AS1067" s="309"/>
      <c r="AT1067" s="310"/>
      <c r="AU1067" s="309"/>
      <c r="AV1067" s="310"/>
      <c r="AW1067" s="309"/>
      <c r="AX1067" s="310"/>
      <c r="AY1067" s="309"/>
      <c r="AZ1067" s="310"/>
      <c r="BA1067" s="271"/>
      <c r="BB1067" s="271"/>
      <c r="BC1067" s="271"/>
      <c r="BD1067" s="271"/>
      <c r="BE1067" s="271"/>
      <c r="BF1067" s="271"/>
    </row>
    <row r="1068" spans="2:58" ht="16" thickBot="1" x14ac:dyDescent="0.25">
      <c r="B1068" s="479">
        <v>45781</v>
      </c>
      <c r="C1068" s="657">
        <v>54.99</v>
      </c>
      <c r="D1068" s="641"/>
      <c r="E1068" s="274" t="s">
        <v>538</v>
      </c>
      <c r="F1068" s="301"/>
      <c r="G1068" s="550"/>
      <c r="H1068" s="310"/>
      <c r="I1068" s="309"/>
      <c r="J1068" s="310"/>
      <c r="K1068" s="309"/>
      <c r="L1068" s="310"/>
      <c r="M1068" s="309"/>
      <c r="N1068" s="310"/>
      <c r="O1068" s="271"/>
      <c r="P1068" s="271"/>
      <c r="Q1068" s="309"/>
      <c r="R1068" s="310"/>
      <c r="S1068" s="309"/>
      <c r="T1068" s="310"/>
      <c r="U1068" s="309"/>
      <c r="V1068" s="310"/>
      <c r="W1068" s="309"/>
      <c r="X1068" s="310"/>
      <c r="Y1068" s="309"/>
      <c r="Z1068" s="310"/>
      <c r="AA1068" s="309"/>
      <c r="AB1068" s="310"/>
      <c r="AC1068" s="271"/>
      <c r="AD1068" s="271"/>
      <c r="AE1068" s="309"/>
      <c r="AF1068" s="310"/>
      <c r="AG1068" s="309"/>
      <c r="AH1068" s="310"/>
      <c r="AI1068" s="309"/>
      <c r="AJ1068" s="310"/>
      <c r="AK1068" s="309"/>
      <c r="AL1068" s="310"/>
      <c r="AM1068" s="309"/>
      <c r="AN1068" s="310"/>
      <c r="AO1068" s="309"/>
      <c r="AP1068" s="310"/>
      <c r="AQ1068" s="309"/>
      <c r="AR1068" s="310"/>
      <c r="AS1068" s="309"/>
      <c r="AT1068" s="310"/>
      <c r="AU1068" s="309"/>
      <c r="AV1068" s="310"/>
      <c r="AW1068" s="309"/>
      <c r="AX1068" s="310"/>
      <c r="AY1068" s="309"/>
      <c r="AZ1068" s="310"/>
      <c r="BA1068" s="271"/>
      <c r="BB1068" s="271"/>
      <c r="BC1068" s="271"/>
      <c r="BD1068" s="271"/>
      <c r="BE1068" s="271"/>
      <c r="BF1068" s="271"/>
    </row>
    <row r="1069" spans="2:58" ht="16" thickBot="1" x14ac:dyDescent="0.25">
      <c r="B1069" s="479"/>
      <c r="C1069" s="657"/>
      <c r="D1069" s="657"/>
      <c r="E1069" s="285"/>
      <c r="F1069" s="302"/>
      <c r="G1069" s="550"/>
      <c r="H1069" s="310"/>
      <c r="I1069" s="309"/>
      <c r="J1069" s="310"/>
      <c r="K1069" s="309"/>
      <c r="L1069" s="310"/>
      <c r="M1069" s="309"/>
      <c r="N1069" s="310"/>
      <c r="O1069" s="271"/>
      <c r="P1069" s="271"/>
      <c r="Q1069" s="309"/>
      <c r="R1069" s="310"/>
      <c r="S1069" s="309"/>
      <c r="T1069" s="310"/>
      <c r="U1069" s="309"/>
      <c r="V1069" s="310"/>
      <c r="W1069" s="309"/>
      <c r="X1069" s="310"/>
      <c r="Y1069" s="309"/>
      <c r="Z1069" s="310"/>
      <c r="AA1069" s="309"/>
      <c r="AB1069" s="310"/>
      <c r="AC1069" s="271"/>
      <c r="AD1069" s="271"/>
      <c r="AE1069" s="309"/>
      <c r="AF1069" s="310"/>
      <c r="AG1069" s="309"/>
      <c r="AH1069" s="310"/>
      <c r="AI1069" s="309"/>
      <c r="AJ1069" s="310"/>
      <c r="AK1069" s="309"/>
      <c r="AL1069" s="310"/>
      <c r="AM1069" s="309"/>
      <c r="AN1069" s="310"/>
      <c r="AO1069" s="309"/>
      <c r="AP1069" s="310"/>
      <c r="AQ1069" s="309"/>
      <c r="AR1069" s="310"/>
      <c r="AS1069" s="309"/>
      <c r="AT1069" s="310"/>
      <c r="AU1069" s="309"/>
      <c r="AV1069" s="310"/>
      <c r="AW1069" s="309"/>
      <c r="AX1069" s="310"/>
      <c r="AY1069" s="309"/>
      <c r="AZ1069" s="310"/>
      <c r="BA1069" s="271"/>
      <c r="BB1069" s="271"/>
      <c r="BC1069" s="271"/>
      <c r="BD1069" s="271"/>
      <c r="BE1069" s="271"/>
      <c r="BF1069" s="271"/>
    </row>
    <row r="1070" spans="2:58" ht="16" thickBot="1" x14ac:dyDescent="0.25">
      <c r="B1070" s="479"/>
      <c r="C1070" s="657"/>
      <c r="D1070" s="657"/>
      <c r="E1070" s="285"/>
      <c r="F1070" s="302"/>
      <c r="G1070" s="550"/>
      <c r="H1070" s="310"/>
      <c r="I1070" s="309"/>
      <c r="J1070" s="310"/>
      <c r="K1070" s="309"/>
      <c r="L1070" s="310"/>
      <c r="M1070" s="309"/>
      <c r="N1070" s="310"/>
      <c r="O1070" s="271"/>
      <c r="P1070" s="271"/>
      <c r="Q1070" s="309"/>
      <c r="R1070" s="310"/>
      <c r="S1070" s="309"/>
      <c r="T1070" s="310"/>
      <c r="U1070" s="309"/>
      <c r="V1070" s="310"/>
      <c r="W1070" s="309"/>
      <c r="X1070" s="310"/>
      <c r="Y1070" s="309"/>
      <c r="Z1070" s="310"/>
      <c r="AA1070" s="309"/>
      <c r="AB1070" s="310"/>
      <c r="AC1070" s="271"/>
      <c r="AD1070" s="271"/>
      <c r="AE1070" s="309"/>
      <c r="AF1070" s="310"/>
      <c r="AG1070" s="309"/>
      <c r="AH1070" s="310"/>
      <c r="AI1070" s="309"/>
      <c r="AJ1070" s="310"/>
      <c r="AK1070" s="309"/>
      <c r="AL1070" s="310"/>
      <c r="AM1070" s="309"/>
      <c r="AN1070" s="310"/>
      <c r="AO1070" s="309"/>
      <c r="AP1070" s="310"/>
      <c r="AQ1070" s="309"/>
      <c r="AR1070" s="310"/>
      <c r="AS1070" s="309"/>
      <c r="AT1070" s="310"/>
      <c r="AU1070" s="309"/>
      <c r="AV1070" s="310"/>
      <c r="AW1070" s="309"/>
      <c r="AX1070" s="310"/>
      <c r="AY1070" s="309"/>
      <c r="AZ1070" s="310"/>
      <c r="BA1070" s="271"/>
      <c r="BB1070" s="271"/>
      <c r="BC1070" s="271"/>
      <c r="BD1070" s="271"/>
      <c r="BE1070" s="271"/>
      <c r="BF1070" s="271"/>
    </row>
    <row r="1071" spans="2:58" ht="16" thickBot="1" x14ac:dyDescent="0.25">
      <c r="B1071" s="479"/>
      <c r="C1071" s="657"/>
      <c r="D1071" s="657"/>
      <c r="E1071" s="285"/>
      <c r="F1071" s="302"/>
      <c r="G1071" s="550"/>
      <c r="H1071" s="310"/>
      <c r="I1071" s="309"/>
      <c r="J1071" s="310"/>
      <c r="K1071" s="309"/>
      <c r="L1071" s="310"/>
      <c r="M1071" s="309"/>
      <c r="N1071" s="310"/>
      <c r="O1071" s="271"/>
      <c r="P1071" s="271"/>
      <c r="Q1071" s="309"/>
      <c r="R1071" s="310"/>
      <c r="S1071" s="309"/>
      <c r="T1071" s="310"/>
      <c r="U1071" s="309"/>
      <c r="V1071" s="310"/>
      <c r="W1071" s="309"/>
      <c r="X1071" s="310"/>
      <c r="Y1071" s="309"/>
      <c r="Z1071" s="310"/>
      <c r="AA1071" s="309"/>
      <c r="AB1071" s="310"/>
      <c r="AC1071" s="271"/>
      <c r="AD1071" s="271"/>
      <c r="AE1071" s="309"/>
      <c r="AF1071" s="310"/>
      <c r="AG1071" s="309"/>
      <c r="AH1071" s="310"/>
      <c r="AI1071" s="309"/>
      <c r="AJ1071" s="310"/>
      <c r="AK1071" s="309"/>
      <c r="AL1071" s="310"/>
      <c r="AM1071" s="309"/>
      <c r="AN1071" s="310"/>
      <c r="AO1071" s="309"/>
      <c r="AP1071" s="310"/>
      <c r="AQ1071" s="309"/>
      <c r="AR1071" s="310"/>
      <c r="AS1071" s="309"/>
      <c r="AT1071" s="310"/>
      <c r="AU1071" s="309"/>
      <c r="AV1071" s="310"/>
      <c r="AW1071" s="309"/>
      <c r="AX1071" s="310"/>
      <c r="AY1071" s="309"/>
      <c r="AZ1071" s="310"/>
      <c r="BA1071" s="271"/>
      <c r="BB1071" s="271"/>
      <c r="BC1071" s="271"/>
      <c r="BD1071" s="271"/>
      <c r="BE1071" s="271"/>
      <c r="BF1071" s="271"/>
    </row>
    <row r="1072" spans="2:58" ht="16" thickBot="1" x14ac:dyDescent="0.25">
      <c r="B1072" s="479"/>
      <c r="C1072" s="657"/>
      <c r="D1072" s="657"/>
      <c r="E1072" s="285"/>
      <c r="F1072" s="302"/>
      <c r="G1072" s="550"/>
      <c r="H1072" s="310"/>
      <c r="I1072" s="309"/>
      <c r="J1072" s="310"/>
      <c r="K1072" s="309"/>
      <c r="L1072" s="310"/>
      <c r="M1072" s="309"/>
      <c r="N1072" s="310"/>
      <c r="O1072" s="271"/>
      <c r="P1072" s="271"/>
      <c r="Q1072" s="309"/>
      <c r="R1072" s="310"/>
      <c r="S1072" s="309"/>
      <c r="T1072" s="310"/>
      <c r="U1072" s="309"/>
      <c r="V1072" s="310"/>
      <c r="W1072" s="309"/>
      <c r="X1072" s="310"/>
      <c r="Y1072" s="309"/>
      <c r="Z1072" s="310"/>
      <c r="AA1072" s="309"/>
      <c r="AB1072" s="310"/>
      <c r="AC1072" s="271"/>
      <c r="AD1072" s="271"/>
      <c r="AE1072" s="309"/>
      <c r="AF1072" s="310"/>
      <c r="AG1072" s="309"/>
      <c r="AH1072" s="310"/>
      <c r="AI1072" s="309"/>
      <c r="AJ1072" s="310"/>
      <c r="AK1072" s="309"/>
      <c r="AL1072" s="310"/>
      <c r="AM1072" s="309"/>
      <c r="AN1072" s="310"/>
      <c r="AO1072" s="309"/>
      <c r="AP1072" s="310"/>
      <c r="AQ1072" s="309"/>
      <c r="AR1072" s="310"/>
      <c r="AS1072" s="309"/>
      <c r="AT1072" s="310"/>
      <c r="AU1072" s="309"/>
      <c r="AV1072" s="310"/>
      <c r="AW1072" s="309"/>
      <c r="AX1072" s="310"/>
      <c r="AY1072" s="309"/>
      <c r="AZ1072" s="310"/>
      <c r="BA1072" s="271"/>
      <c r="BB1072" s="271"/>
      <c r="BC1072" s="271"/>
      <c r="BD1072" s="271"/>
      <c r="BE1072" s="271"/>
      <c r="BF1072" s="271"/>
    </row>
    <row r="1073" spans="2:58" ht="16" thickBot="1" x14ac:dyDescent="0.25">
      <c r="B1073" s="479"/>
      <c r="C1073" s="657"/>
      <c r="D1073" s="657"/>
      <c r="E1073" s="285"/>
      <c r="F1073" s="302"/>
      <c r="G1073" s="550"/>
      <c r="H1073" s="310"/>
      <c r="I1073" s="309"/>
      <c r="J1073" s="310"/>
      <c r="K1073" s="309"/>
      <c r="L1073" s="310"/>
      <c r="M1073" s="309"/>
      <c r="N1073" s="310"/>
      <c r="O1073" s="271"/>
      <c r="P1073" s="271"/>
      <c r="Q1073" s="309"/>
      <c r="R1073" s="310"/>
      <c r="S1073" s="309"/>
      <c r="T1073" s="310"/>
      <c r="U1073" s="309"/>
      <c r="V1073" s="310"/>
      <c r="W1073" s="309"/>
      <c r="X1073" s="310"/>
      <c r="Y1073" s="309"/>
      <c r="Z1073" s="310"/>
      <c r="AA1073" s="309"/>
      <c r="AB1073" s="310"/>
      <c r="AC1073" s="271"/>
      <c r="AD1073" s="271"/>
      <c r="AE1073" s="309"/>
      <c r="AF1073" s="310"/>
      <c r="AG1073" s="309"/>
      <c r="AH1073" s="310"/>
      <c r="AI1073" s="309"/>
      <c r="AJ1073" s="310"/>
      <c r="AK1073" s="309"/>
      <c r="AL1073" s="310"/>
      <c r="AM1073" s="309"/>
      <c r="AN1073" s="310"/>
      <c r="AO1073" s="309"/>
      <c r="AP1073" s="310"/>
      <c r="AQ1073" s="309"/>
      <c r="AR1073" s="310"/>
      <c r="AS1073" s="309"/>
      <c r="AT1073" s="310"/>
      <c r="AU1073" s="309"/>
      <c r="AV1073" s="310"/>
      <c r="AW1073" s="309"/>
      <c r="AX1073" s="310"/>
      <c r="AY1073" s="309"/>
      <c r="AZ1073" s="310"/>
      <c r="BA1073" s="271"/>
      <c r="BB1073" s="271"/>
      <c r="BC1073" s="271"/>
      <c r="BD1073" s="271"/>
      <c r="BE1073" s="271"/>
      <c r="BF1073" s="271"/>
    </row>
    <row r="1074" spans="2:58" ht="16" thickBot="1" x14ac:dyDescent="0.25">
      <c r="B1074" s="549" t="s">
        <v>26</v>
      </c>
      <c r="C1074" s="554"/>
      <c r="D1074" s="291"/>
      <c r="E1074" s="290"/>
      <c r="F1074" s="293"/>
      <c r="G1074" s="550"/>
      <c r="H1074" s="310"/>
      <c r="I1074" s="309"/>
      <c r="J1074" s="310"/>
      <c r="K1074" s="309"/>
      <c r="L1074" s="310"/>
      <c r="M1074" s="309"/>
      <c r="N1074" s="310"/>
      <c r="O1074" s="271"/>
      <c r="P1074" s="271"/>
      <c r="Q1074" s="309"/>
      <c r="R1074" s="310"/>
      <c r="S1074" s="309"/>
      <c r="T1074" s="310"/>
      <c r="U1074" s="309"/>
      <c r="V1074" s="310"/>
      <c r="W1074" s="309"/>
      <c r="X1074" s="310"/>
      <c r="Y1074" s="309"/>
      <c r="Z1074" s="310"/>
      <c r="AA1074" s="309"/>
      <c r="AB1074" s="310"/>
      <c r="AC1074" s="271"/>
      <c r="AD1074" s="271"/>
      <c r="AE1074" s="309"/>
      <c r="AF1074" s="310"/>
      <c r="AG1074" s="309"/>
      <c r="AH1074" s="310"/>
      <c r="AI1074" s="309"/>
      <c r="AJ1074" s="310"/>
      <c r="AK1074" s="309"/>
      <c r="AL1074" s="310"/>
      <c r="AM1074" s="309"/>
      <c r="AN1074" s="310"/>
      <c r="AO1074" s="309"/>
      <c r="AP1074" s="310"/>
      <c r="AQ1074" s="309"/>
      <c r="AR1074" s="310"/>
      <c r="AS1074" s="309"/>
      <c r="AT1074" s="310"/>
      <c r="AU1074" s="309"/>
      <c r="AV1074" s="310"/>
      <c r="AW1074" s="309"/>
      <c r="AX1074" s="310"/>
      <c r="AY1074" s="309"/>
      <c r="AZ1074" s="310"/>
      <c r="BA1074" s="271"/>
      <c r="BB1074" s="271"/>
      <c r="BC1074" s="271"/>
      <c r="BD1074" s="271"/>
      <c r="BE1074" s="271"/>
      <c r="BF1074" s="271"/>
    </row>
    <row r="1075" spans="2:58" ht="16" thickBot="1" x14ac:dyDescent="0.25">
      <c r="B1075" s="292"/>
      <c r="C1075" s="551">
        <f>SUM(C1068:C1074)</f>
        <v>54.99</v>
      </c>
      <c r="D1075" s="551"/>
      <c r="E1075" s="552"/>
      <c r="F1075" s="553"/>
      <c r="G1075" s="271"/>
      <c r="H1075" s="271"/>
      <c r="I1075" s="271"/>
      <c r="J1075" s="271"/>
      <c r="K1075" s="271"/>
      <c r="L1075" s="271"/>
      <c r="M1075" s="271"/>
      <c r="N1075" s="271"/>
      <c r="O1075" s="271"/>
      <c r="P1075" s="271"/>
      <c r="Q1075" s="271"/>
      <c r="R1075" s="271"/>
      <c r="S1075" s="271"/>
      <c r="T1075" s="271"/>
      <c r="U1075" s="271"/>
      <c r="V1075" s="271"/>
      <c r="W1075" s="271"/>
      <c r="X1075" s="271"/>
      <c r="Y1075" s="271"/>
      <c r="Z1075" s="271"/>
      <c r="AA1075" s="271"/>
      <c r="AB1075" s="271"/>
      <c r="AC1075" s="271"/>
      <c r="AD1075" s="271"/>
      <c r="AE1075" s="309"/>
      <c r="AF1075" s="310"/>
      <c r="AG1075" s="309"/>
      <c r="AH1075" s="310"/>
      <c r="AI1075" s="309"/>
      <c r="AJ1075" s="310"/>
      <c r="AK1075" s="309"/>
      <c r="AL1075" s="310"/>
      <c r="AM1075" s="309"/>
      <c r="AN1075" s="310"/>
      <c r="AO1075" s="309"/>
      <c r="AP1075" s="310"/>
      <c r="AQ1075" s="309"/>
      <c r="AR1075" s="310"/>
      <c r="AS1075" s="309"/>
      <c r="AT1075" s="310"/>
      <c r="AU1075" s="309"/>
      <c r="AV1075" s="310"/>
      <c r="AW1075" s="309"/>
      <c r="AX1075" s="310"/>
      <c r="AY1075" s="309"/>
      <c r="AZ1075" s="310"/>
      <c r="BA1075" s="271"/>
      <c r="BB1075" s="271"/>
      <c r="BC1075" s="271"/>
      <c r="BD1075" s="271"/>
      <c r="BE1075" s="271"/>
      <c r="BF1075" s="271"/>
    </row>
    <row r="1076" spans="2:58" ht="16" thickBot="1" x14ac:dyDescent="0.25">
      <c r="B1076" s="761" t="s">
        <v>329</v>
      </c>
      <c r="C1076" s="311"/>
      <c r="D1076" s="312"/>
      <c r="E1076" s="285"/>
      <c r="F1076" s="302"/>
      <c r="G1076" s="306">
        <f t="shared" ref="G1076:AD1076" si="34">SUM(G1033:G1074)</f>
        <v>34</v>
      </c>
      <c r="H1076" s="307">
        <f t="shared" si="34"/>
        <v>4711.66</v>
      </c>
      <c r="I1076" s="306">
        <f t="shared" si="34"/>
        <v>8</v>
      </c>
      <c r="J1076" s="307">
        <f t="shared" si="34"/>
        <v>1639.92</v>
      </c>
      <c r="K1076" s="306">
        <f t="shared" si="34"/>
        <v>27</v>
      </c>
      <c r="L1076" s="307">
        <f t="shared" si="34"/>
        <v>4949.7300000000005</v>
      </c>
      <c r="M1076" s="306">
        <f t="shared" si="34"/>
        <v>36</v>
      </c>
      <c r="N1076" s="307">
        <f t="shared" si="34"/>
        <v>6227.64</v>
      </c>
      <c r="O1076" s="308">
        <f t="shared" si="34"/>
        <v>69</v>
      </c>
      <c r="P1076" s="308">
        <f t="shared" si="34"/>
        <v>8843.7000000000007</v>
      </c>
      <c r="Q1076" s="306">
        <f t="shared" si="34"/>
        <v>3</v>
      </c>
      <c r="R1076" s="307">
        <f t="shared" si="34"/>
        <v>434.97</v>
      </c>
      <c r="S1076" s="306">
        <f t="shared" si="34"/>
        <v>4</v>
      </c>
      <c r="T1076" s="307">
        <f t="shared" si="34"/>
        <v>3312</v>
      </c>
      <c r="U1076" s="306">
        <f t="shared" si="34"/>
        <v>15</v>
      </c>
      <c r="V1076" s="307">
        <f t="shared" si="34"/>
        <v>7935</v>
      </c>
      <c r="W1076" s="306">
        <f t="shared" si="34"/>
        <v>18</v>
      </c>
      <c r="X1076" s="307">
        <f t="shared" si="34"/>
        <v>773.82</v>
      </c>
      <c r="Y1076" s="306">
        <f t="shared" si="34"/>
        <v>1</v>
      </c>
      <c r="Z1076" s="307">
        <f t="shared" si="34"/>
        <v>772.8</v>
      </c>
      <c r="AA1076" s="306">
        <f t="shared" si="34"/>
        <v>1</v>
      </c>
      <c r="AB1076" s="307">
        <f t="shared" si="34"/>
        <v>5175</v>
      </c>
      <c r="AC1076" s="308">
        <f t="shared" si="34"/>
        <v>24</v>
      </c>
      <c r="AD1076" s="308">
        <f t="shared" si="34"/>
        <v>2375.7599999999998</v>
      </c>
      <c r="AE1076" s="306">
        <f t="shared" ref="AE1076:BF1076" si="35">SUM(AE1033:AE1075)</f>
        <v>14</v>
      </c>
      <c r="AF1076" s="307">
        <f t="shared" si="35"/>
        <v>769.86</v>
      </c>
      <c r="AG1076" s="306">
        <f t="shared" si="35"/>
        <v>0</v>
      </c>
      <c r="AH1076" s="307">
        <f t="shared" si="35"/>
        <v>0</v>
      </c>
      <c r="AI1076" s="306">
        <f t="shared" si="35"/>
        <v>0</v>
      </c>
      <c r="AJ1076" s="307">
        <f t="shared" si="35"/>
        <v>0</v>
      </c>
      <c r="AK1076" s="306">
        <f t="shared" si="35"/>
        <v>0</v>
      </c>
      <c r="AL1076" s="307">
        <f t="shared" si="35"/>
        <v>0</v>
      </c>
      <c r="AM1076" s="306">
        <f t="shared" si="35"/>
        <v>0</v>
      </c>
      <c r="AN1076" s="307">
        <f t="shared" si="35"/>
        <v>0</v>
      </c>
      <c r="AO1076" s="306">
        <f t="shared" si="35"/>
        <v>0</v>
      </c>
      <c r="AP1076" s="307">
        <f t="shared" si="35"/>
        <v>0</v>
      </c>
      <c r="AQ1076" s="306">
        <f t="shared" si="35"/>
        <v>0</v>
      </c>
      <c r="AR1076" s="307">
        <f t="shared" si="35"/>
        <v>0</v>
      </c>
      <c r="AS1076" s="306">
        <f t="shared" si="35"/>
        <v>1</v>
      </c>
      <c r="AT1076" s="307">
        <f t="shared" si="35"/>
        <v>500</v>
      </c>
      <c r="AU1076" s="306">
        <f t="shared" si="35"/>
        <v>2</v>
      </c>
      <c r="AV1076" s="307">
        <f t="shared" si="35"/>
        <v>824.32999999999993</v>
      </c>
      <c r="AW1076" s="306">
        <f t="shared" si="35"/>
        <v>15</v>
      </c>
      <c r="AX1076" s="307">
        <f t="shared" si="35"/>
        <v>3578.77</v>
      </c>
      <c r="AY1076" s="306">
        <f t="shared" si="35"/>
        <v>15</v>
      </c>
      <c r="AZ1076" s="307">
        <f t="shared" si="35"/>
        <v>3578.77</v>
      </c>
      <c r="BA1076" s="306">
        <f t="shared" si="35"/>
        <v>3</v>
      </c>
      <c r="BB1076" s="307">
        <f t="shared" si="35"/>
        <v>83.97</v>
      </c>
      <c r="BC1076" s="306">
        <f t="shared" si="35"/>
        <v>0</v>
      </c>
      <c r="BD1076" s="307">
        <f t="shared" si="35"/>
        <v>0</v>
      </c>
      <c r="BE1076" s="306">
        <f t="shared" si="35"/>
        <v>2</v>
      </c>
      <c r="BF1076" s="307">
        <f t="shared" si="35"/>
        <v>159.97999999999999</v>
      </c>
    </row>
    <row r="1077" spans="2:58" ht="16" thickBot="1" x14ac:dyDescent="0.25">
      <c r="B1077" s="762"/>
      <c r="C1077" s="160">
        <f>SUM(C1075,C1067,C1058,C1051,C1046,C1043,C1033)</f>
        <v>96039.52</v>
      </c>
      <c r="D1077" s="160"/>
      <c r="E1077" s="304"/>
      <c r="F1077" s="294"/>
      <c r="G1077" s="752" t="s">
        <v>29</v>
      </c>
      <c r="H1077" s="752"/>
      <c r="I1077" s="752" t="s">
        <v>30</v>
      </c>
      <c r="J1077" s="752"/>
      <c r="K1077" s="752" t="s">
        <v>31</v>
      </c>
      <c r="L1077" s="752"/>
      <c r="M1077" s="752" t="s">
        <v>32</v>
      </c>
      <c r="N1077" s="752"/>
      <c r="O1077" s="752" t="s">
        <v>33</v>
      </c>
      <c r="P1077" s="752"/>
      <c r="Q1077" s="752" t="s">
        <v>247</v>
      </c>
      <c r="R1077" s="752"/>
      <c r="S1077" s="752" t="s">
        <v>34</v>
      </c>
      <c r="T1077" s="752"/>
      <c r="U1077" s="752" t="s">
        <v>35</v>
      </c>
      <c r="V1077" s="752"/>
      <c r="W1077" s="752" t="s">
        <v>36</v>
      </c>
      <c r="X1077" s="752"/>
      <c r="Y1077" s="752" t="s">
        <v>37</v>
      </c>
      <c r="Z1077" s="752"/>
      <c r="AA1077" s="752" t="s">
        <v>38</v>
      </c>
      <c r="AB1077" s="752"/>
      <c r="AC1077" s="752" t="s">
        <v>39</v>
      </c>
      <c r="AD1077" s="752"/>
      <c r="AE1077" s="752" t="s">
        <v>40</v>
      </c>
      <c r="AF1077" s="752"/>
      <c r="AG1077" s="752" t="s">
        <v>41</v>
      </c>
      <c r="AH1077" s="752"/>
      <c r="AI1077" s="752" t="s">
        <v>42</v>
      </c>
      <c r="AJ1077" s="752"/>
      <c r="AK1077" s="752" t="s">
        <v>43</v>
      </c>
      <c r="AL1077" s="752"/>
      <c r="AM1077" s="752" t="s">
        <v>157</v>
      </c>
      <c r="AN1077" s="752"/>
      <c r="AO1077" s="752" t="s">
        <v>248</v>
      </c>
      <c r="AP1077" s="752"/>
      <c r="AQ1077" s="752" t="s">
        <v>249</v>
      </c>
      <c r="AR1077" s="752"/>
      <c r="AS1077" s="752" t="s">
        <v>150</v>
      </c>
      <c r="AT1077" s="752"/>
      <c r="AU1077" s="752" t="s">
        <v>151</v>
      </c>
      <c r="AV1077" s="752"/>
      <c r="AW1077" s="752" t="s">
        <v>44</v>
      </c>
      <c r="AX1077" s="752"/>
      <c r="AY1077" s="752" t="s">
        <v>250</v>
      </c>
      <c r="AZ1077" s="752"/>
      <c r="BA1077" s="752" t="s">
        <v>45</v>
      </c>
      <c r="BB1077" s="752"/>
      <c r="BC1077" s="752" t="s">
        <v>46</v>
      </c>
      <c r="BD1077" s="752"/>
      <c r="BE1077" s="752" t="s">
        <v>92</v>
      </c>
      <c r="BF1077" s="752"/>
    </row>
    <row r="1078" spans="2:58" ht="16" thickBot="1" x14ac:dyDescent="0.25">
      <c r="B1078" s="282"/>
      <c r="C1078" s="285"/>
      <c r="D1078" s="275"/>
      <c r="E1078" s="284"/>
      <c r="F1078" s="293"/>
      <c r="G1078" s="752" t="s">
        <v>50</v>
      </c>
      <c r="H1078" s="752"/>
      <c r="I1078" s="752" t="s">
        <v>51</v>
      </c>
      <c r="J1078" s="752"/>
      <c r="K1078" s="752" t="s">
        <v>51</v>
      </c>
      <c r="L1078" s="752"/>
      <c r="M1078" s="752" t="s">
        <v>52</v>
      </c>
      <c r="N1078" s="752"/>
      <c r="O1078" s="752">
        <v>180</v>
      </c>
      <c r="P1078" s="752"/>
      <c r="Q1078" s="752" t="s">
        <v>53</v>
      </c>
      <c r="R1078" s="752"/>
      <c r="S1078" s="752" t="s">
        <v>54</v>
      </c>
      <c r="T1078" s="752"/>
      <c r="U1078" s="752" t="s">
        <v>54</v>
      </c>
      <c r="V1078" s="752"/>
      <c r="W1078" s="752" t="s">
        <v>55</v>
      </c>
      <c r="X1078" s="752"/>
      <c r="Y1078" s="752" t="s">
        <v>54</v>
      </c>
      <c r="Z1078" s="752"/>
      <c r="AA1078" s="752" t="s">
        <v>54</v>
      </c>
      <c r="AB1078" s="752"/>
      <c r="AC1078" s="752" t="s">
        <v>56</v>
      </c>
      <c r="AD1078" s="752"/>
      <c r="AE1078" s="752" t="s">
        <v>57</v>
      </c>
      <c r="AF1078" s="752"/>
      <c r="AG1078" s="752" t="s">
        <v>57</v>
      </c>
      <c r="AH1078" s="752"/>
      <c r="AI1078" s="752" t="s">
        <v>58</v>
      </c>
      <c r="AJ1078" s="752"/>
      <c r="AK1078" s="752" t="s">
        <v>300</v>
      </c>
      <c r="AL1078" s="752"/>
      <c r="AM1078" s="752" t="s">
        <v>301</v>
      </c>
      <c r="AN1078" s="752"/>
      <c r="AO1078" s="752">
        <v>20</v>
      </c>
      <c r="AP1078" s="752"/>
      <c r="AQ1078" s="752">
        <v>20</v>
      </c>
      <c r="AR1078" s="752"/>
      <c r="AS1078" s="752" t="s">
        <v>57</v>
      </c>
      <c r="AT1078" s="752"/>
      <c r="AU1078" s="752" t="s">
        <v>302</v>
      </c>
      <c r="AV1078" s="752"/>
      <c r="AW1078" s="752">
        <v>100</v>
      </c>
      <c r="AX1078" s="752"/>
      <c r="AY1078" s="752">
        <v>100</v>
      </c>
      <c r="AZ1078" s="752"/>
      <c r="BA1078" s="752" t="s">
        <v>59</v>
      </c>
      <c r="BB1078" s="752"/>
      <c r="BC1078" s="752" t="s">
        <v>51</v>
      </c>
      <c r="BD1078" s="752"/>
      <c r="BE1078" s="752" t="s">
        <v>53</v>
      </c>
      <c r="BF1078" s="752"/>
    </row>
    <row r="1079" spans="2:58" ht="16" thickBot="1" x14ac:dyDescent="0.25">
      <c r="B1079" s="162"/>
      <c r="C1079" s="286"/>
      <c r="D1079" s="273"/>
      <c r="E1079" s="280"/>
      <c r="F1079" s="305"/>
      <c r="G1079" s="752">
        <v>151</v>
      </c>
      <c r="H1079" s="752"/>
      <c r="I1079" s="752">
        <v>167.99</v>
      </c>
      <c r="J1079" s="752"/>
      <c r="K1079" s="752">
        <v>144.99</v>
      </c>
      <c r="L1079" s="752"/>
      <c r="M1079" s="760">
        <v>169.99</v>
      </c>
      <c r="N1079" s="760"/>
      <c r="O1079" s="760">
        <v>274.99</v>
      </c>
      <c r="P1079" s="760"/>
      <c r="Q1079" s="760">
        <v>102.99</v>
      </c>
      <c r="R1079" s="760"/>
      <c r="S1079" s="752">
        <v>910.5</v>
      </c>
      <c r="T1079" s="752"/>
      <c r="U1079" s="752">
        <v>460.75</v>
      </c>
      <c r="V1079" s="752"/>
      <c r="W1079" s="752">
        <v>1048.95</v>
      </c>
      <c r="X1079" s="752"/>
      <c r="Y1079" s="752">
        <v>772.8</v>
      </c>
      <c r="Z1079" s="752"/>
      <c r="AA1079" s="752">
        <v>3450</v>
      </c>
      <c r="AB1079" s="752"/>
      <c r="AC1079" s="760">
        <v>89.99</v>
      </c>
      <c r="AD1079" s="760"/>
      <c r="AE1079" s="752">
        <v>39.99</v>
      </c>
      <c r="AF1079" s="752"/>
      <c r="AG1079" s="752">
        <v>498</v>
      </c>
      <c r="AH1079" s="752"/>
      <c r="AI1079" s="752">
        <v>4.99</v>
      </c>
      <c r="AJ1079" s="752"/>
      <c r="AK1079" s="752">
        <v>132.25</v>
      </c>
      <c r="AL1079" s="752"/>
      <c r="AM1079" s="752">
        <v>47.99</v>
      </c>
      <c r="AN1079" s="752"/>
      <c r="AO1079" s="752">
        <v>560</v>
      </c>
      <c r="AP1079" s="752"/>
      <c r="AQ1079" s="752">
        <v>560</v>
      </c>
      <c r="AR1079" s="752"/>
      <c r="AS1079" s="752">
        <v>613.5</v>
      </c>
      <c r="AT1079" s="752"/>
      <c r="AU1079" s="752">
        <v>313.89999999999998</v>
      </c>
      <c r="AV1079" s="752"/>
      <c r="AW1079" s="752">
        <v>405.8</v>
      </c>
      <c r="AX1079" s="752"/>
      <c r="AY1079" s="752">
        <v>218.99</v>
      </c>
      <c r="AZ1079" s="752"/>
      <c r="BA1079" s="752">
        <v>24.99</v>
      </c>
      <c r="BB1079" s="752"/>
      <c r="BC1079" s="752">
        <v>1425</v>
      </c>
      <c r="BD1079" s="752"/>
      <c r="BE1079" s="752">
        <v>54.99</v>
      </c>
      <c r="BF1079" s="752"/>
    </row>
    <row r="1080" spans="2:58" ht="16" thickBot="1" x14ac:dyDescent="0.25">
      <c r="B1080" s="162"/>
      <c r="C1080" s="753" t="str">
        <f>L1080</f>
        <v>28 APRIL - 4 MAY 2025</v>
      </c>
      <c r="D1080" s="754"/>
      <c r="E1080" s="754"/>
      <c r="F1080" s="754"/>
      <c r="G1080" s="755"/>
      <c r="H1080" s="756"/>
      <c r="I1080" s="163"/>
      <c r="J1080" s="157"/>
      <c r="K1080" s="157"/>
      <c r="L1080" s="757" t="str">
        <f>AL1080</f>
        <v>28 APRIL - 4 MAY 2025</v>
      </c>
      <c r="M1080" s="755"/>
      <c r="N1080" s="755"/>
      <c r="O1080" s="755"/>
      <c r="P1080" s="755"/>
      <c r="Q1080" s="755"/>
      <c r="R1080" s="755"/>
      <c r="S1080" s="755"/>
      <c r="T1080" s="756"/>
      <c r="U1080" s="157"/>
      <c r="V1080" s="157"/>
      <c r="W1080" s="157"/>
      <c r="X1080" s="157"/>
      <c r="Y1080" s="157"/>
      <c r="Z1080" s="157"/>
      <c r="AA1080" s="157"/>
      <c r="AB1080" s="157"/>
      <c r="AC1080" s="157"/>
      <c r="AD1080" s="157"/>
      <c r="AE1080" s="157"/>
      <c r="AF1080" s="157"/>
      <c r="AG1080" s="758"/>
      <c r="AH1080" s="758"/>
      <c r="AI1080" s="164"/>
      <c r="AJ1080" s="157"/>
      <c r="AK1080" s="157"/>
      <c r="AL1080" s="759" t="str">
        <f>AW1080</f>
        <v>28 APRIL - 4 MAY 2025</v>
      </c>
      <c r="AM1080" s="759"/>
      <c r="AN1080" s="759"/>
      <c r="AO1080" s="759"/>
      <c r="AP1080" s="157"/>
      <c r="AQ1080" s="157"/>
      <c r="AR1080" s="157"/>
      <c r="AS1080" s="157"/>
      <c r="AT1080" s="157"/>
      <c r="AU1080" s="157"/>
      <c r="AV1080" s="157"/>
      <c r="AW1080" s="757" t="str">
        <f>AW1023</f>
        <v>28 APRIL - 4 MAY 2025</v>
      </c>
      <c r="AX1080" s="755" t="s">
        <v>28</v>
      </c>
      <c r="AY1080" s="755"/>
      <c r="AZ1080" s="755"/>
      <c r="BA1080" s="755"/>
      <c r="BB1080" s="755"/>
      <c r="BC1080" s="755"/>
      <c r="BD1080" s="756"/>
      <c r="BE1080" s="157"/>
      <c r="BF1080" s="157"/>
    </row>
    <row r="1081" spans="2:58" ht="16" thickBot="1" x14ac:dyDescent="0.25"/>
    <row r="1082" spans="2:58" ht="16" thickBot="1" x14ac:dyDescent="0.25">
      <c r="B1082" s="156" t="s">
        <v>27</v>
      </c>
      <c r="C1082" s="753" t="s">
        <v>1093</v>
      </c>
      <c r="D1082" s="754"/>
      <c r="E1082" s="754"/>
      <c r="F1082" s="754"/>
      <c r="G1082" s="763"/>
      <c r="H1082" s="764"/>
      <c r="I1082" s="163"/>
      <c r="J1082" s="157"/>
      <c r="K1082" s="157"/>
      <c r="L1082" s="765" t="str">
        <f>C1082</f>
        <v>5 - 11 MAY 2025</v>
      </c>
      <c r="M1082" s="763"/>
      <c r="N1082" s="763"/>
      <c r="O1082" s="763"/>
      <c r="P1082" s="763"/>
      <c r="Q1082" s="763"/>
      <c r="R1082" s="763"/>
      <c r="S1082" s="763"/>
      <c r="T1082" s="764"/>
      <c r="U1082" s="157"/>
      <c r="V1082" s="157"/>
      <c r="W1082" s="157"/>
      <c r="X1082" s="157"/>
      <c r="Y1082" s="157"/>
      <c r="Z1082" s="157"/>
      <c r="AA1082" s="157"/>
      <c r="AB1082" s="157"/>
      <c r="AC1082" s="157"/>
      <c r="AD1082" s="157"/>
      <c r="AE1082" s="157"/>
      <c r="AF1082" s="157"/>
      <c r="AG1082" s="766"/>
      <c r="AH1082" s="766"/>
      <c r="AI1082" s="753" t="str">
        <f>L1082</f>
        <v>5 - 11 MAY 2025</v>
      </c>
      <c r="AJ1082" s="754"/>
      <c r="AK1082" s="754"/>
      <c r="AL1082" s="754"/>
      <c r="AM1082" s="754"/>
      <c r="AN1082" s="754"/>
      <c r="AO1082" s="767"/>
      <c r="AP1082" s="157"/>
      <c r="AQ1082" s="157"/>
      <c r="AR1082" s="157"/>
      <c r="AS1082" s="157"/>
      <c r="AT1082" s="157"/>
      <c r="AU1082" s="157"/>
      <c r="AV1082" s="157"/>
      <c r="AW1082" s="765" t="str">
        <f>AI1082</f>
        <v>5 - 11 MAY 2025</v>
      </c>
      <c r="AX1082" s="763" t="s">
        <v>28</v>
      </c>
      <c r="AY1082" s="763"/>
      <c r="AZ1082" s="763"/>
      <c r="BA1082" s="763"/>
      <c r="BB1082" s="763"/>
      <c r="BC1082" s="763"/>
      <c r="BD1082" s="764"/>
      <c r="BE1082" s="157"/>
      <c r="BF1082" s="157"/>
    </row>
    <row r="1083" spans="2:58" ht="16" thickBot="1" x14ac:dyDescent="0.25">
      <c r="B1083" s="158"/>
      <c r="C1083" s="161"/>
      <c r="D1083" s="161"/>
      <c r="E1083" s="157"/>
      <c r="F1083" s="157"/>
      <c r="G1083" s="752" t="s">
        <v>29</v>
      </c>
      <c r="H1083" s="752"/>
      <c r="I1083" s="752" t="s">
        <v>30</v>
      </c>
      <c r="J1083" s="752"/>
      <c r="K1083" s="752" t="s">
        <v>31</v>
      </c>
      <c r="L1083" s="752"/>
      <c r="M1083" s="752" t="s">
        <v>32</v>
      </c>
      <c r="N1083" s="752"/>
      <c r="O1083" s="752" t="s">
        <v>33</v>
      </c>
      <c r="P1083" s="752"/>
      <c r="Q1083" s="752" t="s">
        <v>247</v>
      </c>
      <c r="R1083" s="752"/>
      <c r="S1083" s="752" t="s">
        <v>34</v>
      </c>
      <c r="T1083" s="752"/>
      <c r="U1083" s="752" t="s">
        <v>35</v>
      </c>
      <c r="V1083" s="752"/>
      <c r="W1083" s="752" t="s">
        <v>36</v>
      </c>
      <c r="X1083" s="752"/>
      <c r="Y1083" s="752" t="s">
        <v>37</v>
      </c>
      <c r="Z1083" s="752"/>
      <c r="AA1083" s="752" t="s">
        <v>38</v>
      </c>
      <c r="AB1083" s="752"/>
      <c r="AC1083" s="752" t="s">
        <v>39</v>
      </c>
      <c r="AD1083" s="752"/>
      <c r="AE1083" s="752" t="s">
        <v>40</v>
      </c>
      <c r="AF1083" s="752"/>
      <c r="AG1083" s="752" t="s">
        <v>41</v>
      </c>
      <c r="AH1083" s="752"/>
      <c r="AI1083" s="752" t="s">
        <v>42</v>
      </c>
      <c r="AJ1083" s="752"/>
      <c r="AK1083" s="752" t="s">
        <v>43</v>
      </c>
      <c r="AL1083" s="752"/>
      <c r="AM1083" s="752" t="s">
        <v>157</v>
      </c>
      <c r="AN1083" s="752"/>
      <c r="AO1083" s="752" t="s">
        <v>248</v>
      </c>
      <c r="AP1083" s="752"/>
      <c r="AQ1083" s="752" t="s">
        <v>249</v>
      </c>
      <c r="AR1083" s="752"/>
      <c r="AS1083" s="752" t="s">
        <v>150</v>
      </c>
      <c r="AT1083" s="752"/>
      <c r="AU1083" s="752" t="s">
        <v>151</v>
      </c>
      <c r="AV1083" s="752"/>
      <c r="AW1083" s="752" t="s">
        <v>44</v>
      </c>
      <c r="AX1083" s="752"/>
      <c r="AY1083" s="752" t="s">
        <v>250</v>
      </c>
      <c r="AZ1083" s="752"/>
      <c r="BA1083" s="752" t="s">
        <v>45</v>
      </c>
      <c r="BB1083" s="752"/>
      <c r="BC1083" s="752" t="s">
        <v>46</v>
      </c>
      <c r="BD1083" s="752"/>
      <c r="BE1083" s="752" t="s">
        <v>92</v>
      </c>
      <c r="BF1083" s="752"/>
    </row>
    <row r="1084" spans="2:58" ht="16" thickBot="1" x14ac:dyDescent="0.25">
      <c r="B1084" s="156" t="s">
        <v>47</v>
      </c>
      <c r="C1084" s="156" t="s">
        <v>48</v>
      </c>
      <c r="D1084" s="283"/>
      <c r="E1084" s="271"/>
      <c r="F1084" s="271" t="s">
        <v>49</v>
      </c>
      <c r="G1084" s="752" t="s">
        <v>50</v>
      </c>
      <c r="H1084" s="752"/>
      <c r="I1084" s="752" t="s">
        <v>51</v>
      </c>
      <c r="J1084" s="752"/>
      <c r="K1084" s="752" t="s">
        <v>51</v>
      </c>
      <c r="L1084" s="752"/>
      <c r="M1084" s="752" t="s">
        <v>52</v>
      </c>
      <c r="N1084" s="752"/>
      <c r="O1084" s="752">
        <v>180</v>
      </c>
      <c r="P1084" s="752"/>
      <c r="Q1084" s="752" t="s">
        <v>53</v>
      </c>
      <c r="R1084" s="752"/>
      <c r="S1084" s="752" t="s">
        <v>54</v>
      </c>
      <c r="T1084" s="752"/>
      <c r="U1084" s="752" t="s">
        <v>54</v>
      </c>
      <c r="V1084" s="752"/>
      <c r="W1084" s="752" t="s">
        <v>55</v>
      </c>
      <c r="X1084" s="752"/>
      <c r="Y1084" s="752" t="s">
        <v>54</v>
      </c>
      <c r="Z1084" s="752"/>
      <c r="AA1084" s="752" t="s">
        <v>54</v>
      </c>
      <c r="AB1084" s="752"/>
      <c r="AC1084" s="752" t="s">
        <v>56</v>
      </c>
      <c r="AD1084" s="752"/>
      <c r="AE1084" s="752" t="s">
        <v>57</v>
      </c>
      <c r="AF1084" s="752"/>
      <c r="AG1084" s="752" t="s">
        <v>57</v>
      </c>
      <c r="AH1084" s="752"/>
      <c r="AI1084" s="752" t="s">
        <v>58</v>
      </c>
      <c r="AJ1084" s="752"/>
      <c r="AK1084" s="752" t="s">
        <v>300</v>
      </c>
      <c r="AL1084" s="752"/>
      <c r="AM1084" s="752" t="s">
        <v>301</v>
      </c>
      <c r="AN1084" s="752"/>
      <c r="AO1084" s="752">
        <v>20</v>
      </c>
      <c r="AP1084" s="752"/>
      <c r="AQ1084" s="752">
        <v>20</v>
      </c>
      <c r="AR1084" s="752"/>
      <c r="AS1084" s="752" t="s">
        <v>57</v>
      </c>
      <c r="AT1084" s="752"/>
      <c r="AU1084" s="752" t="s">
        <v>302</v>
      </c>
      <c r="AV1084" s="752"/>
      <c r="AW1084" s="752">
        <v>100</v>
      </c>
      <c r="AX1084" s="752"/>
      <c r="AY1084" s="752">
        <v>100</v>
      </c>
      <c r="AZ1084" s="752"/>
      <c r="BA1084" s="752" t="s">
        <v>59</v>
      </c>
      <c r="BB1084" s="752"/>
      <c r="BC1084" s="752" t="s">
        <v>51</v>
      </c>
      <c r="BD1084" s="752"/>
      <c r="BE1084" s="752" t="s">
        <v>53</v>
      </c>
      <c r="BF1084" s="752"/>
    </row>
    <row r="1085" spans="2:58" ht="16" thickBot="1" x14ac:dyDescent="0.25">
      <c r="B1085" s="156"/>
      <c r="C1085" s="156" t="s">
        <v>60</v>
      </c>
      <c r="D1085" s="283"/>
      <c r="E1085" s="271" t="s">
        <v>61</v>
      </c>
      <c r="F1085" s="271" t="s">
        <v>62</v>
      </c>
      <c r="G1085" s="752">
        <v>151</v>
      </c>
      <c r="H1085" s="752"/>
      <c r="I1085" s="752">
        <v>167.99</v>
      </c>
      <c r="J1085" s="752"/>
      <c r="K1085" s="752">
        <v>144.99</v>
      </c>
      <c r="L1085" s="752"/>
      <c r="M1085" s="760">
        <v>169.99</v>
      </c>
      <c r="N1085" s="760"/>
      <c r="O1085" s="760">
        <v>274.99</v>
      </c>
      <c r="P1085" s="760"/>
      <c r="Q1085" s="760">
        <v>135</v>
      </c>
      <c r="R1085" s="760"/>
      <c r="S1085" s="752">
        <v>910.5</v>
      </c>
      <c r="T1085" s="752"/>
      <c r="U1085" s="752">
        <v>460.75</v>
      </c>
      <c r="V1085" s="752"/>
      <c r="W1085" s="752">
        <v>1048.95</v>
      </c>
      <c r="X1085" s="752"/>
      <c r="Y1085" s="752">
        <v>772.8</v>
      </c>
      <c r="Z1085" s="752"/>
      <c r="AA1085" s="752">
        <v>3450</v>
      </c>
      <c r="AB1085" s="752"/>
      <c r="AC1085" s="760">
        <v>99.99</v>
      </c>
      <c r="AD1085" s="760"/>
      <c r="AE1085" s="752">
        <v>29.99</v>
      </c>
      <c r="AF1085" s="752"/>
      <c r="AG1085" s="752">
        <v>548</v>
      </c>
      <c r="AH1085" s="752"/>
      <c r="AI1085" s="752">
        <v>4.99</v>
      </c>
      <c r="AJ1085" s="752"/>
      <c r="AK1085" s="752">
        <v>132.25</v>
      </c>
      <c r="AL1085" s="752"/>
      <c r="AM1085" s="752">
        <v>47.99</v>
      </c>
      <c r="AN1085" s="752"/>
      <c r="AO1085" s="752">
        <v>560</v>
      </c>
      <c r="AP1085" s="752"/>
      <c r="AQ1085" s="752">
        <v>560</v>
      </c>
      <c r="AR1085" s="752"/>
      <c r="AS1085" s="752">
        <v>613.5</v>
      </c>
      <c r="AT1085" s="752"/>
      <c r="AU1085" s="752">
        <v>313.89999999999998</v>
      </c>
      <c r="AV1085" s="752"/>
      <c r="AW1085" s="752">
        <v>405.8</v>
      </c>
      <c r="AX1085" s="752"/>
      <c r="AY1085" s="752">
        <v>218.99</v>
      </c>
      <c r="AZ1085" s="752"/>
      <c r="BA1085" s="752">
        <v>24.99</v>
      </c>
      <c r="BB1085" s="752"/>
      <c r="BC1085" s="752">
        <v>1425</v>
      </c>
      <c r="BD1085" s="752"/>
      <c r="BE1085" s="752">
        <v>54.99</v>
      </c>
      <c r="BF1085" s="752"/>
    </row>
    <row r="1086" spans="2:58" ht="16" thickBot="1" x14ac:dyDescent="0.25">
      <c r="B1086" s="272">
        <v>45782</v>
      </c>
      <c r="C1086" s="274">
        <v>357</v>
      </c>
      <c r="D1086" s="276"/>
      <c r="E1086" s="278" t="s">
        <v>377</v>
      </c>
      <c r="F1086" s="278"/>
      <c r="G1086" s="271"/>
      <c r="H1086" s="271"/>
      <c r="I1086" s="271"/>
      <c r="J1086" s="271"/>
      <c r="K1086" s="271"/>
      <c r="L1086" s="271"/>
      <c r="M1086" s="271"/>
      <c r="N1086" s="271"/>
      <c r="O1086" s="271"/>
      <c r="P1086" s="271"/>
      <c r="Q1086" s="271"/>
      <c r="R1086" s="271"/>
      <c r="S1086" s="271"/>
      <c r="T1086" s="271"/>
      <c r="U1086" s="271"/>
      <c r="V1086" s="271"/>
      <c r="W1086" s="271"/>
      <c r="X1086" s="271"/>
      <c r="Y1086" s="271"/>
      <c r="Z1086" s="271"/>
      <c r="AA1086" s="271"/>
      <c r="AB1086" s="271"/>
      <c r="AC1086" s="271"/>
      <c r="AD1086" s="271"/>
      <c r="AE1086" s="271"/>
      <c r="AF1086" s="271"/>
      <c r="AG1086" s="271"/>
      <c r="AH1086" s="271"/>
      <c r="AI1086" s="271"/>
      <c r="AJ1086" s="271"/>
      <c r="AK1086" s="271"/>
      <c r="AL1086" s="271"/>
      <c r="AM1086" s="271"/>
      <c r="AN1086" s="271"/>
      <c r="AO1086" s="271"/>
      <c r="AP1086" s="271"/>
      <c r="AQ1086" s="271"/>
      <c r="AR1086" s="271"/>
      <c r="AS1086" s="271"/>
      <c r="AT1086" s="271"/>
      <c r="AU1086" s="271"/>
      <c r="AV1086" s="271"/>
      <c r="AW1086" s="271"/>
      <c r="AX1086" s="271"/>
      <c r="AY1086" s="271"/>
      <c r="AZ1086" s="271"/>
      <c r="BA1086" s="271"/>
      <c r="BB1086" s="271"/>
      <c r="BC1086" s="271"/>
      <c r="BD1086" s="271"/>
      <c r="BE1086" s="271"/>
      <c r="BF1086" s="271"/>
    </row>
    <row r="1087" spans="2:58" ht="16" thickBot="1" x14ac:dyDescent="0.25">
      <c r="B1087" s="660"/>
      <c r="C1087" s="275">
        <v>1431.25</v>
      </c>
      <c r="D1087" s="661"/>
      <c r="E1087" s="303" t="s">
        <v>186</v>
      </c>
      <c r="F1087" s="303"/>
      <c r="G1087" s="271"/>
      <c r="H1087" s="271"/>
      <c r="I1087" s="271"/>
      <c r="J1087" s="271"/>
      <c r="K1087" s="271"/>
      <c r="L1087" s="271"/>
      <c r="M1087" s="271"/>
      <c r="N1087" s="271"/>
      <c r="O1087" s="271"/>
      <c r="P1087" s="271"/>
      <c r="Q1087" s="271"/>
      <c r="R1087" s="271"/>
      <c r="S1087" s="271"/>
      <c r="T1087" s="271"/>
      <c r="U1087" s="271"/>
      <c r="V1087" s="271"/>
      <c r="W1087" s="271"/>
      <c r="X1087" s="271"/>
      <c r="Y1087" s="271"/>
      <c r="Z1087" s="271"/>
      <c r="AA1087" s="271"/>
      <c r="AB1087" s="271"/>
      <c r="AC1087" s="271"/>
      <c r="AD1087" s="271"/>
      <c r="AE1087" s="271"/>
      <c r="AF1087" s="271"/>
      <c r="AG1087" s="271"/>
      <c r="AH1087" s="271"/>
      <c r="AI1087" s="271"/>
      <c r="AJ1087" s="271"/>
      <c r="AK1087" s="271"/>
      <c r="AL1087" s="271"/>
      <c r="AM1087" s="271"/>
      <c r="AN1087" s="271"/>
      <c r="AO1087" s="271"/>
      <c r="AP1087" s="271"/>
      <c r="AQ1087" s="271"/>
      <c r="AR1087" s="271"/>
      <c r="AS1087" s="271"/>
      <c r="AT1087" s="271"/>
      <c r="AU1087" s="271"/>
      <c r="AV1087" s="271"/>
      <c r="AW1087" s="271"/>
      <c r="AX1087" s="271"/>
      <c r="AY1087" s="271"/>
      <c r="AZ1087" s="271"/>
      <c r="BA1087" s="271"/>
      <c r="BB1087" s="271"/>
      <c r="BC1087" s="271"/>
      <c r="BD1087" s="271"/>
      <c r="BE1087" s="271"/>
      <c r="BF1087" s="271"/>
    </row>
    <row r="1088" spans="2:58" ht="16" thickBot="1" x14ac:dyDescent="0.25">
      <c r="B1088" s="660"/>
      <c r="C1088" s="275">
        <v>500</v>
      </c>
      <c r="D1088" s="661"/>
      <c r="E1088" s="303" t="s">
        <v>396</v>
      </c>
      <c r="F1088" s="303"/>
      <c r="G1088" s="271"/>
      <c r="H1088" s="271"/>
      <c r="I1088" s="271"/>
      <c r="J1088" s="271"/>
      <c r="K1088" s="271"/>
      <c r="L1088" s="271"/>
      <c r="M1088" s="271"/>
      <c r="N1088" s="271"/>
      <c r="O1088" s="271"/>
      <c r="P1088" s="271"/>
      <c r="Q1088" s="271"/>
      <c r="R1088" s="271"/>
      <c r="S1088" s="271"/>
      <c r="T1088" s="271"/>
      <c r="U1088" s="271"/>
      <c r="V1088" s="271"/>
      <c r="W1088" s="271"/>
      <c r="X1088" s="271"/>
      <c r="Y1088" s="271"/>
      <c r="Z1088" s="271"/>
      <c r="AA1088" s="271"/>
      <c r="AB1088" s="271"/>
      <c r="AC1088" s="271"/>
      <c r="AD1088" s="271"/>
      <c r="AE1088" s="271"/>
      <c r="AF1088" s="271"/>
      <c r="AG1088" s="271"/>
      <c r="AH1088" s="271"/>
      <c r="AI1088" s="271"/>
      <c r="AJ1088" s="271"/>
      <c r="AK1088" s="271"/>
      <c r="AL1088" s="271"/>
      <c r="AM1088" s="271"/>
      <c r="AN1088" s="271"/>
      <c r="AO1088" s="271"/>
      <c r="AP1088" s="271"/>
      <c r="AQ1088" s="271"/>
      <c r="AR1088" s="271"/>
      <c r="AS1088" s="271"/>
      <c r="AT1088" s="271"/>
      <c r="AU1088" s="271"/>
      <c r="AV1088" s="271"/>
      <c r="AW1088" s="271"/>
      <c r="AX1088" s="271"/>
      <c r="AY1088" s="271"/>
      <c r="AZ1088" s="271"/>
      <c r="BA1088" s="271"/>
      <c r="BB1088" s="271"/>
      <c r="BC1088" s="271"/>
      <c r="BD1088" s="271"/>
      <c r="BE1088" s="271"/>
      <c r="BF1088" s="271"/>
    </row>
    <row r="1089" spans="2:58" ht="16" thickBot="1" x14ac:dyDescent="0.25">
      <c r="B1089" s="660"/>
      <c r="C1089" s="275">
        <v>599.9</v>
      </c>
      <c r="D1089" s="661"/>
      <c r="E1089" s="303"/>
      <c r="F1089" s="303" t="s">
        <v>14</v>
      </c>
      <c r="G1089" s="271"/>
      <c r="H1089" s="271"/>
      <c r="I1089" s="271"/>
      <c r="J1089" s="271"/>
      <c r="K1089" s="271"/>
      <c r="L1089" s="271"/>
      <c r="M1089" s="271"/>
      <c r="N1089" s="271"/>
      <c r="O1089" s="271"/>
      <c r="P1089" s="271"/>
      <c r="Q1089" s="271"/>
      <c r="R1089" s="271"/>
      <c r="S1089" s="271"/>
      <c r="T1089" s="271"/>
      <c r="U1089" s="271"/>
      <c r="V1089" s="271"/>
      <c r="W1089" s="271"/>
      <c r="X1089" s="271"/>
      <c r="Y1089" s="271"/>
      <c r="Z1089" s="271"/>
      <c r="AA1089" s="271"/>
      <c r="AB1089" s="271"/>
      <c r="AC1089" s="271"/>
      <c r="AD1089" s="271"/>
      <c r="AE1089" s="271">
        <v>10</v>
      </c>
      <c r="AF1089" s="271">
        <v>599.9</v>
      </c>
      <c r="AG1089" s="271"/>
      <c r="AH1089" s="271"/>
      <c r="AI1089" s="271"/>
      <c r="AJ1089" s="271"/>
      <c r="AK1089" s="271"/>
      <c r="AL1089" s="271"/>
      <c r="AM1089" s="271"/>
      <c r="AN1089" s="271"/>
      <c r="AO1089" s="271"/>
      <c r="AP1089" s="271"/>
      <c r="AQ1089" s="271"/>
      <c r="AR1089" s="271"/>
      <c r="AS1089" s="271"/>
      <c r="AT1089" s="271"/>
      <c r="AU1089" s="271"/>
      <c r="AV1089" s="271"/>
      <c r="AW1089" s="271"/>
      <c r="AX1089" s="271"/>
      <c r="AY1089" s="271"/>
      <c r="AZ1089" s="271"/>
      <c r="BA1089" s="271"/>
      <c r="BB1089" s="271"/>
      <c r="BC1089" s="271"/>
      <c r="BD1089" s="271"/>
      <c r="BE1089" s="271"/>
      <c r="BF1089" s="271"/>
    </row>
    <row r="1090" spans="2:58" ht="16" thickBot="1" x14ac:dyDescent="0.25">
      <c r="B1090" s="660"/>
      <c r="C1090" s="275">
        <f>5255.72+5236.61</f>
        <v>10492.33</v>
      </c>
      <c r="D1090" s="661"/>
      <c r="E1090" s="303"/>
      <c r="F1090" s="303" t="s">
        <v>9</v>
      </c>
      <c r="G1090" s="271">
        <v>10</v>
      </c>
      <c r="H1090" s="271">
        <f>699.95+684.95</f>
        <v>1384.9</v>
      </c>
      <c r="I1090" s="271">
        <v>2</v>
      </c>
      <c r="J1090" s="271">
        <f>I1090*204.99</f>
        <v>409.98</v>
      </c>
      <c r="K1090" s="271">
        <v>12</v>
      </c>
      <c r="L1090" s="271">
        <f>1109.94*2</f>
        <v>2219.88</v>
      </c>
      <c r="M1090" s="271">
        <v>12</v>
      </c>
      <c r="N1090" s="271">
        <f>1037.94*2</f>
        <v>2075.88</v>
      </c>
      <c r="O1090" s="271">
        <v>24</v>
      </c>
      <c r="P1090" s="271">
        <f>1536+1559.88</f>
        <v>3095.88</v>
      </c>
      <c r="Q1090" s="271"/>
      <c r="R1090" s="271"/>
      <c r="S1090" s="271"/>
      <c r="T1090" s="271"/>
      <c r="U1090" s="271"/>
      <c r="V1090" s="271"/>
      <c r="W1090" s="271">
        <v>8</v>
      </c>
      <c r="X1090" s="271">
        <f>171.96*2</f>
        <v>343.92</v>
      </c>
      <c r="Y1090" s="271"/>
      <c r="Z1090" s="271"/>
      <c r="AA1090" s="271"/>
      <c r="AB1090" s="271"/>
      <c r="AC1090" s="271">
        <v>6</v>
      </c>
      <c r="AD1090" s="271">
        <f>296.97*2</f>
        <v>593.94000000000005</v>
      </c>
      <c r="AE1090" s="271"/>
      <c r="AF1090" s="271"/>
      <c r="AG1090" s="271"/>
      <c r="AH1090" s="271"/>
      <c r="AI1090" s="271"/>
      <c r="AJ1090" s="271"/>
      <c r="AK1090" s="271"/>
      <c r="AL1090" s="271"/>
      <c r="AM1090" s="271">
        <v>2</v>
      </c>
      <c r="AN1090" s="271">
        <f>49.99*2</f>
        <v>99.98</v>
      </c>
      <c r="AO1090" s="271"/>
      <c r="AP1090" s="271"/>
      <c r="AQ1090" s="271"/>
      <c r="AR1090" s="271"/>
      <c r="AS1090" s="271"/>
      <c r="AT1090" s="271"/>
      <c r="AU1090" s="271"/>
      <c r="AV1090" s="271"/>
      <c r="AW1090" s="271"/>
      <c r="AX1090" s="271"/>
      <c r="AY1090" s="271"/>
      <c r="AZ1090" s="271"/>
      <c r="BA1090" s="271">
        <v>1</v>
      </c>
      <c r="BB1090" s="271">
        <v>27.99</v>
      </c>
      <c r="BC1090" s="271"/>
      <c r="BD1090" s="271"/>
      <c r="BE1090" s="271">
        <v>2</v>
      </c>
      <c r="BF1090" s="271">
        <f>59.99*2</f>
        <v>119.98</v>
      </c>
    </row>
    <row r="1091" spans="2:58" ht="16" thickBot="1" x14ac:dyDescent="0.25">
      <c r="B1091" s="681" t="s">
        <v>20</v>
      </c>
      <c r="C1091" s="275"/>
      <c r="D1091" s="277"/>
      <c r="E1091" s="279"/>
      <c r="F1091" s="279"/>
      <c r="G1091" s="271"/>
      <c r="H1091" s="271"/>
      <c r="I1091" s="271"/>
      <c r="J1091" s="271"/>
      <c r="K1091" s="271"/>
      <c r="L1091" s="271"/>
      <c r="M1091" s="271"/>
      <c r="N1091" s="271"/>
      <c r="O1091" s="271"/>
      <c r="P1091" s="271"/>
      <c r="Q1091" s="271"/>
      <c r="R1091" s="271"/>
      <c r="S1091" s="271"/>
      <c r="T1091" s="271"/>
      <c r="U1091" s="271"/>
      <c r="V1091" s="271"/>
      <c r="W1091" s="271"/>
      <c r="X1091" s="271"/>
      <c r="Y1091" s="271"/>
      <c r="Z1091" s="271"/>
      <c r="AA1091" s="271"/>
      <c r="AB1091" s="271"/>
      <c r="AC1091" s="271"/>
      <c r="AD1091" s="271"/>
      <c r="AE1091" s="271"/>
      <c r="AF1091" s="271"/>
      <c r="AG1091" s="271"/>
      <c r="AH1091" s="271"/>
      <c r="AI1091" s="271"/>
      <c r="AJ1091" s="271"/>
      <c r="AK1091" s="271"/>
      <c r="AL1091" s="271"/>
      <c r="AM1091" s="271"/>
      <c r="AN1091" s="271"/>
      <c r="AO1091" s="271"/>
      <c r="AP1091" s="271"/>
      <c r="AQ1091" s="271"/>
      <c r="AR1091" s="271"/>
      <c r="AS1091" s="271"/>
      <c r="AT1091" s="271"/>
      <c r="AU1091" s="271"/>
      <c r="AV1091" s="271"/>
      <c r="AW1091" s="271"/>
      <c r="AX1091" s="271"/>
      <c r="AY1091" s="271"/>
      <c r="AZ1091" s="271"/>
      <c r="BA1091" s="271"/>
      <c r="BB1091" s="271"/>
      <c r="BC1091" s="271"/>
      <c r="BD1091" s="271"/>
      <c r="BE1091" s="271"/>
      <c r="BF1091" s="271"/>
    </row>
    <row r="1092" spans="2:58" ht="16" thickBot="1" x14ac:dyDescent="0.25">
      <c r="B1092" s="479"/>
      <c r="C1092" s="680">
        <f>SUM(C1086:C1091)</f>
        <v>13380.48</v>
      </c>
      <c r="D1092" s="159"/>
      <c r="E1092" s="270"/>
      <c r="F1092" s="281"/>
      <c r="G1092" s="309"/>
      <c r="H1092" s="310"/>
      <c r="I1092" s="309"/>
      <c r="J1092" s="310"/>
      <c r="K1092" s="309"/>
      <c r="L1092" s="310"/>
      <c r="M1092" s="309"/>
      <c r="N1092" s="310"/>
      <c r="O1092" s="271"/>
      <c r="P1092" s="271"/>
      <c r="Q1092" s="310"/>
      <c r="R1092" s="310"/>
      <c r="S1092" s="309"/>
      <c r="T1092" s="310"/>
      <c r="U1092" s="309"/>
      <c r="V1092" s="310"/>
      <c r="W1092" s="309"/>
      <c r="X1092" s="310"/>
      <c r="Y1092" s="309"/>
      <c r="Z1092" s="310"/>
      <c r="AA1092" s="309"/>
      <c r="AB1092" s="310"/>
      <c r="AC1092" s="271"/>
      <c r="AD1092" s="271"/>
      <c r="AE1092" s="309"/>
      <c r="AF1092" s="310"/>
      <c r="AG1092" s="309"/>
      <c r="AH1092" s="310"/>
      <c r="AI1092" s="309"/>
      <c r="AJ1092" s="310"/>
      <c r="AK1092" s="309"/>
      <c r="AL1092" s="310"/>
      <c r="AM1092" s="309"/>
      <c r="AN1092" s="310"/>
      <c r="AO1092" s="309"/>
      <c r="AP1092" s="310"/>
      <c r="AQ1092" s="309"/>
      <c r="AR1092" s="310"/>
      <c r="AS1092" s="309"/>
      <c r="AT1092" s="310"/>
      <c r="AU1092" s="309"/>
      <c r="AV1092" s="310"/>
      <c r="AW1092" s="309"/>
      <c r="AX1092" s="310"/>
      <c r="AY1092" s="309"/>
      <c r="AZ1092" s="310"/>
      <c r="BA1092" s="271"/>
      <c r="BB1092" s="271"/>
      <c r="BC1092" s="271"/>
      <c r="BD1092" s="271"/>
      <c r="BE1092" s="271"/>
      <c r="BF1092" s="271"/>
    </row>
    <row r="1093" spans="2:58" ht="16" thickBot="1" x14ac:dyDescent="0.25">
      <c r="B1093" s="289">
        <v>45783</v>
      </c>
      <c r="C1093" s="275">
        <v>1523.2</v>
      </c>
      <c r="D1093" s="277"/>
      <c r="E1093" s="279" t="s">
        <v>296</v>
      </c>
      <c r="F1093" s="279"/>
      <c r="G1093" s="271"/>
      <c r="H1093" s="271"/>
      <c r="I1093" s="271"/>
      <c r="J1093" s="271"/>
      <c r="K1093" s="271"/>
      <c r="L1093" s="271"/>
      <c r="M1093" s="271"/>
      <c r="N1093" s="271"/>
      <c r="O1093" s="271"/>
      <c r="P1093" s="271"/>
      <c r="Q1093" s="271"/>
      <c r="R1093" s="271"/>
      <c r="S1093" s="271"/>
      <c r="T1093" s="271"/>
      <c r="U1093" s="271"/>
      <c r="V1093" s="271"/>
      <c r="W1093" s="271"/>
      <c r="X1093" s="271"/>
      <c r="Y1093" s="271"/>
      <c r="Z1093" s="271"/>
      <c r="AA1093" s="271"/>
      <c r="AB1093" s="271"/>
      <c r="AC1093" s="271"/>
      <c r="AD1093" s="271"/>
      <c r="AE1093" s="271"/>
      <c r="AF1093" s="271"/>
      <c r="AG1093" s="271"/>
      <c r="AH1093" s="271"/>
      <c r="AI1093" s="271"/>
      <c r="AJ1093" s="271"/>
      <c r="AK1093" s="271"/>
      <c r="AL1093" s="271"/>
      <c r="AM1093" s="271"/>
      <c r="AN1093" s="271"/>
      <c r="AO1093" s="271"/>
      <c r="AP1093" s="271"/>
      <c r="AQ1093" s="271"/>
      <c r="AR1093" s="271"/>
      <c r="AS1093" s="271"/>
      <c r="AT1093" s="271"/>
      <c r="AU1093" s="271"/>
      <c r="AV1093" s="271"/>
      <c r="AW1093" s="271"/>
      <c r="AX1093" s="271"/>
      <c r="AY1093" s="271"/>
      <c r="AZ1093" s="271"/>
      <c r="BA1093" s="271"/>
      <c r="BB1093" s="271"/>
      <c r="BC1093" s="271"/>
      <c r="BD1093" s="271"/>
      <c r="BE1093" s="271"/>
      <c r="BF1093" s="271"/>
    </row>
    <row r="1094" spans="2:58" ht="16" thickBot="1" x14ac:dyDescent="0.25">
      <c r="B1094" s="289"/>
      <c r="C1094" s="139">
        <v>3947.77</v>
      </c>
      <c r="E1094" s="575"/>
      <c r="F1094" s="279" t="s">
        <v>9</v>
      </c>
      <c r="G1094" s="271">
        <v>6</v>
      </c>
      <c r="H1094" s="271">
        <v>821.94</v>
      </c>
      <c r="I1094" s="271">
        <v>1</v>
      </c>
      <c r="J1094" s="271">
        <v>204.99</v>
      </c>
      <c r="K1094" s="271"/>
      <c r="L1094" s="271"/>
      <c r="M1094" s="271">
        <v>6</v>
      </c>
      <c r="N1094" s="271">
        <v>1037.94</v>
      </c>
      <c r="O1094" s="271">
        <v>3</v>
      </c>
      <c r="P1094" s="271">
        <v>1154.97</v>
      </c>
      <c r="Q1094" s="271">
        <v>1</v>
      </c>
      <c r="R1094" s="271">
        <v>144.99</v>
      </c>
      <c r="S1094" s="271"/>
      <c r="T1094" s="271"/>
      <c r="U1094" s="271"/>
      <c r="V1094" s="271"/>
      <c r="W1094" s="271"/>
      <c r="X1094" s="271"/>
      <c r="Y1094" s="271"/>
      <c r="Z1094" s="271"/>
      <c r="AA1094" s="271"/>
      <c r="AB1094" s="271"/>
      <c r="AC1094" s="271">
        <v>5</v>
      </c>
      <c r="AD1094" s="271">
        <v>494.95</v>
      </c>
      <c r="AE1094" s="271"/>
      <c r="AF1094" s="271"/>
      <c r="AG1094" s="271"/>
      <c r="AH1094" s="271"/>
      <c r="AI1094" s="271"/>
      <c r="AJ1094" s="271"/>
      <c r="AK1094" s="271"/>
      <c r="AL1094" s="271"/>
      <c r="AM1094" s="271"/>
      <c r="AN1094" s="271"/>
      <c r="AO1094" s="271"/>
      <c r="AP1094" s="271"/>
      <c r="AQ1094" s="271"/>
      <c r="AR1094" s="271"/>
      <c r="AS1094" s="271"/>
      <c r="AT1094" s="271"/>
      <c r="AU1094" s="271"/>
      <c r="AV1094" s="271"/>
      <c r="AW1094" s="271"/>
      <c r="AX1094" s="271"/>
      <c r="AY1094" s="271"/>
      <c r="AZ1094" s="271"/>
      <c r="BA1094" s="271">
        <v>1</v>
      </c>
      <c r="BB1094" s="271">
        <v>27.99</v>
      </c>
      <c r="BC1094" s="271"/>
      <c r="BD1094" s="271"/>
      <c r="BE1094" s="271"/>
      <c r="BF1094" s="271"/>
    </row>
    <row r="1095" spans="2:58" ht="16" thickBot="1" x14ac:dyDescent="0.25">
      <c r="B1095" s="289"/>
      <c r="C1095" s="4"/>
      <c r="E1095" s="142"/>
      <c r="F1095" s="279"/>
      <c r="G1095" s="271"/>
      <c r="H1095" s="271"/>
      <c r="I1095" s="271"/>
      <c r="J1095" s="271"/>
      <c r="K1095" s="271"/>
      <c r="L1095" s="271"/>
      <c r="M1095" s="271"/>
      <c r="N1095" s="271"/>
      <c r="O1095" s="271"/>
      <c r="P1095" s="271"/>
      <c r="Q1095" s="271"/>
      <c r="R1095" s="271"/>
      <c r="S1095" s="271"/>
      <c r="T1095" s="271"/>
      <c r="U1095" s="271"/>
      <c r="V1095" s="271"/>
      <c r="W1095" s="271"/>
      <c r="X1095" s="271"/>
      <c r="Y1095" s="271"/>
      <c r="Z1095" s="271"/>
      <c r="AA1095" s="271"/>
      <c r="AB1095" s="271"/>
      <c r="AC1095" s="271"/>
      <c r="AD1095" s="271"/>
      <c r="AE1095" s="271"/>
      <c r="AF1095" s="271"/>
      <c r="AG1095" s="271"/>
      <c r="AH1095" s="271"/>
      <c r="AI1095" s="271"/>
      <c r="AJ1095" s="271"/>
      <c r="AK1095" s="271"/>
      <c r="AL1095" s="271"/>
      <c r="AM1095" s="271"/>
      <c r="AN1095" s="271"/>
      <c r="AO1095" s="271"/>
      <c r="AP1095" s="271"/>
      <c r="AQ1095" s="271"/>
      <c r="AR1095" s="271"/>
      <c r="AS1095" s="271"/>
      <c r="AT1095" s="271"/>
      <c r="AU1095" s="271"/>
      <c r="AV1095" s="271"/>
      <c r="AW1095" s="271"/>
      <c r="AX1095" s="271"/>
      <c r="AY1095" s="271"/>
      <c r="AZ1095" s="271"/>
      <c r="BA1095" s="271"/>
      <c r="BB1095" s="271"/>
      <c r="BC1095" s="271"/>
      <c r="BD1095" s="271"/>
      <c r="BE1095" s="271"/>
      <c r="BF1095" s="271"/>
    </row>
    <row r="1096" spans="2:58" ht="16" thickBot="1" x14ac:dyDescent="0.25">
      <c r="B1096" s="289"/>
      <c r="C1096" s="146"/>
      <c r="E1096" s="147"/>
      <c r="F1096" s="279"/>
      <c r="G1096" s="271"/>
      <c r="H1096" s="271"/>
      <c r="I1096" s="271"/>
      <c r="J1096" s="271"/>
      <c r="K1096" s="271"/>
      <c r="L1096" s="271"/>
      <c r="M1096" s="271"/>
      <c r="N1096" s="271"/>
      <c r="O1096" s="271"/>
      <c r="P1096" s="271"/>
      <c r="Q1096" s="271"/>
      <c r="R1096" s="271"/>
      <c r="S1096" s="271"/>
      <c r="T1096" s="271"/>
      <c r="U1096" s="271"/>
      <c r="V1096" s="271"/>
      <c r="W1096" s="271"/>
      <c r="X1096" s="271"/>
      <c r="Y1096" s="271"/>
      <c r="Z1096" s="271"/>
      <c r="AA1096" s="271"/>
      <c r="AB1096" s="271"/>
      <c r="AC1096" s="271"/>
      <c r="AD1096" s="271"/>
      <c r="AE1096" s="271"/>
      <c r="AF1096" s="271"/>
      <c r="AG1096" s="271"/>
      <c r="AH1096" s="271"/>
      <c r="AI1096" s="271"/>
      <c r="AJ1096" s="271"/>
      <c r="AK1096" s="271"/>
      <c r="AL1096" s="271"/>
      <c r="AM1096" s="271"/>
      <c r="AN1096" s="271"/>
      <c r="AO1096" s="271"/>
      <c r="AP1096" s="271"/>
      <c r="AQ1096" s="271"/>
      <c r="AR1096" s="271"/>
      <c r="AS1096" s="271"/>
      <c r="AT1096" s="271"/>
      <c r="AU1096" s="271"/>
      <c r="AV1096" s="271"/>
      <c r="AW1096" s="271"/>
      <c r="AX1096" s="271"/>
      <c r="AY1096" s="271"/>
      <c r="AZ1096" s="271"/>
      <c r="BA1096" s="271"/>
      <c r="BB1096" s="271"/>
      <c r="BC1096" s="271"/>
      <c r="BD1096" s="271"/>
      <c r="BE1096" s="271"/>
      <c r="BF1096" s="271"/>
    </row>
    <row r="1097" spans="2:58" ht="16" thickBot="1" x14ac:dyDescent="0.25">
      <c r="B1097" s="289"/>
      <c r="C1097" s="4"/>
      <c r="E1097" s="142"/>
      <c r="F1097" s="279"/>
      <c r="G1097" s="271"/>
      <c r="H1097" s="271"/>
      <c r="I1097" s="271"/>
      <c r="J1097" s="271"/>
      <c r="K1097" s="271"/>
      <c r="L1097" s="271"/>
      <c r="M1097" s="271"/>
      <c r="N1097" s="271"/>
      <c r="O1097" s="271"/>
      <c r="P1097" s="271"/>
      <c r="Q1097" s="271"/>
      <c r="R1097" s="271"/>
      <c r="S1097" s="271"/>
      <c r="T1097" s="271"/>
      <c r="U1097" s="271"/>
      <c r="V1097" s="271"/>
      <c r="W1097" s="271"/>
      <c r="X1097" s="271"/>
      <c r="Y1097" s="271"/>
      <c r="Z1097" s="271"/>
      <c r="AA1097" s="271"/>
      <c r="AB1097" s="271"/>
      <c r="AC1097" s="271"/>
      <c r="AD1097" s="271"/>
      <c r="AE1097" s="271"/>
      <c r="AF1097" s="271"/>
      <c r="AG1097" s="271"/>
      <c r="AH1097" s="271"/>
      <c r="AI1097" s="271"/>
      <c r="AJ1097" s="271"/>
      <c r="AK1097" s="271"/>
      <c r="AL1097" s="271"/>
      <c r="AM1097" s="271"/>
      <c r="AN1097" s="271"/>
      <c r="AO1097" s="271"/>
      <c r="AP1097" s="271"/>
      <c r="AQ1097" s="271"/>
      <c r="AR1097" s="271"/>
      <c r="AS1097" s="271"/>
      <c r="AT1097" s="271"/>
      <c r="AU1097" s="271"/>
      <c r="AV1097" s="271"/>
      <c r="AW1097" s="271"/>
      <c r="AX1097" s="271"/>
      <c r="AY1097" s="271"/>
      <c r="AZ1097" s="271"/>
      <c r="BA1097" s="271"/>
      <c r="BB1097" s="271"/>
      <c r="BC1097" s="271"/>
      <c r="BD1097" s="271"/>
      <c r="BE1097" s="271"/>
      <c r="BF1097" s="271"/>
    </row>
    <row r="1098" spans="2:58" ht="16" thickBot="1" x14ac:dyDescent="0.25">
      <c r="B1098" s="289"/>
      <c r="C1098" s="4"/>
      <c r="E1098" s="142"/>
      <c r="F1098" s="279"/>
      <c r="G1098" s="271"/>
      <c r="H1098" s="271"/>
      <c r="I1098" s="271"/>
      <c r="J1098" s="271"/>
      <c r="K1098" s="271"/>
      <c r="L1098" s="271"/>
      <c r="M1098" s="271"/>
      <c r="N1098" s="271"/>
      <c r="O1098" s="271"/>
      <c r="P1098" s="271"/>
      <c r="Q1098" s="271"/>
      <c r="R1098" s="271"/>
      <c r="S1098" s="271"/>
      <c r="T1098" s="271"/>
      <c r="U1098" s="271"/>
      <c r="V1098" s="271"/>
      <c r="W1098" s="271"/>
      <c r="X1098" s="271"/>
      <c r="Y1098" s="271"/>
      <c r="Z1098" s="271"/>
      <c r="AA1098" s="271"/>
      <c r="AB1098" s="271"/>
      <c r="AC1098" s="271"/>
      <c r="AD1098" s="271"/>
      <c r="AE1098" s="271"/>
      <c r="AF1098" s="271"/>
      <c r="AG1098" s="271"/>
      <c r="AH1098" s="271"/>
      <c r="AI1098" s="271"/>
      <c r="AJ1098" s="271"/>
      <c r="AK1098" s="271"/>
      <c r="AL1098" s="271"/>
      <c r="AM1098" s="271"/>
      <c r="AN1098" s="271"/>
      <c r="AO1098" s="271"/>
      <c r="AP1098" s="271"/>
      <c r="AQ1098" s="271"/>
      <c r="AR1098" s="271"/>
      <c r="AS1098" s="271"/>
      <c r="AT1098" s="271"/>
      <c r="AU1098" s="271"/>
      <c r="AV1098" s="271"/>
      <c r="AW1098" s="271"/>
      <c r="AX1098" s="271"/>
      <c r="AY1098" s="271"/>
      <c r="AZ1098" s="271"/>
      <c r="BA1098" s="271"/>
      <c r="BB1098" s="271"/>
      <c r="BC1098" s="271"/>
      <c r="BD1098" s="271"/>
      <c r="BE1098" s="271"/>
      <c r="BF1098" s="271"/>
    </row>
    <row r="1099" spans="2:58" ht="16" thickBot="1" x14ac:dyDescent="0.25">
      <c r="B1099" s="289"/>
      <c r="C1099" s="275"/>
      <c r="D1099" s="277"/>
      <c r="E1099" s="279"/>
      <c r="F1099" s="279"/>
      <c r="G1099" s="271"/>
      <c r="H1099" s="271"/>
      <c r="I1099" s="271"/>
      <c r="J1099" s="271"/>
      <c r="K1099" s="271"/>
      <c r="L1099" s="271"/>
      <c r="M1099" s="271"/>
      <c r="N1099" s="271"/>
      <c r="O1099" s="271"/>
      <c r="P1099" s="271"/>
      <c r="Q1099" s="271"/>
      <c r="R1099" s="271"/>
      <c r="S1099" s="271"/>
      <c r="T1099" s="271"/>
      <c r="U1099" s="271"/>
      <c r="V1099" s="271"/>
      <c r="W1099" s="271"/>
      <c r="X1099" s="271"/>
      <c r="Y1099" s="271"/>
      <c r="Z1099" s="271"/>
      <c r="AA1099" s="271"/>
      <c r="AB1099" s="271"/>
      <c r="AC1099" s="271"/>
      <c r="AD1099" s="271"/>
      <c r="AE1099" s="271"/>
      <c r="AF1099" s="271"/>
      <c r="AG1099" s="271"/>
      <c r="AH1099" s="271"/>
      <c r="AI1099" s="271"/>
      <c r="AJ1099" s="271"/>
      <c r="AK1099" s="271"/>
      <c r="AL1099" s="271"/>
      <c r="AM1099" s="271"/>
      <c r="AN1099" s="271"/>
      <c r="AO1099" s="271"/>
      <c r="AP1099" s="271"/>
      <c r="AQ1099" s="271"/>
      <c r="AR1099" s="271"/>
      <c r="AS1099" s="271"/>
      <c r="AT1099" s="271"/>
      <c r="AU1099" s="271"/>
      <c r="AV1099" s="271"/>
      <c r="AW1099" s="271"/>
      <c r="AX1099" s="271"/>
      <c r="AY1099" s="271"/>
      <c r="AZ1099" s="271"/>
      <c r="BA1099" s="271"/>
      <c r="BB1099" s="271"/>
      <c r="BC1099" s="271"/>
      <c r="BD1099" s="271"/>
      <c r="BE1099" s="271"/>
      <c r="BF1099" s="271"/>
    </row>
    <row r="1100" spans="2:58" ht="16" thickBot="1" x14ac:dyDescent="0.25">
      <c r="B1100" s="289"/>
      <c r="C1100" s="275"/>
      <c r="D1100" s="277"/>
      <c r="E1100" s="279"/>
      <c r="F1100" s="279"/>
      <c r="G1100" s="271"/>
      <c r="H1100" s="271"/>
      <c r="I1100" s="271"/>
      <c r="J1100" s="271"/>
      <c r="K1100" s="271"/>
      <c r="L1100" s="271"/>
      <c r="M1100" s="271"/>
      <c r="N1100" s="271"/>
      <c r="O1100" s="271"/>
      <c r="P1100" s="271"/>
      <c r="Q1100" s="271"/>
      <c r="R1100" s="271"/>
      <c r="S1100" s="271"/>
      <c r="T1100" s="271"/>
      <c r="U1100" s="271"/>
      <c r="V1100" s="271"/>
      <c r="W1100" s="271"/>
      <c r="X1100" s="271"/>
      <c r="Y1100" s="271"/>
      <c r="Z1100" s="271"/>
      <c r="AA1100" s="271"/>
      <c r="AB1100" s="271"/>
      <c r="AC1100" s="271"/>
      <c r="AD1100" s="271"/>
      <c r="AE1100" s="271"/>
      <c r="AF1100" s="271"/>
      <c r="AG1100" s="271"/>
      <c r="AH1100" s="271"/>
      <c r="AI1100" s="271"/>
      <c r="AJ1100" s="271"/>
      <c r="AK1100" s="271"/>
      <c r="AL1100" s="271"/>
      <c r="AM1100" s="271"/>
      <c r="AN1100" s="271"/>
      <c r="AO1100" s="271"/>
      <c r="AP1100" s="271"/>
      <c r="AQ1100" s="271"/>
      <c r="AR1100" s="271"/>
      <c r="AS1100" s="271"/>
      <c r="AT1100" s="271"/>
      <c r="AU1100" s="271"/>
      <c r="AV1100" s="271"/>
      <c r="AW1100" s="271"/>
      <c r="AX1100" s="271"/>
      <c r="AY1100" s="271"/>
      <c r="AZ1100" s="271"/>
      <c r="BA1100" s="271"/>
      <c r="BB1100" s="271"/>
      <c r="BC1100" s="271"/>
      <c r="BD1100" s="271"/>
      <c r="BE1100" s="271"/>
      <c r="BF1100" s="271"/>
    </row>
    <row r="1101" spans="2:58" ht="16" thickBot="1" x14ac:dyDescent="0.25">
      <c r="B1101" s="289" t="s">
        <v>90</v>
      </c>
      <c r="C1101" s="275"/>
      <c r="D1101" s="277"/>
      <c r="E1101" s="279"/>
      <c r="F1101" s="279"/>
      <c r="G1101" s="271"/>
      <c r="H1101" s="271"/>
      <c r="I1101" s="271"/>
      <c r="J1101" s="271"/>
      <c r="K1101" s="271"/>
      <c r="L1101" s="271"/>
      <c r="M1101" s="271"/>
      <c r="N1101" s="271"/>
      <c r="O1101" s="271"/>
      <c r="P1101" s="271"/>
      <c r="Q1101" s="271"/>
      <c r="R1101" s="271"/>
      <c r="S1101" s="271"/>
      <c r="T1101" s="271"/>
      <c r="U1101" s="271"/>
      <c r="V1101" s="271"/>
      <c r="W1101" s="271"/>
      <c r="X1101" s="271"/>
      <c r="Y1101" s="271"/>
      <c r="Z1101" s="271"/>
      <c r="AA1101" s="271"/>
      <c r="AB1101" s="271"/>
      <c r="AC1101" s="271"/>
      <c r="AD1101" s="271"/>
      <c r="AE1101" s="271"/>
      <c r="AF1101" s="271"/>
      <c r="AG1101" s="271"/>
      <c r="AH1101" s="271"/>
      <c r="AI1101" s="271"/>
      <c r="AJ1101" s="271"/>
      <c r="AK1101" s="271"/>
      <c r="AL1101" s="271"/>
      <c r="AM1101" s="271"/>
      <c r="AN1101" s="271"/>
      <c r="AO1101" s="271"/>
      <c r="AP1101" s="271"/>
      <c r="AQ1101" s="271"/>
      <c r="AR1101" s="271"/>
      <c r="AS1101" s="271"/>
      <c r="AT1101" s="271"/>
      <c r="AU1101" s="271"/>
      <c r="AV1101" s="271"/>
      <c r="AW1101" s="271"/>
      <c r="AX1101" s="271"/>
      <c r="AY1101" s="271"/>
      <c r="AZ1101" s="271"/>
      <c r="BA1101" s="271"/>
      <c r="BB1101" s="271"/>
      <c r="BC1101" s="271"/>
      <c r="BD1101" s="271"/>
      <c r="BE1101" s="271"/>
      <c r="BF1101" s="271"/>
    </row>
    <row r="1102" spans="2:58" ht="16" thickBot="1" x14ac:dyDescent="0.25">
      <c r="B1102" s="292"/>
      <c r="C1102" s="159">
        <f>SUM(C1093:C1101)</f>
        <v>5470.97</v>
      </c>
      <c r="D1102" s="159"/>
      <c r="E1102" s="270"/>
      <c r="F1102" s="281"/>
      <c r="G1102" s="309"/>
      <c r="H1102" s="310"/>
      <c r="I1102" s="309"/>
      <c r="J1102" s="310"/>
      <c r="K1102" s="309"/>
      <c r="L1102" s="310"/>
      <c r="M1102" s="309"/>
      <c r="N1102" s="310"/>
      <c r="O1102" s="271"/>
      <c r="P1102" s="271"/>
      <c r="Q1102" s="310"/>
      <c r="R1102" s="310"/>
      <c r="S1102" s="309"/>
      <c r="T1102" s="310"/>
      <c r="U1102" s="309"/>
      <c r="V1102" s="310"/>
      <c r="W1102" s="309"/>
      <c r="X1102" s="310"/>
      <c r="Y1102" s="309"/>
      <c r="Z1102" s="310"/>
      <c r="AA1102" s="309"/>
      <c r="AB1102" s="310"/>
      <c r="AC1102" s="271"/>
      <c r="AD1102" s="271"/>
      <c r="AE1102" s="309"/>
      <c r="AF1102" s="310"/>
      <c r="AG1102" s="309"/>
      <c r="AH1102" s="310"/>
      <c r="AI1102" s="309"/>
      <c r="AJ1102" s="310"/>
      <c r="AK1102" s="309"/>
      <c r="AL1102" s="310"/>
      <c r="AM1102" s="309"/>
      <c r="AN1102" s="310"/>
      <c r="AO1102" s="309"/>
      <c r="AP1102" s="310"/>
      <c r="AQ1102" s="309"/>
      <c r="AR1102" s="310"/>
      <c r="AS1102" s="309"/>
      <c r="AT1102" s="310"/>
      <c r="AU1102" s="309"/>
      <c r="AV1102" s="310"/>
      <c r="AW1102" s="309"/>
      <c r="AX1102" s="310"/>
      <c r="AY1102" s="309"/>
      <c r="AZ1102" s="310"/>
      <c r="BA1102" s="271"/>
      <c r="BB1102" s="271"/>
      <c r="BC1102" s="271"/>
      <c r="BD1102" s="271"/>
      <c r="BE1102" s="271"/>
      <c r="BF1102" s="271"/>
    </row>
    <row r="1103" spans="2:58" ht="16" thickBot="1" x14ac:dyDescent="0.25">
      <c r="B1103" s="289">
        <v>45784</v>
      </c>
      <c r="C1103" s="275">
        <v>800.08</v>
      </c>
      <c r="D1103" s="277"/>
      <c r="E1103" s="279" t="s">
        <v>186</v>
      </c>
      <c r="F1103" s="279"/>
      <c r="G1103" s="271"/>
      <c r="H1103" s="271"/>
      <c r="I1103" s="271"/>
      <c r="J1103" s="271"/>
      <c r="K1103" s="271"/>
      <c r="L1103" s="271"/>
      <c r="M1103" s="271"/>
      <c r="N1103" s="271"/>
      <c r="O1103" s="271"/>
      <c r="P1103" s="271"/>
      <c r="Q1103" s="271"/>
      <c r="R1103" s="271"/>
      <c r="S1103" s="271"/>
      <c r="T1103" s="271"/>
      <c r="U1103" s="271"/>
      <c r="V1103" s="271"/>
      <c r="W1103" s="271"/>
      <c r="X1103" s="271"/>
      <c r="Y1103" s="271"/>
      <c r="Z1103" s="271"/>
      <c r="AA1103" s="271"/>
      <c r="AB1103" s="271"/>
      <c r="AC1103" s="271"/>
      <c r="AD1103" s="271"/>
      <c r="AE1103" s="271"/>
      <c r="AF1103" s="271"/>
      <c r="AG1103" s="271"/>
      <c r="AH1103" s="271"/>
      <c r="AI1103" s="271"/>
      <c r="AJ1103" s="271"/>
      <c r="AK1103" s="271"/>
      <c r="AL1103" s="271"/>
      <c r="AM1103" s="271"/>
      <c r="AN1103" s="271"/>
      <c r="AO1103" s="271"/>
      <c r="AP1103" s="271"/>
      <c r="AQ1103" s="271"/>
      <c r="AR1103" s="271"/>
      <c r="AS1103" s="271"/>
      <c r="AT1103" s="271"/>
      <c r="AU1103" s="271"/>
      <c r="AV1103" s="271"/>
      <c r="AW1103" s="271"/>
      <c r="AX1103" s="271"/>
      <c r="AY1103" s="271"/>
      <c r="AZ1103" s="271"/>
      <c r="BA1103" s="271"/>
      <c r="BB1103" s="271"/>
      <c r="BC1103" s="271"/>
      <c r="BD1103" s="271"/>
      <c r="BE1103" s="271"/>
      <c r="BF1103" s="271"/>
    </row>
    <row r="1104" spans="2:58" ht="16" thickBot="1" x14ac:dyDescent="0.25">
      <c r="B1104" s="288" t="s">
        <v>22</v>
      </c>
      <c r="C1104" s="287"/>
      <c r="D1104" s="290"/>
      <c r="E1104" s="290"/>
      <c r="F1104" s="296"/>
      <c r="G1104" s="309"/>
      <c r="H1104" s="310"/>
      <c r="I1104" s="309"/>
      <c r="J1104" s="310"/>
      <c r="K1104" s="309"/>
      <c r="L1104" s="310"/>
      <c r="M1104" s="309"/>
      <c r="N1104" s="310"/>
      <c r="O1104" s="271"/>
      <c r="P1104" s="271"/>
      <c r="Q1104" s="309"/>
      <c r="R1104" s="310"/>
      <c r="S1104" s="309"/>
      <c r="T1104" s="310"/>
      <c r="U1104" s="309"/>
      <c r="V1104" s="310"/>
      <c r="W1104" s="309"/>
      <c r="X1104" s="310"/>
      <c r="Y1104" s="309"/>
      <c r="Z1104" s="310"/>
      <c r="AA1104" s="309"/>
      <c r="AB1104" s="310"/>
      <c r="AC1104" s="271"/>
      <c r="AD1104" s="271"/>
      <c r="AE1104" s="309"/>
      <c r="AF1104" s="310"/>
      <c r="AG1104" s="309"/>
      <c r="AH1104" s="310"/>
      <c r="AI1104" s="309"/>
      <c r="AJ1104" s="310"/>
      <c r="AK1104" s="309"/>
      <c r="AL1104" s="310"/>
      <c r="AM1104" s="309"/>
      <c r="AN1104" s="310"/>
      <c r="AO1104" s="309"/>
      <c r="AP1104" s="310"/>
      <c r="AQ1104" s="309"/>
      <c r="AR1104" s="310"/>
      <c r="AS1104" s="309"/>
      <c r="AT1104" s="310"/>
      <c r="AU1104" s="309"/>
      <c r="AV1104" s="310"/>
      <c r="AW1104" s="309"/>
      <c r="AX1104" s="310"/>
      <c r="AY1104" s="309"/>
      <c r="AZ1104" s="310"/>
      <c r="BA1104" s="271"/>
      <c r="BB1104" s="271"/>
      <c r="BC1104" s="271"/>
      <c r="BD1104" s="271"/>
      <c r="BE1104" s="271"/>
      <c r="BF1104" s="271"/>
    </row>
    <row r="1105" spans="2:58" ht="16" thickBot="1" x14ac:dyDescent="0.25">
      <c r="B1105" s="292"/>
      <c r="C1105" s="159">
        <f>SUM(C1103:C1104)</f>
        <v>800.08</v>
      </c>
      <c r="D1105" s="159"/>
      <c r="E1105" s="270"/>
      <c r="F1105" s="297"/>
      <c r="G1105" s="309"/>
      <c r="H1105" s="310"/>
      <c r="I1105" s="309"/>
      <c r="J1105" s="310"/>
      <c r="K1105" s="309"/>
      <c r="L1105" s="310"/>
      <c r="M1105" s="309"/>
      <c r="N1105" s="310"/>
      <c r="O1105" s="271"/>
      <c r="P1105" s="271"/>
      <c r="Q1105" s="310"/>
      <c r="R1105" s="310"/>
      <c r="S1105" s="309"/>
      <c r="T1105" s="310"/>
      <c r="U1105" s="309"/>
      <c r="V1105" s="310"/>
      <c r="W1105" s="309"/>
      <c r="X1105" s="310"/>
      <c r="Y1105" s="309"/>
      <c r="Z1105" s="310"/>
      <c r="AA1105" s="309"/>
      <c r="AB1105" s="310"/>
      <c r="AC1105" s="271"/>
      <c r="AD1105" s="271"/>
      <c r="AE1105" s="309"/>
      <c r="AF1105" s="310"/>
      <c r="AG1105" s="309"/>
      <c r="AH1105" s="310"/>
      <c r="AI1105" s="309"/>
      <c r="AJ1105" s="310"/>
      <c r="AK1105" s="309"/>
      <c r="AL1105" s="310"/>
      <c r="AM1105" s="309"/>
      <c r="AN1105" s="310"/>
      <c r="AO1105" s="309"/>
      <c r="AP1105" s="310"/>
      <c r="AQ1105" s="309"/>
      <c r="AR1105" s="310"/>
      <c r="AS1105" s="309"/>
      <c r="AT1105" s="310"/>
      <c r="AU1105" s="309"/>
      <c r="AV1105" s="310"/>
      <c r="AW1105" s="309"/>
      <c r="AX1105" s="310"/>
      <c r="AY1105" s="309"/>
      <c r="AZ1105" s="310"/>
      <c r="BA1105" s="271"/>
      <c r="BB1105" s="271"/>
      <c r="BC1105" s="271"/>
      <c r="BD1105" s="271"/>
      <c r="BE1105" s="271"/>
      <c r="BF1105" s="271"/>
    </row>
    <row r="1106" spans="2:58" ht="16" thickBot="1" x14ac:dyDescent="0.25">
      <c r="B1106" s="289">
        <v>45785</v>
      </c>
      <c r="C1106" s="295">
        <v>700</v>
      </c>
      <c r="D1106" s="275"/>
      <c r="E1106" s="274" t="s">
        <v>3</v>
      </c>
      <c r="F1106" s="301"/>
      <c r="G1106" s="309"/>
      <c r="H1106" s="310"/>
      <c r="I1106" s="309"/>
      <c r="J1106" s="310"/>
      <c r="K1106" s="309"/>
      <c r="L1106" s="310"/>
      <c r="M1106" s="309"/>
      <c r="N1106" s="310"/>
      <c r="O1106" s="271"/>
      <c r="P1106" s="271"/>
      <c r="Q1106" s="309"/>
      <c r="R1106" s="310"/>
      <c r="S1106" s="309"/>
      <c r="T1106" s="310"/>
      <c r="U1106" s="309"/>
      <c r="V1106" s="310"/>
      <c r="W1106" s="309"/>
      <c r="X1106" s="310"/>
      <c r="Y1106" s="309"/>
      <c r="Z1106" s="310"/>
      <c r="AA1106" s="309"/>
      <c r="AB1106" s="310"/>
      <c r="AC1106" s="271"/>
      <c r="AD1106" s="271"/>
      <c r="AE1106" s="309"/>
      <c r="AF1106" s="310"/>
      <c r="AG1106" s="309"/>
      <c r="AH1106" s="310"/>
      <c r="AI1106" s="309"/>
      <c r="AJ1106" s="310"/>
      <c r="AK1106" s="309"/>
      <c r="AL1106" s="310"/>
      <c r="AM1106" s="309"/>
      <c r="AN1106" s="310"/>
      <c r="AO1106" s="309"/>
      <c r="AP1106" s="310"/>
      <c r="AQ1106" s="309"/>
      <c r="AR1106" s="310"/>
      <c r="AS1106" s="309"/>
      <c r="AT1106" s="310"/>
      <c r="AU1106" s="309"/>
      <c r="AV1106" s="310"/>
      <c r="AW1106" s="309"/>
      <c r="AX1106" s="310"/>
      <c r="AY1106" s="309"/>
      <c r="AZ1106" s="310"/>
      <c r="BA1106" s="271"/>
      <c r="BB1106" s="271"/>
      <c r="BC1106" s="271"/>
      <c r="BD1106" s="271"/>
      <c r="BE1106" s="271"/>
      <c r="BF1106" s="271"/>
    </row>
    <row r="1107" spans="2:58" ht="16" thickBot="1" x14ac:dyDescent="0.25">
      <c r="B1107" s="289"/>
      <c r="C1107" s="295">
        <v>500</v>
      </c>
      <c r="D1107" s="275"/>
      <c r="E1107" s="275" t="s">
        <v>186</v>
      </c>
      <c r="F1107" s="302"/>
      <c r="G1107" s="309"/>
      <c r="H1107" s="310"/>
      <c r="I1107" s="309"/>
      <c r="J1107" s="310"/>
      <c r="K1107" s="309"/>
      <c r="L1107" s="310"/>
      <c r="M1107" s="309"/>
      <c r="N1107" s="310"/>
      <c r="O1107" s="271"/>
      <c r="P1107" s="271"/>
      <c r="Q1107" s="309"/>
      <c r="R1107" s="310"/>
      <c r="S1107" s="309"/>
      <c r="T1107" s="310"/>
      <c r="U1107" s="309"/>
      <c r="V1107" s="310"/>
      <c r="W1107" s="309"/>
      <c r="X1107" s="310"/>
      <c r="Y1107" s="309"/>
      <c r="Z1107" s="310"/>
      <c r="AA1107" s="309"/>
      <c r="AB1107" s="310"/>
      <c r="AC1107" s="271"/>
      <c r="AD1107" s="271"/>
      <c r="AE1107" s="309"/>
      <c r="AF1107" s="310"/>
      <c r="AG1107" s="309"/>
      <c r="AH1107" s="310"/>
      <c r="AI1107" s="309"/>
      <c r="AJ1107" s="310"/>
      <c r="AK1107" s="309"/>
      <c r="AL1107" s="310"/>
      <c r="AM1107" s="309"/>
      <c r="AN1107" s="310"/>
      <c r="AO1107" s="309"/>
      <c r="AP1107" s="310"/>
      <c r="AQ1107" s="309"/>
      <c r="AR1107" s="310"/>
      <c r="AS1107" s="309"/>
      <c r="AT1107" s="310"/>
      <c r="AU1107" s="309"/>
      <c r="AV1107" s="310"/>
      <c r="AW1107" s="309"/>
      <c r="AX1107" s="310"/>
      <c r="AY1107" s="309"/>
      <c r="AZ1107" s="310"/>
      <c r="BA1107" s="271"/>
      <c r="BB1107" s="271"/>
      <c r="BC1107" s="271"/>
      <c r="BD1107" s="271"/>
      <c r="BE1107" s="271"/>
      <c r="BF1107" s="271"/>
    </row>
    <row r="1108" spans="2:58" ht="16" thickBot="1" x14ac:dyDescent="0.25">
      <c r="B1108" s="289"/>
      <c r="C1108" s="295">
        <v>667.86</v>
      </c>
      <c r="D1108" s="275"/>
      <c r="E1108" s="275"/>
      <c r="F1108" s="302" t="s">
        <v>14</v>
      </c>
      <c r="G1108" s="309"/>
      <c r="H1108" s="310"/>
      <c r="I1108" s="309"/>
      <c r="J1108" s="310"/>
      <c r="K1108" s="309"/>
      <c r="L1108" s="310"/>
      <c r="M1108" s="309"/>
      <c r="N1108" s="310"/>
      <c r="O1108" s="271"/>
      <c r="P1108" s="271"/>
      <c r="Q1108" s="309"/>
      <c r="R1108" s="310"/>
      <c r="S1108" s="309"/>
      <c r="T1108" s="310"/>
      <c r="U1108" s="309"/>
      <c r="V1108" s="310"/>
      <c r="W1108" s="309"/>
      <c r="X1108" s="310"/>
      <c r="Y1108" s="309"/>
      <c r="Z1108" s="310"/>
      <c r="AA1108" s="309"/>
      <c r="AB1108" s="310"/>
      <c r="AC1108" s="271"/>
      <c r="AD1108" s="271"/>
      <c r="AE1108" s="309">
        <v>10</v>
      </c>
      <c r="AF1108" s="310">
        <v>599.9</v>
      </c>
      <c r="AG1108" s="309"/>
      <c r="AH1108" s="310"/>
      <c r="AI1108" s="309"/>
      <c r="AJ1108" s="310"/>
      <c r="AK1108" s="309"/>
      <c r="AL1108" s="310"/>
      <c r="AM1108" s="309"/>
      <c r="AN1108" s="310"/>
      <c r="AO1108" s="309"/>
      <c r="AP1108" s="310"/>
      <c r="AQ1108" s="309"/>
      <c r="AR1108" s="310"/>
      <c r="AS1108" s="309"/>
      <c r="AT1108" s="310"/>
      <c r="AU1108" s="309"/>
      <c r="AV1108" s="310"/>
      <c r="AW1108" s="309"/>
      <c r="AX1108" s="310"/>
      <c r="AY1108" s="309"/>
      <c r="AZ1108" s="310"/>
      <c r="BA1108" s="271"/>
      <c r="BB1108" s="271"/>
      <c r="BC1108" s="271"/>
      <c r="BD1108" s="271"/>
      <c r="BE1108" s="271"/>
      <c r="BF1108" s="271"/>
    </row>
    <row r="1109" spans="2:58" ht="16" thickBot="1" x14ac:dyDescent="0.25">
      <c r="B1109" s="289" t="s">
        <v>23</v>
      </c>
      <c r="C1109" s="295">
        <v>6519.62</v>
      </c>
      <c r="D1109" s="275"/>
      <c r="E1109" s="275"/>
      <c r="F1109" s="302" t="s">
        <v>9</v>
      </c>
      <c r="G1109" s="309">
        <v>8</v>
      </c>
      <c r="H1109" s="310">
        <v>1095.92</v>
      </c>
      <c r="I1109" s="309">
        <v>2</v>
      </c>
      <c r="J1109" s="310">
        <v>409.98</v>
      </c>
      <c r="K1109" s="309">
        <v>6</v>
      </c>
      <c r="L1109" s="310">
        <v>1109.94</v>
      </c>
      <c r="M1109" s="309">
        <v>8</v>
      </c>
      <c r="N1109" s="310">
        <v>1383.92</v>
      </c>
      <c r="O1109" s="271">
        <v>5</v>
      </c>
      <c r="P1109" s="271">
        <v>1924.95</v>
      </c>
      <c r="Q1109" s="309"/>
      <c r="R1109" s="310"/>
      <c r="S1109" s="309"/>
      <c r="T1109" s="310"/>
      <c r="U1109" s="309"/>
      <c r="V1109" s="310"/>
      <c r="W1109" s="309">
        <v>4</v>
      </c>
      <c r="X1109" s="310">
        <v>171.96</v>
      </c>
      <c r="Y1109" s="309"/>
      <c r="Z1109" s="310"/>
      <c r="AA1109" s="309"/>
      <c r="AB1109" s="310"/>
      <c r="AC1109" s="271">
        <v>4</v>
      </c>
      <c r="AD1109" s="271">
        <v>395.96</v>
      </c>
      <c r="AE1109" s="309"/>
      <c r="AF1109" s="310"/>
      <c r="AG1109" s="309"/>
      <c r="AH1109" s="310"/>
      <c r="AI1109" s="309"/>
      <c r="AJ1109" s="310"/>
      <c r="AK1109" s="309"/>
      <c r="AL1109" s="310"/>
      <c r="AM1109" s="309"/>
      <c r="AN1109" s="310"/>
      <c r="AO1109" s="309"/>
      <c r="AP1109" s="310"/>
      <c r="AQ1109" s="309"/>
      <c r="AR1109" s="310"/>
      <c r="AS1109" s="309"/>
      <c r="AT1109" s="310"/>
      <c r="AU1109" s="309"/>
      <c r="AV1109" s="310"/>
      <c r="AW1109" s="309"/>
      <c r="AX1109" s="310"/>
      <c r="AY1109" s="309"/>
      <c r="AZ1109" s="310"/>
      <c r="BA1109" s="271">
        <v>1</v>
      </c>
      <c r="BB1109" s="271">
        <v>27.99</v>
      </c>
      <c r="BC1109" s="271"/>
      <c r="BD1109" s="271"/>
      <c r="BE1109" s="271"/>
      <c r="BF1109" s="271"/>
    </row>
    <row r="1110" spans="2:58" ht="16" thickBot="1" x14ac:dyDescent="0.25">
      <c r="B1110" s="298"/>
      <c r="C1110" s="656">
        <f>SUM(C1106:C1109)</f>
        <v>8387.48</v>
      </c>
      <c r="D1110" s="656"/>
      <c r="E1110" s="578"/>
      <c r="F1110" s="553"/>
      <c r="G1110" s="309"/>
      <c r="H1110" s="310"/>
      <c r="I1110" s="309"/>
      <c r="J1110" s="310"/>
      <c r="K1110" s="309"/>
      <c r="L1110" s="310"/>
      <c r="M1110" s="309"/>
      <c r="N1110" s="310"/>
      <c r="O1110" s="271"/>
      <c r="P1110" s="271"/>
      <c r="Q1110" s="309"/>
      <c r="R1110" s="310"/>
      <c r="S1110" s="309"/>
      <c r="T1110" s="310"/>
      <c r="U1110" s="309"/>
      <c r="V1110" s="310"/>
      <c r="W1110" s="309"/>
      <c r="X1110" s="310"/>
      <c r="Y1110" s="309"/>
      <c r="Z1110" s="310"/>
      <c r="AA1110" s="309"/>
      <c r="AB1110" s="310"/>
      <c r="AC1110" s="271"/>
      <c r="AD1110" s="271"/>
      <c r="AE1110" s="309"/>
      <c r="AF1110" s="310"/>
      <c r="AG1110" s="309"/>
      <c r="AH1110" s="310"/>
      <c r="AI1110" s="309"/>
      <c r="AJ1110" s="310"/>
      <c r="AK1110" s="309"/>
      <c r="AL1110" s="310"/>
      <c r="AM1110" s="309"/>
      <c r="AN1110" s="310"/>
      <c r="AO1110" s="309"/>
      <c r="AP1110" s="310"/>
      <c r="AQ1110" s="309"/>
      <c r="AR1110" s="310"/>
      <c r="AS1110" s="309"/>
      <c r="AT1110" s="310"/>
      <c r="AU1110" s="309"/>
      <c r="AV1110" s="310"/>
      <c r="AW1110" s="309"/>
      <c r="AX1110" s="310"/>
      <c r="AY1110" s="309"/>
      <c r="AZ1110" s="310"/>
      <c r="BA1110" s="271"/>
      <c r="BB1110" s="271"/>
      <c r="BC1110" s="271"/>
      <c r="BD1110" s="271"/>
      <c r="BE1110" s="271"/>
      <c r="BF1110" s="271"/>
    </row>
    <row r="1111" spans="2:58" ht="16" thickBot="1" x14ac:dyDescent="0.25">
      <c r="B1111" s="479">
        <v>45786</v>
      </c>
      <c r="C1111" s="299"/>
      <c r="D1111" s="300"/>
      <c r="E1111" s="274"/>
      <c r="F1111" s="301"/>
      <c r="G1111" s="309"/>
      <c r="H1111" s="310"/>
      <c r="I1111" s="309"/>
      <c r="J1111" s="310"/>
      <c r="K1111" s="309"/>
      <c r="L1111" s="310"/>
      <c r="M1111" s="309"/>
      <c r="N1111" s="310"/>
      <c r="O1111" s="271"/>
      <c r="P1111" s="271"/>
      <c r="Q1111" s="309"/>
      <c r="R1111" s="310"/>
      <c r="S1111" s="309"/>
      <c r="T1111" s="310"/>
      <c r="U1111" s="309"/>
      <c r="V1111" s="310"/>
      <c r="W1111" s="309"/>
      <c r="X1111" s="310"/>
      <c r="Y1111" s="309"/>
      <c r="Z1111" s="310"/>
      <c r="AA1111" s="309"/>
      <c r="AB1111" s="310"/>
      <c r="AC1111" s="271"/>
      <c r="AD1111" s="271"/>
      <c r="AE1111" s="309"/>
      <c r="AF1111" s="310"/>
      <c r="AG1111" s="309"/>
      <c r="AH1111" s="310"/>
      <c r="AI1111" s="309"/>
      <c r="AJ1111" s="310"/>
      <c r="AK1111" s="309"/>
      <c r="AL1111" s="310"/>
      <c r="AM1111" s="309"/>
      <c r="AN1111" s="310"/>
      <c r="AO1111" s="309"/>
      <c r="AP1111" s="310"/>
      <c r="AQ1111" s="309"/>
      <c r="AR1111" s="310"/>
      <c r="AS1111" s="309"/>
      <c r="AT1111" s="310"/>
      <c r="AU1111" s="309"/>
      <c r="AV1111" s="310"/>
      <c r="AW1111" s="309"/>
      <c r="AX1111" s="310"/>
      <c r="AY1111" s="309"/>
      <c r="AZ1111" s="310"/>
      <c r="BA1111" s="271"/>
      <c r="BB1111" s="271"/>
      <c r="BC1111" s="271"/>
      <c r="BD1111" s="271"/>
      <c r="BE1111" s="271"/>
      <c r="BF1111" s="271"/>
    </row>
    <row r="1112" spans="2:58" ht="16" thickBot="1" x14ac:dyDescent="0.25">
      <c r="B1112" s="479"/>
      <c r="C1112" s="299"/>
      <c r="D1112" s="300"/>
      <c r="E1112" s="275"/>
      <c r="F1112" s="302"/>
      <c r="G1112" s="309"/>
      <c r="H1112" s="310"/>
      <c r="I1112" s="309"/>
      <c r="J1112" s="310"/>
      <c r="K1112" s="309"/>
      <c r="L1112" s="310"/>
      <c r="M1112" s="309"/>
      <c r="N1112" s="310"/>
      <c r="O1112" s="271"/>
      <c r="P1112" s="271"/>
      <c r="Q1112" s="309"/>
      <c r="R1112" s="310"/>
      <c r="S1112" s="309"/>
      <c r="T1112" s="310"/>
      <c r="U1112" s="309"/>
      <c r="V1112" s="310"/>
      <c r="W1112" s="309"/>
      <c r="X1112" s="310"/>
      <c r="Y1112" s="309"/>
      <c r="Z1112" s="310"/>
      <c r="AA1112" s="309"/>
      <c r="AB1112" s="310"/>
      <c r="AC1112" s="271"/>
      <c r="AD1112" s="271"/>
      <c r="AE1112" s="309"/>
      <c r="AF1112" s="310"/>
      <c r="AG1112" s="309"/>
      <c r="AH1112" s="310"/>
      <c r="AI1112" s="309"/>
      <c r="AJ1112" s="310"/>
      <c r="AK1112" s="309"/>
      <c r="AL1112" s="310"/>
      <c r="AM1112" s="309"/>
      <c r="AN1112" s="310"/>
      <c r="AO1112" s="309"/>
      <c r="AP1112" s="310"/>
      <c r="AQ1112" s="309"/>
      <c r="AR1112" s="310"/>
      <c r="AS1112" s="309"/>
      <c r="AT1112" s="310"/>
      <c r="AU1112" s="309"/>
      <c r="AV1112" s="310"/>
      <c r="AW1112" s="309"/>
      <c r="AX1112" s="310"/>
      <c r="AY1112" s="309"/>
      <c r="AZ1112" s="310"/>
      <c r="BA1112" s="271"/>
      <c r="BB1112" s="271"/>
      <c r="BC1112" s="271"/>
      <c r="BD1112" s="271"/>
      <c r="BE1112" s="271"/>
      <c r="BF1112" s="271"/>
    </row>
    <row r="1113" spans="2:58" ht="16" thickBot="1" x14ac:dyDescent="0.25">
      <c r="B1113" s="479"/>
      <c r="C1113" s="299"/>
      <c r="D1113" s="300"/>
      <c r="E1113" s="275"/>
      <c r="F1113" s="302"/>
      <c r="G1113" s="309"/>
      <c r="H1113" s="310"/>
      <c r="I1113" s="309"/>
      <c r="J1113" s="310"/>
      <c r="K1113" s="309"/>
      <c r="L1113" s="310"/>
      <c r="M1113" s="309"/>
      <c r="N1113" s="310"/>
      <c r="O1113" s="271"/>
      <c r="P1113" s="271"/>
      <c r="Q1113" s="309"/>
      <c r="R1113" s="310"/>
      <c r="S1113" s="309"/>
      <c r="T1113" s="310"/>
      <c r="U1113" s="309"/>
      <c r="V1113" s="310"/>
      <c r="W1113" s="309"/>
      <c r="X1113" s="310"/>
      <c r="Y1113" s="309"/>
      <c r="Z1113" s="310"/>
      <c r="AA1113" s="309"/>
      <c r="AB1113" s="310"/>
      <c r="AC1113" s="271"/>
      <c r="AD1113" s="271"/>
      <c r="AE1113" s="309"/>
      <c r="AF1113" s="310"/>
      <c r="AG1113" s="309"/>
      <c r="AH1113" s="310"/>
      <c r="AI1113" s="309"/>
      <c r="AJ1113" s="310"/>
      <c r="AK1113" s="309"/>
      <c r="AL1113" s="310"/>
      <c r="AM1113" s="309"/>
      <c r="AN1113" s="310"/>
      <c r="AO1113" s="309"/>
      <c r="AP1113" s="310"/>
      <c r="AQ1113" s="309"/>
      <c r="AR1113" s="310"/>
      <c r="AS1113" s="309"/>
      <c r="AT1113" s="310"/>
      <c r="AU1113" s="309"/>
      <c r="AV1113" s="310"/>
      <c r="AW1113" s="309"/>
      <c r="AX1113" s="310"/>
      <c r="AY1113" s="309"/>
      <c r="AZ1113" s="310"/>
      <c r="BA1113" s="271"/>
      <c r="BB1113" s="271"/>
      <c r="BC1113" s="271"/>
      <c r="BD1113" s="271"/>
      <c r="BE1113" s="271"/>
      <c r="BF1113" s="271"/>
    </row>
    <row r="1114" spans="2:58" ht="16" thickBot="1" x14ac:dyDescent="0.25">
      <c r="B1114" s="479"/>
      <c r="C1114" s="299"/>
      <c r="D1114" s="300"/>
      <c r="E1114" s="275"/>
      <c r="F1114" s="302"/>
      <c r="G1114" s="309"/>
      <c r="H1114" s="310"/>
      <c r="I1114" s="309"/>
      <c r="J1114" s="310"/>
      <c r="K1114" s="309"/>
      <c r="L1114" s="310"/>
      <c r="M1114" s="309"/>
      <c r="N1114" s="310"/>
      <c r="O1114" s="271"/>
      <c r="P1114" s="271"/>
      <c r="Q1114" s="309"/>
      <c r="R1114" s="310"/>
      <c r="S1114" s="309"/>
      <c r="T1114" s="310"/>
      <c r="U1114" s="309"/>
      <c r="V1114" s="310"/>
      <c r="W1114" s="309"/>
      <c r="X1114" s="310"/>
      <c r="Y1114" s="309"/>
      <c r="Z1114" s="310"/>
      <c r="AA1114" s="309"/>
      <c r="AB1114" s="310"/>
      <c r="AC1114" s="271"/>
      <c r="AD1114" s="271"/>
      <c r="AE1114" s="309"/>
      <c r="AF1114" s="310"/>
      <c r="AG1114" s="309"/>
      <c r="AH1114" s="310"/>
      <c r="AI1114" s="309"/>
      <c r="AJ1114" s="310"/>
      <c r="AK1114" s="309"/>
      <c r="AL1114" s="310"/>
      <c r="AM1114" s="309"/>
      <c r="AN1114" s="310"/>
      <c r="AO1114" s="309"/>
      <c r="AP1114" s="310"/>
      <c r="AQ1114" s="309"/>
      <c r="AR1114" s="310"/>
      <c r="AS1114" s="309"/>
      <c r="AT1114" s="310"/>
      <c r="AU1114" s="309"/>
      <c r="AV1114" s="310"/>
      <c r="AW1114" s="309"/>
      <c r="AX1114" s="310"/>
      <c r="AY1114" s="309"/>
      <c r="AZ1114" s="310"/>
      <c r="BA1114" s="271"/>
      <c r="BB1114" s="271"/>
      <c r="BC1114" s="271"/>
      <c r="BD1114" s="271"/>
      <c r="BE1114" s="271"/>
      <c r="BF1114" s="271"/>
    </row>
    <row r="1115" spans="2:58" ht="16" thickBot="1" x14ac:dyDescent="0.25">
      <c r="B1115" s="479"/>
      <c r="C1115" s="657"/>
      <c r="D1115" s="657"/>
      <c r="E1115" s="285"/>
      <c r="F1115" s="302"/>
      <c r="G1115" s="309"/>
      <c r="H1115" s="310"/>
      <c r="I1115" s="309"/>
      <c r="J1115" s="310"/>
      <c r="K1115" s="309"/>
      <c r="L1115" s="310"/>
      <c r="M1115" s="309"/>
      <c r="N1115" s="310"/>
      <c r="O1115" s="271"/>
      <c r="P1115" s="271"/>
      <c r="Q1115" s="309"/>
      <c r="R1115" s="310"/>
      <c r="S1115" s="309"/>
      <c r="T1115" s="310"/>
      <c r="U1115" s="309"/>
      <c r="V1115" s="310"/>
      <c r="W1115" s="309"/>
      <c r="X1115" s="310"/>
      <c r="Y1115" s="309"/>
      <c r="Z1115" s="310"/>
      <c r="AA1115" s="309"/>
      <c r="AB1115" s="310"/>
      <c r="AC1115" s="271"/>
      <c r="AD1115" s="271"/>
      <c r="AE1115" s="309"/>
      <c r="AF1115" s="310"/>
      <c r="AG1115" s="309"/>
      <c r="AH1115" s="310"/>
      <c r="AI1115" s="309"/>
      <c r="AJ1115" s="310"/>
      <c r="AK1115" s="309"/>
      <c r="AL1115" s="310"/>
      <c r="AM1115" s="309"/>
      <c r="AN1115" s="310"/>
      <c r="AO1115" s="309"/>
      <c r="AP1115" s="310"/>
      <c r="AQ1115" s="309"/>
      <c r="AR1115" s="310"/>
      <c r="AS1115" s="309"/>
      <c r="AT1115" s="310"/>
      <c r="AU1115" s="309"/>
      <c r="AV1115" s="310"/>
      <c r="AW1115" s="309"/>
      <c r="AX1115" s="310"/>
      <c r="AY1115" s="309"/>
      <c r="AZ1115" s="310"/>
      <c r="BA1115" s="271"/>
      <c r="BB1115" s="271"/>
      <c r="BC1115" s="271"/>
      <c r="BD1115" s="271"/>
      <c r="BE1115" s="271"/>
      <c r="BF1115" s="271"/>
    </row>
    <row r="1116" spans="2:58" ht="16" thickBot="1" x14ac:dyDescent="0.25">
      <c r="B1116" s="479" t="s">
        <v>24</v>
      </c>
      <c r="C1116" s="299"/>
      <c r="D1116" s="300"/>
      <c r="E1116" s="275"/>
      <c r="F1116" s="302"/>
      <c r="G1116" s="309"/>
      <c r="H1116" s="310"/>
      <c r="I1116" s="309"/>
      <c r="J1116" s="310"/>
      <c r="K1116" s="309"/>
      <c r="L1116" s="310"/>
      <c r="M1116" s="309"/>
      <c r="N1116" s="310"/>
      <c r="O1116" s="271"/>
      <c r="P1116" s="271"/>
      <c r="Q1116" s="309"/>
      <c r="R1116" s="310"/>
      <c r="S1116" s="309"/>
      <c r="T1116" s="310"/>
      <c r="U1116" s="309"/>
      <c r="V1116" s="310"/>
      <c r="W1116" s="309"/>
      <c r="X1116" s="310"/>
      <c r="Y1116" s="309"/>
      <c r="Z1116" s="310"/>
      <c r="AA1116" s="309"/>
      <c r="AB1116" s="310"/>
      <c r="AC1116" s="271"/>
      <c r="AD1116" s="271"/>
      <c r="AE1116" s="309"/>
      <c r="AF1116" s="310"/>
      <c r="AG1116" s="309"/>
      <c r="AH1116" s="310"/>
      <c r="AI1116" s="309"/>
      <c r="AJ1116" s="310"/>
      <c r="AK1116" s="309"/>
      <c r="AL1116" s="310"/>
      <c r="AM1116" s="309"/>
      <c r="AN1116" s="310"/>
      <c r="AO1116" s="309"/>
      <c r="AP1116" s="310"/>
      <c r="AQ1116" s="309"/>
      <c r="AR1116" s="310"/>
      <c r="AS1116" s="309"/>
      <c r="AT1116" s="310"/>
      <c r="AU1116" s="309"/>
      <c r="AV1116" s="310"/>
      <c r="AW1116" s="309"/>
      <c r="AX1116" s="310"/>
      <c r="AY1116" s="309"/>
      <c r="AZ1116" s="310"/>
      <c r="BA1116" s="271"/>
      <c r="BB1116" s="271"/>
      <c r="BC1116" s="271"/>
      <c r="BD1116" s="271"/>
      <c r="BE1116" s="271"/>
      <c r="BF1116" s="271"/>
    </row>
    <row r="1117" spans="2:58" ht="16" thickBot="1" x14ac:dyDescent="0.25">
      <c r="B1117" s="577"/>
      <c r="C1117" s="159">
        <f>SUM(C1111:C1116)</f>
        <v>0</v>
      </c>
      <c r="D1117" s="159"/>
      <c r="E1117" s="270"/>
      <c r="F1117" s="271"/>
      <c r="G1117" s="309"/>
      <c r="H1117" s="310"/>
      <c r="I1117" s="309"/>
      <c r="J1117" s="310"/>
      <c r="K1117" s="309"/>
      <c r="L1117" s="310"/>
      <c r="M1117" s="309"/>
      <c r="N1117" s="310"/>
      <c r="O1117" s="271"/>
      <c r="P1117" s="271"/>
      <c r="Q1117" s="309"/>
      <c r="R1117" s="310"/>
      <c r="S1117" s="309"/>
      <c r="T1117" s="310"/>
      <c r="U1117" s="309"/>
      <c r="V1117" s="310"/>
      <c r="W1117" s="309"/>
      <c r="X1117" s="310"/>
      <c r="Y1117" s="309"/>
      <c r="Z1117" s="310"/>
      <c r="AA1117" s="309"/>
      <c r="AB1117" s="310"/>
      <c r="AC1117" s="271"/>
      <c r="AD1117" s="271"/>
      <c r="AE1117" s="309"/>
      <c r="AF1117" s="310"/>
      <c r="AG1117" s="309"/>
      <c r="AH1117" s="310"/>
      <c r="AI1117" s="309"/>
      <c r="AJ1117" s="310"/>
      <c r="AK1117" s="309"/>
      <c r="AL1117" s="310"/>
      <c r="AM1117" s="309"/>
      <c r="AN1117" s="310"/>
      <c r="AO1117" s="309"/>
      <c r="AP1117" s="310"/>
      <c r="AQ1117" s="309"/>
      <c r="AR1117" s="310"/>
      <c r="AS1117" s="309"/>
      <c r="AT1117" s="310"/>
      <c r="AU1117" s="309"/>
      <c r="AV1117" s="310"/>
      <c r="AW1117" s="309"/>
      <c r="AX1117" s="310"/>
      <c r="AY1117" s="309"/>
      <c r="AZ1117" s="310"/>
      <c r="BA1117" s="271"/>
      <c r="BB1117" s="271"/>
      <c r="BC1117" s="271"/>
      <c r="BD1117" s="271"/>
      <c r="BE1117" s="271"/>
      <c r="BF1117" s="271"/>
    </row>
    <row r="1118" spans="2:58" ht="16" thickBot="1" x14ac:dyDescent="0.25">
      <c r="B1118" s="289">
        <v>45787</v>
      </c>
      <c r="C1118" s="299"/>
      <c r="D1118" s="300"/>
      <c r="E1118" s="274"/>
      <c r="F1118" s="302"/>
      <c r="G1118" s="309"/>
      <c r="H1118" s="310"/>
      <c r="I1118" s="309"/>
      <c r="J1118" s="310"/>
      <c r="K1118" s="309"/>
      <c r="L1118" s="310"/>
      <c r="M1118" s="309"/>
      <c r="N1118" s="310"/>
      <c r="O1118" s="271"/>
      <c r="P1118" s="271"/>
      <c r="Q1118" s="309"/>
      <c r="R1118" s="310"/>
      <c r="S1118" s="309"/>
      <c r="T1118" s="310"/>
      <c r="U1118" s="309"/>
      <c r="V1118" s="310"/>
      <c r="W1118" s="309"/>
      <c r="X1118" s="310"/>
      <c r="Y1118" s="309"/>
      <c r="Z1118" s="310"/>
      <c r="AA1118" s="309"/>
      <c r="AB1118" s="310"/>
      <c r="AC1118" s="271"/>
      <c r="AD1118" s="271"/>
      <c r="AE1118" s="309"/>
      <c r="AF1118" s="310"/>
      <c r="AG1118" s="309"/>
      <c r="AH1118" s="310"/>
      <c r="AI1118" s="309"/>
      <c r="AJ1118" s="310"/>
      <c r="AK1118" s="309"/>
      <c r="AL1118" s="310"/>
      <c r="AM1118" s="309"/>
      <c r="AN1118" s="310"/>
      <c r="AO1118" s="309"/>
      <c r="AP1118" s="310"/>
      <c r="AQ1118" s="309"/>
      <c r="AR1118" s="310"/>
      <c r="AS1118" s="309"/>
      <c r="AT1118" s="310"/>
      <c r="AU1118" s="309"/>
      <c r="AV1118" s="310"/>
      <c r="AW1118" s="309"/>
      <c r="AX1118" s="310"/>
      <c r="AY1118" s="309"/>
      <c r="AZ1118" s="310"/>
      <c r="BA1118" s="271"/>
      <c r="BB1118" s="271"/>
      <c r="BC1118" s="271"/>
      <c r="BD1118" s="271"/>
      <c r="BE1118" s="271"/>
      <c r="BF1118" s="271"/>
    </row>
    <row r="1119" spans="2:58" ht="16" thickBot="1" x14ac:dyDescent="0.25">
      <c r="B1119" s="289"/>
      <c r="C1119" s="299"/>
      <c r="D1119" s="300"/>
      <c r="E1119" s="275"/>
      <c r="F1119" s="302"/>
      <c r="G1119" s="309"/>
      <c r="H1119" s="310"/>
      <c r="I1119" s="309"/>
      <c r="J1119" s="310"/>
      <c r="K1119" s="309"/>
      <c r="L1119" s="310"/>
      <c r="M1119" s="309"/>
      <c r="N1119" s="310"/>
      <c r="O1119" s="271"/>
      <c r="P1119" s="271"/>
      <c r="Q1119" s="309"/>
      <c r="R1119" s="310"/>
      <c r="S1119" s="309"/>
      <c r="T1119" s="310"/>
      <c r="U1119" s="309"/>
      <c r="V1119" s="310"/>
      <c r="W1119" s="309"/>
      <c r="X1119" s="310"/>
      <c r="Y1119" s="309"/>
      <c r="Z1119" s="310"/>
      <c r="AA1119" s="309"/>
      <c r="AB1119" s="310"/>
      <c r="AC1119" s="271"/>
      <c r="AD1119" s="271"/>
      <c r="AE1119" s="309"/>
      <c r="AF1119" s="310"/>
      <c r="AG1119" s="309"/>
      <c r="AH1119" s="310"/>
      <c r="AI1119" s="309"/>
      <c r="AJ1119" s="310"/>
      <c r="AK1119" s="309"/>
      <c r="AL1119" s="310"/>
      <c r="AM1119" s="309"/>
      <c r="AN1119" s="310"/>
      <c r="AO1119" s="309"/>
      <c r="AP1119" s="310"/>
      <c r="AQ1119" s="309"/>
      <c r="AR1119" s="310"/>
      <c r="AS1119" s="309"/>
      <c r="AT1119" s="310"/>
      <c r="AU1119" s="309"/>
      <c r="AV1119" s="310"/>
      <c r="AW1119" s="309"/>
      <c r="AX1119" s="310"/>
      <c r="AY1119" s="309"/>
      <c r="AZ1119" s="310"/>
      <c r="BA1119" s="271"/>
      <c r="BB1119" s="271"/>
      <c r="BC1119" s="271"/>
      <c r="BD1119" s="271"/>
      <c r="BE1119" s="271"/>
      <c r="BF1119" s="271"/>
    </row>
    <row r="1120" spans="2:58" ht="16" thickBot="1" x14ac:dyDescent="0.25">
      <c r="B1120" s="289"/>
      <c r="C1120" s="299"/>
      <c r="D1120" s="300"/>
      <c r="E1120" s="275"/>
      <c r="F1120" s="302"/>
      <c r="G1120" s="309"/>
      <c r="H1120" s="310"/>
      <c r="I1120" s="309"/>
      <c r="J1120" s="310"/>
      <c r="K1120" s="309"/>
      <c r="L1120" s="310"/>
      <c r="M1120" s="309"/>
      <c r="N1120" s="310"/>
      <c r="O1120" s="271"/>
      <c r="P1120" s="271"/>
      <c r="Q1120" s="309"/>
      <c r="R1120" s="310"/>
      <c r="S1120" s="309"/>
      <c r="T1120" s="310"/>
      <c r="U1120" s="309"/>
      <c r="V1120" s="310"/>
      <c r="W1120" s="309"/>
      <c r="X1120" s="310"/>
      <c r="Y1120" s="309"/>
      <c r="Z1120" s="310"/>
      <c r="AA1120" s="309"/>
      <c r="AB1120" s="310"/>
      <c r="AC1120" s="271"/>
      <c r="AD1120" s="271"/>
      <c r="AE1120" s="309"/>
      <c r="AF1120" s="310"/>
      <c r="AG1120" s="309"/>
      <c r="AH1120" s="310"/>
      <c r="AI1120" s="309"/>
      <c r="AJ1120" s="310"/>
      <c r="AK1120" s="309"/>
      <c r="AL1120" s="310"/>
      <c r="AM1120" s="309"/>
      <c r="AN1120" s="310"/>
      <c r="AO1120" s="309"/>
      <c r="AP1120" s="310"/>
      <c r="AQ1120" s="309"/>
      <c r="AR1120" s="310"/>
      <c r="AS1120" s="309"/>
      <c r="AT1120" s="310"/>
      <c r="AU1120" s="309"/>
      <c r="AV1120" s="310"/>
      <c r="AW1120" s="309"/>
      <c r="AX1120" s="310"/>
      <c r="AY1120" s="309"/>
      <c r="AZ1120" s="310"/>
      <c r="BA1120" s="271"/>
      <c r="BB1120" s="271"/>
      <c r="BC1120" s="271"/>
      <c r="BD1120" s="271"/>
      <c r="BE1120" s="271"/>
      <c r="BF1120" s="271"/>
    </row>
    <row r="1121" spans="2:58" ht="16" thickBot="1" x14ac:dyDescent="0.25">
      <c r="B1121" s="289"/>
      <c r="C1121" s="299"/>
      <c r="D1121" s="300"/>
      <c r="E1121" s="275"/>
      <c r="F1121" s="302"/>
      <c r="G1121" s="309"/>
      <c r="H1121" s="310"/>
      <c r="I1121" s="309"/>
      <c r="J1121" s="310"/>
      <c r="K1121" s="309"/>
      <c r="L1121" s="310"/>
      <c r="M1121" s="309"/>
      <c r="N1121" s="310"/>
      <c r="O1121" s="271"/>
      <c r="P1121" s="271"/>
      <c r="Q1121" s="309"/>
      <c r="R1121" s="310"/>
      <c r="S1121" s="309"/>
      <c r="T1121" s="310"/>
      <c r="U1121" s="309"/>
      <c r="V1121" s="310"/>
      <c r="W1121" s="309"/>
      <c r="X1121" s="310"/>
      <c r="Y1121" s="309"/>
      <c r="Z1121" s="310"/>
      <c r="AA1121" s="309"/>
      <c r="AB1121" s="310"/>
      <c r="AC1121" s="271"/>
      <c r="AD1121" s="271"/>
      <c r="AE1121" s="309"/>
      <c r="AF1121" s="310"/>
      <c r="AG1121" s="309"/>
      <c r="AH1121" s="310"/>
      <c r="AI1121" s="309"/>
      <c r="AJ1121" s="310"/>
      <c r="AK1121" s="309"/>
      <c r="AL1121" s="310"/>
      <c r="AM1121" s="309"/>
      <c r="AN1121" s="310"/>
      <c r="AO1121" s="309"/>
      <c r="AP1121" s="310"/>
      <c r="AQ1121" s="309"/>
      <c r="AR1121" s="310"/>
      <c r="AS1121" s="309"/>
      <c r="AT1121" s="310"/>
      <c r="AU1121" s="309"/>
      <c r="AV1121" s="310"/>
      <c r="AW1121" s="309"/>
      <c r="AX1121" s="310"/>
      <c r="AY1121" s="309"/>
      <c r="AZ1121" s="310"/>
      <c r="BA1121" s="271"/>
      <c r="BB1121" s="271"/>
      <c r="BC1121" s="271"/>
      <c r="BD1121" s="271"/>
      <c r="BE1121" s="271"/>
      <c r="BF1121" s="271"/>
    </row>
    <row r="1122" spans="2:58" ht="16" thickBot="1" x14ac:dyDescent="0.25">
      <c r="B1122" s="289"/>
      <c r="C1122" s="299"/>
      <c r="D1122" s="300"/>
      <c r="E1122" s="275"/>
      <c r="F1122" s="302"/>
      <c r="G1122" s="309"/>
      <c r="H1122" s="310"/>
      <c r="I1122" s="309"/>
      <c r="J1122" s="310"/>
      <c r="K1122" s="309"/>
      <c r="L1122" s="310"/>
      <c r="M1122" s="309"/>
      <c r="N1122" s="310"/>
      <c r="O1122" s="271"/>
      <c r="P1122" s="271"/>
      <c r="Q1122" s="309"/>
      <c r="R1122" s="310"/>
      <c r="S1122" s="309"/>
      <c r="T1122" s="310"/>
      <c r="U1122" s="309"/>
      <c r="V1122" s="310"/>
      <c r="W1122" s="309"/>
      <c r="X1122" s="310"/>
      <c r="Y1122" s="309"/>
      <c r="Z1122" s="310"/>
      <c r="AA1122" s="309"/>
      <c r="AB1122" s="310"/>
      <c r="AC1122" s="271"/>
      <c r="AD1122" s="271"/>
      <c r="AE1122" s="309"/>
      <c r="AF1122" s="310"/>
      <c r="AG1122" s="309"/>
      <c r="AH1122" s="310"/>
      <c r="AI1122" s="309"/>
      <c r="AJ1122" s="310"/>
      <c r="AK1122" s="309"/>
      <c r="AL1122" s="310"/>
      <c r="AM1122" s="309"/>
      <c r="AN1122" s="310"/>
      <c r="AO1122" s="309"/>
      <c r="AP1122" s="310"/>
      <c r="AQ1122" s="309"/>
      <c r="AR1122" s="310"/>
      <c r="AS1122" s="309"/>
      <c r="AT1122" s="310"/>
      <c r="AU1122" s="309"/>
      <c r="AV1122" s="310"/>
      <c r="AW1122" s="309"/>
      <c r="AX1122" s="310"/>
      <c r="AY1122" s="309"/>
      <c r="AZ1122" s="310"/>
      <c r="BA1122" s="271"/>
      <c r="BB1122" s="271"/>
      <c r="BC1122" s="271"/>
      <c r="BD1122" s="271"/>
      <c r="BE1122" s="271"/>
      <c r="BF1122" s="271"/>
    </row>
    <row r="1123" spans="2:58" ht="16" thickBot="1" x14ac:dyDescent="0.25">
      <c r="B1123" s="289"/>
      <c r="C1123" s="299"/>
      <c r="D1123" s="300"/>
      <c r="E1123" s="275"/>
      <c r="F1123" s="302"/>
      <c r="G1123" s="309"/>
      <c r="H1123" s="310"/>
      <c r="I1123" s="309"/>
      <c r="J1123" s="310"/>
      <c r="K1123" s="309"/>
      <c r="L1123" s="310"/>
      <c r="M1123" s="309"/>
      <c r="N1123" s="310"/>
      <c r="O1123" s="271"/>
      <c r="P1123" s="271"/>
      <c r="Q1123" s="309"/>
      <c r="R1123" s="310"/>
      <c r="S1123" s="309"/>
      <c r="T1123" s="310"/>
      <c r="U1123" s="309"/>
      <c r="V1123" s="310"/>
      <c r="W1123" s="309"/>
      <c r="X1123" s="310"/>
      <c r="Y1123" s="309"/>
      <c r="Z1123" s="310"/>
      <c r="AA1123" s="309"/>
      <c r="AB1123" s="310"/>
      <c r="AC1123" s="271"/>
      <c r="AD1123" s="271"/>
      <c r="AE1123" s="309"/>
      <c r="AF1123" s="310"/>
      <c r="AG1123" s="309"/>
      <c r="AH1123" s="310"/>
      <c r="AI1123" s="309"/>
      <c r="AJ1123" s="310"/>
      <c r="AK1123" s="309"/>
      <c r="AL1123" s="310"/>
      <c r="AM1123" s="309"/>
      <c r="AN1123" s="310"/>
      <c r="AO1123" s="309"/>
      <c r="AP1123" s="310"/>
      <c r="AQ1123" s="309"/>
      <c r="AR1123" s="310"/>
      <c r="AS1123" s="309"/>
      <c r="AT1123" s="310"/>
      <c r="AU1123" s="309"/>
      <c r="AV1123" s="310"/>
      <c r="AW1123" s="309"/>
      <c r="AX1123" s="310"/>
      <c r="AY1123" s="309"/>
      <c r="AZ1123" s="310"/>
      <c r="BA1123" s="271"/>
      <c r="BB1123" s="271"/>
      <c r="BC1123" s="271"/>
      <c r="BD1123" s="271"/>
      <c r="BE1123" s="271"/>
      <c r="BF1123" s="271"/>
    </row>
    <row r="1124" spans="2:58" ht="16" thickBot="1" x14ac:dyDescent="0.25">
      <c r="B1124" s="289"/>
      <c r="C1124" s="299"/>
      <c r="D1124" s="300"/>
      <c r="E1124" s="275"/>
      <c r="F1124" s="302"/>
      <c r="G1124" s="309"/>
      <c r="H1124" s="310"/>
      <c r="I1124" s="309"/>
      <c r="J1124" s="310"/>
      <c r="K1124" s="309"/>
      <c r="L1124" s="310"/>
      <c r="M1124" s="309"/>
      <c r="N1124" s="310"/>
      <c r="O1124" s="271"/>
      <c r="P1124" s="271"/>
      <c r="Q1124" s="309"/>
      <c r="R1124" s="310"/>
      <c r="S1124" s="309"/>
      <c r="T1124" s="310"/>
      <c r="U1124" s="309"/>
      <c r="V1124" s="310"/>
      <c r="W1124" s="309"/>
      <c r="X1124" s="310"/>
      <c r="Y1124" s="309"/>
      <c r="Z1124" s="310"/>
      <c r="AA1124" s="309"/>
      <c r="AB1124" s="310"/>
      <c r="AC1124" s="271"/>
      <c r="AD1124" s="271"/>
      <c r="AE1124" s="309"/>
      <c r="AF1124" s="310"/>
      <c r="AG1124" s="309"/>
      <c r="AH1124" s="310"/>
      <c r="AI1124" s="309"/>
      <c r="AJ1124" s="310"/>
      <c r="AK1124" s="309"/>
      <c r="AL1124" s="310"/>
      <c r="AM1124" s="309"/>
      <c r="AN1124" s="310"/>
      <c r="AO1124" s="309"/>
      <c r="AP1124" s="310"/>
      <c r="AQ1124" s="309"/>
      <c r="AR1124" s="310"/>
      <c r="AS1124" s="309"/>
      <c r="AT1124" s="310"/>
      <c r="AU1124" s="309"/>
      <c r="AV1124" s="310"/>
      <c r="AW1124" s="309"/>
      <c r="AX1124" s="310"/>
      <c r="AY1124" s="309"/>
      <c r="AZ1124" s="310"/>
      <c r="BA1124" s="271"/>
      <c r="BB1124" s="271"/>
      <c r="BC1124" s="271"/>
      <c r="BD1124" s="271"/>
      <c r="BE1124" s="271"/>
      <c r="BF1124" s="271"/>
    </row>
    <row r="1125" spans="2:58" ht="16" thickBot="1" x14ac:dyDescent="0.25">
      <c r="B1125" s="288" t="s">
        <v>25</v>
      </c>
      <c r="C1125" s="284"/>
      <c r="D1125" s="291"/>
      <c r="E1125" s="290"/>
      <c r="F1125" s="293"/>
      <c r="G1125" s="309"/>
      <c r="H1125" s="310"/>
      <c r="I1125" s="309"/>
      <c r="J1125" s="310"/>
      <c r="K1125" s="309"/>
      <c r="L1125" s="310"/>
      <c r="M1125" s="309"/>
      <c r="N1125" s="310"/>
      <c r="O1125" s="271"/>
      <c r="P1125" s="271"/>
      <c r="Q1125" s="309"/>
      <c r="R1125" s="310"/>
      <c r="S1125" s="309"/>
      <c r="T1125" s="310"/>
      <c r="U1125" s="309"/>
      <c r="V1125" s="310"/>
      <c r="W1125" s="309"/>
      <c r="X1125" s="310"/>
      <c r="Y1125" s="309"/>
      <c r="Z1125" s="310"/>
      <c r="AA1125" s="309"/>
      <c r="AB1125" s="310"/>
      <c r="AC1125" s="271"/>
      <c r="AD1125" s="271"/>
      <c r="AE1125" s="309"/>
      <c r="AF1125" s="310"/>
      <c r="AG1125" s="309"/>
      <c r="AH1125" s="310"/>
      <c r="AI1125" s="309"/>
      <c r="AJ1125" s="310"/>
      <c r="AK1125" s="309"/>
      <c r="AL1125" s="310"/>
      <c r="AM1125" s="309"/>
      <c r="AN1125" s="310"/>
      <c r="AO1125" s="309"/>
      <c r="AP1125" s="310"/>
      <c r="AQ1125" s="309"/>
      <c r="AR1125" s="310"/>
      <c r="AS1125" s="309"/>
      <c r="AT1125" s="310"/>
      <c r="AU1125" s="309"/>
      <c r="AV1125" s="310"/>
      <c r="AW1125" s="309"/>
      <c r="AX1125" s="310"/>
      <c r="AY1125" s="309"/>
      <c r="AZ1125" s="310"/>
      <c r="BA1125" s="271"/>
      <c r="BB1125" s="271"/>
      <c r="BC1125" s="271"/>
      <c r="BD1125" s="271"/>
      <c r="BE1125" s="271"/>
      <c r="BF1125" s="271"/>
    </row>
    <row r="1126" spans="2:58" ht="16" thickBot="1" x14ac:dyDescent="0.25">
      <c r="B1126" s="668"/>
      <c r="C1126" s="640">
        <f>SUM(C1118:C1125)</f>
        <v>0</v>
      </c>
      <c r="D1126" s="159"/>
      <c r="E1126" s="270"/>
      <c r="F1126" s="271"/>
      <c r="G1126" s="309"/>
      <c r="H1126" s="310"/>
      <c r="I1126" s="309"/>
      <c r="J1126" s="310"/>
      <c r="K1126" s="309"/>
      <c r="L1126" s="310"/>
      <c r="M1126" s="309"/>
      <c r="N1126" s="310"/>
      <c r="O1126" s="271"/>
      <c r="P1126" s="271"/>
      <c r="Q1126" s="309"/>
      <c r="R1126" s="310"/>
      <c r="S1126" s="309"/>
      <c r="T1126" s="310"/>
      <c r="U1126" s="309"/>
      <c r="V1126" s="310"/>
      <c r="W1126" s="309"/>
      <c r="X1126" s="310"/>
      <c r="Y1126" s="309"/>
      <c r="Z1126" s="310"/>
      <c r="AA1126" s="309"/>
      <c r="AB1126" s="310"/>
      <c r="AC1126" s="271"/>
      <c r="AD1126" s="271"/>
      <c r="AE1126" s="309"/>
      <c r="AF1126" s="310"/>
      <c r="AG1126" s="309"/>
      <c r="AH1126" s="310"/>
      <c r="AI1126" s="309"/>
      <c r="AJ1126" s="310"/>
      <c r="AK1126" s="309"/>
      <c r="AL1126" s="310"/>
      <c r="AM1126" s="309"/>
      <c r="AN1126" s="310"/>
      <c r="AO1126" s="309"/>
      <c r="AP1126" s="310"/>
      <c r="AQ1126" s="309"/>
      <c r="AR1126" s="310"/>
      <c r="AS1126" s="309"/>
      <c r="AT1126" s="310"/>
      <c r="AU1126" s="309"/>
      <c r="AV1126" s="310"/>
      <c r="AW1126" s="309"/>
      <c r="AX1126" s="310"/>
      <c r="AY1126" s="309"/>
      <c r="AZ1126" s="310"/>
      <c r="BA1126" s="271"/>
      <c r="BB1126" s="271"/>
      <c r="BC1126" s="271"/>
      <c r="BD1126" s="271"/>
      <c r="BE1126" s="271"/>
      <c r="BF1126" s="271"/>
    </row>
    <row r="1127" spans="2:58" ht="16" thickBot="1" x14ac:dyDescent="0.25">
      <c r="B1127" s="479">
        <v>45788</v>
      </c>
      <c r="C1127" s="657"/>
      <c r="D1127" s="641"/>
      <c r="E1127" s="274"/>
      <c r="F1127" s="301"/>
      <c r="G1127" s="550"/>
      <c r="H1127" s="310"/>
      <c r="I1127" s="309"/>
      <c r="J1127" s="310"/>
      <c r="K1127" s="309"/>
      <c r="L1127" s="310"/>
      <c r="M1127" s="309"/>
      <c r="N1127" s="310"/>
      <c r="O1127" s="271"/>
      <c r="P1127" s="271"/>
      <c r="Q1127" s="309"/>
      <c r="R1127" s="310"/>
      <c r="S1127" s="309"/>
      <c r="T1127" s="310"/>
      <c r="U1127" s="309"/>
      <c r="V1127" s="310"/>
      <c r="W1127" s="309"/>
      <c r="X1127" s="310"/>
      <c r="Y1127" s="309"/>
      <c r="Z1127" s="310"/>
      <c r="AA1127" s="309"/>
      <c r="AB1127" s="310"/>
      <c r="AC1127" s="271"/>
      <c r="AD1127" s="271"/>
      <c r="AE1127" s="309"/>
      <c r="AF1127" s="310"/>
      <c r="AG1127" s="309"/>
      <c r="AH1127" s="310"/>
      <c r="AI1127" s="309"/>
      <c r="AJ1127" s="310"/>
      <c r="AK1127" s="309"/>
      <c r="AL1127" s="310"/>
      <c r="AM1127" s="309"/>
      <c r="AN1127" s="310"/>
      <c r="AO1127" s="309"/>
      <c r="AP1127" s="310"/>
      <c r="AQ1127" s="309"/>
      <c r="AR1127" s="310"/>
      <c r="AS1127" s="309"/>
      <c r="AT1127" s="310"/>
      <c r="AU1127" s="309"/>
      <c r="AV1127" s="310"/>
      <c r="AW1127" s="309"/>
      <c r="AX1127" s="310"/>
      <c r="AY1127" s="309"/>
      <c r="AZ1127" s="310"/>
      <c r="BA1127" s="271"/>
      <c r="BB1127" s="271"/>
      <c r="BC1127" s="271"/>
      <c r="BD1127" s="271"/>
      <c r="BE1127" s="271"/>
      <c r="BF1127" s="271"/>
    </row>
    <row r="1128" spans="2:58" ht="16" thickBot="1" x14ac:dyDescent="0.25">
      <c r="B1128" s="479"/>
      <c r="C1128" s="657"/>
      <c r="D1128" s="657"/>
      <c r="E1128" s="285"/>
      <c r="F1128" s="302"/>
      <c r="G1128" s="550"/>
      <c r="H1128" s="310"/>
      <c r="I1128" s="309"/>
      <c r="J1128" s="310"/>
      <c r="K1128" s="309"/>
      <c r="L1128" s="310"/>
      <c r="M1128" s="309"/>
      <c r="N1128" s="310"/>
      <c r="O1128" s="271"/>
      <c r="P1128" s="271"/>
      <c r="Q1128" s="309"/>
      <c r="R1128" s="310"/>
      <c r="S1128" s="309"/>
      <c r="T1128" s="310"/>
      <c r="U1128" s="309"/>
      <c r="V1128" s="310"/>
      <c r="W1128" s="309"/>
      <c r="X1128" s="310"/>
      <c r="Y1128" s="309"/>
      <c r="Z1128" s="310"/>
      <c r="AA1128" s="309"/>
      <c r="AB1128" s="310"/>
      <c r="AC1128" s="271"/>
      <c r="AD1128" s="271"/>
      <c r="AE1128" s="309"/>
      <c r="AF1128" s="310"/>
      <c r="AG1128" s="309"/>
      <c r="AH1128" s="310"/>
      <c r="AI1128" s="309"/>
      <c r="AJ1128" s="310"/>
      <c r="AK1128" s="309"/>
      <c r="AL1128" s="310"/>
      <c r="AM1128" s="309"/>
      <c r="AN1128" s="310"/>
      <c r="AO1128" s="309"/>
      <c r="AP1128" s="310"/>
      <c r="AQ1128" s="309"/>
      <c r="AR1128" s="310"/>
      <c r="AS1128" s="309"/>
      <c r="AT1128" s="310"/>
      <c r="AU1128" s="309"/>
      <c r="AV1128" s="310"/>
      <c r="AW1128" s="309"/>
      <c r="AX1128" s="310"/>
      <c r="AY1128" s="309"/>
      <c r="AZ1128" s="310"/>
      <c r="BA1128" s="271"/>
      <c r="BB1128" s="271"/>
      <c r="BC1128" s="271"/>
      <c r="BD1128" s="271"/>
      <c r="BE1128" s="271"/>
      <c r="BF1128" s="271"/>
    </row>
    <row r="1129" spans="2:58" ht="16" thickBot="1" x14ac:dyDescent="0.25">
      <c r="B1129" s="479"/>
      <c r="C1129" s="657"/>
      <c r="D1129" s="657"/>
      <c r="E1129" s="285"/>
      <c r="F1129" s="302"/>
      <c r="G1129" s="550"/>
      <c r="H1129" s="310"/>
      <c r="I1129" s="309"/>
      <c r="J1129" s="310"/>
      <c r="K1129" s="309"/>
      <c r="L1129" s="310"/>
      <c r="M1129" s="309"/>
      <c r="N1129" s="310"/>
      <c r="O1129" s="271"/>
      <c r="P1129" s="271"/>
      <c r="Q1129" s="309"/>
      <c r="R1129" s="310"/>
      <c r="S1129" s="309"/>
      <c r="T1129" s="310"/>
      <c r="U1129" s="309"/>
      <c r="V1129" s="310"/>
      <c r="W1129" s="309"/>
      <c r="X1129" s="310"/>
      <c r="Y1129" s="309"/>
      <c r="Z1129" s="310"/>
      <c r="AA1129" s="309"/>
      <c r="AB1129" s="310"/>
      <c r="AC1129" s="271"/>
      <c r="AD1129" s="271"/>
      <c r="AE1129" s="309"/>
      <c r="AF1129" s="310"/>
      <c r="AG1129" s="309"/>
      <c r="AH1129" s="310"/>
      <c r="AI1129" s="309"/>
      <c r="AJ1129" s="310"/>
      <c r="AK1129" s="309"/>
      <c r="AL1129" s="310"/>
      <c r="AM1129" s="309"/>
      <c r="AN1129" s="310"/>
      <c r="AO1129" s="309"/>
      <c r="AP1129" s="310"/>
      <c r="AQ1129" s="309"/>
      <c r="AR1129" s="310"/>
      <c r="AS1129" s="309"/>
      <c r="AT1129" s="310"/>
      <c r="AU1129" s="309"/>
      <c r="AV1129" s="310"/>
      <c r="AW1129" s="309"/>
      <c r="AX1129" s="310"/>
      <c r="AY1129" s="309"/>
      <c r="AZ1129" s="310"/>
      <c r="BA1129" s="271"/>
      <c r="BB1129" s="271"/>
      <c r="BC1129" s="271"/>
      <c r="BD1129" s="271"/>
      <c r="BE1129" s="271"/>
      <c r="BF1129" s="271"/>
    </row>
    <row r="1130" spans="2:58" ht="16" thickBot="1" x14ac:dyDescent="0.25">
      <c r="B1130" s="479"/>
      <c r="C1130" s="657"/>
      <c r="D1130" s="657"/>
      <c r="E1130" s="285"/>
      <c r="F1130" s="302"/>
      <c r="G1130" s="550"/>
      <c r="H1130" s="310"/>
      <c r="I1130" s="309"/>
      <c r="J1130" s="310"/>
      <c r="K1130" s="309"/>
      <c r="L1130" s="310"/>
      <c r="M1130" s="309"/>
      <c r="N1130" s="310"/>
      <c r="O1130" s="271"/>
      <c r="P1130" s="271"/>
      <c r="Q1130" s="309"/>
      <c r="R1130" s="310"/>
      <c r="S1130" s="309"/>
      <c r="T1130" s="310"/>
      <c r="U1130" s="309"/>
      <c r="V1130" s="310"/>
      <c r="W1130" s="309"/>
      <c r="X1130" s="310"/>
      <c r="Y1130" s="309"/>
      <c r="Z1130" s="310"/>
      <c r="AA1130" s="309"/>
      <c r="AB1130" s="310"/>
      <c r="AC1130" s="271"/>
      <c r="AD1130" s="271"/>
      <c r="AE1130" s="309"/>
      <c r="AF1130" s="310"/>
      <c r="AG1130" s="309"/>
      <c r="AH1130" s="310"/>
      <c r="AI1130" s="309"/>
      <c r="AJ1130" s="310"/>
      <c r="AK1130" s="309"/>
      <c r="AL1130" s="310"/>
      <c r="AM1130" s="309"/>
      <c r="AN1130" s="310"/>
      <c r="AO1130" s="309"/>
      <c r="AP1130" s="310"/>
      <c r="AQ1130" s="309"/>
      <c r="AR1130" s="310"/>
      <c r="AS1130" s="309"/>
      <c r="AT1130" s="310"/>
      <c r="AU1130" s="309"/>
      <c r="AV1130" s="310"/>
      <c r="AW1130" s="309"/>
      <c r="AX1130" s="310"/>
      <c r="AY1130" s="309"/>
      <c r="AZ1130" s="310"/>
      <c r="BA1130" s="271"/>
      <c r="BB1130" s="271"/>
      <c r="BC1130" s="271"/>
      <c r="BD1130" s="271"/>
      <c r="BE1130" s="271"/>
      <c r="BF1130" s="271"/>
    </row>
    <row r="1131" spans="2:58" ht="16" thickBot="1" x14ac:dyDescent="0.25">
      <c r="B1131" s="479"/>
      <c r="C1131" s="657"/>
      <c r="D1131" s="657"/>
      <c r="E1131" s="285"/>
      <c r="F1131" s="302"/>
      <c r="G1131" s="550"/>
      <c r="H1131" s="310"/>
      <c r="I1131" s="309"/>
      <c r="J1131" s="310"/>
      <c r="K1131" s="309"/>
      <c r="L1131" s="310"/>
      <c r="M1131" s="309"/>
      <c r="N1131" s="310"/>
      <c r="O1131" s="271"/>
      <c r="P1131" s="271"/>
      <c r="Q1131" s="309"/>
      <c r="R1131" s="310"/>
      <c r="S1131" s="309"/>
      <c r="T1131" s="310"/>
      <c r="U1131" s="309"/>
      <c r="V1131" s="310"/>
      <c r="W1131" s="309"/>
      <c r="X1131" s="310"/>
      <c r="Y1131" s="309"/>
      <c r="Z1131" s="310"/>
      <c r="AA1131" s="309"/>
      <c r="AB1131" s="310"/>
      <c r="AC1131" s="271"/>
      <c r="AD1131" s="271"/>
      <c r="AE1131" s="309"/>
      <c r="AF1131" s="310"/>
      <c r="AG1131" s="309"/>
      <c r="AH1131" s="310"/>
      <c r="AI1131" s="309"/>
      <c r="AJ1131" s="310"/>
      <c r="AK1131" s="309"/>
      <c r="AL1131" s="310"/>
      <c r="AM1131" s="309"/>
      <c r="AN1131" s="310"/>
      <c r="AO1131" s="309"/>
      <c r="AP1131" s="310"/>
      <c r="AQ1131" s="309"/>
      <c r="AR1131" s="310"/>
      <c r="AS1131" s="309"/>
      <c r="AT1131" s="310"/>
      <c r="AU1131" s="309"/>
      <c r="AV1131" s="310"/>
      <c r="AW1131" s="309"/>
      <c r="AX1131" s="310"/>
      <c r="AY1131" s="309"/>
      <c r="AZ1131" s="310"/>
      <c r="BA1131" s="271"/>
      <c r="BB1131" s="271"/>
      <c r="BC1131" s="271"/>
      <c r="BD1131" s="271"/>
      <c r="BE1131" s="271"/>
      <c r="BF1131" s="271"/>
    </row>
    <row r="1132" spans="2:58" ht="16" thickBot="1" x14ac:dyDescent="0.25">
      <c r="B1132" s="479"/>
      <c r="C1132" s="657"/>
      <c r="D1132" s="657"/>
      <c r="E1132" s="285"/>
      <c r="F1132" s="302"/>
      <c r="G1132" s="550"/>
      <c r="H1132" s="310"/>
      <c r="I1132" s="309"/>
      <c r="J1132" s="310"/>
      <c r="K1132" s="309"/>
      <c r="L1132" s="310"/>
      <c r="M1132" s="309"/>
      <c r="N1132" s="310"/>
      <c r="O1132" s="271"/>
      <c r="P1132" s="271"/>
      <c r="Q1132" s="309"/>
      <c r="R1132" s="310"/>
      <c r="S1132" s="309"/>
      <c r="T1132" s="310"/>
      <c r="U1132" s="309"/>
      <c r="V1132" s="310"/>
      <c r="W1132" s="309"/>
      <c r="X1132" s="310"/>
      <c r="Y1132" s="309"/>
      <c r="Z1132" s="310"/>
      <c r="AA1132" s="309"/>
      <c r="AB1132" s="310"/>
      <c r="AC1132" s="271"/>
      <c r="AD1132" s="271"/>
      <c r="AE1132" s="309"/>
      <c r="AF1132" s="310"/>
      <c r="AG1132" s="309"/>
      <c r="AH1132" s="310"/>
      <c r="AI1132" s="309"/>
      <c r="AJ1132" s="310"/>
      <c r="AK1132" s="309"/>
      <c r="AL1132" s="310"/>
      <c r="AM1132" s="309"/>
      <c r="AN1132" s="310"/>
      <c r="AO1132" s="309"/>
      <c r="AP1132" s="310"/>
      <c r="AQ1132" s="309"/>
      <c r="AR1132" s="310"/>
      <c r="AS1132" s="309"/>
      <c r="AT1132" s="310"/>
      <c r="AU1132" s="309"/>
      <c r="AV1132" s="310"/>
      <c r="AW1132" s="309"/>
      <c r="AX1132" s="310"/>
      <c r="AY1132" s="309"/>
      <c r="AZ1132" s="310"/>
      <c r="BA1132" s="271"/>
      <c r="BB1132" s="271"/>
      <c r="BC1132" s="271"/>
      <c r="BD1132" s="271"/>
      <c r="BE1132" s="271"/>
      <c r="BF1132" s="271"/>
    </row>
    <row r="1133" spans="2:58" ht="16" thickBot="1" x14ac:dyDescent="0.25">
      <c r="B1133" s="549" t="s">
        <v>26</v>
      </c>
      <c r="C1133" s="554"/>
      <c r="D1133" s="291"/>
      <c r="E1133" s="290"/>
      <c r="F1133" s="293"/>
      <c r="G1133" s="550"/>
      <c r="H1133" s="310"/>
      <c r="I1133" s="309"/>
      <c r="J1133" s="310"/>
      <c r="K1133" s="309"/>
      <c r="L1133" s="310"/>
      <c r="M1133" s="309"/>
      <c r="N1133" s="310"/>
      <c r="O1133" s="271"/>
      <c r="P1133" s="271"/>
      <c r="Q1133" s="309"/>
      <c r="R1133" s="310"/>
      <c r="S1133" s="309"/>
      <c r="T1133" s="310"/>
      <c r="U1133" s="309"/>
      <c r="V1133" s="310"/>
      <c r="W1133" s="309"/>
      <c r="X1133" s="310"/>
      <c r="Y1133" s="309"/>
      <c r="Z1133" s="310"/>
      <c r="AA1133" s="309"/>
      <c r="AB1133" s="310"/>
      <c r="AC1133" s="271"/>
      <c r="AD1133" s="271"/>
      <c r="AE1133" s="309"/>
      <c r="AF1133" s="310"/>
      <c r="AG1133" s="309"/>
      <c r="AH1133" s="310"/>
      <c r="AI1133" s="309"/>
      <c r="AJ1133" s="310"/>
      <c r="AK1133" s="309"/>
      <c r="AL1133" s="310"/>
      <c r="AM1133" s="309"/>
      <c r="AN1133" s="310"/>
      <c r="AO1133" s="309"/>
      <c r="AP1133" s="310"/>
      <c r="AQ1133" s="309"/>
      <c r="AR1133" s="310"/>
      <c r="AS1133" s="309"/>
      <c r="AT1133" s="310"/>
      <c r="AU1133" s="309"/>
      <c r="AV1133" s="310"/>
      <c r="AW1133" s="309"/>
      <c r="AX1133" s="310"/>
      <c r="AY1133" s="309"/>
      <c r="AZ1133" s="310"/>
      <c r="BA1133" s="271"/>
      <c r="BB1133" s="271"/>
      <c r="BC1133" s="271"/>
      <c r="BD1133" s="271"/>
      <c r="BE1133" s="271"/>
      <c r="BF1133" s="271"/>
    </row>
    <row r="1134" spans="2:58" ht="16" thickBot="1" x14ac:dyDescent="0.25">
      <c r="B1134" s="292"/>
      <c r="C1134" s="551">
        <f>SUM(C1127:C1133)</f>
        <v>0</v>
      </c>
      <c r="D1134" s="551"/>
      <c r="E1134" s="552"/>
      <c r="F1134" s="553"/>
      <c r="G1134" s="271"/>
      <c r="H1134" s="271"/>
      <c r="I1134" s="271"/>
      <c r="J1134" s="271"/>
      <c r="K1134" s="271"/>
      <c r="L1134" s="271"/>
      <c r="M1134" s="271"/>
      <c r="N1134" s="271"/>
      <c r="O1134" s="271"/>
      <c r="P1134" s="271"/>
      <c r="Q1134" s="271"/>
      <c r="R1134" s="271"/>
      <c r="S1134" s="271"/>
      <c r="T1134" s="271"/>
      <c r="U1134" s="271"/>
      <c r="V1134" s="271"/>
      <c r="W1134" s="271"/>
      <c r="X1134" s="271"/>
      <c r="Y1134" s="271"/>
      <c r="Z1134" s="271"/>
      <c r="AA1134" s="271"/>
      <c r="AB1134" s="271"/>
      <c r="AC1134" s="271"/>
      <c r="AD1134" s="271"/>
      <c r="AE1134" s="309"/>
      <c r="AF1134" s="310"/>
      <c r="AG1134" s="309"/>
      <c r="AH1134" s="310"/>
      <c r="AI1134" s="309"/>
      <c r="AJ1134" s="310"/>
      <c r="AK1134" s="309"/>
      <c r="AL1134" s="310"/>
      <c r="AM1134" s="309"/>
      <c r="AN1134" s="310"/>
      <c r="AO1134" s="309"/>
      <c r="AP1134" s="310"/>
      <c r="AQ1134" s="309"/>
      <c r="AR1134" s="310"/>
      <c r="AS1134" s="309"/>
      <c r="AT1134" s="310"/>
      <c r="AU1134" s="309"/>
      <c r="AV1134" s="310"/>
      <c r="AW1134" s="309"/>
      <c r="AX1134" s="310"/>
      <c r="AY1134" s="309"/>
      <c r="AZ1134" s="310"/>
      <c r="BA1134" s="271"/>
      <c r="BB1134" s="271"/>
      <c r="BC1134" s="271"/>
      <c r="BD1134" s="271"/>
      <c r="BE1134" s="271"/>
      <c r="BF1134" s="271"/>
    </row>
    <row r="1135" spans="2:58" ht="16" thickBot="1" x14ac:dyDescent="0.25">
      <c r="B1135" s="761" t="s">
        <v>329</v>
      </c>
      <c r="C1135" s="311"/>
      <c r="D1135" s="312"/>
      <c r="E1135" s="285"/>
      <c r="F1135" s="302"/>
      <c r="G1135" s="306">
        <f t="shared" ref="G1135:AD1135" si="36">SUM(G1092:G1133)</f>
        <v>14</v>
      </c>
      <c r="H1135" s="307">
        <f t="shared" si="36"/>
        <v>1917.8600000000001</v>
      </c>
      <c r="I1135" s="306">
        <f t="shared" si="36"/>
        <v>3</v>
      </c>
      <c r="J1135" s="307">
        <f t="shared" si="36"/>
        <v>614.97</v>
      </c>
      <c r="K1135" s="306">
        <f t="shared" si="36"/>
        <v>6</v>
      </c>
      <c r="L1135" s="307">
        <f t="shared" si="36"/>
        <v>1109.94</v>
      </c>
      <c r="M1135" s="306">
        <f t="shared" si="36"/>
        <v>14</v>
      </c>
      <c r="N1135" s="307">
        <f t="shared" si="36"/>
        <v>2421.86</v>
      </c>
      <c r="O1135" s="308">
        <f t="shared" si="36"/>
        <v>8</v>
      </c>
      <c r="P1135" s="308">
        <f t="shared" si="36"/>
        <v>3079.92</v>
      </c>
      <c r="Q1135" s="306">
        <f t="shared" si="36"/>
        <v>1</v>
      </c>
      <c r="R1135" s="307">
        <f t="shared" si="36"/>
        <v>144.99</v>
      </c>
      <c r="S1135" s="306">
        <f t="shared" si="36"/>
        <v>0</v>
      </c>
      <c r="T1135" s="307">
        <f t="shared" si="36"/>
        <v>0</v>
      </c>
      <c r="U1135" s="306">
        <f t="shared" si="36"/>
        <v>0</v>
      </c>
      <c r="V1135" s="307">
        <f t="shared" si="36"/>
        <v>0</v>
      </c>
      <c r="W1135" s="306">
        <f t="shared" si="36"/>
        <v>4</v>
      </c>
      <c r="X1135" s="307">
        <f t="shared" si="36"/>
        <v>171.96</v>
      </c>
      <c r="Y1135" s="306">
        <f t="shared" si="36"/>
        <v>0</v>
      </c>
      <c r="Z1135" s="307">
        <f t="shared" si="36"/>
        <v>0</v>
      </c>
      <c r="AA1135" s="306">
        <f t="shared" si="36"/>
        <v>0</v>
      </c>
      <c r="AB1135" s="307">
        <f t="shared" si="36"/>
        <v>0</v>
      </c>
      <c r="AC1135" s="308">
        <f t="shared" si="36"/>
        <v>9</v>
      </c>
      <c r="AD1135" s="308">
        <f t="shared" si="36"/>
        <v>890.91</v>
      </c>
      <c r="AE1135" s="306">
        <f t="shared" ref="AE1135:BF1135" si="37">SUM(AE1092:AE1134)</f>
        <v>10</v>
      </c>
      <c r="AF1135" s="307">
        <f t="shared" si="37"/>
        <v>599.9</v>
      </c>
      <c r="AG1135" s="306">
        <f t="shared" si="37"/>
        <v>0</v>
      </c>
      <c r="AH1135" s="307">
        <f t="shared" si="37"/>
        <v>0</v>
      </c>
      <c r="AI1135" s="306">
        <f t="shared" si="37"/>
        <v>0</v>
      </c>
      <c r="AJ1135" s="307">
        <f t="shared" si="37"/>
        <v>0</v>
      </c>
      <c r="AK1135" s="306">
        <f t="shared" si="37"/>
        <v>0</v>
      </c>
      <c r="AL1135" s="307">
        <f t="shared" si="37"/>
        <v>0</v>
      </c>
      <c r="AM1135" s="306">
        <f t="shared" si="37"/>
        <v>0</v>
      </c>
      <c r="AN1135" s="307">
        <f t="shared" si="37"/>
        <v>0</v>
      </c>
      <c r="AO1135" s="306">
        <f t="shared" si="37"/>
        <v>0</v>
      </c>
      <c r="AP1135" s="307">
        <f t="shared" si="37"/>
        <v>0</v>
      </c>
      <c r="AQ1135" s="306">
        <f t="shared" si="37"/>
        <v>0</v>
      </c>
      <c r="AR1135" s="307">
        <f t="shared" si="37"/>
        <v>0</v>
      </c>
      <c r="AS1135" s="306">
        <f t="shared" si="37"/>
        <v>0</v>
      </c>
      <c r="AT1135" s="307">
        <f t="shared" si="37"/>
        <v>0</v>
      </c>
      <c r="AU1135" s="306">
        <f t="shared" si="37"/>
        <v>0</v>
      </c>
      <c r="AV1135" s="307">
        <f t="shared" si="37"/>
        <v>0</v>
      </c>
      <c r="AW1135" s="306">
        <f t="shared" si="37"/>
        <v>0</v>
      </c>
      <c r="AX1135" s="307">
        <f t="shared" si="37"/>
        <v>0</v>
      </c>
      <c r="AY1135" s="306">
        <f t="shared" si="37"/>
        <v>0</v>
      </c>
      <c r="AZ1135" s="307">
        <f t="shared" si="37"/>
        <v>0</v>
      </c>
      <c r="BA1135" s="306">
        <f t="shared" si="37"/>
        <v>2</v>
      </c>
      <c r="BB1135" s="307">
        <f t="shared" si="37"/>
        <v>55.98</v>
      </c>
      <c r="BC1135" s="306">
        <f t="shared" si="37"/>
        <v>0</v>
      </c>
      <c r="BD1135" s="307">
        <f t="shared" si="37"/>
        <v>0</v>
      </c>
      <c r="BE1135" s="306">
        <f t="shared" si="37"/>
        <v>0</v>
      </c>
      <c r="BF1135" s="307">
        <f t="shared" si="37"/>
        <v>0</v>
      </c>
    </row>
    <row r="1136" spans="2:58" ht="16" thickBot="1" x14ac:dyDescent="0.25">
      <c r="B1136" s="762"/>
      <c r="C1136" s="160">
        <f>SUM(C1134,C1126,C1117,C1110,C1105,C1102,C1092)</f>
        <v>28039.01</v>
      </c>
      <c r="D1136" s="160"/>
      <c r="E1136" s="304"/>
      <c r="F1136" s="294"/>
      <c r="G1136" s="752" t="s">
        <v>29</v>
      </c>
      <c r="H1136" s="752"/>
      <c r="I1136" s="752" t="s">
        <v>30</v>
      </c>
      <c r="J1136" s="752"/>
      <c r="K1136" s="752" t="s">
        <v>31</v>
      </c>
      <c r="L1136" s="752"/>
      <c r="M1136" s="752" t="s">
        <v>32</v>
      </c>
      <c r="N1136" s="752"/>
      <c r="O1136" s="752" t="s">
        <v>33</v>
      </c>
      <c r="P1136" s="752"/>
      <c r="Q1136" s="752" t="s">
        <v>247</v>
      </c>
      <c r="R1136" s="752"/>
      <c r="S1136" s="752" t="s">
        <v>34</v>
      </c>
      <c r="T1136" s="752"/>
      <c r="U1136" s="752" t="s">
        <v>35</v>
      </c>
      <c r="V1136" s="752"/>
      <c r="W1136" s="752" t="s">
        <v>36</v>
      </c>
      <c r="X1136" s="752"/>
      <c r="Y1136" s="752" t="s">
        <v>37</v>
      </c>
      <c r="Z1136" s="752"/>
      <c r="AA1136" s="752" t="s">
        <v>38</v>
      </c>
      <c r="AB1136" s="752"/>
      <c r="AC1136" s="752" t="s">
        <v>39</v>
      </c>
      <c r="AD1136" s="752"/>
      <c r="AE1136" s="752" t="s">
        <v>40</v>
      </c>
      <c r="AF1136" s="752"/>
      <c r="AG1136" s="752" t="s">
        <v>41</v>
      </c>
      <c r="AH1136" s="752"/>
      <c r="AI1136" s="752" t="s">
        <v>42</v>
      </c>
      <c r="AJ1136" s="752"/>
      <c r="AK1136" s="752" t="s">
        <v>43</v>
      </c>
      <c r="AL1136" s="752"/>
      <c r="AM1136" s="752" t="s">
        <v>157</v>
      </c>
      <c r="AN1136" s="752"/>
      <c r="AO1136" s="752" t="s">
        <v>248</v>
      </c>
      <c r="AP1136" s="752"/>
      <c r="AQ1136" s="752" t="s">
        <v>249</v>
      </c>
      <c r="AR1136" s="752"/>
      <c r="AS1136" s="752" t="s">
        <v>150</v>
      </c>
      <c r="AT1136" s="752"/>
      <c r="AU1136" s="752" t="s">
        <v>151</v>
      </c>
      <c r="AV1136" s="752"/>
      <c r="AW1136" s="752" t="s">
        <v>44</v>
      </c>
      <c r="AX1136" s="752"/>
      <c r="AY1136" s="752" t="s">
        <v>250</v>
      </c>
      <c r="AZ1136" s="752"/>
      <c r="BA1136" s="752" t="s">
        <v>45</v>
      </c>
      <c r="BB1136" s="752"/>
      <c r="BC1136" s="752" t="s">
        <v>46</v>
      </c>
      <c r="BD1136" s="752"/>
      <c r="BE1136" s="752" t="s">
        <v>92</v>
      </c>
      <c r="BF1136" s="752"/>
    </row>
    <row r="1137" spans="2:58" ht="16" thickBot="1" x14ac:dyDescent="0.25">
      <c r="B1137" s="282"/>
      <c r="C1137" s="285"/>
      <c r="D1137" s="275"/>
      <c r="E1137" s="284"/>
      <c r="F1137" s="293"/>
      <c r="G1137" s="752" t="s">
        <v>50</v>
      </c>
      <c r="H1137" s="752"/>
      <c r="I1137" s="752" t="s">
        <v>51</v>
      </c>
      <c r="J1137" s="752"/>
      <c r="K1137" s="752" t="s">
        <v>51</v>
      </c>
      <c r="L1137" s="752"/>
      <c r="M1137" s="752" t="s">
        <v>52</v>
      </c>
      <c r="N1137" s="752"/>
      <c r="O1137" s="752">
        <v>180</v>
      </c>
      <c r="P1137" s="752"/>
      <c r="Q1137" s="752" t="s">
        <v>53</v>
      </c>
      <c r="R1137" s="752"/>
      <c r="S1137" s="752" t="s">
        <v>54</v>
      </c>
      <c r="T1137" s="752"/>
      <c r="U1137" s="752" t="s">
        <v>54</v>
      </c>
      <c r="V1137" s="752"/>
      <c r="W1137" s="752" t="s">
        <v>55</v>
      </c>
      <c r="X1137" s="752"/>
      <c r="Y1137" s="752" t="s">
        <v>54</v>
      </c>
      <c r="Z1137" s="752"/>
      <c r="AA1137" s="752" t="s">
        <v>54</v>
      </c>
      <c r="AB1137" s="752"/>
      <c r="AC1137" s="752" t="s">
        <v>56</v>
      </c>
      <c r="AD1137" s="752"/>
      <c r="AE1137" s="752" t="s">
        <v>57</v>
      </c>
      <c r="AF1137" s="752"/>
      <c r="AG1137" s="752" t="s">
        <v>57</v>
      </c>
      <c r="AH1137" s="752"/>
      <c r="AI1137" s="752" t="s">
        <v>58</v>
      </c>
      <c r="AJ1137" s="752"/>
      <c r="AK1137" s="752" t="s">
        <v>300</v>
      </c>
      <c r="AL1137" s="752"/>
      <c r="AM1137" s="752" t="s">
        <v>301</v>
      </c>
      <c r="AN1137" s="752"/>
      <c r="AO1137" s="752">
        <v>20</v>
      </c>
      <c r="AP1137" s="752"/>
      <c r="AQ1137" s="752">
        <v>20</v>
      </c>
      <c r="AR1137" s="752"/>
      <c r="AS1137" s="752" t="s">
        <v>57</v>
      </c>
      <c r="AT1137" s="752"/>
      <c r="AU1137" s="752" t="s">
        <v>302</v>
      </c>
      <c r="AV1137" s="752"/>
      <c r="AW1137" s="752">
        <v>100</v>
      </c>
      <c r="AX1137" s="752"/>
      <c r="AY1137" s="752">
        <v>100</v>
      </c>
      <c r="AZ1137" s="752"/>
      <c r="BA1137" s="752" t="s">
        <v>59</v>
      </c>
      <c r="BB1137" s="752"/>
      <c r="BC1137" s="752" t="s">
        <v>51</v>
      </c>
      <c r="BD1137" s="752"/>
      <c r="BE1137" s="752" t="s">
        <v>53</v>
      </c>
      <c r="BF1137" s="752"/>
    </row>
    <row r="1138" spans="2:58" ht="16" thickBot="1" x14ac:dyDescent="0.25">
      <c r="B1138" s="162"/>
      <c r="C1138" s="286"/>
      <c r="D1138" s="273"/>
      <c r="E1138" s="280"/>
      <c r="F1138" s="305"/>
      <c r="G1138" s="752">
        <v>151</v>
      </c>
      <c r="H1138" s="752"/>
      <c r="I1138" s="752">
        <v>167.99</v>
      </c>
      <c r="J1138" s="752"/>
      <c r="K1138" s="752">
        <v>144.99</v>
      </c>
      <c r="L1138" s="752"/>
      <c r="M1138" s="760">
        <v>169.99</v>
      </c>
      <c r="N1138" s="760"/>
      <c r="O1138" s="760">
        <v>274.99</v>
      </c>
      <c r="P1138" s="760"/>
      <c r="Q1138" s="760">
        <v>102.99</v>
      </c>
      <c r="R1138" s="760"/>
      <c r="S1138" s="752">
        <v>910.5</v>
      </c>
      <c r="T1138" s="752"/>
      <c r="U1138" s="752">
        <v>460.75</v>
      </c>
      <c r="V1138" s="752"/>
      <c r="W1138" s="752">
        <v>1048.95</v>
      </c>
      <c r="X1138" s="752"/>
      <c r="Y1138" s="752">
        <v>772.8</v>
      </c>
      <c r="Z1138" s="752"/>
      <c r="AA1138" s="752">
        <v>3450</v>
      </c>
      <c r="AB1138" s="752"/>
      <c r="AC1138" s="760">
        <v>89.99</v>
      </c>
      <c r="AD1138" s="760"/>
      <c r="AE1138" s="752">
        <v>39.99</v>
      </c>
      <c r="AF1138" s="752"/>
      <c r="AG1138" s="752">
        <v>498</v>
      </c>
      <c r="AH1138" s="752"/>
      <c r="AI1138" s="752">
        <v>4.99</v>
      </c>
      <c r="AJ1138" s="752"/>
      <c r="AK1138" s="752">
        <v>132.25</v>
      </c>
      <c r="AL1138" s="752"/>
      <c r="AM1138" s="752">
        <v>47.99</v>
      </c>
      <c r="AN1138" s="752"/>
      <c r="AO1138" s="752">
        <v>560</v>
      </c>
      <c r="AP1138" s="752"/>
      <c r="AQ1138" s="752">
        <v>560</v>
      </c>
      <c r="AR1138" s="752"/>
      <c r="AS1138" s="752">
        <v>613.5</v>
      </c>
      <c r="AT1138" s="752"/>
      <c r="AU1138" s="752">
        <v>313.89999999999998</v>
      </c>
      <c r="AV1138" s="752"/>
      <c r="AW1138" s="752">
        <v>405.8</v>
      </c>
      <c r="AX1138" s="752"/>
      <c r="AY1138" s="752">
        <v>218.99</v>
      </c>
      <c r="AZ1138" s="752"/>
      <c r="BA1138" s="752">
        <v>24.99</v>
      </c>
      <c r="BB1138" s="752"/>
      <c r="BC1138" s="752">
        <v>1425</v>
      </c>
      <c r="BD1138" s="752"/>
      <c r="BE1138" s="752">
        <v>54.99</v>
      </c>
      <c r="BF1138" s="752"/>
    </row>
    <row r="1139" spans="2:58" ht="16" thickBot="1" x14ac:dyDescent="0.25">
      <c r="B1139" s="162"/>
      <c r="C1139" s="753" t="str">
        <f>L1139</f>
        <v>5 - 11 MAY 2025</v>
      </c>
      <c r="D1139" s="754"/>
      <c r="E1139" s="754"/>
      <c r="F1139" s="754"/>
      <c r="G1139" s="755"/>
      <c r="H1139" s="756"/>
      <c r="I1139" s="163"/>
      <c r="J1139" s="157"/>
      <c r="K1139" s="157"/>
      <c r="L1139" s="757" t="str">
        <f>AL1139</f>
        <v>5 - 11 MAY 2025</v>
      </c>
      <c r="M1139" s="755"/>
      <c r="N1139" s="755"/>
      <c r="O1139" s="755"/>
      <c r="P1139" s="755"/>
      <c r="Q1139" s="755"/>
      <c r="R1139" s="755"/>
      <c r="S1139" s="755"/>
      <c r="T1139" s="756"/>
      <c r="U1139" s="157"/>
      <c r="V1139" s="157"/>
      <c r="W1139" s="157"/>
      <c r="X1139" s="157"/>
      <c r="Y1139" s="157"/>
      <c r="Z1139" s="157"/>
      <c r="AA1139" s="157"/>
      <c r="AB1139" s="157"/>
      <c r="AC1139" s="157"/>
      <c r="AD1139" s="157"/>
      <c r="AE1139" s="157"/>
      <c r="AF1139" s="157"/>
      <c r="AG1139" s="758"/>
      <c r="AH1139" s="758"/>
      <c r="AI1139" s="164"/>
      <c r="AJ1139" s="157"/>
      <c r="AK1139" s="157"/>
      <c r="AL1139" s="759" t="str">
        <f>AW1139</f>
        <v>5 - 11 MAY 2025</v>
      </c>
      <c r="AM1139" s="759"/>
      <c r="AN1139" s="759"/>
      <c r="AO1139" s="759"/>
      <c r="AP1139" s="157"/>
      <c r="AQ1139" s="157"/>
      <c r="AR1139" s="157"/>
      <c r="AS1139" s="157"/>
      <c r="AT1139" s="157"/>
      <c r="AU1139" s="157"/>
      <c r="AV1139" s="157"/>
      <c r="AW1139" s="757" t="str">
        <f>AW1082</f>
        <v>5 - 11 MAY 2025</v>
      </c>
      <c r="AX1139" s="755" t="s">
        <v>28</v>
      </c>
      <c r="AY1139" s="755"/>
      <c r="AZ1139" s="755"/>
      <c r="BA1139" s="755"/>
      <c r="BB1139" s="755"/>
      <c r="BC1139" s="755"/>
      <c r="BD1139" s="756"/>
      <c r="BE1139" s="157"/>
      <c r="BF1139" s="157"/>
    </row>
    <row r="1140" spans="2:58" ht="16" thickBot="1" x14ac:dyDescent="0.25"/>
    <row r="1141" spans="2:58" ht="16" thickBot="1" x14ac:dyDescent="0.25">
      <c r="B1141" s="156" t="s">
        <v>27</v>
      </c>
      <c r="C1141" s="753" t="s">
        <v>956</v>
      </c>
      <c r="D1141" s="754"/>
      <c r="E1141" s="754"/>
      <c r="F1141" s="754"/>
      <c r="G1141" s="763"/>
      <c r="H1141" s="764"/>
      <c r="I1141" s="163"/>
      <c r="J1141" s="157"/>
      <c r="K1141" s="157"/>
      <c r="L1141" s="765" t="str">
        <f>C1141</f>
        <v>7- 13 APRIL 2025</v>
      </c>
      <c r="M1141" s="763"/>
      <c r="N1141" s="763"/>
      <c r="O1141" s="763"/>
      <c r="P1141" s="763"/>
      <c r="Q1141" s="763"/>
      <c r="R1141" s="763"/>
      <c r="S1141" s="763"/>
      <c r="T1141" s="764"/>
      <c r="U1141" s="157"/>
      <c r="V1141" s="157"/>
      <c r="W1141" s="157"/>
      <c r="X1141" s="157"/>
      <c r="Y1141" s="157"/>
      <c r="Z1141" s="157"/>
      <c r="AA1141" s="157"/>
      <c r="AB1141" s="157"/>
      <c r="AC1141" s="157"/>
      <c r="AD1141" s="157"/>
      <c r="AE1141" s="157"/>
      <c r="AF1141" s="157"/>
      <c r="AG1141" s="766"/>
      <c r="AH1141" s="766"/>
      <c r="AI1141" s="753" t="str">
        <f>L1141</f>
        <v>7- 13 APRIL 2025</v>
      </c>
      <c r="AJ1141" s="754"/>
      <c r="AK1141" s="754"/>
      <c r="AL1141" s="754"/>
      <c r="AM1141" s="754"/>
      <c r="AN1141" s="754"/>
      <c r="AO1141" s="767"/>
      <c r="AP1141" s="157"/>
      <c r="AQ1141" s="157"/>
      <c r="AR1141" s="157"/>
      <c r="AS1141" s="157"/>
      <c r="AT1141" s="157"/>
      <c r="AU1141" s="157"/>
      <c r="AV1141" s="157"/>
      <c r="AW1141" s="765" t="str">
        <f>AI1141</f>
        <v>7- 13 APRIL 2025</v>
      </c>
      <c r="AX1141" s="763" t="s">
        <v>28</v>
      </c>
      <c r="AY1141" s="763"/>
      <c r="AZ1141" s="763"/>
      <c r="BA1141" s="763"/>
      <c r="BB1141" s="763"/>
      <c r="BC1141" s="763"/>
      <c r="BD1141" s="764"/>
      <c r="BE1141" s="157"/>
      <c r="BF1141" s="157"/>
    </row>
    <row r="1142" spans="2:58" ht="16" thickBot="1" x14ac:dyDescent="0.25">
      <c r="B1142" s="158"/>
      <c r="C1142" s="161"/>
      <c r="D1142" s="161"/>
      <c r="E1142" s="157"/>
      <c r="F1142" s="157"/>
      <c r="G1142" s="752" t="s">
        <v>29</v>
      </c>
      <c r="H1142" s="752"/>
      <c r="I1142" s="752" t="s">
        <v>30</v>
      </c>
      <c r="J1142" s="752"/>
      <c r="K1142" s="752" t="s">
        <v>31</v>
      </c>
      <c r="L1142" s="752"/>
      <c r="M1142" s="752" t="s">
        <v>32</v>
      </c>
      <c r="N1142" s="752"/>
      <c r="O1142" s="752" t="s">
        <v>33</v>
      </c>
      <c r="P1142" s="752"/>
      <c r="Q1142" s="752" t="s">
        <v>247</v>
      </c>
      <c r="R1142" s="752"/>
      <c r="S1142" s="752" t="s">
        <v>34</v>
      </c>
      <c r="T1142" s="752"/>
      <c r="U1142" s="752" t="s">
        <v>35</v>
      </c>
      <c r="V1142" s="752"/>
      <c r="W1142" s="752" t="s">
        <v>36</v>
      </c>
      <c r="X1142" s="752"/>
      <c r="Y1142" s="752" t="s">
        <v>37</v>
      </c>
      <c r="Z1142" s="752"/>
      <c r="AA1142" s="752" t="s">
        <v>38</v>
      </c>
      <c r="AB1142" s="752"/>
      <c r="AC1142" s="752" t="s">
        <v>39</v>
      </c>
      <c r="AD1142" s="752"/>
      <c r="AE1142" s="752" t="s">
        <v>40</v>
      </c>
      <c r="AF1142" s="752"/>
      <c r="AG1142" s="752" t="s">
        <v>41</v>
      </c>
      <c r="AH1142" s="752"/>
      <c r="AI1142" s="752" t="s">
        <v>42</v>
      </c>
      <c r="AJ1142" s="752"/>
      <c r="AK1142" s="752" t="s">
        <v>43</v>
      </c>
      <c r="AL1142" s="752"/>
      <c r="AM1142" s="752" t="s">
        <v>157</v>
      </c>
      <c r="AN1142" s="752"/>
      <c r="AO1142" s="752" t="s">
        <v>248</v>
      </c>
      <c r="AP1142" s="752"/>
      <c r="AQ1142" s="752" t="s">
        <v>249</v>
      </c>
      <c r="AR1142" s="752"/>
      <c r="AS1142" s="752" t="s">
        <v>150</v>
      </c>
      <c r="AT1142" s="752"/>
      <c r="AU1142" s="752" t="s">
        <v>151</v>
      </c>
      <c r="AV1142" s="752"/>
      <c r="AW1142" s="752" t="s">
        <v>44</v>
      </c>
      <c r="AX1142" s="752"/>
      <c r="AY1142" s="752" t="s">
        <v>250</v>
      </c>
      <c r="AZ1142" s="752"/>
      <c r="BA1142" s="752" t="s">
        <v>45</v>
      </c>
      <c r="BB1142" s="752"/>
      <c r="BC1142" s="752" t="s">
        <v>46</v>
      </c>
      <c r="BD1142" s="752"/>
      <c r="BE1142" s="752" t="s">
        <v>92</v>
      </c>
      <c r="BF1142" s="752"/>
    </row>
    <row r="1143" spans="2:58" ht="16" thickBot="1" x14ac:dyDescent="0.25">
      <c r="B1143" s="156" t="s">
        <v>47</v>
      </c>
      <c r="C1143" s="156" t="s">
        <v>48</v>
      </c>
      <c r="D1143" s="283"/>
      <c r="E1143" s="271"/>
      <c r="F1143" s="271" t="s">
        <v>49</v>
      </c>
      <c r="G1143" s="752" t="s">
        <v>50</v>
      </c>
      <c r="H1143" s="752"/>
      <c r="I1143" s="752" t="s">
        <v>51</v>
      </c>
      <c r="J1143" s="752"/>
      <c r="K1143" s="752" t="s">
        <v>51</v>
      </c>
      <c r="L1143" s="752"/>
      <c r="M1143" s="752" t="s">
        <v>52</v>
      </c>
      <c r="N1143" s="752"/>
      <c r="O1143" s="752">
        <v>180</v>
      </c>
      <c r="P1143" s="752"/>
      <c r="Q1143" s="752" t="s">
        <v>53</v>
      </c>
      <c r="R1143" s="752"/>
      <c r="S1143" s="752" t="s">
        <v>54</v>
      </c>
      <c r="T1143" s="752"/>
      <c r="U1143" s="752" t="s">
        <v>54</v>
      </c>
      <c r="V1143" s="752"/>
      <c r="W1143" s="752" t="s">
        <v>55</v>
      </c>
      <c r="X1143" s="752"/>
      <c r="Y1143" s="752" t="s">
        <v>54</v>
      </c>
      <c r="Z1143" s="752"/>
      <c r="AA1143" s="752" t="s">
        <v>54</v>
      </c>
      <c r="AB1143" s="752"/>
      <c r="AC1143" s="752" t="s">
        <v>56</v>
      </c>
      <c r="AD1143" s="752"/>
      <c r="AE1143" s="752" t="s">
        <v>57</v>
      </c>
      <c r="AF1143" s="752"/>
      <c r="AG1143" s="752" t="s">
        <v>57</v>
      </c>
      <c r="AH1143" s="752"/>
      <c r="AI1143" s="752" t="s">
        <v>58</v>
      </c>
      <c r="AJ1143" s="752"/>
      <c r="AK1143" s="752" t="s">
        <v>300</v>
      </c>
      <c r="AL1143" s="752"/>
      <c r="AM1143" s="752" t="s">
        <v>301</v>
      </c>
      <c r="AN1143" s="752"/>
      <c r="AO1143" s="752">
        <v>20</v>
      </c>
      <c r="AP1143" s="752"/>
      <c r="AQ1143" s="752">
        <v>20</v>
      </c>
      <c r="AR1143" s="752"/>
      <c r="AS1143" s="752" t="s">
        <v>57</v>
      </c>
      <c r="AT1143" s="752"/>
      <c r="AU1143" s="752" t="s">
        <v>302</v>
      </c>
      <c r="AV1143" s="752"/>
      <c r="AW1143" s="752">
        <v>100</v>
      </c>
      <c r="AX1143" s="752"/>
      <c r="AY1143" s="752">
        <v>100</v>
      </c>
      <c r="AZ1143" s="752"/>
      <c r="BA1143" s="752" t="s">
        <v>59</v>
      </c>
      <c r="BB1143" s="752"/>
      <c r="BC1143" s="752" t="s">
        <v>51</v>
      </c>
      <c r="BD1143" s="752"/>
      <c r="BE1143" s="752" t="s">
        <v>53</v>
      </c>
      <c r="BF1143" s="752"/>
    </row>
    <row r="1144" spans="2:58" ht="16" thickBot="1" x14ac:dyDescent="0.25">
      <c r="B1144" s="156"/>
      <c r="C1144" s="156" t="s">
        <v>60</v>
      </c>
      <c r="D1144" s="283"/>
      <c r="E1144" s="271" t="s">
        <v>61</v>
      </c>
      <c r="F1144" s="271" t="s">
        <v>62</v>
      </c>
      <c r="G1144" s="752">
        <v>151</v>
      </c>
      <c r="H1144" s="752"/>
      <c r="I1144" s="752">
        <v>167.99</v>
      </c>
      <c r="J1144" s="752"/>
      <c r="K1144" s="752">
        <v>144.99</v>
      </c>
      <c r="L1144" s="752"/>
      <c r="M1144" s="760">
        <v>169.99</v>
      </c>
      <c r="N1144" s="760"/>
      <c r="O1144" s="760">
        <v>274.99</v>
      </c>
      <c r="P1144" s="760"/>
      <c r="Q1144" s="760">
        <v>135</v>
      </c>
      <c r="R1144" s="760"/>
      <c r="S1144" s="752">
        <v>910.5</v>
      </c>
      <c r="T1144" s="752"/>
      <c r="U1144" s="752">
        <v>460.75</v>
      </c>
      <c r="V1144" s="752"/>
      <c r="W1144" s="752">
        <v>1048.95</v>
      </c>
      <c r="X1144" s="752"/>
      <c r="Y1144" s="752">
        <v>772.8</v>
      </c>
      <c r="Z1144" s="752"/>
      <c r="AA1144" s="752">
        <v>3450</v>
      </c>
      <c r="AB1144" s="752"/>
      <c r="AC1144" s="760">
        <v>99.99</v>
      </c>
      <c r="AD1144" s="760"/>
      <c r="AE1144" s="752">
        <v>29.99</v>
      </c>
      <c r="AF1144" s="752"/>
      <c r="AG1144" s="752">
        <v>548</v>
      </c>
      <c r="AH1144" s="752"/>
      <c r="AI1144" s="752">
        <v>4.99</v>
      </c>
      <c r="AJ1144" s="752"/>
      <c r="AK1144" s="752">
        <v>132.25</v>
      </c>
      <c r="AL1144" s="752"/>
      <c r="AM1144" s="752">
        <v>47.99</v>
      </c>
      <c r="AN1144" s="752"/>
      <c r="AO1144" s="752">
        <v>560</v>
      </c>
      <c r="AP1144" s="752"/>
      <c r="AQ1144" s="752">
        <v>560</v>
      </c>
      <c r="AR1144" s="752"/>
      <c r="AS1144" s="752">
        <v>613.5</v>
      </c>
      <c r="AT1144" s="752"/>
      <c r="AU1144" s="752">
        <v>313.89999999999998</v>
      </c>
      <c r="AV1144" s="752"/>
      <c r="AW1144" s="752">
        <v>405.8</v>
      </c>
      <c r="AX1144" s="752"/>
      <c r="AY1144" s="752">
        <v>218.99</v>
      </c>
      <c r="AZ1144" s="752"/>
      <c r="BA1144" s="752">
        <v>24.99</v>
      </c>
      <c r="BB1144" s="752"/>
      <c r="BC1144" s="752">
        <v>1425</v>
      </c>
      <c r="BD1144" s="752"/>
      <c r="BE1144" s="752">
        <v>54.99</v>
      </c>
      <c r="BF1144" s="752"/>
    </row>
    <row r="1145" spans="2:58" ht="16" thickBot="1" x14ac:dyDescent="0.25">
      <c r="B1145" s="272">
        <v>45754</v>
      </c>
      <c r="C1145" s="274"/>
      <c r="D1145" s="276"/>
      <c r="E1145" s="278"/>
      <c r="F1145" s="278"/>
      <c r="G1145" s="271"/>
      <c r="H1145" s="271"/>
      <c r="I1145" s="271"/>
      <c r="J1145" s="271"/>
      <c r="K1145" s="271"/>
      <c r="L1145" s="271"/>
      <c r="M1145" s="271"/>
      <c r="N1145" s="271"/>
      <c r="O1145" s="271"/>
      <c r="P1145" s="271"/>
      <c r="Q1145" s="271"/>
      <c r="R1145" s="271"/>
      <c r="S1145" s="271"/>
      <c r="T1145" s="271"/>
      <c r="U1145" s="271"/>
      <c r="V1145" s="271"/>
      <c r="W1145" s="271"/>
      <c r="X1145" s="271"/>
      <c r="Y1145" s="271"/>
      <c r="Z1145" s="271"/>
      <c r="AA1145" s="271"/>
      <c r="AB1145" s="271"/>
      <c r="AC1145" s="271"/>
      <c r="AD1145" s="271"/>
      <c r="AE1145" s="271"/>
      <c r="AF1145" s="271"/>
      <c r="AG1145" s="271"/>
      <c r="AH1145" s="271"/>
      <c r="AI1145" s="271"/>
      <c r="AJ1145" s="271"/>
      <c r="AK1145" s="271"/>
      <c r="AL1145" s="271"/>
      <c r="AM1145" s="271"/>
      <c r="AN1145" s="271"/>
      <c r="AO1145" s="271"/>
      <c r="AP1145" s="271"/>
      <c r="AQ1145" s="271"/>
      <c r="AR1145" s="271"/>
      <c r="AS1145" s="271"/>
      <c r="AT1145" s="271"/>
      <c r="AU1145" s="271"/>
      <c r="AV1145" s="271"/>
      <c r="AW1145" s="271"/>
      <c r="AX1145" s="271"/>
      <c r="AY1145" s="271"/>
      <c r="AZ1145" s="271"/>
      <c r="BA1145" s="271"/>
      <c r="BB1145" s="271"/>
      <c r="BC1145" s="271"/>
      <c r="BD1145" s="271"/>
      <c r="BE1145" s="271"/>
      <c r="BF1145" s="271"/>
    </row>
    <row r="1146" spans="2:58" ht="16" thickBot="1" x14ac:dyDescent="0.25">
      <c r="B1146" s="660"/>
      <c r="C1146" s="275"/>
      <c r="D1146" s="661"/>
      <c r="E1146" s="303"/>
      <c r="F1146" s="303"/>
      <c r="G1146" s="271"/>
      <c r="H1146" s="271"/>
      <c r="I1146" s="271"/>
      <c r="J1146" s="271"/>
      <c r="K1146" s="271"/>
      <c r="L1146" s="271"/>
      <c r="M1146" s="271"/>
      <c r="N1146" s="271"/>
      <c r="O1146" s="271"/>
      <c r="P1146" s="271"/>
      <c r="Q1146" s="271"/>
      <c r="R1146" s="271"/>
      <c r="S1146" s="271"/>
      <c r="T1146" s="271"/>
      <c r="U1146" s="271"/>
      <c r="V1146" s="271"/>
      <c r="W1146" s="271"/>
      <c r="X1146" s="271"/>
      <c r="Y1146" s="271"/>
      <c r="Z1146" s="271"/>
      <c r="AA1146" s="271"/>
      <c r="AB1146" s="271"/>
      <c r="AC1146" s="271"/>
      <c r="AD1146" s="271"/>
      <c r="AE1146" s="271"/>
      <c r="AF1146" s="271"/>
      <c r="AG1146" s="271"/>
      <c r="AH1146" s="271"/>
      <c r="AI1146" s="271"/>
      <c r="AJ1146" s="271"/>
      <c r="AK1146" s="271"/>
      <c r="AL1146" s="271"/>
      <c r="AM1146" s="271"/>
      <c r="AN1146" s="271"/>
      <c r="AO1146" s="271"/>
      <c r="AP1146" s="271"/>
      <c r="AQ1146" s="271"/>
      <c r="AR1146" s="271"/>
      <c r="AS1146" s="271"/>
      <c r="AT1146" s="271"/>
      <c r="AU1146" s="271"/>
      <c r="AV1146" s="271"/>
      <c r="AW1146" s="271"/>
      <c r="AX1146" s="271"/>
      <c r="AY1146" s="271"/>
      <c r="AZ1146" s="271"/>
      <c r="BA1146" s="271"/>
      <c r="BB1146" s="271"/>
      <c r="BC1146" s="271"/>
      <c r="BD1146" s="271"/>
      <c r="BE1146" s="271"/>
      <c r="BF1146" s="271"/>
    </row>
    <row r="1147" spans="2:58" ht="16" thickBot="1" x14ac:dyDescent="0.25">
      <c r="B1147" s="660"/>
      <c r="C1147" s="275"/>
      <c r="D1147" s="661"/>
      <c r="E1147" s="303"/>
      <c r="F1147" s="303"/>
      <c r="G1147" s="271"/>
      <c r="H1147" s="271"/>
      <c r="I1147" s="271"/>
      <c r="J1147" s="271"/>
      <c r="K1147" s="271"/>
      <c r="L1147" s="271"/>
      <c r="M1147" s="271"/>
      <c r="N1147" s="271"/>
      <c r="O1147" s="271"/>
      <c r="P1147" s="271"/>
      <c r="Q1147" s="271"/>
      <c r="R1147" s="271"/>
      <c r="S1147" s="271"/>
      <c r="T1147" s="271"/>
      <c r="U1147" s="271"/>
      <c r="V1147" s="271"/>
      <c r="W1147" s="271"/>
      <c r="X1147" s="271"/>
      <c r="Y1147" s="271"/>
      <c r="Z1147" s="271"/>
      <c r="AA1147" s="271"/>
      <c r="AB1147" s="271"/>
      <c r="AC1147" s="271"/>
      <c r="AD1147" s="271"/>
      <c r="AE1147" s="271"/>
      <c r="AF1147" s="271"/>
      <c r="AG1147" s="271"/>
      <c r="AH1147" s="271"/>
      <c r="AI1147" s="271"/>
      <c r="AJ1147" s="271"/>
      <c r="AK1147" s="271"/>
      <c r="AL1147" s="271"/>
      <c r="AM1147" s="271"/>
      <c r="AN1147" s="271"/>
      <c r="AO1147" s="271"/>
      <c r="AP1147" s="271"/>
      <c r="AQ1147" s="271"/>
      <c r="AR1147" s="271"/>
      <c r="AS1147" s="271"/>
      <c r="AT1147" s="271"/>
      <c r="AU1147" s="271"/>
      <c r="AV1147" s="271"/>
      <c r="AW1147" s="271"/>
      <c r="AX1147" s="271"/>
      <c r="AY1147" s="271"/>
      <c r="AZ1147" s="271"/>
      <c r="BA1147" s="271"/>
      <c r="BB1147" s="271"/>
      <c r="BC1147" s="271"/>
      <c r="BD1147" s="271"/>
      <c r="BE1147" s="271"/>
      <c r="BF1147" s="271"/>
    </row>
    <row r="1148" spans="2:58" ht="16" thickBot="1" x14ac:dyDescent="0.25">
      <c r="B1148" s="660"/>
      <c r="C1148" s="275"/>
      <c r="D1148" s="661"/>
      <c r="E1148" s="303"/>
      <c r="F1148" s="303"/>
      <c r="G1148" s="271"/>
      <c r="H1148" s="271"/>
      <c r="I1148" s="271"/>
      <c r="J1148" s="271"/>
      <c r="K1148" s="271"/>
      <c r="L1148" s="271"/>
      <c r="M1148" s="271"/>
      <c r="N1148" s="271"/>
      <c r="O1148" s="271"/>
      <c r="P1148" s="271"/>
      <c r="Q1148" s="271"/>
      <c r="R1148" s="271"/>
      <c r="S1148" s="271"/>
      <c r="T1148" s="271"/>
      <c r="U1148" s="271"/>
      <c r="V1148" s="271"/>
      <c r="W1148" s="271"/>
      <c r="X1148" s="271"/>
      <c r="Y1148" s="271"/>
      <c r="Z1148" s="271"/>
      <c r="AA1148" s="271"/>
      <c r="AB1148" s="271"/>
      <c r="AC1148" s="271"/>
      <c r="AD1148" s="271"/>
      <c r="AE1148" s="271"/>
      <c r="AF1148" s="271"/>
      <c r="AG1148" s="271"/>
      <c r="AH1148" s="271"/>
      <c r="AI1148" s="271"/>
      <c r="AJ1148" s="271"/>
      <c r="AK1148" s="271"/>
      <c r="AL1148" s="271"/>
      <c r="AM1148" s="271"/>
      <c r="AN1148" s="271"/>
      <c r="AO1148" s="271"/>
      <c r="AP1148" s="271"/>
      <c r="AQ1148" s="271"/>
      <c r="AR1148" s="271"/>
      <c r="AS1148" s="271"/>
      <c r="AT1148" s="271"/>
      <c r="AU1148" s="271"/>
      <c r="AV1148" s="271"/>
      <c r="AW1148" s="271"/>
      <c r="AX1148" s="271"/>
      <c r="AY1148" s="271"/>
      <c r="AZ1148" s="271"/>
      <c r="BA1148" s="271"/>
      <c r="BB1148" s="271"/>
      <c r="BC1148" s="271"/>
      <c r="BD1148" s="271"/>
      <c r="BE1148" s="271"/>
      <c r="BF1148" s="271"/>
    </row>
    <row r="1149" spans="2:58" ht="16" thickBot="1" x14ac:dyDescent="0.25">
      <c r="B1149" s="660"/>
      <c r="C1149" s="275"/>
      <c r="D1149" s="661"/>
      <c r="E1149" s="303"/>
      <c r="F1149" s="303"/>
      <c r="G1149" s="271"/>
      <c r="H1149" s="271"/>
      <c r="I1149" s="271"/>
      <c r="J1149" s="271"/>
      <c r="K1149" s="271"/>
      <c r="L1149" s="271"/>
      <c r="M1149" s="271"/>
      <c r="N1149" s="271"/>
      <c r="O1149" s="271"/>
      <c r="P1149" s="271"/>
      <c r="Q1149" s="271"/>
      <c r="R1149" s="271"/>
      <c r="S1149" s="271"/>
      <c r="T1149" s="271"/>
      <c r="U1149" s="271"/>
      <c r="V1149" s="271"/>
      <c r="W1149" s="271"/>
      <c r="X1149" s="271"/>
      <c r="Y1149" s="271"/>
      <c r="Z1149" s="271"/>
      <c r="AA1149" s="271"/>
      <c r="AB1149" s="271"/>
      <c r="AC1149" s="271"/>
      <c r="AD1149" s="271"/>
      <c r="AE1149" s="271"/>
      <c r="AF1149" s="271"/>
      <c r="AG1149" s="271"/>
      <c r="AH1149" s="271"/>
      <c r="AI1149" s="271"/>
      <c r="AJ1149" s="271"/>
      <c r="AK1149" s="271"/>
      <c r="AL1149" s="271"/>
      <c r="AM1149" s="271"/>
      <c r="AN1149" s="271"/>
      <c r="AO1149" s="271"/>
      <c r="AP1149" s="271"/>
      <c r="AQ1149" s="271"/>
      <c r="AR1149" s="271"/>
      <c r="AS1149" s="271"/>
      <c r="AT1149" s="271"/>
      <c r="AU1149" s="271"/>
      <c r="AV1149" s="271"/>
      <c r="AW1149" s="271"/>
      <c r="AX1149" s="271"/>
      <c r="AY1149" s="271"/>
      <c r="AZ1149" s="271"/>
      <c r="BA1149" s="271"/>
      <c r="BB1149" s="271"/>
      <c r="BC1149" s="271"/>
      <c r="BD1149" s="271"/>
      <c r="BE1149" s="271"/>
      <c r="BF1149" s="271"/>
    </row>
    <row r="1150" spans="2:58" ht="16" thickBot="1" x14ac:dyDescent="0.25">
      <c r="B1150" s="681" t="s">
        <v>20</v>
      </c>
      <c r="C1150" s="275"/>
      <c r="D1150" s="277"/>
      <c r="E1150" s="279"/>
      <c r="F1150" s="279"/>
      <c r="G1150" s="271"/>
      <c r="H1150" s="271"/>
      <c r="I1150" s="271"/>
      <c r="J1150" s="271"/>
      <c r="K1150" s="271"/>
      <c r="L1150" s="271"/>
      <c r="M1150" s="271"/>
      <c r="N1150" s="271"/>
      <c r="O1150" s="271"/>
      <c r="P1150" s="271"/>
      <c r="Q1150" s="271"/>
      <c r="R1150" s="271"/>
      <c r="S1150" s="271"/>
      <c r="T1150" s="271"/>
      <c r="U1150" s="271"/>
      <c r="V1150" s="271"/>
      <c r="W1150" s="271"/>
      <c r="X1150" s="271"/>
      <c r="Y1150" s="271"/>
      <c r="Z1150" s="271"/>
      <c r="AA1150" s="271"/>
      <c r="AB1150" s="271"/>
      <c r="AC1150" s="271"/>
      <c r="AD1150" s="271"/>
      <c r="AE1150" s="271"/>
      <c r="AF1150" s="271"/>
      <c r="AG1150" s="271"/>
      <c r="AH1150" s="271"/>
      <c r="AI1150" s="271"/>
      <c r="AJ1150" s="271"/>
      <c r="AK1150" s="271"/>
      <c r="AL1150" s="271"/>
      <c r="AM1150" s="271"/>
      <c r="AN1150" s="271"/>
      <c r="AO1150" s="271"/>
      <c r="AP1150" s="271"/>
      <c r="AQ1150" s="271"/>
      <c r="AR1150" s="271"/>
      <c r="AS1150" s="271"/>
      <c r="AT1150" s="271"/>
      <c r="AU1150" s="271"/>
      <c r="AV1150" s="271"/>
      <c r="AW1150" s="271"/>
      <c r="AX1150" s="271"/>
      <c r="AY1150" s="271"/>
      <c r="AZ1150" s="271"/>
      <c r="BA1150" s="271"/>
      <c r="BB1150" s="271"/>
      <c r="BC1150" s="271"/>
      <c r="BD1150" s="271"/>
      <c r="BE1150" s="271"/>
      <c r="BF1150" s="271"/>
    </row>
    <row r="1151" spans="2:58" ht="16" thickBot="1" x14ac:dyDescent="0.25">
      <c r="B1151" s="479"/>
      <c r="C1151" s="680">
        <f>SUM(C1145:C1150)</f>
        <v>0</v>
      </c>
      <c r="D1151" s="159"/>
      <c r="E1151" s="270"/>
      <c r="F1151" s="281"/>
      <c r="G1151" s="309"/>
      <c r="H1151" s="310"/>
      <c r="I1151" s="309"/>
      <c r="J1151" s="310"/>
      <c r="K1151" s="309"/>
      <c r="L1151" s="310"/>
      <c r="M1151" s="309"/>
      <c r="N1151" s="310"/>
      <c r="O1151" s="271"/>
      <c r="P1151" s="271"/>
      <c r="Q1151" s="310"/>
      <c r="R1151" s="310"/>
      <c r="S1151" s="309"/>
      <c r="T1151" s="310"/>
      <c r="U1151" s="309"/>
      <c r="V1151" s="310"/>
      <c r="W1151" s="309"/>
      <c r="X1151" s="310"/>
      <c r="Y1151" s="309"/>
      <c r="Z1151" s="310"/>
      <c r="AA1151" s="309"/>
      <c r="AB1151" s="310"/>
      <c r="AC1151" s="271"/>
      <c r="AD1151" s="271"/>
      <c r="AE1151" s="309"/>
      <c r="AF1151" s="310"/>
      <c r="AG1151" s="309"/>
      <c r="AH1151" s="310"/>
      <c r="AI1151" s="309"/>
      <c r="AJ1151" s="310"/>
      <c r="AK1151" s="309"/>
      <c r="AL1151" s="310"/>
      <c r="AM1151" s="309"/>
      <c r="AN1151" s="310"/>
      <c r="AO1151" s="309"/>
      <c r="AP1151" s="310"/>
      <c r="AQ1151" s="309"/>
      <c r="AR1151" s="310"/>
      <c r="AS1151" s="309"/>
      <c r="AT1151" s="310"/>
      <c r="AU1151" s="309"/>
      <c r="AV1151" s="310"/>
      <c r="AW1151" s="309"/>
      <c r="AX1151" s="310"/>
      <c r="AY1151" s="309"/>
      <c r="AZ1151" s="310"/>
      <c r="BA1151" s="271"/>
      <c r="BB1151" s="271"/>
      <c r="BC1151" s="271"/>
      <c r="BD1151" s="271"/>
      <c r="BE1151" s="271"/>
      <c r="BF1151" s="271"/>
    </row>
    <row r="1152" spans="2:58" ht="16" thickBot="1" x14ac:dyDescent="0.25">
      <c r="B1152" s="289">
        <v>45755</v>
      </c>
      <c r="C1152" s="275"/>
      <c r="D1152" s="277"/>
      <c r="E1152" s="279"/>
      <c r="F1152" s="279"/>
      <c r="G1152" s="271"/>
      <c r="H1152" s="271"/>
      <c r="I1152" s="271"/>
      <c r="J1152" s="271"/>
      <c r="K1152" s="271"/>
      <c r="L1152" s="271"/>
      <c r="M1152" s="271"/>
      <c r="N1152" s="271"/>
      <c r="O1152" s="271"/>
      <c r="P1152" s="271"/>
      <c r="Q1152" s="271"/>
      <c r="R1152" s="271"/>
      <c r="S1152" s="271"/>
      <c r="T1152" s="271"/>
      <c r="U1152" s="271"/>
      <c r="V1152" s="271"/>
      <c r="W1152" s="271"/>
      <c r="X1152" s="271"/>
      <c r="Y1152" s="271"/>
      <c r="Z1152" s="271"/>
      <c r="AA1152" s="271"/>
      <c r="AB1152" s="271"/>
      <c r="AC1152" s="271"/>
      <c r="AD1152" s="271"/>
      <c r="AE1152" s="271"/>
      <c r="AF1152" s="271"/>
      <c r="AG1152" s="271"/>
      <c r="AH1152" s="271"/>
      <c r="AI1152" s="271"/>
      <c r="AJ1152" s="271"/>
      <c r="AK1152" s="271"/>
      <c r="AL1152" s="271"/>
      <c r="AM1152" s="271"/>
      <c r="AN1152" s="271"/>
      <c r="AO1152" s="271"/>
      <c r="AP1152" s="271"/>
      <c r="AQ1152" s="271"/>
      <c r="AR1152" s="271"/>
      <c r="AS1152" s="271"/>
      <c r="AT1152" s="271"/>
      <c r="AU1152" s="271"/>
      <c r="AV1152" s="271"/>
      <c r="AW1152" s="271"/>
      <c r="AX1152" s="271"/>
      <c r="AY1152" s="271"/>
      <c r="AZ1152" s="271"/>
      <c r="BA1152" s="271"/>
      <c r="BB1152" s="271"/>
      <c r="BC1152" s="271"/>
      <c r="BD1152" s="271"/>
      <c r="BE1152" s="271"/>
      <c r="BF1152" s="271"/>
    </row>
    <row r="1153" spans="2:58" ht="16" thickBot="1" x14ac:dyDescent="0.25">
      <c r="B1153" s="289"/>
      <c r="C1153" s="139"/>
      <c r="E1153" s="575"/>
      <c r="F1153" s="279"/>
      <c r="G1153" s="271"/>
      <c r="H1153" s="271"/>
      <c r="I1153" s="271"/>
      <c r="J1153" s="271"/>
      <c r="K1153" s="271"/>
      <c r="L1153" s="271"/>
      <c r="M1153" s="271"/>
      <c r="N1153" s="271"/>
      <c r="O1153" s="271"/>
      <c r="P1153" s="271"/>
      <c r="Q1153" s="271"/>
      <c r="R1153" s="271"/>
      <c r="S1153" s="271"/>
      <c r="T1153" s="271"/>
      <c r="U1153" s="271"/>
      <c r="V1153" s="271"/>
      <c r="W1153" s="271"/>
      <c r="X1153" s="271"/>
      <c r="Y1153" s="271"/>
      <c r="Z1153" s="271"/>
      <c r="AA1153" s="271"/>
      <c r="AB1153" s="271"/>
      <c r="AC1153" s="271"/>
      <c r="AD1153" s="271"/>
      <c r="AE1153" s="271"/>
      <c r="AF1153" s="271"/>
      <c r="AG1153" s="271"/>
      <c r="AH1153" s="271"/>
      <c r="AI1153" s="271"/>
      <c r="AJ1153" s="271"/>
      <c r="AK1153" s="271"/>
      <c r="AL1153" s="271"/>
      <c r="AM1153" s="271"/>
      <c r="AN1153" s="271"/>
      <c r="AO1153" s="271"/>
      <c r="AP1153" s="271"/>
      <c r="AQ1153" s="271"/>
      <c r="AR1153" s="271"/>
      <c r="AS1153" s="271"/>
      <c r="AT1153" s="271"/>
      <c r="AU1153" s="271"/>
      <c r="AV1153" s="271"/>
      <c r="AW1153" s="271"/>
      <c r="AX1153" s="271"/>
      <c r="AY1153" s="271"/>
      <c r="AZ1153" s="271"/>
      <c r="BA1153" s="271"/>
      <c r="BB1153" s="271"/>
      <c r="BC1153" s="271"/>
      <c r="BD1153" s="271"/>
      <c r="BE1153" s="271"/>
      <c r="BF1153" s="271"/>
    </row>
    <row r="1154" spans="2:58" ht="16" thickBot="1" x14ac:dyDescent="0.25">
      <c r="B1154" s="289"/>
      <c r="C1154" s="4"/>
      <c r="E1154" s="142"/>
      <c r="F1154" s="279"/>
      <c r="G1154" s="271"/>
      <c r="H1154" s="271"/>
      <c r="I1154" s="271"/>
      <c r="J1154" s="271"/>
      <c r="K1154" s="271"/>
      <c r="L1154" s="271"/>
      <c r="M1154" s="271"/>
      <c r="N1154" s="271"/>
      <c r="O1154" s="271"/>
      <c r="P1154" s="271"/>
      <c r="Q1154" s="271"/>
      <c r="R1154" s="271"/>
      <c r="S1154" s="271"/>
      <c r="T1154" s="271"/>
      <c r="U1154" s="271"/>
      <c r="V1154" s="271"/>
      <c r="W1154" s="271"/>
      <c r="X1154" s="271"/>
      <c r="Y1154" s="271"/>
      <c r="Z1154" s="271"/>
      <c r="AA1154" s="271"/>
      <c r="AB1154" s="271"/>
      <c r="AC1154" s="271"/>
      <c r="AD1154" s="271"/>
      <c r="AE1154" s="271"/>
      <c r="AF1154" s="271"/>
      <c r="AG1154" s="271"/>
      <c r="AH1154" s="271"/>
      <c r="AI1154" s="271"/>
      <c r="AJ1154" s="271"/>
      <c r="AK1154" s="271"/>
      <c r="AL1154" s="271"/>
      <c r="AM1154" s="271"/>
      <c r="AN1154" s="271"/>
      <c r="AO1154" s="271"/>
      <c r="AP1154" s="271"/>
      <c r="AQ1154" s="271"/>
      <c r="AR1154" s="271"/>
      <c r="AS1154" s="271"/>
      <c r="AT1154" s="271"/>
      <c r="AU1154" s="271"/>
      <c r="AV1154" s="271"/>
      <c r="AW1154" s="271"/>
      <c r="AX1154" s="271"/>
      <c r="AY1154" s="271"/>
      <c r="AZ1154" s="271"/>
      <c r="BA1154" s="271"/>
      <c r="BB1154" s="271"/>
      <c r="BC1154" s="271"/>
      <c r="BD1154" s="271"/>
      <c r="BE1154" s="271"/>
      <c r="BF1154" s="271"/>
    </row>
    <row r="1155" spans="2:58" ht="16" thickBot="1" x14ac:dyDescent="0.25">
      <c r="B1155" s="289"/>
      <c r="C1155" s="146"/>
      <c r="E1155" s="147"/>
      <c r="F1155" s="279"/>
      <c r="G1155" s="271"/>
      <c r="H1155" s="271"/>
      <c r="I1155" s="271"/>
      <c r="J1155" s="271"/>
      <c r="K1155" s="271"/>
      <c r="L1155" s="271"/>
      <c r="M1155" s="271"/>
      <c r="N1155" s="271"/>
      <c r="O1155" s="271"/>
      <c r="P1155" s="271"/>
      <c r="Q1155" s="271"/>
      <c r="R1155" s="271"/>
      <c r="S1155" s="271"/>
      <c r="T1155" s="271"/>
      <c r="U1155" s="271"/>
      <c r="V1155" s="271"/>
      <c r="W1155" s="271"/>
      <c r="X1155" s="271"/>
      <c r="Y1155" s="271"/>
      <c r="Z1155" s="271"/>
      <c r="AA1155" s="271"/>
      <c r="AB1155" s="271"/>
      <c r="AC1155" s="271"/>
      <c r="AD1155" s="271"/>
      <c r="AE1155" s="271"/>
      <c r="AF1155" s="271"/>
      <c r="AG1155" s="271"/>
      <c r="AH1155" s="271"/>
      <c r="AI1155" s="271"/>
      <c r="AJ1155" s="271"/>
      <c r="AK1155" s="271"/>
      <c r="AL1155" s="271"/>
      <c r="AM1155" s="271"/>
      <c r="AN1155" s="271"/>
      <c r="AO1155" s="271"/>
      <c r="AP1155" s="271"/>
      <c r="AQ1155" s="271"/>
      <c r="AR1155" s="271"/>
      <c r="AS1155" s="271"/>
      <c r="AT1155" s="271"/>
      <c r="AU1155" s="271"/>
      <c r="AV1155" s="271"/>
      <c r="AW1155" s="271"/>
      <c r="AX1155" s="271"/>
      <c r="AY1155" s="271"/>
      <c r="AZ1155" s="271"/>
      <c r="BA1155" s="271"/>
      <c r="BB1155" s="271"/>
      <c r="BC1155" s="271"/>
      <c r="BD1155" s="271"/>
      <c r="BE1155" s="271"/>
      <c r="BF1155" s="271"/>
    </row>
    <row r="1156" spans="2:58" ht="16" thickBot="1" x14ac:dyDescent="0.25">
      <c r="B1156" s="289"/>
      <c r="C1156" s="4"/>
      <c r="E1156" s="142"/>
      <c r="F1156" s="279"/>
      <c r="G1156" s="271"/>
      <c r="H1156" s="271"/>
      <c r="I1156" s="271"/>
      <c r="J1156" s="271"/>
      <c r="K1156" s="271"/>
      <c r="L1156" s="271"/>
      <c r="M1156" s="271"/>
      <c r="N1156" s="271"/>
      <c r="O1156" s="271"/>
      <c r="P1156" s="271"/>
      <c r="Q1156" s="271"/>
      <c r="R1156" s="271"/>
      <c r="S1156" s="271"/>
      <c r="T1156" s="271"/>
      <c r="U1156" s="271"/>
      <c r="V1156" s="271"/>
      <c r="W1156" s="271"/>
      <c r="X1156" s="271"/>
      <c r="Y1156" s="271"/>
      <c r="Z1156" s="271"/>
      <c r="AA1156" s="271"/>
      <c r="AB1156" s="271"/>
      <c r="AC1156" s="271"/>
      <c r="AD1156" s="271"/>
      <c r="AE1156" s="271"/>
      <c r="AF1156" s="271"/>
      <c r="AG1156" s="271"/>
      <c r="AH1156" s="271"/>
      <c r="AI1156" s="271"/>
      <c r="AJ1156" s="271"/>
      <c r="AK1156" s="271"/>
      <c r="AL1156" s="271"/>
      <c r="AM1156" s="271"/>
      <c r="AN1156" s="271"/>
      <c r="AO1156" s="271"/>
      <c r="AP1156" s="271"/>
      <c r="AQ1156" s="271"/>
      <c r="AR1156" s="271"/>
      <c r="AS1156" s="271"/>
      <c r="AT1156" s="271"/>
      <c r="AU1156" s="271"/>
      <c r="AV1156" s="271"/>
      <c r="AW1156" s="271"/>
      <c r="AX1156" s="271"/>
      <c r="AY1156" s="271"/>
      <c r="AZ1156" s="271"/>
      <c r="BA1156" s="271"/>
      <c r="BB1156" s="271"/>
      <c r="BC1156" s="271"/>
      <c r="BD1156" s="271"/>
      <c r="BE1156" s="271"/>
      <c r="BF1156" s="271"/>
    </row>
    <row r="1157" spans="2:58" ht="16" thickBot="1" x14ac:dyDescent="0.25">
      <c r="B1157" s="289"/>
      <c r="C1157" s="4"/>
      <c r="E1157" s="142"/>
      <c r="F1157" s="279"/>
      <c r="G1157" s="271"/>
      <c r="H1157" s="271"/>
      <c r="I1157" s="271"/>
      <c r="J1157" s="271"/>
      <c r="K1157" s="271"/>
      <c r="L1157" s="271"/>
      <c r="M1157" s="271"/>
      <c r="N1157" s="271"/>
      <c r="O1157" s="271"/>
      <c r="P1157" s="271"/>
      <c r="Q1157" s="271"/>
      <c r="R1157" s="271"/>
      <c r="S1157" s="271"/>
      <c r="T1157" s="271"/>
      <c r="U1157" s="271"/>
      <c r="V1157" s="271"/>
      <c r="W1157" s="271"/>
      <c r="X1157" s="271"/>
      <c r="Y1157" s="271"/>
      <c r="Z1157" s="271"/>
      <c r="AA1157" s="271"/>
      <c r="AB1157" s="271"/>
      <c r="AC1157" s="271"/>
      <c r="AD1157" s="271"/>
      <c r="AE1157" s="271"/>
      <c r="AF1157" s="271"/>
      <c r="AG1157" s="271"/>
      <c r="AH1157" s="271"/>
      <c r="AI1157" s="271"/>
      <c r="AJ1157" s="271"/>
      <c r="AK1157" s="271"/>
      <c r="AL1157" s="271"/>
      <c r="AM1157" s="271"/>
      <c r="AN1157" s="271"/>
      <c r="AO1157" s="271"/>
      <c r="AP1157" s="271"/>
      <c r="AQ1157" s="271"/>
      <c r="AR1157" s="271"/>
      <c r="AS1157" s="271"/>
      <c r="AT1157" s="271"/>
      <c r="AU1157" s="271"/>
      <c r="AV1157" s="271"/>
      <c r="AW1157" s="271"/>
      <c r="AX1157" s="271"/>
      <c r="AY1157" s="271"/>
      <c r="AZ1157" s="271"/>
      <c r="BA1157" s="271"/>
      <c r="BB1157" s="271"/>
      <c r="BC1157" s="271"/>
      <c r="BD1157" s="271"/>
      <c r="BE1157" s="271"/>
      <c r="BF1157" s="271"/>
    </row>
    <row r="1158" spans="2:58" ht="16" thickBot="1" x14ac:dyDescent="0.25">
      <c r="B1158" s="289"/>
      <c r="C1158" s="275"/>
      <c r="D1158" s="277"/>
      <c r="E1158" s="279"/>
      <c r="F1158" s="279"/>
      <c r="G1158" s="271"/>
      <c r="H1158" s="271"/>
      <c r="I1158" s="271"/>
      <c r="J1158" s="271"/>
      <c r="K1158" s="271"/>
      <c r="L1158" s="271"/>
      <c r="M1158" s="271"/>
      <c r="N1158" s="271"/>
      <c r="O1158" s="271"/>
      <c r="P1158" s="271"/>
      <c r="Q1158" s="271"/>
      <c r="R1158" s="271"/>
      <c r="S1158" s="271"/>
      <c r="T1158" s="271"/>
      <c r="U1158" s="271"/>
      <c r="V1158" s="271"/>
      <c r="W1158" s="271"/>
      <c r="X1158" s="271"/>
      <c r="Y1158" s="271"/>
      <c r="Z1158" s="271"/>
      <c r="AA1158" s="271"/>
      <c r="AB1158" s="271"/>
      <c r="AC1158" s="271"/>
      <c r="AD1158" s="271"/>
      <c r="AE1158" s="271"/>
      <c r="AF1158" s="271"/>
      <c r="AG1158" s="271"/>
      <c r="AH1158" s="271"/>
      <c r="AI1158" s="271"/>
      <c r="AJ1158" s="271"/>
      <c r="AK1158" s="271"/>
      <c r="AL1158" s="271"/>
      <c r="AM1158" s="271"/>
      <c r="AN1158" s="271"/>
      <c r="AO1158" s="271"/>
      <c r="AP1158" s="271"/>
      <c r="AQ1158" s="271"/>
      <c r="AR1158" s="271"/>
      <c r="AS1158" s="271"/>
      <c r="AT1158" s="271"/>
      <c r="AU1158" s="271"/>
      <c r="AV1158" s="271"/>
      <c r="AW1158" s="271"/>
      <c r="AX1158" s="271"/>
      <c r="AY1158" s="271"/>
      <c r="AZ1158" s="271"/>
      <c r="BA1158" s="271"/>
      <c r="BB1158" s="271"/>
      <c r="BC1158" s="271"/>
      <c r="BD1158" s="271"/>
      <c r="BE1158" s="271"/>
      <c r="BF1158" s="271"/>
    </row>
    <row r="1159" spans="2:58" ht="16" thickBot="1" x14ac:dyDescent="0.25">
      <c r="B1159" s="289"/>
      <c r="C1159" s="275"/>
      <c r="D1159" s="277"/>
      <c r="E1159" s="279"/>
      <c r="F1159" s="279"/>
      <c r="G1159" s="271"/>
      <c r="H1159" s="271"/>
      <c r="I1159" s="271"/>
      <c r="J1159" s="271"/>
      <c r="K1159" s="271"/>
      <c r="L1159" s="271"/>
      <c r="M1159" s="271"/>
      <c r="N1159" s="271"/>
      <c r="O1159" s="271"/>
      <c r="P1159" s="271"/>
      <c r="Q1159" s="271"/>
      <c r="R1159" s="271"/>
      <c r="S1159" s="271"/>
      <c r="T1159" s="271"/>
      <c r="U1159" s="271"/>
      <c r="V1159" s="271"/>
      <c r="W1159" s="271"/>
      <c r="X1159" s="271"/>
      <c r="Y1159" s="271"/>
      <c r="Z1159" s="271"/>
      <c r="AA1159" s="271"/>
      <c r="AB1159" s="271"/>
      <c r="AC1159" s="271"/>
      <c r="AD1159" s="271"/>
      <c r="AE1159" s="271"/>
      <c r="AF1159" s="271"/>
      <c r="AG1159" s="271"/>
      <c r="AH1159" s="271"/>
      <c r="AI1159" s="271"/>
      <c r="AJ1159" s="271"/>
      <c r="AK1159" s="271"/>
      <c r="AL1159" s="271"/>
      <c r="AM1159" s="271"/>
      <c r="AN1159" s="271"/>
      <c r="AO1159" s="271"/>
      <c r="AP1159" s="271"/>
      <c r="AQ1159" s="271"/>
      <c r="AR1159" s="271"/>
      <c r="AS1159" s="271"/>
      <c r="AT1159" s="271"/>
      <c r="AU1159" s="271"/>
      <c r="AV1159" s="271"/>
      <c r="AW1159" s="271"/>
      <c r="AX1159" s="271"/>
      <c r="AY1159" s="271"/>
      <c r="AZ1159" s="271"/>
      <c r="BA1159" s="271"/>
      <c r="BB1159" s="271"/>
      <c r="BC1159" s="271"/>
      <c r="BD1159" s="271"/>
      <c r="BE1159" s="271"/>
      <c r="BF1159" s="271"/>
    </row>
    <row r="1160" spans="2:58" ht="16" thickBot="1" x14ac:dyDescent="0.25">
      <c r="B1160" s="289" t="s">
        <v>90</v>
      </c>
      <c r="C1160" s="275"/>
      <c r="D1160" s="277"/>
      <c r="E1160" s="279"/>
      <c r="F1160" s="279"/>
      <c r="G1160" s="271"/>
      <c r="H1160" s="271"/>
      <c r="I1160" s="271"/>
      <c r="J1160" s="271"/>
      <c r="K1160" s="271"/>
      <c r="L1160" s="271"/>
      <c r="M1160" s="271"/>
      <c r="N1160" s="271"/>
      <c r="O1160" s="271"/>
      <c r="P1160" s="271"/>
      <c r="Q1160" s="271"/>
      <c r="R1160" s="271"/>
      <c r="S1160" s="271"/>
      <c r="T1160" s="271"/>
      <c r="U1160" s="271"/>
      <c r="V1160" s="271"/>
      <c r="W1160" s="271"/>
      <c r="X1160" s="271"/>
      <c r="Y1160" s="271"/>
      <c r="Z1160" s="271"/>
      <c r="AA1160" s="271"/>
      <c r="AB1160" s="271"/>
      <c r="AC1160" s="271"/>
      <c r="AD1160" s="271"/>
      <c r="AE1160" s="271"/>
      <c r="AF1160" s="271"/>
      <c r="AG1160" s="271"/>
      <c r="AH1160" s="271"/>
      <c r="AI1160" s="271"/>
      <c r="AJ1160" s="271"/>
      <c r="AK1160" s="271"/>
      <c r="AL1160" s="271"/>
      <c r="AM1160" s="271"/>
      <c r="AN1160" s="271"/>
      <c r="AO1160" s="271"/>
      <c r="AP1160" s="271"/>
      <c r="AQ1160" s="271"/>
      <c r="AR1160" s="271"/>
      <c r="AS1160" s="271"/>
      <c r="AT1160" s="271"/>
      <c r="AU1160" s="271"/>
      <c r="AV1160" s="271"/>
      <c r="AW1160" s="271"/>
      <c r="AX1160" s="271"/>
      <c r="AY1160" s="271"/>
      <c r="AZ1160" s="271"/>
      <c r="BA1160" s="271"/>
      <c r="BB1160" s="271"/>
      <c r="BC1160" s="271"/>
      <c r="BD1160" s="271"/>
      <c r="BE1160" s="271"/>
      <c r="BF1160" s="271"/>
    </row>
    <row r="1161" spans="2:58" ht="16" thickBot="1" x14ac:dyDescent="0.25">
      <c r="B1161" s="292"/>
      <c r="C1161" s="159">
        <f>SUM(C1152:C1160)</f>
        <v>0</v>
      </c>
      <c r="D1161" s="159"/>
      <c r="E1161" s="270"/>
      <c r="F1161" s="281"/>
      <c r="G1161" s="309"/>
      <c r="H1161" s="310"/>
      <c r="I1161" s="309"/>
      <c r="J1161" s="310"/>
      <c r="K1161" s="309"/>
      <c r="L1161" s="310"/>
      <c r="M1161" s="309"/>
      <c r="N1161" s="310"/>
      <c r="O1161" s="271"/>
      <c r="P1161" s="271"/>
      <c r="Q1161" s="310"/>
      <c r="R1161" s="310"/>
      <c r="S1161" s="309"/>
      <c r="T1161" s="310"/>
      <c r="U1161" s="309"/>
      <c r="V1161" s="310"/>
      <c r="W1161" s="309"/>
      <c r="X1161" s="310"/>
      <c r="Y1161" s="309"/>
      <c r="Z1161" s="310"/>
      <c r="AA1161" s="309"/>
      <c r="AB1161" s="310"/>
      <c r="AC1161" s="271"/>
      <c r="AD1161" s="271"/>
      <c r="AE1161" s="309"/>
      <c r="AF1161" s="310"/>
      <c r="AG1161" s="309"/>
      <c r="AH1161" s="310"/>
      <c r="AI1161" s="309"/>
      <c r="AJ1161" s="310"/>
      <c r="AK1161" s="309"/>
      <c r="AL1161" s="310"/>
      <c r="AM1161" s="309"/>
      <c r="AN1161" s="310"/>
      <c r="AO1161" s="309"/>
      <c r="AP1161" s="310"/>
      <c r="AQ1161" s="309"/>
      <c r="AR1161" s="310"/>
      <c r="AS1161" s="309"/>
      <c r="AT1161" s="310"/>
      <c r="AU1161" s="309"/>
      <c r="AV1161" s="310"/>
      <c r="AW1161" s="309"/>
      <c r="AX1161" s="310"/>
      <c r="AY1161" s="309"/>
      <c r="AZ1161" s="310"/>
      <c r="BA1161" s="271"/>
      <c r="BB1161" s="271"/>
      <c r="BC1161" s="271"/>
      <c r="BD1161" s="271"/>
      <c r="BE1161" s="271"/>
      <c r="BF1161" s="271"/>
    </row>
    <row r="1162" spans="2:58" ht="16" thickBot="1" x14ac:dyDescent="0.25">
      <c r="B1162" s="289">
        <v>45756</v>
      </c>
      <c r="C1162" s="275"/>
      <c r="D1162" s="277"/>
      <c r="E1162" s="279"/>
      <c r="F1162" s="279"/>
      <c r="G1162" s="271"/>
      <c r="H1162" s="271"/>
      <c r="I1162" s="271"/>
      <c r="J1162" s="271"/>
      <c r="K1162" s="271"/>
      <c r="L1162" s="271"/>
      <c r="M1162" s="271"/>
      <c r="N1162" s="271"/>
      <c r="O1162" s="271"/>
      <c r="P1162" s="271"/>
      <c r="Q1162" s="271"/>
      <c r="R1162" s="271"/>
      <c r="S1162" s="271"/>
      <c r="T1162" s="271"/>
      <c r="U1162" s="271"/>
      <c r="V1162" s="271"/>
      <c r="W1162" s="271"/>
      <c r="X1162" s="271"/>
      <c r="Y1162" s="271"/>
      <c r="Z1162" s="271"/>
      <c r="AA1162" s="271"/>
      <c r="AB1162" s="271"/>
      <c r="AC1162" s="271"/>
      <c r="AD1162" s="271"/>
      <c r="AE1162" s="271"/>
      <c r="AF1162" s="271"/>
      <c r="AG1162" s="271"/>
      <c r="AH1162" s="271"/>
      <c r="AI1162" s="271"/>
      <c r="AJ1162" s="271"/>
      <c r="AK1162" s="271"/>
      <c r="AL1162" s="271"/>
      <c r="AM1162" s="271"/>
      <c r="AN1162" s="271"/>
      <c r="AO1162" s="271"/>
      <c r="AP1162" s="271"/>
      <c r="AQ1162" s="271"/>
      <c r="AR1162" s="271"/>
      <c r="AS1162" s="271"/>
      <c r="AT1162" s="271"/>
      <c r="AU1162" s="271"/>
      <c r="AV1162" s="271"/>
      <c r="AW1162" s="271"/>
      <c r="AX1162" s="271"/>
      <c r="AY1162" s="271"/>
      <c r="AZ1162" s="271"/>
      <c r="BA1162" s="271"/>
      <c r="BB1162" s="271"/>
      <c r="BC1162" s="271"/>
      <c r="BD1162" s="271"/>
      <c r="BE1162" s="271"/>
      <c r="BF1162" s="271"/>
    </row>
    <row r="1163" spans="2:58" ht="16" thickBot="1" x14ac:dyDescent="0.25">
      <c r="B1163" s="288" t="s">
        <v>22</v>
      </c>
      <c r="C1163" s="287"/>
      <c r="D1163" s="290"/>
      <c r="E1163" s="290"/>
      <c r="F1163" s="296"/>
      <c r="G1163" s="309"/>
      <c r="H1163" s="310"/>
      <c r="I1163" s="309"/>
      <c r="J1163" s="310"/>
      <c r="K1163" s="309"/>
      <c r="L1163" s="310"/>
      <c r="M1163" s="309"/>
      <c r="N1163" s="310"/>
      <c r="O1163" s="271"/>
      <c r="P1163" s="271"/>
      <c r="Q1163" s="309"/>
      <c r="R1163" s="310"/>
      <c r="S1163" s="309"/>
      <c r="T1163" s="310"/>
      <c r="U1163" s="309"/>
      <c r="V1163" s="310"/>
      <c r="W1163" s="309"/>
      <c r="X1163" s="310"/>
      <c r="Y1163" s="309"/>
      <c r="Z1163" s="310"/>
      <c r="AA1163" s="309"/>
      <c r="AB1163" s="310"/>
      <c r="AC1163" s="271"/>
      <c r="AD1163" s="271"/>
      <c r="AE1163" s="309"/>
      <c r="AF1163" s="310"/>
      <c r="AG1163" s="309"/>
      <c r="AH1163" s="310"/>
      <c r="AI1163" s="309"/>
      <c r="AJ1163" s="310"/>
      <c r="AK1163" s="309"/>
      <c r="AL1163" s="310"/>
      <c r="AM1163" s="309"/>
      <c r="AN1163" s="310"/>
      <c r="AO1163" s="309"/>
      <c r="AP1163" s="310"/>
      <c r="AQ1163" s="309"/>
      <c r="AR1163" s="310"/>
      <c r="AS1163" s="309"/>
      <c r="AT1163" s="310"/>
      <c r="AU1163" s="309"/>
      <c r="AV1163" s="310"/>
      <c r="AW1163" s="309"/>
      <c r="AX1163" s="310"/>
      <c r="AY1163" s="309"/>
      <c r="AZ1163" s="310"/>
      <c r="BA1163" s="271"/>
      <c r="BB1163" s="271"/>
      <c r="BC1163" s="271"/>
      <c r="BD1163" s="271"/>
      <c r="BE1163" s="271"/>
      <c r="BF1163" s="271"/>
    </row>
    <row r="1164" spans="2:58" ht="16" thickBot="1" x14ac:dyDescent="0.25">
      <c r="B1164" s="292"/>
      <c r="C1164" s="159">
        <f>SUM(C1162:C1163)</f>
        <v>0</v>
      </c>
      <c r="D1164" s="159"/>
      <c r="E1164" s="270"/>
      <c r="F1164" s="297"/>
      <c r="G1164" s="309"/>
      <c r="H1164" s="310"/>
      <c r="I1164" s="309"/>
      <c r="J1164" s="310"/>
      <c r="K1164" s="309"/>
      <c r="L1164" s="310"/>
      <c r="M1164" s="309"/>
      <c r="N1164" s="310"/>
      <c r="O1164" s="271"/>
      <c r="P1164" s="271"/>
      <c r="Q1164" s="310"/>
      <c r="R1164" s="310"/>
      <c r="S1164" s="309"/>
      <c r="T1164" s="310"/>
      <c r="U1164" s="309"/>
      <c r="V1164" s="310"/>
      <c r="W1164" s="309"/>
      <c r="X1164" s="310"/>
      <c r="Y1164" s="309"/>
      <c r="Z1164" s="310"/>
      <c r="AA1164" s="309"/>
      <c r="AB1164" s="310"/>
      <c r="AC1164" s="271"/>
      <c r="AD1164" s="271"/>
      <c r="AE1164" s="309"/>
      <c r="AF1164" s="310"/>
      <c r="AG1164" s="309"/>
      <c r="AH1164" s="310"/>
      <c r="AI1164" s="309"/>
      <c r="AJ1164" s="310"/>
      <c r="AK1164" s="309"/>
      <c r="AL1164" s="310"/>
      <c r="AM1164" s="309"/>
      <c r="AN1164" s="310"/>
      <c r="AO1164" s="309"/>
      <c r="AP1164" s="310"/>
      <c r="AQ1164" s="309"/>
      <c r="AR1164" s="310"/>
      <c r="AS1164" s="309"/>
      <c r="AT1164" s="310"/>
      <c r="AU1164" s="309"/>
      <c r="AV1164" s="310"/>
      <c r="AW1164" s="309"/>
      <c r="AX1164" s="310"/>
      <c r="AY1164" s="309"/>
      <c r="AZ1164" s="310"/>
      <c r="BA1164" s="271"/>
      <c r="BB1164" s="271"/>
      <c r="BC1164" s="271"/>
      <c r="BD1164" s="271"/>
      <c r="BE1164" s="271"/>
      <c r="BF1164" s="271"/>
    </row>
    <row r="1165" spans="2:58" ht="16" thickBot="1" x14ac:dyDescent="0.25">
      <c r="B1165" s="289">
        <v>45757</v>
      </c>
      <c r="C1165" s="295"/>
      <c r="D1165" s="275"/>
      <c r="E1165" s="274"/>
      <c r="F1165" s="301"/>
      <c r="G1165" s="309"/>
      <c r="H1165" s="310"/>
      <c r="I1165" s="309"/>
      <c r="J1165" s="310"/>
      <c r="K1165" s="309"/>
      <c r="L1165" s="310"/>
      <c r="M1165" s="309"/>
      <c r="N1165" s="310"/>
      <c r="O1165" s="271"/>
      <c r="P1165" s="271"/>
      <c r="Q1165" s="309"/>
      <c r="R1165" s="310"/>
      <c r="S1165" s="309"/>
      <c r="T1165" s="310"/>
      <c r="U1165" s="309"/>
      <c r="V1165" s="310"/>
      <c r="W1165" s="309"/>
      <c r="X1165" s="310"/>
      <c r="Y1165" s="309"/>
      <c r="Z1165" s="310"/>
      <c r="AA1165" s="309"/>
      <c r="AB1165" s="310"/>
      <c r="AC1165" s="271"/>
      <c r="AD1165" s="271"/>
      <c r="AE1165" s="309"/>
      <c r="AF1165" s="310"/>
      <c r="AG1165" s="309"/>
      <c r="AH1165" s="310"/>
      <c r="AI1165" s="309"/>
      <c r="AJ1165" s="310"/>
      <c r="AK1165" s="309"/>
      <c r="AL1165" s="310"/>
      <c r="AM1165" s="309"/>
      <c r="AN1165" s="310"/>
      <c r="AO1165" s="309"/>
      <c r="AP1165" s="310"/>
      <c r="AQ1165" s="309"/>
      <c r="AR1165" s="310"/>
      <c r="AS1165" s="309"/>
      <c r="AT1165" s="310"/>
      <c r="AU1165" s="309"/>
      <c r="AV1165" s="310"/>
      <c r="AW1165" s="309"/>
      <c r="AX1165" s="310"/>
      <c r="AY1165" s="309"/>
      <c r="AZ1165" s="310"/>
      <c r="BA1165" s="271"/>
      <c r="BB1165" s="271"/>
      <c r="BC1165" s="271"/>
      <c r="BD1165" s="271"/>
      <c r="BE1165" s="271"/>
      <c r="BF1165" s="271"/>
    </row>
    <row r="1166" spans="2:58" ht="16" thickBot="1" x14ac:dyDescent="0.25">
      <c r="B1166" s="289"/>
      <c r="C1166" s="295"/>
      <c r="D1166" s="275"/>
      <c r="E1166" s="275"/>
      <c r="F1166" s="302"/>
      <c r="G1166" s="309"/>
      <c r="H1166" s="310"/>
      <c r="I1166" s="309"/>
      <c r="J1166" s="310"/>
      <c r="K1166" s="309"/>
      <c r="L1166" s="310"/>
      <c r="M1166" s="309"/>
      <c r="N1166" s="310"/>
      <c r="O1166" s="271"/>
      <c r="P1166" s="271"/>
      <c r="Q1166" s="309"/>
      <c r="R1166" s="310"/>
      <c r="S1166" s="309"/>
      <c r="T1166" s="310"/>
      <c r="U1166" s="309"/>
      <c r="V1166" s="310"/>
      <c r="W1166" s="309"/>
      <c r="X1166" s="310"/>
      <c r="Y1166" s="309"/>
      <c r="Z1166" s="310"/>
      <c r="AA1166" s="309"/>
      <c r="AB1166" s="310"/>
      <c r="AC1166" s="271"/>
      <c r="AD1166" s="271"/>
      <c r="AE1166" s="309"/>
      <c r="AF1166" s="310"/>
      <c r="AG1166" s="309"/>
      <c r="AH1166" s="310"/>
      <c r="AI1166" s="309"/>
      <c r="AJ1166" s="310"/>
      <c r="AK1166" s="309"/>
      <c r="AL1166" s="310"/>
      <c r="AM1166" s="309"/>
      <c r="AN1166" s="310"/>
      <c r="AO1166" s="309"/>
      <c r="AP1166" s="310"/>
      <c r="AQ1166" s="309"/>
      <c r="AR1166" s="310"/>
      <c r="AS1166" s="309"/>
      <c r="AT1166" s="310"/>
      <c r="AU1166" s="309"/>
      <c r="AV1166" s="310"/>
      <c r="AW1166" s="309"/>
      <c r="AX1166" s="310"/>
      <c r="AY1166" s="309"/>
      <c r="AZ1166" s="310"/>
      <c r="BA1166" s="271"/>
      <c r="BB1166" s="271"/>
      <c r="BC1166" s="271"/>
      <c r="BD1166" s="271"/>
      <c r="BE1166" s="271"/>
      <c r="BF1166" s="271"/>
    </row>
    <row r="1167" spans="2:58" ht="16" thickBot="1" x14ac:dyDescent="0.25">
      <c r="B1167" s="289"/>
      <c r="C1167" s="295"/>
      <c r="D1167" s="275"/>
      <c r="E1167" s="275"/>
      <c r="F1167" s="302"/>
      <c r="G1167" s="309"/>
      <c r="H1167" s="310"/>
      <c r="I1167" s="309"/>
      <c r="J1167" s="310"/>
      <c r="K1167" s="309"/>
      <c r="L1167" s="310"/>
      <c r="M1167" s="309"/>
      <c r="N1167" s="310"/>
      <c r="O1167" s="271"/>
      <c r="P1167" s="271"/>
      <c r="Q1167" s="309"/>
      <c r="R1167" s="310"/>
      <c r="S1167" s="309"/>
      <c r="T1167" s="310"/>
      <c r="U1167" s="309"/>
      <c r="V1167" s="310"/>
      <c r="W1167" s="309"/>
      <c r="X1167" s="310"/>
      <c r="Y1167" s="309"/>
      <c r="Z1167" s="310"/>
      <c r="AA1167" s="309"/>
      <c r="AB1167" s="310"/>
      <c r="AC1167" s="271"/>
      <c r="AD1167" s="271"/>
      <c r="AE1167" s="309"/>
      <c r="AF1167" s="310"/>
      <c r="AG1167" s="309"/>
      <c r="AH1167" s="310"/>
      <c r="AI1167" s="309"/>
      <c r="AJ1167" s="310"/>
      <c r="AK1167" s="309"/>
      <c r="AL1167" s="310"/>
      <c r="AM1167" s="309"/>
      <c r="AN1167" s="310"/>
      <c r="AO1167" s="309"/>
      <c r="AP1167" s="310"/>
      <c r="AQ1167" s="309"/>
      <c r="AR1167" s="310"/>
      <c r="AS1167" s="309"/>
      <c r="AT1167" s="310"/>
      <c r="AU1167" s="309"/>
      <c r="AV1167" s="310"/>
      <c r="AW1167" s="309"/>
      <c r="AX1167" s="310"/>
      <c r="AY1167" s="309"/>
      <c r="AZ1167" s="310"/>
      <c r="BA1167" s="271"/>
      <c r="BB1167" s="271"/>
      <c r="BC1167" s="271"/>
      <c r="BD1167" s="271"/>
      <c r="BE1167" s="271"/>
      <c r="BF1167" s="271"/>
    </row>
    <row r="1168" spans="2:58" ht="16" thickBot="1" x14ac:dyDescent="0.25">
      <c r="B1168" s="289" t="s">
        <v>23</v>
      </c>
      <c r="C1168" s="295"/>
      <c r="D1168" s="275"/>
      <c r="E1168" s="275"/>
      <c r="F1168" s="302"/>
      <c r="G1168" s="309"/>
      <c r="H1168" s="310"/>
      <c r="I1168" s="309"/>
      <c r="J1168" s="310"/>
      <c r="K1168" s="309"/>
      <c r="L1168" s="310"/>
      <c r="M1168" s="309"/>
      <c r="N1168" s="310"/>
      <c r="O1168" s="271"/>
      <c r="P1168" s="271"/>
      <c r="Q1168" s="309"/>
      <c r="R1168" s="310"/>
      <c r="S1168" s="309"/>
      <c r="T1168" s="310"/>
      <c r="U1168" s="309"/>
      <c r="V1168" s="310"/>
      <c r="W1168" s="309"/>
      <c r="X1168" s="310"/>
      <c r="Y1168" s="309"/>
      <c r="Z1168" s="310"/>
      <c r="AA1168" s="309"/>
      <c r="AB1168" s="310"/>
      <c r="AC1168" s="271"/>
      <c r="AD1168" s="271"/>
      <c r="AE1168" s="309"/>
      <c r="AF1168" s="310"/>
      <c r="AG1168" s="309"/>
      <c r="AH1168" s="310"/>
      <c r="AI1168" s="309"/>
      <c r="AJ1168" s="310"/>
      <c r="AK1168" s="309"/>
      <c r="AL1168" s="310"/>
      <c r="AM1168" s="309"/>
      <c r="AN1168" s="310"/>
      <c r="AO1168" s="309"/>
      <c r="AP1168" s="310"/>
      <c r="AQ1168" s="309"/>
      <c r="AR1168" s="310"/>
      <c r="AS1168" s="309"/>
      <c r="AT1168" s="310"/>
      <c r="AU1168" s="309"/>
      <c r="AV1168" s="310"/>
      <c r="AW1168" s="309"/>
      <c r="AX1168" s="310"/>
      <c r="AY1168" s="309"/>
      <c r="AZ1168" s="310"/>
      <c r="BA1168" s="271"/>
      <c r="BB1168" s="271"/>
      <c r="BC1168" s="271"/>
      <c r="BD1168" s="271"/>
      <c r="BE1168" s="271"/>
      <c r="BF1168" s="271"/>
    </row>
    <row r="1169" spans="2:58" ht="16" thickBot="1" x14ac:dyDescent="0.25">
      <c r="B1169" s="298"/>
      <c r="C1169" s="656">
        <f>SUM(C1165:C1168)</f>
        <v>0</v>
      </c>
      <c r="D1169" s="656"/>
      <c r="E1169" s="578"/>
      <c r="F1169" s="553"/>
      <c r="G1169" s="309"/>
      <c r="H1169" s="310"/>
      <c r="I1169" s="309"/>
      <c r="J1169" s="310"/>
      <c r="K1169" s="309"/>
      <c r="L1169" s="310"/>
      <c r="M1169" s="309"/>
      <c r="N1169" s="310"/>
      <c r="O1169" s="271"/>
      <c r="P1169" s="271"/>
      <c r="Q1169" s="309"/>
      <c r="R1169" s="310"/>
      <c r="S1169" s="309"/>
      <c r="T1169" s="310"/>
      <c r="U1169" s="309"/>
      <c r="V1169" s="310"/>
      <c r="W1169" s="309"/>
      <c r="X1169" s="310"/>
      <c r="Y1169" s="309"/>
      <c r="Z1169" s="310"/>
      <c r="AA1169" s="309"/>
      <c r="AB1169" s="310"/>
      <c r="AC1169" s="271"/>
      <c r="AD1169" s="271"/>
      <c r="AE1169" s="309"/>
      <c r="AF1169" s="310"/>
      <c r="AG1169" s="309"/>
      <c r="AH1169" s="310"/>
      <c r="AI1169" s="309"/>
      <c r="AJ1169" s="310"/>
      <c r="AK1169" s="309"/>
      <c r="AL1169" s="310"/>
      <c r="AM1169" s="309"/>
      <c r="AN1169" s="310"/>
      <c r="AO1169" s="309"/>
      <c r="AP1169" s="310"/>
      <c r="AQ1169" s="309"/>
      <c r="AR1169" s="310"/>
      <c r="AS1169" s="309"/>
      <c r="AT1169" s="310"/>
      <c r="AU1169" s="309"/>
      <c r="AV1169" s="310"/>
      <c r="AW1169" s="309"/>
      <c r="AX1169" s="310"/>
      <c r="AY1169" s="309"/>
      <c r="AZ1169" s="310"/>
      <c r="BA1169" s="271"/>
      <c r="BB1169" s="271"/>
      <c r="BC1169" s="271"/>
      <c r="BD1169" s="271"/>
      <c r="BE1169" s="271"/>
      <c r="BF1169" s="271"/>
    </row>
    <row r="1170" spans="2:58" ht="16" thickBot="1" x14ac:dyDescent="0.25">
      <c r="B1170" s="479">
        <v>45758</v>
      </c>
      <c r="C1170" s="299"/>
      <c r="D1170" s="300"/>
      <c r="E1170" s="274"/>
      <c r="F1170" s="301"/>
      <c r="G1170" s="309"/>
      <c r="H1170" s="310"/>
      <c r="I1170" s="309"/>
      <c r="J1170" s="310"/>
      <c r="K1170" s="309"/>
      <c r="L1170" s="310"/>
      <c r="M1170" s="309"/>
      <c r="N1170" s="310"/>
      <c r="O1170" s="271"/>
      <c r="P1170" s="271"/>
      <c r="Q1170" s="309"/>
      <c r="R1170" s="310"/>
      <c r="S1170" s="309"/>
      <c r="T1170" s="310"/>
      <c r="U1170" s="309"/>
      <c r="V1170" s="310"/>
      <c r="W1170" s="309"/>
      <c r="X1170" s="310"/>
      <c r="Y1170" s="309"/>
      <c r="Z1170" s="310"/>
      <c r="AA1170" s="309"/>
      <c r="AB1170" s="310"/>
      <c r="AC1170" s="271"/>
      <c r="AD1170" s="271"/>
      <c r="AE1170" s="309"/>
      <c r="AF1170" s="310"/>
      <c r="AG1170" s="309"/>
      <c r="AH1170" s="310"/>
      <c r="AI1170" s="309"/>
      <c r="AJ1170" s="310"/>
      <c r="AK1170" s="309"/>
      <c r="AL1170" s="310"/>
      <c r="AM1170" s="309"/>
      <c r="AN1170" s="310"/>
      <c r="AO1170" s="309"/>
      <c r="AP1170" s="310"/>
      <c r="AQ1170" s="309"/>
      <c r="AR1170" s="310"/>
      <c r="AS1170" s="309"/>
      <c r="AT1170" s="310"/>
      <c r="AU1170" s="309"/>
      <c r="AV1170" s="310"/>
      <c r="AW1170" s="309"/>
      <c r="AX1170" s="310"/>
      <c r="AY1170" s="309"/>
      <c r="AZ1170" s="310"/>
      <c r="BA1170" s="271"/>
      <c r="BB1170" s="271"/>
      <c r="BC1170" s="271"/>
      <c r="BD1170" s="271"/>
      <c r="BE1170" s="271"/>
      <c r="BF1170" s="271"/>
    </row>
    <row r="1171" spans="2:58" ht="16" thickBot="1" x14ac:dyDescent="0.25">
      <c r="B1171" s="479"/>
      <c r="C1171" s="299"/>
      <c r="D1171" s="300"/>
      <c r="E1171" s="275"/>
      <c r="F1171" s="302"/>
      <c r="G1171" s="309"/>
      <c r="H1171" s="310"/>
      <c r="I1171" s="309"/>
      <c r="J1171" s="310"/>
      <c r="K1171" s="309"/>
      <c r="L1171" s="310"/>
      <c r="M1171" s="309"/>
      <c r="N1171" s="310"/>
      <c r="O1171" s="271"/>
      <c r="P1171" s="271"/>
      <c r="Q1171" s="309"/>
      <c r="R1171" s="310"/>
      <c r="S1171" s="309"/>
      <c r="T1171" s="310"/>
      <c r="U1171" s="309"/>
      <c r="V1171" s="310"/>
      <c r="W1171" s="309"/>
      <c r="X1171" s="310"/>
      <c r="Y1171" s="309"/>
      <c r="Z1171" s="310"/>
      <c r="AA1171" s="309"/>
      <c r="AB1171" s="310"/>
      <c r="AC1171" s="271"/>
      <c r="AD1171" s="271"/>
      <c r="AE1171" s="309"/>
      <c r="AF1171" s="310"/>
      <c r="AG1171" s="309"/>
      <c r="AH1171" s="310"/>
      <c r="AI1171" s="309"/>
      <c r="AJ1171" s="310"/>
      <c r="AK1171" s="309"/>
      <c r="AL1171" s="310"/>
      <c r="AM1171" s="309"/>
      <c r="AN1171" s="310"/>
      <c r="AO1171" s="309"/>
      <c r="AP1171" s="310"/>
      <c r="AQ1171" s="309"/>
      <c r="AR1171" s="310"/>
      <c r="AS1171" s="309"/>
      <c r="AT1171" s="310"/>
      <c r="AU1171" s="309"/>
      <c r="AV1171" s="310"/>
      <c r="AW1171" s="309"/>
      <c r="AX1171" s="310"/>
      <c r="AY1171" s="309"/>
      <c r="AZ1171" s="310"/>
      <c r="BA1171" s="271"/>
      <c r="BB1171" s="271"/>
      <c r="BC1171" s="271"/>
      <c r="BD1171" s="271"/>
      <c r="BE1171" s="271"/>
      <c r="BF1171" s="271"/>
    </row>
    <row r="1172" spans="2:58" ht="16" thickBot="1" x14ac:dyDescent="0.25">
      <c r="B1172" s="479"/>
      <c r="C1172" s="299"/>
      <c r="D1172" s="300"/>
      <c r="E1172" s="275"/>
      <c r="F1172" s="302"/>
      <c r="G1172" s="309"/>
      <c r="H1172" s="310"/>
      <c r="I1172" s="309"/>
      <c r="J1172" s="310"/>
      <c r="K1172" s="309"/>
      <c r="L1172" s="310"/>
      <c r="M1172" s="309"/>
      <c r="N1172" s="310"/>
      <c r="O1172" s="271"/>
      <c r="P1172" s="271"/>
      <c r="Q1172" s="309"/>
      <c r="R1172" s="310"/>
      <c r="S1172" s="309"/>
      <c r="T1172" s="310"/>
      <c r="U1172" s="309"/>
      <c r="V1172" s="310"/>
      <c r="W1172" s="309"/>
      <c r="X1172" s="310"/>
      <c r="Y1172" s="309"/>
      <c r="Z1172" s="310"/>
      <c r="AA1172" s="309"/>
      <c r="AB1172" s="310"/>
      <c r="AC1172" s="271"/>
      <c r="AD1172" s="271"/>
      <c r="AE1172" s="309"/>
      <c r="AF1172" s="310"/>
      <c r="AG1172" s="309"/>
      <c r="AH1172" s="310"/>
      <c r="AI1172" s="309"/>
      <c r="AJ1172" s="310"/>
      <c r="AK1172" s="309"/>
      <c r="AL1172" s="310"/>
      <c r="AM1172" s="309"/>
      <c r="AN1172" s="310"/>
      <c r="AO1172" s="309"/>
      <c r="AP1172" s="310"/>
      <c r="AQ1172" s="309"/>
      <c r="AR1172" s="310"/>
      <c r="AS1172" s="309"/>
      <c r="AT1172" s="310"/>
      <c r="AU1172" s="309"/>
      <c r="AV1172" s="310"/>
      <c r="AW1172" s="309"/>
      <c r="AX1172" s="310"/>
      <c r="AY1172" s="309"/>
      <c r="AZ1172" s="310"/>
      <c r="BA1172" s="271"/>
      <c r="BB1172" s="271"/>
      <c r="BC1172" s="271"/>
      <c r="BD1172" s="271"/>
      <c r="BE1172" s="271"/>
      <c r="BF1172" s="271"/>
    </row>
    <row r="1173" spans="2:58" ht="16" thickBot="1" x14ac:dyDescent="0.25">
      <c r="B1173" s="479"/>
      <c r="C1173" s="299"/>
      <c r="D1173" s="300"/>
      <c r="E1173" s="275"/>
      <c r="F1173" s="302"/>
      <c r="G1173" s="309"/>
      <c r="H1173" s="310"/>
      <c r="I1173" s="309"/>
      <c r="J1173" s="310"/>
      <c r="K1173" s="309"/>
      <c r="L1173" s="310"/>
      <c r="M1173" s="309"/>
      <c r="N1173" s="310"/>
      <c r="O1173" s="271"/>
      <c r="P1173" s="271"/>
      <c r="Q1173" s="309"/>
      <c r="R1173" s="310"/>
      <c r="S1173" s="309"/>
      <c r="T1173" s="310"/>
      <c r="U1173" s="309"/>
      <c r="V1173" s="310"/>
      <c r="W1173" s="309"/>
      <c r="X1173" s="310"/>
      <c r="Y1173" s="309"/>
      <c r="Z1173" s="310"/>
      <c r="AA1173" s="309"/>
      <c r="AB1173" s="310"/>
      <c r="AC1173" s="271"/>
      <c r="AD1173" s="271"/>
      <c r="AE1173" s="309"/>
      <c r="AF1173" s="310"/>
      <c r="AG1173" s="309"/>
      <c r="AH1173" s="310"/>
      <c r="AI1173" s="309"/>
      <c r="AJ1173" s="310"/>
      <c r="AK1173" s="309"/>
      <c r="AL1173" s="310"/>
      <c r="AM1173" s="309"/>
      <c r="AN1173" s="310"/>
      <c r="AO1173" s="309"/>
      <c r="AP1173" s="310"/>
      <c r="AQ1173" s="309"/>
      <c r="AR1173" s="310"/>
      <c r="AS1173" s="309"/>
      <c r="AT1173" s="310"/>
      <c r="AU1173" s="309"/>
      <c r="AV1173" s="310"/>
      <c r="AW1173" s="309"/>
      <c r="AX1173" s="310"/>
      <c r="AY1173" s="309"/>
      <c r="AZ1173" s="310"/>
      <c r="BA1173" s="271"/>
      <c r="BB1173" s="271"/>
      <c r="BC1173" s="271"/>
      <c r="BD1173" s="271"/>
      <c r="BE1173" s="271"/>
      <c r="BF1173" s="271"/>
    </row>
    <row r="1174" spans="2:58" ht="16" thickBot="1" x14ac:dyDescent="0.25">
      <c r="B1174" s="479"/>
      <c r="C1174" s="657"/>
      <c r="D1174" s="657"/>
      <c r="E1174" s="285"/>
      <c r="F1174" s="302"/>
      <c r="G1174" s="309"/>
      <c r="H1174" s="310"/>
      <c r="I1174" s="309"/>
      <c r="J1174" s="310"/>
      <c r="K1174" s="309"/>
      <c r="L1174" s="310"/>
      <c r="M1174" s="309"/>
      <c r="N1174" s="310"/>
      <c r="O1174" s="271"/>
      <c r="P1174" s="271"/>
      <c r="Q1174" s="309"/>
      <c r="R1174" s="310"/>
      <c r="S1174" s="309"/>
      <c r="T1174" s="310"/>
      <c r="U1174" s="309"/>
      <c r="V1174" s="310"/>
      <c r="W1174" s="309"/>
      <c r="X1174" s="310"/>
      <c r="Y1174" s="309"/>
      <c r="Z1174" s="310"/>
      <c r="AA1174" s="309"/>
      <c r="AB1174" s="310"/>
      <c r="AC1174" s="271"/>
      <c r="AD1174" s="271"/>
      <c r="AE1174" s="309"/>
      <c r="AF1174" s="310"/>
      <c r="AG1174" s="309"/>
      <c r="AH1174" s="310"/>
      <c r="AI1174" s="309"/>
      <c r="AJ1174" s="310"/>
      <c r="AK1174" s="309"/>
      <c r="AL1174" s="310"/>
      <c r="AM1174" s="309"/>
      <c r="AN1174" s="310"/>
      <c r="AO1174" s="309"/>
      <c r="AP1174" s="310"/>
      <c r="AQ1174" s="309"/>
      <c r="AR1174" s="310"/>
      <c r="AS1174" s="309"/>
      <c r="AT1174" s="310"/>
      <c r="AU1174" s="309"/>
      <c r="AV1174" s="310"/>
      <c r="AW1174" s="309"/>
      <c r="AX1174" s="310"/>
      <c r="AY1174" s="309"/>
      <c r="AZ1174" s="310"/>
      <c r="BA1174" s="271"/>
      <c r="BB1174" s="271"/>
      <c r="BC1174" s="271"/>
      <c r="BD1174" s="271"/>
      <c r="BE1174" s="271"/>
      <c r="BF1174" s="271"/>
    </row>
    <row r="1175" spans="2:58" ht="16" thickBot="1" x14ac:dyDescent="0.25">
      <c r="B1175" s="479" t="s">
        <v>24</v>
      </c>
      <c r="C1175" s="299"/>
      <c r="D1175" s="300"/>
      <c r="E1175" s="275"/>
      <c r="F1175" s="302"/>
      <c r="G1175" s="309"/>
      <c r="H1175" s="310"/>
      <c r="I1175" s="309"/>
      <c r="J1175" s="310"/>
      <c r="K1175" s="309"/>
      <c r="L1175" s="310"/>
      <c r="M1175" s="309"/>
      <c r="N1175" s="310"/>
      <c r="O1175" s="271"/>
      <c r="P1175" s="271"/>
      <c r="Q1175" s="309"/>
      <c r="R1175" s="310"/>
      <c r="S1175" s="309"/>
      <c r="T1175" s="310"/>
      <c r="U1175" s="309"/>
      <c r="V1175" s="310"/>
      <c r="W1175" s="309"/>
      <c r="X1175" s="310"/>
      <c r="Y1175" s="309"/>
      <c r="Z1175" s="310"/>
      <c r="AA1175" s="309"/>
      <c r="AB1175" s="310"/>
      <c r="AC1175" s="271"/>
      <c r="AD1175" s="271"/>
      <c r="AE1175" s="309"/>
      <c r="AF1175" s="310"/>
      <c r="AG1175" s="309"/>
      <c r="AH1175" s="310"/>
      <c r="AI1175" s="309"/>
      <c r="AJ1175" s="310"/>
      <c r="AK1175" s="309"/>
      <c r="AL1175" s="310"/>
      <c r="AM1175" s="309"/>
      <c r="AN1175" s="310"/>
      <c r="AO1175" s="309"/>
      <c r="AP1175" s="310"/>
      <c r="AQ1175" s="309"/>
      <c r="AR1175" s="310"/>
      <c r="AS1175" s="309"/>
      <c r="AT1175" s="310"/>
      <c r="AU1175" s="309"/>
      <c r="AV1175" s="310"/>
      <c r="AW1175" s="309"/>
      <c r="AX1175" s="310"/>
      <c r="AY1175" s="309"/>
      <c r="AZ1175" s="310"/>
      <c r="BA1175" s="271"/>
      <c r="BB1175" s="271"/>
      <c r="BC1175" s="271"/>
      <c r="BD1175" s="271"/>
      <c r="BE1175" s="271"/>
      <c r="BF1175" s="271"/>
    </row>
    <row r="1176" spans="2:58" ht="16" thickBot="1" x14ac:dyDescent="0.25">
      <c r="B1176" s="577"/>
      <c r="C1176" s="159">
        <f>SUM(C1170:C1175)</f>
        <v>0</v>
      </c>
      <c r="D1176" s="159"/>
      <c r="E1176" s="270"/>
      <c r="F1176" s="271"/>
      <c r="G1176" s="309"/>
      <c r="H1176" s="310"/>
      <c r="I1176" s="309"/>
      <c r="J1176" s="310"/>
      <c r="K1176" s="309"/>
      <c r="L1176" s="310"/>
      <c r="M1176" s="309"/>
      <c r="N1176" s="310"/>
      <c r="O1176" s="271"/>
      <c r="P1176" s="271"/>
      <c r="Q1176" s="309"/>
      <c r="R1176" s="310"/>
      <c r="S1176" s="309"/>
      <c r="T1176" s="310"/>
      <c r="U1176" s="309"/>
      <c r="V1176" s="310"/>
      <c r="W1176" s="309"/>
      <c r="X1176" s="310"/>
      <c r="Y1176" s="309"/>
      <c r="Z1176" s="310"/>
      <c r="AA1176" s="309"/>
      <c r="AB1176" s="310"/>
      <c r="AC1176" s="271"/>
      <c r="AD1176" s="271"/>
      <c r="AE1176" s="309"/>
      <c r="AF1176" s="310"/>
      <c r="AG1176" s="309"/>
      <c r="AH1176" s="310"/>
      <c r="AI1176" s="309"/>
      <c r="AJ1176" s="310"/>
      <c r="AK1176" s="309"/>
      <c r="AL1176" s="310"/>
      <c r="AM1176" s="309"/>
      <c r="AN1176" s="310"/>
      <c r="AO1176" s="309"/>
      <c r="AP1176" s="310"/>
      <c r="AQ1176" s="309"/>
      <c r="AR1176" s="310"/>
      <c r="AS1176" s="309"/>
      <c r="AT1176" s="310"/>
      <c r="AU1176" s="309"/>
      <c r="AV1176" s="310"/>
      <c r="AW1176" s="309"/>
      <c r="AX1176" s="310"/>
      <c r="AY1176" s="309"/>
      <c r="AZ1176" s="310"/>
      <c r="BA1176" s="271"/>
      <c r="BB1176" s="271"/>
      <c r="BC1176" s="271"/>
      <c r="BD1176" s="271"/>
      <c r="BE1176" s="271"/>
      <c r="BF1176" s="271"/>
    </row>
    <row r="1177" spans="2:58" ht="16" thickBot="1" x14ac:dyDescent="0.25">
      <c r="B1177" s="289">
        <v>45759</v>
      </c>
      <c r="C1177" s="299"/>
      <c r="D1177" s="300"/>
      <c r="E1177" s="274"/>
      <c r="F1177" s="302"/>
      <c r="G1177" s="309"/>
      <c r="H1177" s="310"/>
      <c r="I1177" s="309"/>
      <c r="J1177" s="310"/>
      <c r="K1177" s="309"/>
      <c r="L1177" s="310"/>
      <c r="M1177" s="309"/>
      <c r="N1177" s="310"/>
      <c r="O1177" s="271"/>
      <c r="P1177" s="271"/>
      <c r="Q1177" s="309"/>
      <c r="R1177" s="310"/>
      <c r="S1177" s="309"/>
      <c r="T1177" s="310"/>
      <c r="U1177" s="309"/>
      <c r="V1177" s="310"/>
      <c r="W1177" s="309"/>
      <c r="X1177" s="310"/>
      <c r="Y1177" s="309"/>
      <c r="Z1177" s="310"/>
      <c r="AA1177" s="309"/>
      <c r="AB1177" s="310"/>
      <c r="AC1177" s="271"/>
      <c r="AD1177" s="271"/>
      <c r="AE1177" s="309"/>
      <c r="AF1177" s="310"/>
      <c r="AG1177" s="309"/>
      <c r="AH1177" s="310"/>
      <c r="AI1177" s="309"/>
      <c r="AJ1177" s="310"/>
      <c r="AK1177" s="309"/>
      <c r="AL1177" s="310"/>
      <c r="AM1177" s="309"/>
      <c r="AN1177" s="310"/>
      <c r="AO1177" s="309"/>
      <c r="AP1177" s="310"/>
      <c r="AQ1177" s="309"/>
      <c r="AR1177" s="310"/>
      <c r="AS1177" s="309"/>
      <c r="AT1177" s="310"/>
      <c r="AU1177" s="309"/>
      <c r="AV1177" s="310"/>
      <c r="AW1177" s="309"/>
      <c r="AX1177" s="310"/>
      <c r="AY1177" s="309"/>
      <c r="AZ1177" s="310"/>
      <c r="BA1177" s="271"/>
      <c r="BB1177" s="271"/>
      <c r="BC1177" s="271"/>
      <c r="BD1177" s="271"/>
      <c r="BE1177" s="271"/>
      <c r="BF1177" s="271"/>
    </row>
    <row r="1178" spans="2:58" ht="16" thickBot="1" x14ac:dyDescent="0.25">
      <c r="B1178" s="289"/>
      <c r="C1178" s="299"/>
      <c r="D1178" s="300"/>
      <c r="E1178" s="275"/>
      <c r="F1178" s="302"/>
      <c r="G1178" s="309"/>
      <c r="H1178" s="310"/>
      <c r="I1178" s="309"/>
      <c r="J1178" s="310"/>
      <c r="K1178" s="309"/>
      <c r="L1178" s="310"/>
      <c r="M1178" s="309"/>
      <c r="N1178" s="310"/>
      <c r="O1178" s="271"/>
      <c r="P1178" s="271"/>
      <c r="Q1178" s="309"/>
      <c r="R1178" s="310"/>
      <c r="S1178" s="309"/>
      <c r="T1178" s="310"/>
      <c r="U1178" s="309"/>
      <c r="V1178" s="310"/>
      <c r="W1178" s="309"/>
      <c r="X1178" s="310"/>
      <c r="Y1178" s="309"/>
      <c r="Z1178" s="310"/>
      <c r="AA1178" s="309"/>
      <c r="AB1178" s="310"/>
      <c r="AC1178" s="271"/>
      <c r="AD1178" s="271"/>
      <c r="AE1178" s="309"/>
      <c r="AF1178" s="310"/>
      <c r="AG1178" s="309"/>
      <c r="AH1178" s="310"/>
      <c r="AI1178" s="309"/>
      <c r="AJ1178" s="310"/>
      <c r="AK1178" s="309"/>
      <c r="AL1178" s="310"/>
      <c r="AM1178" s="309"/>
      <c r="AN1178" s="310"/>
      <c r="AO1178" s="309"/>
      <c r="AP1178" s="310"/>
      <c r="AQ1178" s="309"/>
      <c r="AR1178" s="310"/>
      <c r="AS1178" s="309"/>
      <c r="AT1178" s="310"/>
      <c r="AU1178" s="309"/>
      <c r="AV1178" s="310"/>
      <c r="AW1178" s="309"/>
      <c r="AX1178" s="310"/>
      <c r="AY1178" s="309"/>
      <c r="AZ1178" s="310"/>
      <c r="BA1178" s="271"/>
      <c r="BB1178" s="271"/>
      <c r="BC1178" s="271"/>
      <c r="BD1178" s="271"/>
      <c r="BE1178" s="271"/>
      <c r="BF1178" s="271"/>
    </row>
    <row r="1179" spans="2:58" ht="16" thickBot="1" x14ac:dyDescent="0.25">
      <c r="B1179" s="289"/>
      <c r="C1179" s="299"/>
      <c r="D1179" s="300"/>
      <c r="E1179" s="275"/>
      <c r="F1179" s="302"/>
      <c r="G1179" s="309"/>
      <c r="H1179" s="310"/>
      <c r="I1179" s="309"/>
      <c r="J1179" s="310"/>
      <c r="K1179" s="309"/>
      <c r="L1179" s="310"/>
      <c r="M1179" s="309"/>
      <c r="N1179" s="310"/>
      <c r="O1179" s="271"/>
      <c r="P1179" s="271"/>
      <c r="Q1179" s="309"/>
      <c r="R1179" s="310"/>
      <c r="S1179" s="309"/>
      <c r="T1179" s="310"/>
      <c r="U1179" s="309"/>
      <c r="V1179" s="310"/>
      <c r="W1179" s="309"/>
      <c r="X1179" s="310"/>
      <c r="Y1179" s="309"/>
      <c r="Z1179" s="310"/>
      <c r="AA1179" s="309"/>
      <c r="AB1179" s="310"/>
      <c r="AC1179" s="271"/>
      <c r="AD1179" s="271"/>
      <c r="AE1179" s="309"/>
      <c r="AF1179" s="310"/>
      <c r="AG1179" s="309"/>
      <c r="AH1179" s="310"/>
      <c r="AI1179" s="309"/>
      <c r="AJ1179" s="310"/>
      <c r="AK1179" s="309"/>
      <c r="AL1179" s="310"/>
      <c r="AM1179" s="309"/>
      <c r="AN1179" s="310"/>
      <c r="AO1179" s="309"/>
      <c r="AP1179" s="310"/>
      <c r="AQ1179" s="309"/>
      <c r="AR1179" s="310"/>
      <c r="AS1179" s="309"/>
      <c r="AT1179" s="310"/>
      <c r="AU1179" s="309"/>
      <c r="AV1179" s="310"/>
      <c r="AW1179" s="309"/>
      <c r="AX1179" s="310"/>
      <c r="AY1179" s="309"/>
      <c r="AZ1179" s="310"/>
      <c r="BA1179" s="271"/>
      <c r="BB1179" s="271"/>
      <c r="BC1179" s="271"/>
      <c r="BD1179" s="271"/>
      <c r="BE1179" s="271"/>
      <c r="BF1179" s="271"/>
    </row>
    <row r="1180" spans="2:58" ht="16" thickBot="1" x14ac:dyDescent="0.25">
      <c r="B1180" s="289"/>
      <c r="C1180" s="299"/>
      <c r="D1180" s="300"/>
      <c r="E1180" s="275"/>
      <c r="F1180" s="302"/>
      <c r="G1180" s="309"/>
      <c r="H1180" s="310"/>
      <c r="I1180" s="309"/>
      <c r="J1180" s="310"/>
      <c r="K1180" s="309"/>
      <c r="L1180" s="310"/>
      <c r="M1180" s="309"/>
      <c r="N1180" s="310"/>
      <c r="O1180" s="271"/>
      <c r="P1180" s="271"/>
      <c r="Q1180" s="309"/>
      <c r="R1180" s="310"/>
      <c r="S1180" s="309"/>
      <c r="T1180" s="310"/>
      <c r="U1180" s="309"/>
      <c r="V1180" s="310"/>
      <c r="W1180" s="309"/>
      <c r="X1180" s="310"/>
      <c r="Y1180" s="309"/>
      <c r="Z1180" s="310"/>
      <c r="AA1180" s="309"/>
      <c r="AB1180" s="310"/>
      <c r="AC1180" s="271"/>
      <c r="AD1180" s="271"/>
      <c r="AE1180" s="309"/>
      <c r="AF1180" s="310"/>
      <c r="AG1180" s="309"/>
      <c r="AH1180" s="310"/>
      <c r="AI1180" s="309"/>
      <c r="AJ1180" s="310"/>
      <c r="AK1180" s="309"/>
      <c r="AL1180" s="310"/>
      <c r="AM1180" s="309"/>
      <c r="AN1180" s="310"/>
      <c r="AO1180" s="309"/>
      <c r="AP1180" s="310"/>
      <c r="AQ1180" s="309"/>
      <c r="AR1180" s="310"/>
      <c r="AS1180" s="309"/>
      <c r="AT1180" s="310"/>
      <c r="AU1180" s="309"/>
      <c r="AV1180" s="310"/>
      <c r="AW1180" s="309"/>
      <c r="AX1180" s="310"/>
      <c r="AY1180" s="309"/>
      <c r="AZ1180" s="310"/>
      <c r="BA1180" s="271"/>
      <c r="BB1180" s="271"/>
      <c r="BC1180" s="271"/>
      <c r="BD1180" s="271"/>
      <c r="BE1180" s="271"/>
      <c r="BF1180" s="271"/>
    </row>
    <row r="1181" spans="2:58" ht="16" thickBot="1" x14ac:dyDescent="0.25">
      <c r="B1181" s="289"/>
      <c r="C1181" s="299"/>
      <c r="D1181" s="300"/>
      <c r="E1181" s="275"/>
      <c r="F1181" s="302"/>
      <c r="G1181" s="309"/>
      <c r="H1181" s="310"/>
      <c r="I1181" s="309"/>
      <c r="J1181" s="310"/>
      <c r="K1181" s="309"/>
      <c r="L1181" s="310"/>
      <c r="M1181" s="309"/>
      <c r="N1181" s="310"/>
      <c r="O1181" s="271"/>
      <c r="P1181" s="271"/>
      <c r="Q1181" s="309"/>
      <c r="R1181" s="310"/>
      <c r="S1181" s="309"/>
      <c r="T1181" s="310"/>
      <c r="U1181" s="309"/>
      <c r="V1181" s="310"/>
      <c r="W1181" s="309"/>
      <c r="X1181" s="310"/>
      <c r="Y1181" s="309"/>
      <c r="Z1181" s="310"/>
      <c r="AA1181" s="309"/>
      <c r="AB1181" s="310"/>
      <c r="AC1181" s="271"/>
      <c r="AD1181" s="271"/>
      <c r="AE1181" s="309"/>
      <c r="AF1181" s="310"/>
      <c r="AG1181" s="309"/>
      <c r="AH1181" s="310"/>
      <c r="AI1181" s="309"/>
      <c r="AJ1181" s="310"/>
      <c r="AK1181" s="309"/>
      <c r="AL1181" s="310"/>
      <c r="AM1181" s="309"/>
      <c r="AN1181" s="310"/>
      <c r="AO1181" s="309"/>
      <c r="AP1181" s="310"/>
      <c r="AQ1181" s="309"/>
      <c r="AR1181" s="310"/>
      <c r="AS1181" s="309"/>
      <c r="AT1181" s="310"/>
      <c r="AU1181" s="309"/>
      <c r="AV1181" s="310"/>
      <c r="AW1181" s="309"/>
      <c r="AX1181" s="310"/>
      <c r="AY1181" s="309"/>
      <c r="AZ1181" s="310"/>
      <c r="BA1181" s="271"/>
      <c r="BB1181" s="271"/>
      <c r="BC1181" s="271"/>
      <c r="BD1181" s="271"/>
      <c r="BE1181" s="271"/>
      <c r="BF1181" s="271"/>
    </row>
    <row r="1182" spans="2:58" ht="16" thickBot="1" x14ac:dyDescent="0.25">
      <c r="B1182" s="289"/>
      <c r="C1182" s="299"/>
      <c r="D1182" s="300"/>
      <c r="E1182" s="275"/>
      <c r="F1182" s="302"/>
      <c r="G1182" s="309"/>
      <c r="H1182" s="310"/>
      <c r="I1182" s="309"/>
      <c r="J1182" s="310"/>
      <c r="K1182" s="309"/>
      <c r="L1182" s="310"/>
      <c r="M1182" s="309"/>
      <c r="N1182" s="310"/>
      <c r="O1182" s="271"/>
      <c r="P1182" s="271"/>
      <c r="Q1182" s="309"/>
      <c r="R1182" s="310"/>
      <c r="S1182" s="309"/>
      <c r="T1182" s="310"/>
      <c r="U1182" s="309"/>
      <c r="V1182" s="310"/>
      <c r="W1182" s="309"/>
      <c r="X1182" s="310"/>
      <c r="Y1182" s="309"/>
      <c r="Z1182" s="310"/>
      <c r="AA1182" s="309"/>
      <c r="AB1182" s="310"/>
      <c r="AC1182" s="271"/>
      <c r="AD1182" s="271"/>
      <c r="AE1182" s="309"/>
      <c r="AF1182" s="310"/>
      <c r="AG1182" s="309"/>
      <c r="AH1182" s="310"/>
      <c r="AI1182" s="309"/>
      <c r="AJ1182" s="310"/>
      <c r="AK1182" s="309"/>
      <c r="AL1182" s="310"/>
      <c r="AM1182" s="309"/>
      <c r="AN1182" s="310"/>
      <c r="AO1182" s="309"/>
      <c r="AP1182" s="310"/>
      <c r="AQ1182" s="309"/>
      <c r="AR1182" s="310"/>
      <c r="AS1182" s="309"/>
      <c r="AT1182" s="310"/>
      <c r="AU1182" s="309"/>
      <c r="AV1182" s="310"/>
      <c r="AW1182" s="309"/>
      <c r="AX1182" s="310"/>
      <c r="AY1182" s="309"/>
      <c r="AZ1182" s="310"/>
      <c r="BA1182" s="271"/>
      <c r="BB1182" s="271"/>
      <c r="BC1182" s="271"/>
      <c r="BD1182" s="271"/>
      <c r="BE1182" s="271"/>
      <c r="BF1182" s="271"/>
    </row>
    <row r="1183" spans="2:58" ht="16" thickBot="1" x14ac:dyDescent="0.25">
      <c r="B1183" s="289"/>
      <c r="C1183" s="299"/>
      <c r="D1183" s="300"/>
      <c r="E1183" s="275"/>
      <c r="F1183" s="302"/>
      <c r="G1183" s="309"/>
      <c r="H1183" s="310"/>
      <c r="I1183" s="309"/>
      <c r="J1183" s="310"/>
      <c r="K1183" s="309"/>
      <c r="L1183" s="310"/>
      <c r="M1183" s="309"/>
      <c r="N1183" s="310"/>
      <c r="O1183" s="271"/>
      <c r="P1183" s="271"/>
      <c r="Q1183" s="309"/>
      <c r="R1183" s="310"/>
      <c r="S1183" s="309"/>
      <c r="T1183" s="310"/>
      <c r="U1183" s="309"/>
      <c r="V1183" s="310"/>
      <c r="W1183" s="309"/>
      <c r="X1183" s="310"/>
      <c r="Y1183" s="309"/>
      <c r="Z1183" s="310"/>
      <c r="AA1183" s="309"/>
      <c r="AB1183" s="310"/>
      <c r="AC1183" s="271"/>
      <c r="AD1183" s="271"/>
      <c r="AE1183" s="309"/>
      <c r="AF1183" s="310"/>
      <c r="AG1183" s="309"/>
      <c r="AH1183" s="310"/>
      <c r="AI1183" s="309"/>
      <c r="AJ1183" s="310"/>
      <c r="AK1183" s="309"/>
      <c r="AL1183" s="310"/>
      <c r="AM1183" s="309"/>
      <c r="AN1183" s="310"/>
      <c r="AO1183" s="309"/>
      <c r="AP1183" s="310"/>
      <c r="AQ1183" s="309"/>
      <c r="AR1183" s="310"/>
      <c r="AS1183" s="309"/>
      <c r="AT1183" s="310"/>
      <c r="AU1183" s="309"/>
      <c r="AV1183" s="310"/>
      <c r="AW1183" s="309"/>
      <c r="AX1183" s="310"/>
      <c r="AY1183" s="309"/>
      <c r="AZ1183" s="310"/>
      <c r="BA1183" s="271"/>
      <c r="BB1183" s="271"/>
      <c r="BC1183" s="271"/>
      <c r="BD1183" s="271"/>
      <c r="BE1183" s="271"/>
      <c r="BF1183" s="271"/>
    </row>
    <row r="1184" spans="2:58" ht="16" thickBot="1" x14ac:dyDescent="0.25">
      <c r="B1184" s="288" t="s">
        <v>25</v>
      </c>
      <c r="C1184" s="284"/>
      <c r="D1184" s="291"/>
      <c r="E1184" s="290"/>
      <c r="F1184" s="293"/>
      <c r="G1184" s="309"/>
      <c r="H1184" s="310"/>
      <c r="I1184" s="309"/>
      <c r="J1184" s="310"/>
      <c r="K1184" s="309"/>
      <c r="L1184" s="310"/>
      <c r="M1184" s="309"/>
      <c r="N1184" s="310"/>
      <c r="O1184" s="271"/>
      <c r="P1184" s="271"/>
      <c r="Q1184" s="309"/>
      <c r="R1184" s="310"/>
      <c r="S1184" s="309"/>
      <c r="T1184" s="310"/>
      <c r="U1184" s="309"/>
      <c r="V1184" s="310"/>
      <c r="W1184" s="309"/>
      <c r="X1184" s="310"/>
      <c r="Y1184" s="309"/>
      <c r="Z1184" s="310"/>
      <c r="AA1184" s="309"/>
      <c r="AB1184" s="310"/>
      <c r="AC1184" s="271"/>
      <c r="AD1184" s="271"/>
      <c r="AE1184" s="309"/>
      <c r="AF1184" s="310"/>
      <c r="AG1184" s="309"/>
      <c r="AH1184" s="310"/>
      <c r="AI1184" s="309"/>
      <c r="AJ1184" s="310"/>
      <c r="AK1184" s="309"/>
      <c r="AL1184" s="310"/>
      <c r="AM1184" s="309"/>
      <c r="AN1184" s="310"/>
      <c r="AO1184" s="309"/>
      <c r="AP1184" s="310"/>
      <c r="AQ1184" s="309"/>
      <c r="AR1184" s="310"/>
      <c r="AS1184" s="309"/>
      <c r="AT1184" s="310"/>
      <c r="AU1184" s="309"/>
      <c r="AV1184" s="310"/>
      <c r="AW1184" s="309"/>
      <c r="AX1184" s="310"/>
      <c r="AY1184" s="309"/>
      <c r="AZ1184" s="310"/>
      <c r="BA1184" s="271"/>
      <c r="BB1184" s="271"/>
      <c r="BC1184" s="271"/>
      <c r="BD1184" s="271"/>
      <c r="BE1184" s="271"/>
      <c r="BF1184" s="271"/>
    </row>
    <row r="1185" spans="2:58" ht="16" thickBot="1" x14ac:dyDescent="0.25">
      <c r="B1185" s="668"/>
      <c r="C1185" s="640">
        <f>SUM(C1177:C1184)</f>
        <v>0</v>
      </c>
      <c r="D1185" s="159"/>
      <c r="E1185" s="270"/>
      <c r="F1185" s="271"/>
      <c r="G1185" s="309"/>
      <c r="H1185" s="310"/>
      <c r="I1185" s="309"/>
      <c r="J1185" s="310"/>
      <c r="K1185" s="309"/>
      <c r="L1185" s="310"/>
      <c r="M1185" s="309"/>
      <c r="N1185" s="310"/>
      <c r="O1185" s="271"/>
      <c r="P1185" s="271"/>
      <c r="Q1185" s="309"/>
      <c r="R1185" s="310"/>
      <c r="S1185" s="309"/>
      <c r="T1185" s="310"/>
      <c r="U1185" s="309"/>
      <c r="V1185" s="310"/>
      <c r="W1185" s="309"/>
      <c r="X1185" s="310"/>
      <c r="Y1185" s="309"/>
      <c r="Z1185" s="310"/>
      <c r="AA1185" s="309"/>
      <c r="AB1185" s="310"/>
      <c r="AC1185" s="271"/>
      <c r="AD1185" s="271"/>
      <c r="AE1185" s="309"/>
      <c r="AF1185" s="310"/>
      <c r="AG1185" s="309"/>
      <c r="AH1185" s="310"/>
      <c r="AI1185" s="309"/>
      <c r="AJ1185" s="310"/>
      <c r="AK1185" s="309"/>
      <c r="AL1185" s="310"/>
      <c r="AM1185" s="309"/>
      <c r="AN1185" s="310"/>
      <c r="AO1185" s="309"/>
      <c r="AP1185" s="310"/>
      <c r="AQ1185" s="309"/>
      <c r="AR1185" s="310"/>
      <c r="AS1185" s="309"/>
      <c r="AT1185" s="310"/>
      <c r="AU1185" s="309"/>
      <c r="AV1185" s="310"/>
      <c r="AW1185" s="309"/>
      <c r="AX1185" s="310"/>
      <c r="AY1185" s="309"/>
      <c r="AZ1185" s="310"/>
      <c r="BA1185" s="271"/>
      <c r="BB1185" s="271"/>
      <c r="BC1185" s="271"/>
      <c r="BD1185" s="271"/>
      <c r="BE1185" s="271"/>
      <c r="BF1185" s="271"/>
    </row>
    <row r="1186" spans="2:58" ht="16" thickBot="1" x14ac:dyDescent="0.25">
      <c r="B1186" s="479">
        <v>45760</v>
      </c>
      <c r="C1186" s="657"/>
      <c r="D1186" s="641"/>
      <c r="E1186" s="274"/>
      <c r="F1186" s="301"/>
      <c r="G1186" s="550"/>
      <c r="H1186" s="310"/>
      <c r="I1186" s="309"/>
      <c r="J1186" s="310"/>
      <c r="K1186" s="309"/>
      <c r="L1186" s="310"/>
      <c r="M1186" s="309"/>
      <c r="N1186" s="310"/>
      <c r="O1186" s="271"/>
      <c r="P1186" s="271"/>
      <c r="Q1186" s="309"/>
      <c r="R1186" s="310"/>
      <c r="S1186" s="309"/>
      <c r="T1186" s="310"/>
      <c r="U1186" s="309"/>
      <c r="V1186" s="310"/>
      <c r="W1186" s="309"/>
      <c r="X1186" s="310"/>
      <c r="Y1186" s="309"/>
      <c r="Z1186" s="310"/>
      <c r="AA1186" s="309"/>
      <c r="AB1186" s="310"/>
      <c r="AC1186" s="271"/>
      <c r="AD1186" s="271"/>
      <c r="AE1186" s="309"/>
      <c r="AF1186" s="310"/>
      <c r="AG1186" s="309"/>
      <c r="AH1186" s="310"/>
      <c r="AI1186" s="309"/>
      <c r="AJ1186" s="310"/>
      <c r="AK1186" s="309"/>
      <c r="AL1186" s="310"/>
      <c r="AM1186" s="309"/>
      <c r="AN1186" s="310"/>
      <c r="AO1186" s="309"/>
      <c r="AP1186" s="310"/>
      <c r="AQ1186" s="309"/>
      <c r="AR1186" s="310"/>
      <c r="AS1186" s="309"/>
      <c r="AT1186" s="310"/>
      <c r="AU1186" s="309"/>
      <c r="AV1186" s="310"/>
      <c r="AW1186" s="309"/>
      <c r="AX1186" s="310"/>
      <c r="AY1186" s="309"/>
      <c r="AZ1186" s="310"/>
      <c r="BA1186" s="271"/>
      <c r="BB1186" s="271"/>
      <c r="BC1186" s="271"/>
      <c r="BD1186" s="271"/>
      <c r="BE1186" s="271"/>
      <c r="BF1186" s="271"/>
    </row>
    <row r="1187" spans="2:58" ht="16" thickBot="1" x14ac:dyDescent="0.25">
      <c r="B1187" s="479"/>
      <c r="C1187" s="657"/>
      <c r="D1187" s="657"/>
      <c r="E1187" s="285"/>
      <c r="F1187" s="302"/>
      <c r="G1187" s="550"/>
      <c r="H1187" s="310"/>
      <c r="I1187" s="309"/>
      <c r="J1187" s="310"/>
      <c r="K1187" s="309"/>
      <c r="L1187" s="310"/>
      <c r="M1187" s="309"/>
      <c r="N1187" s="310"/>
      <c r="O1187" s="271"/>
      <c r="P1187" s="271"/>
      <c r="Q1187" s="309"/>
      <c r="R1187" s="310"/>
      <c r="S1187" s="309"/>
      <c r="T1187" s="310"/>
      <c r="U1187" s="309"/>
      <c r="V1187" s="310"/>
      <c r="W1187" s="309"/>
      <c r="X1187" s="310"/>
      <c r="Y1187" s="309"/>
      <c r="Z1187" s="310"/>
      <c r="AA1187" s="309"/>
      <c r="AB1187" s="310"/>
      <c r="AC1187" s="271"/>
      <c r="AD1187" s="271"/>
      <c r="AE1187" s="309"/>
      <c r="AF1187" s="310"/>
      <c r="AG1187" s="309"/>
      <c r="AH1187" s="310"/>
      <c r="AI1187" s="309"/>
      <c r="AJ1187" s="310"/>
      <c r="AK1187" s="309"/>
      <c r="AL1187" s="310"/>
      <c r="AM1187" s="309"/>
      <c r="AN1187" s="310"/>
      <c r="AO1187" s="309"/>
      <c r="AP1187" s="310"/>
      <c r="AQ1187" s="309"/>
      <c r="AR1187" s="310"/>
      <c r="AS1187" s="309"/>
      <c r="AT1187" s="310"/>
      <c r="AU1187" s="309"/>
      <c r="AV1187" s="310"/>
      <c r="AW1187" s="309"/>
      <c r="AX1187" s="310"/>
      <c r="AY1187" s="309"/>
      <c r="AZ1187" s="310"/>
      <c r="BA1187" s="271"/>
      <c r="BB1187" s="271"/>
      <c r="BC1187" s="271"/>
      <c r="BD1187" s="271"/>
      <c r="BE1187" s="271"/>
      <c r="BF1187" s="271"/>
    </row>
    <row r="1188" spans="2:58" ht="16" thickBot="1" x14ac:dyDescent="0.25">
      <c r="B1188" s="479"/>
      <c r="C1188" s="657"/>
      <c r="D1188" s="657"/>
      <c r="E1188" s="285"/>
      <c r="F1188" s="302"/>
      <c r="G1188" s="550"/>
      <c r="H1188" s="310"/>
      <c r="I1188" s="309"/>
      <c r="J1188" s="310"/>
      <c r="K1188" s="309"/>
      <c r="L1188" s="310"/>
      <c r="M1188" s="309"/>
      <c r="N1188" s="310"/>
      <c r="O1188" s="271"/>
      <c r="P1188" s="271"/>
      <c r="Q1188" s="309"/>
      <c r="R1188" s="310"/>
      <c r="S1188" s="309"/>
      <c r="T1188" s="310"/>
      <c r="U1188" s="309"/>
      <c r="V1188" s="310"/>
      <c r="W1188" s="309"/>
      <c r="X1188" s="310"/>
      <c r="Y1188" s="309"/>
      <c r="Z1188" s="310"/>
      <c r="AA1188" s="309"/>
      <c r="AB1188" s="310"/>
      <c r="AC1188" s="271"/>
      <c r="AD1188" s="271"/>
      <c r="AE1188" s="309"/>
      <c r="AF1188" s="310"/>
      <c r="AG1188" s="309"/>
      <c r="AH1188" s="310"/>
      <c r="AI1188" s="309"/>
      <c r="AJ1188" s="310"/>
      <c r="AK1188" s="309"/>
      <c r="AL1188" s="310"/>
      <c r="AM1188" s="309"/>
      <c r="AN1188" s="310"/>
      <c r="AO1188" s="309"/>
      <c r="AP1188" s="310"/>
      <c r="AQ1188" s="309"/>
      <c r="AR1188" s="310"/>
      <c r="AS1188" s="309"/>
      <c r="AT1188" s="310"/>
      <c r="AU1188" s="309"/>
      <c r="AV1188" s="310"/>
      <c r="AW1188" s="309"/>
      <c r="AX1188" s="310"/>
      <c r="AY1188" s="309"/>
      <c r="AZ1188" s="310"/>
      <c r="BA1188" s="271"/>
      <c r="BB1188" s="271"/>
      <c r="BC1188" s="271"/>
      <c r="BD1188" s="271"/>
      <c r="BE1188" s="271"/>
      <c r="BF1188" s="271"/>
    </row>
    <row r="1189" spans="2:58" ht="16" thickBot="1" x14ac:dyDescent="0.25">
      <c r="B1189" s="479"/>
      <c r="C1189" s="657"/>
      <c r="D1189" s="657"/>
      <c r="E1189" s="285"/>
      <c r="F1189" s="302"/>
      <c r="G1189" s="550"/>
      <c r="H1189" s="310"/>
      <c r="I1189" s="309"/>
      <c r="J1189" s="310"/>
      <c r="K1189" s="309"/>
      <c r="L1189" s="310"/>
      <c r="M1189" s="309"/>
      <c r="N1189" s="310"/>
      <c r="O1189" s="271"/>
      <c r="P1189" s="271"/>
      <c r="Q1189" s="309"/>
      <c r="R1189" s="310"/>
      <c r="S1189" s="309"/>
      <c r="T1189" s="310"/>
      <c r="U1189" s="309"/>
      <c r="V1189" s="310"/>
      <c r="W1189" s="309"/>
      <c r="X1189" s="310"/>
      <c r="Y1189" s="309"/>
      <c r="Z1189" s="310"/>
      <c r="AA1189" s="309"/>
      <c r="AB1189" s="310"/>
      <c r="AC1189" s="271"/>
      <c r="AD1189" s="271"/>
      <c r="AE1189" s="309"/>
      <c r="AF1189" s="310"/>
      <c r="AG1189" s="309"/>
      <c r="AH1189" s="310"/>
      <c r="AI1189" s="309"/>
      <c r="AJ1189" s="310"/>
      <c r="AK1189" s="309"/>
      <c r="AL1189" s="310"/>
      <c r="AM1189" s="309"/>
      <c r="AN1189" s="310"/>
      <c r="AO1189" s="309"/>
      <c r="AP1189" s="310"/>
      <c r="AQ1189" s="309"/>
      <c r="AR1189" s="310"/>
      <c r="AS1189" s="309"/>
      <c r="AT1189" s="310"/>
      <c r="AU1189" s="309"/>
      <c r="AV1189" s="310"/>
      <c r="AW1189" s="309"/>
      <c r="AX1189" s="310"/>
      <c r="AY1189" s="309"/>
      <c r="AZ1189" s="310"/>
      <c r="BA1189" s="271"/>
      <c r="BB1189" s="271"/>
      <c r="BC1189" s="271"/>
      <c r="BD1189" s="271"/>
      <c r="BE1189" s="271"/>
      <c r="BF1189" s="271"/>
    </row>
    <row r="1190" spans="2:58" ht="16" thickBot="1" x14ac:dyDescent="0.25">
      <c r="B1190" s="479"/>
      <c r="C1190" s="657"/>
      <c r="D1190" s="657"/>
      <c r="E1190" s="285"/>
      <c r="F1190" s="302"/>
      <c r="G1190" s="550"/>
      <c r="H1190" s="310"/>
      <c r="I1190" s="309"/>
      <c r="J1190" s="310"/>
      <c r="K1190" s="309"/>
      <c r="L1190" s="310"/>
      <c r="M1190" s="309"/>
      <c r="N1190" s="310"/>
      <c r="O1190" s="271"/>
      <c r="P1190" s="271"/>
      <c r="Q1190" s="309"/>
      <c r="R1190" s="310"/>
      <c r="S1190" s="309"/>
      <c r="T1190" s="310"/>
      <c r="U1190" s="309"/>
      <c r="V1190" s="310"/>
      <c r="W1190" s="309"/>
      <c r="X1190" s="310"/>
      <c r="Y1190" s="309"/>
      <c r="Z1190" s="310"/>
      <c r="AA1190" s="309"/>
      <c r="AB1190" s="310"/>
      <c r="AC1190" s="271"/>
      <c r="AD1190" s="271"/>
      <c r="AE1190" s="309"/>
      <c r="AF1190" s="310"/>
      <c r="AG1190" s="309"/>
      <c r="AH1190" s="310"/>
      <c r="AI1190" s="309"/>
      <c r="AJ1190" s="310"/>
      <c r="AK1190" s="309"/>
      <c r="AL1190" s="310"/>
      <c r="AM1190" s="309"/>
      <c r="AN1190" s="310"/>
      <c r="AO1190" s="309"/>
      <c r="AP1190" s="310"/>
      <c r="AQ1190" s="309"/>
      <c r="AR1190" s="310"/>
      <c r="AS1190" s="309"/>
      <c r="AT1190" s="310"/>
      <c r="AU1190" s="309"/>
      <c r="AV1190" s="310"/>
      <c r="AW1190" s="309"/>
      <c r="AX1190" s="310"/>
      <c r="AY1190" s="309"/>
      <c r="AZ1190" s="310"/>
      <c r="BA1190" s="271"/>
      <c r="BB1190" s="271"/>
      <c r="BC1190" s="271"/>
      <c r="BD1190" s="271"/>
      <c r="BE1190" s="271"/>
      <c r="BF1190" s="271"/>
    </row>
    <row r="1191" spans="2:58" ht="16" thickBot="1" x14ac:dyDescent="0.25">
      <c r="B1191" s="479"/>
      <c r="C1191" s="657"/>
      <c r="D1191" s="657"/>
      <c r="E1191" s="285"/>
      <c r="F1191" s="302"/>
      <c r="G1191" s="550"/>
      <c r="H1191" s="310"/>
      <c r="I1191" s="309"/>
      <c r="J1191" s="310"/>
      <c r="K1191" s="309"/>
      <c r="L1191" s="310"/>
      <c r="M1191" s="309"/>
      <c r="N1191" s="310"/>
      <c r="O1191" s="271"/>
      <c r="P1191" s="271"/>
      <c r="Q1191" s="309"/>
      <c r="R1191" s="310"/>
      <c r="S1191" s="309"/>
      <c r="T1191" s="310"/>
      <c r="U1191" s="309"/>
      <c r="V1191" s="310"/>
      <c r="W1191" s="309"/>
      <c r="X1191" s="310"/>
      <c r="Y1191" s="309"/>
      <c r="Z1191" s="310"/>
      <c r="AA1191" s="309"/>
      <c r="AB1191" s="310"/>
      <c r="AC1191" s="271"/>
      <c r="AD1191" s="271"/>
      <c r="AE1191" s="309"/>
      <c r="AF1191" s="310"/>
      <c r="AG1191" s="309"/>
      <c r="AH1191" s="310"/>
      <c r="AI1191" s="309"/>
      <c r="AJ1191" s="310"/>
      <c r="AK1191" s="309"/>
      <c r="AL1191" s="310"/>
      <c r="AM1191" s="309"/>
      <c r="AN1191" s="310"/>
      <c r="AO1191" s="309"/>
      <c r="AP1191" s="310"/>
      <c r="AQ1191" s="309"/>
      <c r="AR1191" s="310"/>
      <c r="AS1191" s="309"/>
      <c r="AT1191" s="310"/>
      <c r="AU1191" s="309"/>
      <c r="AV1191" s="310"/>
      <c r="AW1191" s="309"/>
      <c r="AX1191" s="310"/>
      <c r="AY1191" s="309"/>
      <c r="AZ1191" s="310"/>
      <c r="BA1191" s="271"/>
      <c r="BB1191" s="271"/>
      <c r="BC1191" s="271"/>
      <c r="BD1191" s="271"/>
      <c r="BE1191" s="271"/>
      <c r="BF1191" s="271"/>
    </row>
    <row r="1192" spans="2:58" ht="16" thickBot="1" x14ac:dyDescent="0.25">
      <c r="B1192" s="549" t="s">
        <v>26</v>
      </c>
      <c r="C1192" s="554"/>
      <c r="D1192" s="291"/>
      <c r="E1192" s="290"/>
      <c r="F1192" s="293"/>
      <c r="G1192" s="550"/>
      <c r="H1192" s="310"/>
      <c r="I1192" s="309"/>
      <c r="J1192" s="310"/>
      <c r="K1192" s="309"/>
      <c r="L1192" s="310"/>
      <c r="M1192" s="309"/>
      <c r="N1192" s="310"/>
      <c r="O1192" s="271"/>
      <c r="P1192" s="271"/>
      <c r="Q1192" s="309"/>
      <c r="R1192" s="310"/>
      <c r="S1192" s="309"/>
      <c r="T1192" s="310"/>
      <c r="U1192" s="309"/>
      <c r="V1192" s="310"/>
      <c r="W1192" s="309"/>
      <c r="X1192" s="310"/>
      <c r="Y1192" s="309"/>
      <c r="Z1192" s="310"/>
      <c r="AA1192" s="309"/>
      <c r="AB1192" s="310"/>
      <c r="AC1192" s="271"/>
      <c r="AD1192" s="271"/>
      <c r="AE1192" s="309"/>
      <c r="AF1192" s="310"/>
      <c r="AG1192" s="309"/>
      <c r="AH1192" s="310"/>
      <c r="AI1192" s="309"/>
      <c r="AJ1192" s="310"/>
      <c r="AK1192" s="309"/>
      <c r="AL1192" s="310"/>
      <c r="AM1192" s="309"/>
      <c r="AN1192" s="310"/>
      <c r="AO1192" s="309"/>
      <c r="AP1192" s="310"/>
      <c r="AQ1192" s="309"/>
      <c r="AR1192" s="310"/>
      <c r="AS1192" s="309"/>
      <c r="AT1192" s="310"/>
      <c r="AU1192" s="309"/>
      <c r="AV1192" s="310"/>
      <c r="AW1192" s="309"/>
      <c r="AX1192" s="310"/>
      <c r="AY1192" s="309"/>
      <c r="AZ1192" s="310"/>
      <c r="BA1192" s="271"/>
      <c r="BB1192" s="271"/>
      <c r="BC1192" s="271"/>
      <c r="BD1192" s="271"/>
      <c r="BE1192" s="271"/>
      <c r="BF1192" s="271"/>
    </row>
    <row r="1193" spans="2:58" ht="16" thickBot="1" x14ac:dyDescent="0.25">
      <c r="B1193" s="292"/>
      <c r="C1193" s="551">
        <f>SUM(C1186:C1192)</f>
        <v>0</v>
      </c>
      <c r="D1193" s="551"/>
      <c r="E1193" s="552"/>
      <c r="F1193" s="553"/>
      <c r="G1193" s="271"/>
      <c r="H1193" s="271"/>
      <c r="I1193" s="271"/>
      <c r="J1193" s="271"/>
      <c r="K1193" s="271"/>
      <c r="L1193" s="271"/>
      <c r="M1193" s="271"/>
      <c r="N1193" s="271"/>
      <c r="O1193" s="271"/>
      <c r="P1193" s="271"/>
      <c r="Q1193" s="271"/>
      <c r="R1193" s="271"/>
      <c r="S1193" s="271"/>
      <c r="T1193" s="271"/>
      <c r="U1193" s="271"/>
      <c r="V1193" s="271"/>
      <c r="W1193" s="271"/>
      <c r="X1193" s="271"/>
      <c r="Y1193" s="271"/>
      <c r="Z1193" s="271"/>
      <c r="AA1193" s="271"/>
      <c r="AB1193" s="271"/>
      <c r="AC1193" s="271"/>
      <c r="AD1193" s="271"/>
      <c r="AE1193" s="309"/>
      <c r="AF1193" s="310"/>
      <c r="AG1193" s="309"/>
      <c r="AH1193" s="310"/>
      <c r="AI1193" s="309"/>
      <c r="AJ1193" s="310"/>
      <c r="AK1193" s="309"/>
      <c r="AL1193" s="310"/>
      <c r="AM1193" s="309"/>
      <c r="AN1193" s="310"/>
      <c r="AO1193" s="309"/>
      <c r="AP1193" s="310"/>
      <c r="AQ1193" s="309"/>
      <c r="AR1193" s="310"/>
      <c r="AS1193" s="309"/>
      <c r="AT1193" s="310"/>
      <c r="AU1193" s="309"/>
      <c r="AV1193" s="310"/>
      <c r="AW1193" s="309"/>
      <c r="AX1193" s="310"/>
      <c r="AY1193" s="309"/>
      <c r="AZ1193" s="310"/>
      <c r="BA1193" s="271"/>
      <c r="BB1193" s="271"/>
      <c r="BC1193" s="271"/>
      <c r="BD1193" s="271"/>
      <c r="BE1193" s="271"/>
      <c r="BF1193" s="271"/>
    </row>
    <row r="1194" spans="2:58" ht="16" thickBot="1" x14ac:dyDescent="0.25">
      <c r="B1194" s="761" t="s">
        <v>329</v>
      </c>
      <c r="C1194" s="311"/>
      <c r="D1194" s="312"/>
      <c r="E1194" s="285"/>
      <c r="F1194" s="302"/>
      <c r="G1194" s="306">
        <f t="shared" ref="G1194:AD1194" si="38">SUM(G1151:G1192)</f>
        <v>0</v>
      </c>
      <c r="H1194" s="307">
        <f t="shared" si="38"/>
        <v>0</v>
      </c>
      <c r="I1194" s="306">
        <f t="shared" si="38"/>
        <v>0</v>
      </c>
      <c r="J1194" s="307">
        <f t="shared" si="38"/>
        <v>0</v>
      </c>
      <c r="K1194" s="306">
        <f t="shared" si="38"/>
        <v>0</v>
      </c>
      <c r="L1194" s="307">
        <f t="shared" si="38"/>
        <v>0</v>
      </c>
      <c r="M1194" s="306">
        <f t="shared" si="38"/>
        <v>0</v>
      </c>
      <c r="N1194" s="307">
        <f t="shared" si="38"/>
        <v>0</v>
      </c>
      <c r="O1194" s="308">
        <f t="shared" si="38"/>
        <v>0</v>
      </c>
      <c r="P1194" s="308">
        <f t="shared" si="38"/>
        <v>0</v>
      </c>
      <c r="Q1194" s="306">
        <f t="shared" si="38"/>
        <v>0</v>
      </c>
      <c r="R1194" s="307">
        <f t="shared" si="38"/>
        <v>0</v>
      </c>
      <c r="S1194" s="306">
        <f t="shared" si="38"/>
        <v>0</v>
      </c>
      <c r="T1194" s="307">
        <f t="shared" si="38"/>
        <v>0</v>
      </c>
      <c r="U1194" s="306">
        <f t="shared" si="38"/>
        <v>0</v>
      </c>
      <c r="V1194" s="307">
        <f t="shared" si="38"/>
        <v>0</v>
      </c>
      <c r="W1194" s="306">
        <f t="shared" si="38"/>
        <v>0</v>
      </c>
      <c r="X1194" s="307">
        <f t="shared" si="38"/>
        <v>0</v>
      </c>
      <c r="Y1194" s="306">
        <f t="shared" si="38"/>
        <v>0</v>
      </c>
      <c r="Z1194" s="307">
        <f t="shared" si="38"/>
        <v>0</v>
      </c>
      <c r="AA1194" s="306">
        <f t="shared" si="38"/>
        <v>0</v>
      </c>
      <c r="AB1194" s="307">
        <f t="shared" si="38"/>
        <v>0</v>
      </c>
      <c r="AC1194" s="308">
        <f t="shared" si="38"/>
        <v>0</v>
      </c>
      <c r="AD1194" s="308">
        <f t="shared" si="38"/>
        <v>0</v>
      </c>
      <c r="AE1194" s="306">
        <f t="shared" ref="AE1194:BF1194" si="39">SUM(AE1151:AE1193)</f>
        <v>0</v>
      </c>
      <c r="AF1194" s="307">
        <f t="shared" si="39"/>
        <v>0</v>
      </c>
      <c r="AG1194" s="306">
        <f t="shared" si="39"/>
        <v>0</v>
      </c>
      <c r="AH1194" s="307">
        <f t="shared" si="39"/>
        <v>0</v>
      </c>
      <c r="AI1194" s="306">
        <f t="shared" si="39"/>
        <v>0</v>
      </c>
      <c r="AJ1194" s="307">
        <f t="shared" si="39"/>
        <v>0</v>
      </c>
      <c r="AK1194" s="306">
        <f t="shared" si="39"/>
        <v>0</v>
      </c>
      <c r="AL1194" s="307">
        <f t="shared" si="39"/>
        <v>0</v>
      </c>
      <c r="AM1194" s="306">
        <f t="shared" si="39"/>
        <v>0</v>
      </c>
      <c r="AN1194" s="307">
        <f t="shared" si="39"/>
        <v>0</v>
      </c>
      <c r="AO1194" s="306">
        <f t="shared" si="39"/>
        <v>0</v>
      </c>
      <c r="AP1194" s="307">
        <f t="shared" si="39"/>
        <v>0</v>
      </c>
      <c r="AQ1194" s="306">
        <f t="shared" si="39"/>
        <v>0</v>
      </c>
      <c r="AR1194" s="307">
        <f t="shared" si="39"/>
        <v>0</v>
      </c>
      <c r="AS1194" s="306">
        <f t="shared" si="39"/>
        <v>0</v>
      </c>
      <c r="AT1194" s="307">
        <f t="shared" si="39"/>
        <v>0</v>
      </c>
      <c r="AU1194" s="306">
        <f t="shared" si="39"/>
        <v>0</v>
      </c>
      <c r="AV1194" s="307">
        <f t="shared" si="39"/>
        <v>0</v>
      </c>
      <c r="AW1194" s="306">
        <f t="shared" si="39"/>
        <v>0</v>
      </c>
      <c r="AX1194" s="307">
        <f t="shared" si="39"/>
        <v>0</v>
      </c>
      <c r="AY1194" s="306">
        <f t="shared" si="39"/>
        <v>0</v>
      </c>
      <c r="AZ1194" s="307">
        <f t="shared" si="39"/>
        <v>0</v>
      </c>
      <c r="BA1194" s="306">
        <f t="shared" si="39"/>
        <v>0</v>
      </c>
      <c r="BB1194" s="307">
        <f t="shared" si="39"/>
        <v>0</v>
      </c>
      <c r="BC1194" s="306">
        <f t="shared" si="39"/>
        <v>0</v>
      </c>
      <c r="BD1194" s="307">
        <f t="shared" si="39"/>
        <v>0</v>
      </c>
      <c r="BE1194" s="306">
        <f t="shared" si="39"/>
        <v>0</v>
      </c>
      <c r="BF1194" s="307">
        <f t="shared" si="39"/>
        <v>0</v>
      </c>
    </row>
    <row r="1195" spans="2:58" ht="16" thickBot="1" x14ac:dyDescent="0.25">
      <c r="B1195" s="762"/>
      <c r="C1195" s="160">
        <f>SUM(C1193,C1185,C1176,C1169,C1164,C1161,C1151)</f>
        <v>0</v>
      </c>
      <c r="D1195" s="160"/>
      <c r="E1195" s="304"/>
      <c r="F1195" s="294"/>
      <c r="G1195" s="752" t="s">
        <v>29</v>
      </c>
      <c r="H1195" s="752"/>
      <c r="I1195" s="752" t="s">
        <v>30</v>
      </c>
      <c r="J1195" s="752"/>
      <c r="K1195" s="752" t="s">
        <v>31</v>
      </c>
      <c r="L1195" s="752"/>
      <c r="M1195" s="752" t="s">
        <v>32</v>
      </c>
      <c r="N1195" s="752"/>
      <c r="O1195" s="752" t="s">
        <v>33</v>
      </c>
      <c r="P1195" s="752"/>
      <c r="Q1195" s="752" t="s">
        <v>247</v>
      </c>
      <c r="R1195" s="752"/>
      <c r="S1195" s="752" t="s">
        <v>34</v>
      </c>
      <c r="T1195" s="752"/>
      <c r="U1195" s="752" t="s">
        <v>35</v>
      </c>
      <c r="V1195" s="752"/>
      <c r="W1195" s="752" t="s">
        <v>36</v>
      </c>
      <c r="X1195" s="752"/>
      <c r="Y1195" s="752" t="s">
        <v>37</v>
      </c>
      <c r="Z1195" s="752"/>
      <c r="AA1195" s="752" t="s">
        <v>38</v>
      </c>
      <c r="AB1195" s="752"/>
      <c r="AC1195" s="752" t="s">
        <v>39</v>
      </c>
      <c r="AD1195" s="752"/>
      <c r="AE1195" s="752" t="s">
        <v>40</v>
      </c>
      <c r="AF1195" s="752"/>
      <c r="AG1195" s="752" t="s">
        <v>41</v>
      </c>
      <c r="AH1195" s="752"/>
      <c r="AI1195" s="752" t="s">
        <v>42</v>
      </c>
      <c r="AJ1195" s="752"/>
      <c r="AK1195" s="752" t="s">
        <v>43</v>
      </c>
      <c r="AL1195" s="752"/>
      <c r="AM1195" s="752" t="s">
        <v>157</v>
      </c>
      <c r="AN1195" s="752"/>
      <c r="AO1195" s="752" t="s">
        <v>248</v>
      </c>
      <c r="AP1195" s="752"/>
      <c r="AQ1195" s="752" t="s">
        <v>249</v>
      </c>
      <c r="AR1195" s="752"/>
      <c r="AS1195" s="752" t="s">
        <v>150</v>
      </c>
      <c r="AT1195" s="752"/>
      <c r="AU1195" s="752" t="s">
        <v>151</v>
      </c>
      <c r="AV1195" s="752"/>
      <c r="AW1195" s="752" t="s">
        <v>44</v>
      </c>
      <c r="AX1195" s="752"/>
      <c r="AY1195" s="752" t="s">
        <v>250</v>
      </c>
      <c r="AZ1195" s="752"/>
      <c r="BA1195" s="752" t="s">
        <v>45</v>
      </c>
      <c r="BB1195" s="752"/>
      <c r="BC1195" s="752" t="s">
        <v>46</v>
      </c>
      <c r="BD1195" s="752"/>
      <c r="BE1195" s="752" t="s">
        <v>92</v>
      </c>
      <c r="BF1195" s="752"/>
    </row>
    <row r="1196" spans="2:58" ht="16" thickBot="1" x14ac:dyDescent="0.25">
      <c r="B1196" s="282"/>
      <c r="C1196" s="285"/>
      <c r="D1196" s="275"/>
      <c r="E1196" s="284"/>
      <c r="F1196" s="293"/>
      <c r="G1196" s="752" t="s">
        <v>50</v>
      </c>
      <c r="H1196" s="752"/>
      <c r="I1196" s="752" t="s">
        <v>51</v>
      </c>
      <c r="J1196" s="752"/>
      <c r="K1196" s="752" t="s">
        <v>51</v>
      </c>
      <c r="L1196" s="752"/>
      <c r="M1196" s="752" t="s">
        <v>52</v>
      </c>
      <c r="N1196" s="752"/>
      <c r="O1196" s="752">
        <v>180</v>
      </c>
      <c r="P1196" s="752"/>
      <c r="Q1196" s="752" t="s">
        <v>53</v>
      </c>
      <c r="R1196" s="752"/>
      <c r="S1196" s="752" t="s">
        <v>54</v>
      </c>
      <c r="T1196" s="752"/>
      <c r="U1196" s="752" t="s">
        <v>54</v>
      </c>
      <c r="V1196" s="752"/>
      <c r="W1196" s="752" t="s">
        <v>55</v>
      </c>
      <c r="X1196" s="752"/>
      <c r="Y1196" s="752" t="s">
        <v>54</v>
      </c>
      <c r="Z1196" s="752"/>
      <c r="AA1196" s="752" t="s">
        <v>54</v>
      </c>
      <c r="AB1196" s="752"/>
      <c r="AC1196" s="752" t="s">
        <v>56</v>
      </c>
      <c r="AD1196" s="752"/>
      <c r="AE1196" s="752" t="s">
        <v>57</v>
      </c>
      <c r="AF1196" s="752"/>
      <c r="AG1196" s="752" t="s">
        <v>57</v>
      </c>
      <c r="AH1196" s="752"/>
      <c r="AI1196" s="752" t="s">
        <v>58</v>
      </c>
      <c r="AJ1196" s="752"/>
      <c r="AK1196" s="752" t="s">
        <v>300</v>
      </c>
      <c r="AL1196" s="752"/>
      <c r="AM1196" s="752" t="s">
        <v>301</v>
      </c>
      <c r="AN1196" s="752"/>
      <c r="AO1196" s="752">
        <v>20</v>
      </c>
      <c r="AP1196" s="752"/>
      <c r="AQ1196" s="752">
        <v>20</v>
      </c>
      <c r="AR1196" s="752"/>
      <c r="AS1196" s="752" t="s">
        <v>57</v>
      </c>
      <c r="AT1196" s="752"/>
      <c r="AU1196" s="752" t="s">
        <v>302</v>
      </c>
      <c r="AV1196" s="752"/>
      <c r="AW1196" s="752">
        <v>100</v>
      </c>
      <c r="AX1196" s="752"/>
      <c r="AY1196" s="752">
        <v>100</v>
      </c>
      <c r="AZ1196" s="752"/>
      <c r="BA1196" s="752" t="s">
        <v>59</v>
      </c>
      <c r="BB1196" s="752"/>
      <c r="BC1196" s="752" t="s">
        <v>51</v>
      </c>
      <c r="BD1196" s="752"/>
      <c r="BE1196" s="752" t="s">
        <v>53</v>
      </c>
      <c r="BF1196" s="752"/>
    </row>
    <row r="1197" spans="2:58" ht="16" thickBot="1" x14ac:dyDescent="0.25">
      <c r="B1197" s="162"/>
      <c r="C1197" s="286"/>
      <c r="D1197" s="273"/>
      <c r="E1197" s="280"/>
      <c r="F1197" s="305"/>
      <c r="G1197" s="752">
        <v>151</v>
      </c>
      <c r="H1197" s="752"/>
      <c r="I1197" s="752">
        <v>167.99</v>
      </c>
      <c r="J1197" s="752"/>
      <c r="K1197" s="752">
        <v>144.99</v>
      </c>
      <c r="L1197" s="752"/>
      <c r="M1197" s="760">
        <v>169.99</v>
      </c>
      <c r="N1197" s="760"/>
      <c r="O1197" s="760">
        <v>274.99</v>
      </c>
      <c r="P1197" s="760"/>
      <c r="Q1197" s="760">
        <v>102.99</v>
      </c>
      <c r="R1197" s="760"/>
      <c r="S1197" s="752">
        <v>910.5</v>
      </c>
      <c r="T1197" s="752"/>
      <c r="U1197" s="752">
        <v>460.75</v>
      </c>
      <c r="V1197" s="752"/>
      <c r="W1197" s="752">
        <v>1048.95</v>
      </c>
      <c r="X1197" s="752"/>
      <c r="Y1197" s="752">
        <v>772.8</v>
      </c>
      <c r="Z1197" s="752"/>
      <c r="AA1197" s="752">
        <v>3450</v>
      </c>
      <c r="AB1197" s="752"/>
      <c r="AC1197" s="760">
        <v>89.99</v>
      </c>
      <c r="AD1197" s="760"/>
      <c r="AE1197" s="752">
        <v>39.99</v>
      </c>
      <c r="AF1197" s="752"/>
      <c r="AG1197" s="752">
        <v>498</v>
      </c>
      <c r="AH1197" s="752"/>
      <c r="AI1197" s="752">
        <v>4.99</v>
      </c>
      <c r="AJ1197" s="752"/>
      <c r="AK1197" s="752">
        <v>132.25</v>
      </c>
      <c r="AL1197" s="752"/>
      <c r="AM1197" s="752">
        <v>47.99</v>
      </c>
      <c r="AN1197" s="752"/>
      <c r="AO1197" s="752">
        <v>560</v>
      </c>
      <c r="AP1197" s="752"/>
      <c r="AQ1197" s="752">
        <v>560</v>
      </c>
      <c r="AR1197" s="752"/>
      <c r="AS1197" s="752">
        <v>613.5</v>
      </c>
      <c r="AT1197" s="752"/>
      <c r="AU1197" s="752">
        <v>313.89999999999998</v>
      </c>
      <c r="AV1197" s="752"/>
      <c r="AW1197" s="752">
        <v>405.8</v>
      </c>
      <c r="AX1197" s="752"/>
      <c r="AY1197" s="752">
        <v>218.99</v>
      </c>
      <c r="AZ1197" s="752"/>
      <c r="BA1197" s="752">
        <v>24.99</v>
      </c>
      <c r="BB1197" s="752"/>
      <c r="BC1197" s="752">
        <v>1425</v>
      </c>
      <c r="BD1197" s="752"/>
      <c r="BE1197" s="752">
        <v>54.99</v>
      </c>
      <c r="BF1197" s="752"/>
    </row>
    <row r="1198" spans="2:58" ht="16" thickBot="1" x14ac:dyDescent="0.25">
      <c r="B1198" s="162"/>
      <c r="C1198" s="753" t="str">
        <f>L1198</f>
        <v>7- 13 APRIL 2025</v>
      </c>
      <c r="D1198" s="754"/>
      <c r="E1198" s="754"/>
      <c r="F1198" s="754"/>
      <c r="G1198" s="755"/>
      <c r="H1198" s="756"/>
      <c r="I1198" s="163"/>
      <c r="J1198" s="157"/>
      <c r="K1198" s="157"/>
      <c r="L1198" s="757" t="str">
        <f>AL1198</f>
        <v>7- 13 APRIL 2025</v>
      </c>
      <c r="M1198" s="755"/>
      <c r="N1198" s="755"/>
      <c r="O1198" s="755"/>
      <c r="P1198" s="755"/>
      <c r="Q1198" s="755"/>
      <c r="R1198" s="755"/>
      <c r="S1198" s="755"/>
      <c r="T1198" s="756"/>
      <c r="U1198" s="157"/>
      <c r="V1198" s="157"/>
      <c r="W1198" s="157"/>
      <c r="X1198" s="157"/>
      <c r="Y1198" s="157"/>
      <c r="Z1198" s="157"/>
      <c r="AA1198" s="157"/>
      <c r="AB1198" s="157"/>
      <c r="AC1198" s="157"/>
      <c r="AD1198" s="157"/>
      <c r="AE1198" s="157"/>
      <c r="AF1198" s="157"/>
      <c r="AG1198" s="758"/>
      <c r="AH1198" s="758"/>
      <c r="AI1198" s="164"/>
      <c r="AJ1198" s="157"/>
      <c r="AK1198" s="157"/>
      <c r="AL1198" s="759" t="str">
        <f>AW1198</f>
        <v>7- 13 APRIL 2025</v>
      </c>
      <c r="AM1198" s="759"/>
      <c r="AN1198" s="759"/>
      <c r="AO1198" s="759"/>
      <c r="AP1198" s="157"/>
      <c r="AQ1198" s="157"/>
      <c r="AR1198" s="157"/>
      <c r="AS1198" s="157"/>
      <c r="AT1198" s="157"/>
      <c r="AU1198" s="157"/>
      <c r="AV1198" s="157"/>
      <c r="AW1198" s="757" t="str">
        <f>AW1141</f>
        <v>7- 13 APRIL 2025</v>
      </c>
      <c r="AX1198" s="755" t="s">
        <v>28</v>
      </c>
      <c r="AY1198" s="755"/>
      <c r="AZ1198" s="755"/>
      <c r="BA1198" s="755"/>
      <c r="BB1198" s="755"/>
      <c r="BC1198" s="755"/>
      <c r="BD1198" s="756"/>
      <c r="BE1198" s="157"/>
      <c r="BF1198" s="157"/>
    </row>
  </sheetData>
  <mergeCells count="3340">
    <mergeCell ref="AO1020:AP1020"/>
    <mergeCell ref="AQ1020:AR1020"/>
    <mergeCell ref="AS1020:AT1020"/>
    <mergeCell ref="AU1020:AV1020"/>
    <mergeCell ref="AW1020:AX1020"/>
    <mergeCell ref="AY1020:AZ1020"/>
    <mergeCell ref="BA1020:BB1020"/>
    <mergeCell ref="BC1020:BD1020"/>
    <mergeCell ref="BE1020:BF1020"/>
    <mergeCell ref="C1021:H1021"/>
    <mergeCell ref="L1021:T1021"/>
    <mergeCell ref="AG1021:AH1021"/>
    <mergeCell ref="AL1021:AO1021"/>
    <mergeCell ref="AW1021:BD1021"/>
    <mergeCell ref="G1020:H1020"/>
    <mergeCell ref="I1020:J1020"/>
    <mergeCell ref="K1020:L1020"/>
    <mergeCell ref="M1020:N1020"/>
    <mergeCell ref="O1020:P1020"/>
    <mergeCell ref="Q1020:R1020"/>
    <mergeCell ref="S1020:T1020"/>
    <mergeCell ref="U1020:V1020"/>
    <mergeCell ref="W1020:X1020"/>
    <mergeCell ref="Y1020:Z1020"/>
    <mergeCell ref="AA1020:AB1020"/>
    <mergeCell ref="AC1020:AD1020"/>
    <mergeCell ref="AE1020:AF1020"/>
    <mergeCell ref="AG1020:AH1020"/>
    <mergeCell ref="AI1020:AJ1020"/>
    <mergeCell ref="AK1020:AL1020"/>
    <mergeCell ref="AM1020:AN1020"/>
    <mergeCell ref="AY1018:AZ1018"/>
    <mergeCell ref="BA1018:BB1018"/>
    <mergeCell ref="BC1018:BD1018"/>
    <mergeCell ref="BE1018:BF1018"/>
    <mergeCell ref="G1019:H1019"/>
    <mergeCell ref="I1019:J1019"/>
    <mergeCell ref="K1019:L1019"/>
    <mergeCell ref="M1019:N1019"/>
    <mergeCell ref="O1019:P1019"/>
    <mergeCell ref="Q1019:R1019"/>
    <mergeCell ref="S1019:T1019"/>
    <mergeCell ref="U1019:V1019"/>
    <mergeCell ref="W1019:X1019"/>
    <mergeCell ref="Y1019:Z1019"/>
    <mergeCell ref="AA1019:AB1019"/>
    <mergeCell ref="AC1019:AD1019"/>
    <mergeCell ref="AE1019:AF1019"/>
    <mergeCell ref="AG1019:AH1019"/>
    <mergeCell ref="AI1019:AJ1019"/>
    <mergeCell ref="AK1019:AL1019"/>
    <mergeCell ref="AM1019:AN1019"/>
    <mergeCell ref="AO1019:AP1019"/>
    <mergeCell ref="AQ1019:AR1019"/>
    <mergeCell ref="AS1019:AT1019"/>
    <mergeCell ref="AU1019:AV1019"/>
    <mergeCell ref="AW1019:AX1019"/>
    <mergeCell ref="AY1019:AZ1019"/>
    <mergeCell ref="BA1019:BB1019"/>
    <mergeCell ref="BC1019:BD1019"/>
    <mergeCell ref="BE1019:BF1019"/>
    <mergeCell ref="AO970:AP970"/>
    <mergeCell ref="AQ970:AR970"/>
    <mergeCell ref="AS970:AT970"/>
    <mergeCell ref="AU970:AV970"/>
    <mergeCell ref="AW970:AX970"/>
    <mergeCell ref="AY970:AZ970"/>
    <mergeCell ref="BA970:BB970"/>
    <mergeCell ref="BC970:BD970"/>
    <mergeCell ref="BE970:BF970"/>
    <mergeCell ref="B1017:B1018"/>
    <mergeCell ref="G1018:H1018"/>
    <mergeCell ref="I1018:J1018"/>
    <mergeCell ref="K1018:L1018"/>
    <mergeCell ref="M1018:N1018"/>
    <mergeCell ref="O1018:P1018"/>
    <mergeCell ref="Q1018:R1018"/>
    <mergeCell ref="S1018:T1018"/>
    <mergeCell ref="U1018:V1018"/>
    <mergeCell ref="W1018:X1018"/>
    <mergeCell ref="Y1018:Z1018"/>
    <mergeCell ref="AA1018:AB1018"/>
    <mergeCell ref="AC1018:AD1018"/>
    <mergeCell ref="AE1018:AF1018"/>
    <mergeCell ref="AG1018:AH1018"/>
    <mergeCell ref="AI1018:AJ1018"/>
    <mergeCell ref="AK1018:AL1018"/>
    <mergeCell ref="AM1018:AN1018"/>
    <mergeCell ref="AO1018:AP1018"/>
    <mergeCell ref="AQ1018:AR1018"/>
    <mergeCell ref="AS1018:AT1018"/>
    <mergeCell ref="AU1018:AV1018"/>
    <mergeCell ref="AW1018:AX1018"/>
    <mergeCell ref="G970:H970"/>
    <mergeCell ref="I970:J970"/>
    <mergeCell ref="K970:L970"/>
    <mergeCell ref="M970:N970"/>
    <mergeCell ref="O970:P970"/>
    <mergeCell ref="Q970:R970"/>
    <mergeCell ref="S970:T970"/>
    <mergeCell ref="U970:V970"/>
    <mergeCell ref="W970:X970"/>
    <mergeCell ref="Y970:Z970"/>
    <mergeCell ref="AA970:AB970"/>
    <mergeCell ref="AC970:AD970"/>
    <mergeCell ref="AE970:AF970"/>
    <mergeCell ref="AG970:AH970"/>
    <mergeCell ref="AI970:AJ970"/>
    <mergeCell ref="AK970:AL970"/>
    <mergeCell ref="AM970:AN970"/>
    <mergeCell ref="BE968:BF968"/>
    <mergeCell ref="G969:H969"/>
    <mergeCell ref="I969:J969"/>
    <mergeCell ref="K969:L969"/>
    <mergeCell ref="M969:N969"/>
    <mergeCell ref="O969:P969"/>
    <mergeCell ref="Q969:R969"/>
    <mergeCell ref="S969:T969"/>
    <mergeCell ref="U969:V969"/>
    <mergeCell ref="W969:X969"/>
    <mergeCell ref="Y969:Z969"/>
    <mergeCell ref="AA969:AB969"/>
    <mergeCell ref="AC969:AD969"/>
    <mergeCell ref="AE969:AF969"/>
    <mergeCell ref="AG969:AH969"/>
    <mergeCell ref="AI969:AJ969"/>
    <mergeCell ref="AK969:AL969"/>
    <mergeCell ref="AM969:AN969"/>
    <mergeCell ref="AO969:AP969"/>
    <mergeCell ref="AQ969:AR969"/>
    <mergeCell ref="AS969:AT969"/>
    <mergeCell ref="AU969:AV969"/>
    <mergeCell ref="AW969:AX969"/>
    <mergeCell ref="AY969:AZ969"/>
    <mergeCell ref="BA969:BB969"/>
    <mergeCell ref="BC969:BD969"/>
    <mergeCell ref="BE969:BF969"/>
    <mergeCell ref="C967:H967"/>
    <mergeCell ref="L967:T967"/>
    <mergeCell ref="AG967:AH967"/>
    <mergeCell ref="AI967:AO967"/>
    <mergeCell ref="AW967:BD967"/>
    <mergeCell ref="G968:H968"/>
    <mergeCell ref="I968:J968"/>
    <mergeCell ref="K968:L968"/>
    <mergeCell ref="M968:N968"/>
    <mergeCell ref="O968:P968"/>
    <mergeCell ref="Q968:R968"/>
    <mergeCell ref="S968:T968"/>
    <mergeCell ref="U968:V968"/>
    <mergeCell ref="W968:X968"/>
    <mergeCell ref="Y968:Z968"/>
    <mergeCell ref="AA968:AB968"/>
    <mergeCell ref="AC968:AD968"/>
    <mergeCell ref="AE968:AF968"/>
    <mergeCell ref="AG968:AH968"/>
    <mergeCell ref="AI968:AJ968"/>
    <mergeCell ref="AK968:AL968"/>
    <mergeCell ref="AM968:AN968"/>
    <mergeCell ref="AO968:AP968"/>
    <mergeCell ref="AQ968:AR968"/>
    <mergeCell ref="AS968:AT968"/>
    <mergeCell ref="AU968:AV968"/>
    <mergeCell ref="AW968:AX968"/>
    <mergeCell ref="AY968:AZ968"/>
    <mergeCell ref="BA968:BB968"/>
    <mergeCell ref="BC968:BD968"/>
    <mergeCell ref="AO964:AP964"/>
    <mergeCell ref="AQ964:AR964"/>
    <mergeCell ref="AS964:AT964"/>
    <mergeCell ref="AU964:AV964"/>
    <mergeCell ref="AW964:AX964"/>
    <mergeCell ref="AY964:AZ964"/>
    <mergeCell ref="BA964:BB964"/>
    <mergeCell ref="BC964:BD964"/>
    <mergeCell ref="BE964:BF964"/>
    <mergeCell ref="C965:H965"/>
    <mergeCell ref="L965:T965"/>
    <mergeCell ref="AG965:AH965"/>
    <mergeCell ref="AL965:AO965"/>
    <mergeCell ref="AW965:BD965"/>
    <mergeCell ref="G964:H964"/>
    <mergeCell ref="I964:J964"/>
    <mergeCell ref="K964:L964"/>
    <mergeCell ref="M964:N964"/>
    <mergeCell ref="O964:P964"/>
    <mergeCell ref="Q964:R964"/>
    <mergeCell ref="S964:T964"/>
    <mergeCell ref="U964:V964"/>
    <mergeCell ref="W964:X964"/>
    <mergeCell ref="Y964:Z964"/>
    <mergeCell ref="AA964:AB964"/>
    <mergeCell ref="AC964:AD964"/>
    <mergeCell ref="AE964:AF964"/>
    <mergeCell ref="AG964:AH964"/>
    <mergeCell ref="AI964:AJ964"/>
    <mergeCell ref="AK964:AL964"/>
    <mergeCell ref="AM964:AN964"/>
    <mergeCell ref="AY962:AZ962"/>
    <mergeCell ref="BA962:BB962"/>
    <mergeCell ref="BC962:BD962"/>
    <mergeCell ref="BE962:BF962"/>
    <mergeCell ref="G963:H963"/>
    <mergeCell ref="I963:J963"/>
    <mergeCell ref="K963:L963"/>
    <mergeCell ref="M963:N963"/>
    <mergeCell ref="O963:P963"/>
    <mergeCell ref="Q963:R963"/>
    <mergeCell ref="S963:T963"/>
    <mergeCell ref="U963:V963"/>
    <mergeCell ref="W963:X963"/>
    <mergeCell ref="Y963:Z963"/>
    <mergeCell ref="AA963:AB963"/>
    <mergeCell ref="AC963:AD963"/>
    <mergeCell ref="AE963:AF963"/>
    <mergeCell ref="AG963:AH963"/>
    <mergeCell ref="AI963:AJ963"/>
    <mergeCell ref="AK963:AL963"/>
    <mergeCell ref="AM963:AN963"/>
    <mergeCell ref="AO963:AP963"/>
    <mergeCell ref="AQ963:AR963"/>
    <mergeCell ref="AS963:AT963"/>
    <mergeCell ref="AU963:AV963"/>
    <mergeCell ref="AW963:AX963"/>
    <mergeCell ref="AY963:AZ963"/>
    <mergeCell ref="BA963:BB963"/>
    <mergeCell ref="BC963:BD963"/>
    <mergeCell ref="BE963:BF963"/>
    <mergeCell ref="AO899:AP899"/>
    <mergeCell ref="AQ899:AR899"/>
    <mergeCell ref="AS899:AT899"/>
    <mergeCell ref="AU899:AV899"/>
    <mergeCell ref="AW899:AX899"/>
    <mergeCell ref="AY899:AZ899"/>
    <mergeCell ref="BA899:BB899"/>
    <mergeCell ref="BC899:BD899"/>
    <mergeCell ref="BE899:BF899"/>
    <mergeCell ref="B961:B962"/>
    <mergeCell ref="G962:H962"/>
    <mergeCell ref="I962:J962"/>
    <mergeCell ref="K962:L962"/>
    <mergeCell ref="M962:N962"/>
    <mergeCell ref="O962:P962"/>
    <mergeCell ref="Q962:R962"/>
    <mergeCell ref="S962:T962"/>
    <mergeCell ref="U962:V962"/>
    <mergeCell ref="W962:X962"/>
    <mergeCell ref="Y962:Z962"/>
    <mergeCell ref="AA962:AB962"/>
    <mergeCell ref="AC962:AD962"/>
    <mergeCell ref="AE962:AF962"/>
    <mergeCell ref="AG962:AH962"/>
    <mergeCell ref="AI962:AJ962"/>
    <mergeCell ref="AK962:AL962"/>
    <mergeCell ref="AM962:AN962"/>
    <mergeCell ref="AO962:AP962"/>
    <mergeCell ref="AQ962:AR962"/>
    <mergeCell ref="AS962:AT962"/>
    <mergeCell ref="AU962:AV962"/>
    <mergeCell ref="AW962:AX962"/>
    <mergeCell ref="G899:H899"/>
    <mergeCell ref="I899:J899"/>
    <mergeCell ref="K899:L899"/>
    <mergeCell ref="M899:N899"/>
    <mergeCell ref="O899:P899"/>
    <mergeCell ref="Q899:R899"/>
    <mergeCell ref="S899:T899"/>
    <mergeCell ref="U899:V899"/>
    <mergeCell ref="W899:X899"/>
    <mergeCell ref="Y899:Z899"/>
    <mergeCell ref="AA899:AB899"/>
    <mergeCell ref="AC899:AD899"/>
    <mergeCell ref="AE899:AF899"/>
    <mergeCell ref="AG899:AH899"/>
    <mergeCell ref="AI899:AJ899"/>
    <mergeCell ref="AK899:AL899"/>
    <mergeCell ref="AM899:AN899"/>
    <mergeCell ref="BE897:BF897"/>
    <mergeCell ref="G898:H898"/>
    <mergeCell ref="I898:J898"/>
    <mergeCell ref="K898:L898"/>
    <mergeCell ref="M898:N898"/>
    <mergeCell ref="O898:P898"/>
    <mergeCell ref="Q898:R898"/>
    <mergeCell ref="S898:T898"/>
    <mergeCell ref="U898:V898"/>
    <mergeCell ref="W898:X898"/>
    <mergeCell ref="Y898:Z898"/>
    <mergeCell ref="AA898:AB898"/>
    <mergeCell ref="AC898:AD898"/>
    <mergeCell ref="AE898:AF898"/>
    <mergeCell ref="AG898:AH898"/>
    <mergeCell ref="AI898:AJ898"/>
    <mergeCell ref="AK898:AL898"/>
    <mergeCell ref="AM898:AN898"/>
    <mergeCell ref="AO898:AP898"/>
    <mergeCell ref="AQ898:AR898"/>
    <mergeCell ref="AS898:AT898"/>
    <mergeCell ref="AU898:AV898"/>
    <mergeCell ref="AW898:AX898"/>
    <mergeCell ref="AY898:AZ898"/>
    <mergeCell ref="BA898:BB898"/>
    <mergeCell ref="BC898:BD898"/>
    <mergeCell ref="BE898:BF898"/>
    <mergeCell ref="C896:H896"/>
    <mergeCell ref="L896:T896"/>
    <mergeCell ref="AG896:AH896"/>
    <mergeCell ref="AI896:AO896"/>
    <mergeCell ref="AW896:BD896"/>
    <mergeCell ref="G897:H897"/>
    <mergeCell ref="I897:J897"/>
    <mergeCell ref="K897:L897"/>
    <mergeCell ref="M897:N897"/>
    <mergeCell ref="O897:P897"/>
    <mergeCell ref="Q897:R897"/>
    <mergeCell ref="S897:T897"/>
    <mergeCell ref="U897:V897"/>
    <mergeCell ref="W897:X897"/>
    <mergeCell ref="Y897:Z897"/>
    <mergeCell ref="AA897:AB897"/>
    <mergeCell ref="AC897:AD897"/>
    <mergeCell ref="AE897:AF897"/>
    <mergeCell ref="AG897:AH897"/>
    <mergeCell ref="AI897:AJ897"/>
    <mergeCell ref="AK897:AL897"/>
    <mergeCell ref="AM897:AN897"/>
    <mergeCell ref="AO897:AP897"/>
    <mergeCell ref="AQ897:AR897"/>
    <mergeCell ref="AS897:AT897"/>
    <mergeCell ref="AU897:AV897"/>
    <mergeCell ref="AW897:AX897"/>
    <mergeCell ref="AY897:AZ897"/>
    <mergeCell ref="BA897:BB897"/>
    <mergeCell ref="BC897:BD897"/>
    <mergeCell ref="AO893:AP893"/>
    <mergeCell ref="AQ893:AR893"/>
    <mergeCell ref="AS893:AT893"/>
    <mergeCell ref="AU893:AV893"/>
    <mergeCell ref="AW893:AX893"/>
    <mergeCell ref="AY893:AZ893"/>
    <mergeCell ref="BA893:BB893"/>
    <mergeCell ref="BC893:BD893"/>
    <mergeCell ref="BE893:BF893"/>
    <mergeCell ref="C894:H894"/>
    <mergeCell ref="L894:T894"/>
    <mergeCell ref="AG894:AH894"/>
    <mergeCell ref="AL894:AO894"/>
    <mergeCell ref="AW894:BD894"/>
    <mergeCell ref="G893:H893"/>
    <mergeCell ref="I893:J893"/>
    <mergeCell ref="K893:L893"/>
    <mergeCell ref="M893:N893"/>
    <mergeCell ref="O893:P893"/>
    <mergeCell ref="Q893:R893"/>
    <mergeCell ref="S893:T893"/>
    <mergeCell ref="U893:V893"/>
    <mergeCell ref="W893:X893"/>
    <mergeCell ref="Y893:Z893"/>
    <mergeCell ref="AA893:AB893"/>
    <mergeCell ref="AC893:AD893"/>
    <mergeCell ref="AE893:AF893"/>
    <mergeCell ref="AG893:AH893"/>
    <mergeCell ref="AI893:AJ893"/>
    <mergeCell ref="AK893:AL893"/>
    <mergeCell ref="AM893:AN893"/>
    <mergeCell ref="AY891:AZ891"/>
    <mergeCell ref="BA891:BB891"/>
    <mergeCell ref="BC891:BD891"/>
    <mergeCell ref="BE891:BF891"/>
    <mergeCell ref="G892:H892"/>
    <mergeCell ref="I892:J892"/>
    <mergeCell ref="K892:L892"/>
    <mergeCell ref="M892:N892"/>
    <mergeCell ref="O892:P892"/>
    <mergeCell ref="Q892:R892"/>
    <mergeCell ref="S892:T892"/>
    <mergeCell ref="U892:V892"/>
    <mergeCell ref="W892:X892"/>
    <mergeCell ref="Y892:Z892"/>
    <mergeCell ref="AA892:AB892"/>
    <mergeCell ref="AC892:AD892"/>
    <mergeCell ref="AE892:AF892"/>
    <mergeCell ref="AG892:AH892"/>
    <mergeCell ref="AI892:AJ892"/>
    <mergeCell ref="AK892:AL892"/>
    <mergeCell ref="AM892:AN892"/>
    <mergeCell ref="AO892:AP892"/>
    <mergeCell ref="AQ892:AR892"/>
    <mergeCell ref="AS892:AT892"/>
    <mergeCell ref="AU892:AV892"/>
    <mergeCell ref="AW892:AX892"/>
    <mergeCell ref="AY892:AZ892"/>
    <mergeCell ref="BA892:BB892"/>
    <mergeCell ref="BC892:BD892"/>
    <mergeCell ref="BE892:BF892"/>
    <mergeCell ref="AO836:AP836"/>
    <mergeCell ref="AQ836:AR836"/>
    <mergeCell ref="AS836:AT836"/>
    <mergeCell ref="AU836:AV836"/>
    <mergeCell ref="AW836:AX836"/>
    <mergeCell ref="AY836:AZ836"/>
    <mergeCell ref="BA836:BB836"/>
    <mergeCell ref="BC836:BD836"/>
    <mergeCell ref="BE836:BF836"/>
    <mergeCell ref="B890:B891"/>
    <mergeCell ref="G891:H891"/>
    <mergeCell ref="I891:J891"/>
    <mergeCell ref="K891:L891"/>
    <mergeCell ref="M891:N891"/>
    <mergeCell ref="O891:P891"/>
    <mergeCell ref="Q891:R891"/>
    <mergeCell ref="S891:T891"/>
    <mergeCell ref="U891:V891"/>
    <mergeCell ref="W891:X891"/>
    <mergeCell ref="Y891:Z891"/>
    <mergeCell ref="AA891:AB891"/>
    <mergeCell ref="AC891:AD891"/>
    <mergeCell ref="AE891:AF891"/>
    <mergeCell ref="AG891:AH891"/>
    <mergeCell ref="AI891:AJ891"/>
    <mergeCell ref="AK891:AL891"/>
    <mergeCell ref="AM891:AN891"/>
    <mergeCell ref="AO891:AP891"/>
    <mergeCell ref="AQ891:AR891"/>
    <mergeCell ref="AS891:AT891"/>
    <mergeCell ref="AU891:AV891"/>
    <mergeCell ref="AW891:AX891"/>
    <mergeCell ref="G836:H836"/>
    <mergeCell ref="I836:J836"/>
    <mergeCell ref="K836:L836"/>
    <mergeCell ref="M836:N836"/>
    <mergeCell ref="O836:P836"/>
    <mergeCell ref="Q836:R836"/>
    <mergeCell ref="S836:T836"/>
    <mergeCell ref="U836:V836"/>
    <mergeCell ref="W836:X836"/>
    <mergeCell ref="Y836:Z836"/>
    <mergeCell ref="AA836:AB836"/>
    <mergeCell ref="AC836:AD836"/>
    <mergeCell ref="AE836:AF836"/>
    <mergeCell ref="AG836:AH836"/>
    <mergeCell ref="AI836:AJ836"/>
    <mergeCell ref="AK836:AL836"/>
    <mergeCell ref="AM836:AN836"/>
    <mergeCell ref="BE834:BF834"/>
    <mergeCell ref="G835:H835"/>
    <mergeCell ref="I835:J835"/>
    <mergeCell ref="K835:L835"/>
    <mergeCell ref="M835:N835"/>
    <mergeCell ref="O835:P835"/>
    <mergeCell ref="Q835:R835"/>
    <mergeCell ref="S835:T835"/>
    <mergeCell ref="U835:V835"/>
    <mergeCell ref="W835:X835"/>
    <mergeCell ref="Y835:Z835"/>
    <mergeCell ref="AA835:AB835"/>
    <mergeCell ref="AC835:AD835"/>
    <mergeCell ref="AE835:AF835"/>
    <mergeCell ref="AG835:AH835"/>
    <mergeCell ref="AI835:AJ835"/>
    <mergeCell ref="AK835:AL835"/>
    <mergeCell ref="AM835:AN835"/>
    <mergeCell ref="AO835:AP835"/>
    <mergeCell ref="AQ835:AR835"/>
    <mergeCell ref="AS835:AT835"/>
    <mergeCell ref="AU835:AV835"/>
    <mergeCell ref="AW835:AX835"/>
    <mergeCell ref="AY835:AZ835"/>
    <mergeCell ref="BA835:BB835"/>
    <mergeCell ref="BC835:BD835"/>
    <mergeCell ref="BE835:BF835"/>
    <mergeCell ref="C833:H833"/>
    <mergeCell ref="L833:T833"/>
    <mergeCell ref="AG833:AH833"/>
    <mergeCell ref="AI833:AO833"/>
    <mergeCell ref="AW833:BD833"/>
    <mergeCell ref="G834:H834"/>
    <mergeCell ref="I834:J834"/>
    <mergeCell ref="K834:L834"/>
    <mergeCell ref="M834:N834"/>
    <mergeCell ref="O834:P834"/>
    <mergeCell ref="Q834:R834"/>
    <mergeCell ref="S834:T834"/>
    <mergeCell ref="U834:V834"/>
    <mergeCell ref="W834:X834"/>
    <mergeCell ref="Y834:Z834"/>
    <mergeCell ref="AA834:AB834"/>
    <mergeCell ref="AC834:AD834"/>
    <mergeCell ref="AE834:AF834"/>
    <mergeCell ref="AG834:AH834"/>
    <mergeCell ref="AI834:AJ834"/>
    <mergeCell ref="AK834:AL834"/>
    <mergeCell ref="AM834:AN834"/>
    <mergeCell ref="AO834:AP834"/>
    <mergeCell ref="AQ834:AR834"/>
    <mergeCell ref="AS834:AT834"/>
    <mergeCell ref="AU834:AV834"/>
    <mergeCell ref="AW834:AX834"/>
    <mergeCell ref="AY834:AZ834"/>
    <mergeCell ref="BA834:BB834"/>
    <mergeCell ref="BC834:BD834"/>
    <mergeCell ref="AO770:AP770"/>
    <mergeCell ref="AQ770:AR770"/>
    <mergeCell ref="AS770:AT770"/>
    <mergeCell ref="AU770:AV770"/>
    <mergeCell ref="AW770:AX770"/>
    <mergeCell ref="AY770:AZ770"/>
    <mergeCell ref="BA770:BB770"/>
    <mergeCell ref="BC770:BD770"/>
    <mergeCell ref="BE770:BF770"/>
    <mergeCell ref="C771:H771"/>
    <mergeCell ref="L771:T771"/>
    <mergeCell ref="AG771:AH771"/>
    <mergeCell ref="AL771:AO771"/>
    <mergeCell ref="AW771:BD771"/>
    <mergeCell ref="G770:H770"/>
    <mergeCell ref="I770:J770"/>
    <mergeCell ref="K770:L770"/>
    <mergeCell ref="M770:N770"/>
    <mergeCell ref="O770:P770"/>
    <mergeCell ref="Q770:R770"/>
    <mergeCell ref="S770:T770"/>
    <mergeCell ref="U770:V770"/>
    <mergeCell ref="W770:X770"/>
    <mergeCell ref="Y770:Z770"/>
    <mergeCell ref="AA770:AB770"/>
    <mergeCell ref="AC770:AD770"/>
    <mergeCell ref="AE770:AF770"/>
    <mergeCell ref="AG770:AH770"/>
    <mergeCell ref="AI770:AJ770"/>
    <mergeCell ref="AK770:AL770"/>
    <mergeCell ref="AM770:AN770"/>
    <mergeCell ref="AY768:AZ768"/>
    <mergeCell ref="BA768:BB768"/>
    <mergeCell ref="BC768:BD768"/>
    <mergeCell ref="BE768:BF768"/>
    <mergeCell ref="G769:H769"/>
    <mergeCell ref="I769:J769"/>
    <mergeCell ref="K769:L769"/>
    <mergeCell ref="M769:N769"/>
    <mergeCell ref="O769:P769"/>
    <mergeCell ref="Q769:R769"/>
    <mergeCell ref="S769:T769"/>
    <mergeCell ref="U769:V769"/>
    <mergeCell ref="W769:X769"/>
    <mergeCell ref="Y769:Z769"/>
    <mergeCell ref="AA769:AB769"/>
    <mergeCell ref="AC769:AD769"/>
    <mergeCell ref="AE769:AF769"/>
    <mergeCell ref="AG769:AH769"/>
    <mergeCell ref="AI769:AJ769"/>
    <mergeCell ref="AK769:AL769"/>
    <mergeCell ref="AM769:AN769"/>
    <mergeCell ref="AO769:AP769"/>
    <mergeCell ref="AQ769:AR769"/>
    <mergeCell ref="AS769:AT769"/>
    <mergeCell ref="AU769:AV769"/>
    <mergeCell ref="AW769:AX769"/>
    <mergeCell ref="AY769:AZ769"/>
    <mergeCell ref="BA769:BB769"/>
    <mergeCell ref="BC769:BD769"/>
    <mergeCell ref="BE769:BF769"/>
    <mergeCell ref="AO716:AP716"/>
    <mergeCell ref="AQ716:AR716"/>
    <mergeCell ref="AS716:AT716"/>
    <mergeCell ref="AU716:AV716"/>
    <mergeCell ref="AW716:AX716"/>
    <mergeCell ref="AY716:AZ716"/>
    <mergeCell ref="BA716:BB716"/>
    <mergeCell ref="BC716:BD716"/>
    <mergeCell ref="BE716:BF716"/>
    <mergeCell ref="B767:B768"/>
    <mergeCell ref="G768:H768"/>
    <mergeCell ref="I768:J768"/>
    <mergeCell ref="K768:L768"/>
    <mergeCell ref="M768:N768"/>
    <mergeCell ref="O768:P768"/>
    <mergeCell ref="Q768:R768"/>
    <mergeCell ref="S768:T768"/>
    <mergeCell ref="U768:V768"/>
    <mergeCell ref="W768:X768"/>
    <mergeCell ref="Y768:Z768"/>
    <mergeCell ref="AA768:AB768"/>
    <mergeCell ref="AC768:AD768"/>
    <mergeCell ref="AE768:AF768"/>
    <mergeCell ref="AG768:AH768"/>
    <mergeCell ref="AI768:AJ768"/>
    <mergeCell ref="AK768:AL768"/>
    <mergeCell ref="AM768:AN768"/>
    <mergeCell ref="AO768:AP768"/>
    <mergeCell ref="AQ768:AR768"/>
    <mergeCell ref="AS768:AT768"/>
    <mergeCell ref="AU768:AV768"/>
    <mergeCell ref="AW768:AX768"/>
    <mergeCell ref="G716:H716"/>
    <mergeCell ref="I716:J716"/>
    <mergeCell ref="K716:L716"/>
    <mergeCell ref="M716:N716"/>
    <mergeCell ref="O716:P716"/>
    <mergeCell ref="Q716:R716"/>
    <mergeCell ref="S716:T716"/>
    <mergeCell ref="U716:V716"/>
    <mergeCell ref="W716:X716"/>
    <mergeCell ref="Y716:Z716"/>
    <mergeCell ref="AA716:AB716"/>
    <mergeCell ref="AC716:AD716"/>
    <mergeCell ref="AE716:AF716"/>
    <mergeCell ref="AG716:AH716"/>
    <mergeCell ref="AI716:AJ716"/>
    <mergeCell ref="AK716:AL716"/>
    <mergeCell ref="AM716:AN716"/>
    <mergeCell ref="BE714:BF714"/>
    <mergeCell ref="G715:H715"/>
    <mergeCell ref="I715:J715"/>
    <mergeCell ref="K715:L715"/>
    <mergeCell ref="M715:N715"/>
    <mergeCell ref="O715:P715"/>
    <mergeCell ref="Q715:R715"/>
    <mergeCell ref="S715:T715"/>
    <mergeCell ref="U715:V715"/>
    <mergeCell ref="W715:X715"/>
    <mergeCell ref="Y715:Z715"/>
    <mergeCell ref="AA715:AB715"/>
    <mergeCell ref="AC715:AD715"/>
    <mergeCell ref="AE715:AF715"/>
    <mergeCell ref="AG715:AH715"/>
    <mergeCell ref="AI715:AJ715"/>
    <mergeCell ref="AK715:AL715"/>
    <mergeCell ref="AM715:AN715"/>
    <mergeCell ref="AO715:AP715"/>
    <mergeCell ref="AQ715:AR715"/>
    <mergeCell ref="AS715:AT715"/>
    <mergeCell ref="AU715:AV715"/>
    <mergeCell ref="AW715:AX715"/>
    <mergeCell ref="AY715:AZ715"/>
    <mergeCell ref="BA715:BB715"/>
    <mergeCell ref="BC715:BD715"/>
    <mergeCell ref="BE715:BF715"/>
    <mergeCell ref="C713:H713"/>
    <mergeCell ref="L713:T713"/>
    <mergeCell ref="AG713:AH713"/>
    <mergeCell ref="AI713:AO713"/>
    <mergeCell ref="AW713:BD713"/>
    <mergeCell ref="G714:H714"/>
    <mergeCell ref="I714:J714"/>
    <mergeCell ref="K714:L714"/>
    <mergeCell ref="M714:N714"/>
    <mergeCell ref="O714:P714"/>
    <mergeCell ref="Q714:R714"/>
    <mergeCell ref="S714:T714"/>
    <mergeCell ref="U714:V714"/>
    <mergeCell ref="W714:X714"/>
    <mergeCell ref="Y714:Z714"/>
    <mergeCell ref="AA714:AB714"/>
    <mergeCell ref="AC714:AD714"/>
    <mergeCell ref="AE714:AF714"/>
    <mergeCell ref="AG714:AH714"/>
    <mergeCell ref="AI714:AJ714"/>
    <mergeCell ref="AK714:AL714"/>
    <mergeCell ref="AM714:AN714"/>
    <mergeCell ref="AO714:AP714"/>
    <mergeCell ref="AQ714:AR714"/>
    <mergeCell ref="AS714:AT714"/>
    <mergeCell ref="AU714:AV714"/>
    <mergeCell ref="AW714:AX714"/>
    <mergeCell ref="AY714:AZ714"/>
    <mergeCell ref="BA714:BB714"/>
    <mergeCell ref="BC714:BD714"/>
    <mergeCell ref="AO710:AP710"/>
    <mergeCell ref="AQ710:AR710"/>
    <mergeCell ref="AS710:AT710"/>
    <mergeCell ref="AU710:AV710"/>
    <mergeCell ref="AW710:AX710"/>
    <mergeCell ref="AY710:AZ710"/>
    <mergeCell ref="BA710:BB710"/>
    <mergeCell ref="BC710:BD710"/>
    <mergeCell ref="BE710:BF710"/>
    <mergeCell ref="C711:H711"/>
    <mergeCell ref="L711:T711"/>
    <mergeCell ref="AG711:AH711"/>
    <mergeCell ref="AL711:AO711"/>
    <mergeCell ref="AW711:BD711"/>
    <mergeCell ref="G710:H710"/>
    <mergeCell ref="I710:J710"/>
    <mergeCell ref="K710:L710"/>
    <mergeCell ref="M710:N710"/>
    <mergeCell ref="O710:P710"/>
    <mergeCell ref="Q710:R710"/>
    <mergeCell ref="S710:T710"/>
    <mergeCell ref="U710:V710"/>
    <mergeCell ref="W710:X710"/>
    <mergeCell ref="Y710:Z710"/>
    <mergeCell ref="AA710:AB710"/>
    <mergeCell ref="AC710:AD710"/>
    <mergeCell ref="AE710:AF710"/>
    <mergeCell ref="AG710:AH710"/>
    <mergeCell ref="AI710:AJ710"/>
    <mergeCell ref="AK710:AL710"/>
    <mergeCell ref="AM710:AN710"/>
    <mergeCell ref="AY708:AZ708"/>
    <mergeCell ref="BA708:BB708"/>
    <mergeCell ref="BC708:BD708"/>
    <mergeCell ref="BE708:BF708"/>
    <mergeCell ref="G709:H709"/>
    <mergeCell ref="I709:J709"/>
    <mergeCell ref="K709:L709"/>
    <mergeCell ref="M709:N709"/>
    <mergeCell ref="O709:P709"/>
    <mergeCell ref="Q709:R709"/>
    <mergeCell ref="S709:T709"/>
    <mergeCell ref="U709:V709"/>
    <mergeCell ref="W709:X709"/>
    <mergeCell ref="Y709:Z709"/>
    <mergeCell ref="AA709:AB709"/>
    <mergeCell ref="AC709:AD709"/>
    <mergeCell ref="AE709:AF709"/>
    <mergeCell ref="AG709:AH709"/>
    <mergeCell ref="AI709:AJ709"/>
    <mergeCell ref="AK709:AL709"/>
    <mergeCell ref="AM709:AN709"/>
    <mergeCell ref="AO709:AP709"/>
    <mergeCell ref="AQ709:AR709"/>
    <mergeCell ref="AS709:AT709"/>
    <mergeCell ref="AU709:AV709"/>
    <mergeCell ref="AW709:AX709"/>
    <mergeCell ref="AY709:AZ709"/>
    <mergeCell ref="BA709:BB709"/>
    <mergeCell ref="BC709:BD709"/>
    <mergeCell ref="BE709:BF709"/>
    <mergeCell ref="AO651:AP651"/>
    <mergeCell ref="AQ651:AR651"/>
    <mergeCell ref="AS651:AT651"/>
    <mergeCell ref="AU651:AV651"/>
    <mergeCell ref="AW651:AX651"/>
    <mergeCell ref="AY651:AZ651"/>
    <mergeCell ref="BA651:BB651"/>
    <mergeCell ref="BC651:BD651"/>
    <mergeCell ref="BE651:BF651"/>
    <mergeCell ref="B707:B708"/>
    <mergeCell ref="G708:H708"/>
    <mergeCell ref="I708:J708"/>
    <mergeCell ref="K708:L708"/>
    <mergeCell ref="M708:N708"/>
    <mergeCell ref="O708:P708"/>
    <mergeCell ref="Q708:R708"/>
    <mergeCell ref="S708:T708"/>
    <mergeCell ref="U708:V708"/>
    <mergeCell ref="W708:X708"/>
    <mergeCell ref="Y708:Z708"/>
    <mergeCell ref="AA708:AB708"/>
    <mergeCell ref="AC708:AD708"/>
    <mergeCell ref="AE708:AF708"/>
    <mergeCell ref="AG708:AH708"/>
    <mergeCell ref="AI708:AJ708"/>
    <mergeCell ref="AK708:AL708"/>
    <mergeCell ref="AM708:AN708"/>
    <mergeCell ref="AO708:AP708"/>
    <mergeCell ref="AQ708:AR708"/>
    <mergeCell ref="AS708:AT708"/>
    <mergeCell ref="AU708:AV708"/>
    <mergeCell ref="AW708:AX708"/>
    <mergeCell ref="G651:H651"/>
    <mergeCell ref="I651:J651"/>
    <mergeCell ref="K651:L651"/>
    <mergeCell ref="M651:N651"/>
    <mergeCell ref="O651:P651"/>
    <mergeCell ref="Q651:R651"/>
    <mergeCell ref="S651:T651"/>
    <mergeCell ref="U651:V651"/>
    <mergeCell ref="W651:X651"/>
    <mergeCell ref="Y651:Z651"/>
    <mergeCell ref="AA651:AB651"/>
    <mergeCell ref="AC651:AD651"/>
    <mergeCell ref="AE651:AF651"/>
    <mergeCell ref="AG651:AH651"/>
    <mergeCell ref="AI651:AJ651"/>
    <mergeCell ref="AK651:AL651"/>
    <mergeCell ref="AM651:AN651"/>
    <mergeCell ref="BE649:BF649"/>
    <mergeCell ref="G650:H650"/>
    <mergeCell ref="I650:J650"/>
    <mergeCell ref="K650:L650"/>
    <mergeCell ref="M650:N650"/>
    <mergeCell ref="O650:P650"/>
    <mergeCell ref="Q650:R650"/>
    <mergeCell ref="S650:T650"/>
    <mergeCell ref="U650:V650"/>
    <mergeCell ref="W650:X650"/>
    <mergeCell ref="Y650:Z650"/>
    <mergeCell ref="AA650:AB650"/>
    <mergeCell ref="AC650:AD650"/>
    <mergeCell ref="AE650:AF650"/>
    <mergeCell ref="AG650:AH650"/>
    <mergeCell ref="AI650:AJ650"/>
    <mergeCell ref="AK650:AL650"/>
    <mergeCell ref="AM650:AN650"/>
    <mergeCell ref="AO650:AP650"/>
    <mergeCell ref="AQ650:AR650"/>
    <mergeCell ref="AS650:AT650"/>
    <mergeCell ref="AU650:AV650"/>
    <mergeCell ref="AW650:AX650"/>
    <mergeCell ref="AY650:AZ650"/>
    <mergeCell ref="BA650:BB650"/>
    <mergeCell ref="BC650:BD650"/>
    <mergeCell ref="BE650:BF650"/>
    <mergeCell ref="C648:H648"/>
    <mergeCell ref="L648:T648"/>
    <mergeCell ref="AG648:AH648"/>
    <mergeCell ref="AI648:AO648"/>
    <mergeCell ref="AW648:BD648"/>
    <mergeCell ref="G649:H649"/>
    <mergeCell ref="I649:J649"/>
    <mergeCell ref="K649:L649"/>
    <mergeCell ref="M649:N649"/>
    <mergeCell ref="O649:P649"/>
    <mergeCell ref="Q649:R649"/>
    <mergeCell ref="S649:T649"/>
    <mergeCell ref="U649:V649"/>
    <mergeCell ref="W649:X649"/>
    <mergeCell ref="Y649:Z649"/>
    <mergeCell ref="AA649:AB649"/>
    <mergeCell ref="AC649:AD649"/>
    <mergeCell ref="AE649:AF649"/>
    <mergeCell ref="AG649:AH649"/>
    <mergeCell ref="AI649:AJ649"/>
    <mergeCell ref="AK649:AL649"/>
    <mergeCell ref="AM649:AN649"/>
    <mergeCell ref="AO649:AP649"/>
    <mergeCell ref="AQ649:AR649"/>
    <mergeCell ref="AS649:AT649"/>
    <mergeCell ref="AU649:AV649"/>
    <mergeCell ref="AW649:AX649"/>
    <mergeCell ref="AY649:AZ649"/>
    <mergeCell ref="BA649:BB649"/>
    <mergeCell ref="BC649:BD649"/>
    <mergeCell ref="AO645:AP645"/>
    <mergeCell ref="AQ645:AR645"/>
    <mergeCell ref="AS645:AT645"/>
    <mergeCell ref="AU645:AV645"/>
    <mergeCell ref="AW645:AX645"/>
    <mergeCell ref="AY645:AZ645"/>
    <mergeCell ref="BA645:BB645"/>
    <mergeCell ref="BC645:BD645"/>
    <mergeCell ref="BE645:BF645"/>
    <mergeCell ref="C646:H646"/>
    <mergeCell ref="L646:T646"/>
    <mergeCell ref="AG646:AH646"/>
    <mergeCell ref="AL646:AO646"/>
    <mergeCell ref="AW646:BD646"/>
    <mergeCell ref="G645:H645"/>
    <mergeCell ref="I645:J645"/>
    <mergeCell ref="K645:L645"/>
    <mergeCell ref="M645:N645"/>
    <mergeCell ref="O645:P645"/>
    <mergeCell ref="Q645:R645"/>
    <mergeCell ref="S645:T645"/>
    <mergeCell ref="U645:V645"/>
    <mergeCell ref="W645:X645"/>
    <mergeCell ref="Y645:Z645"/>
    <mergeCell ref="AA645:AB645"/>
    <mergeCell ref="AC645:AD645"/>
    <mergeCell ref="AE645:AF645"/>
    <mergeCell ref="AG645:AH645"/>
    <mergeCell ref="AI645:AJ645"/>
    <mergeCell ref="AK645:AL645"/>
    <mergeCell ref="AM645:AN645"/>
    <mergeCell ref="AY643:AZ643"/>
    <mergeCell ref="BA643:BB643"/>
    <mergeCell ref="BC643:BD643"/>
    <mergeCell ref="BE643:BF643"/>
    <mergeCell ref="G644:H644"/>
    <mergeCell ref="I644:J644"/>
    <mergeCell ref="K644:L644"/>
    <mergeCell ref="M644:N644"/>
    <mergeCell ref="O644:P644"/>
    <mergeCell ref="Q644:R644"/>
    <mergeCell ref="S644:T644"/>
    <mergeCell ref="U644:V644"/>
    <mergeCell ref="W644:X644"/>
    <mergeCell ref="Y644:Z644"/>
    <mergeCell ref="AA644:AB644"/>
    <mergeCell ref="AC644:AD644"/>
    <mergeCell ref="AE644:AF644"/>
    <mergeCell ref="AG644:AH644"/>
    <mergeCell ref="AI644:AJ644"/>
    <mergeCell ref="AK644:AL644"/>
    <mergeCell ref="AM644:AN644"/>
    <mergeCell ref="AO644:AP644"/>
    <mergeCell ref="AQ644:AR644"/>
    <mergeCell ref="AS644:AT644"/>
    <mergeCell ref="AU644:AV644"/>
    <mergeCell ref="AW644:AX644"/>
    <mergeCell ref="AY644:AZ644"/>
    <mergeCell ref="BA644:BB644"/>
    <mergeCell ref="BC644:BD644"/>
    <mergeCell ref="BE644:BF644"/>
    <mergeCell ref="AO596:AP596"/>
    <mergeCell ref="AQ596:AR596"/>
    <mergeCell ref="AS596:AT596"/>
    <mergeCell ref="AU596:AV596"/>
    <mergeCell ref="AW596:AX596"/>
    <mergeCell ref="AY596:AZ596"/>
    <mergeCell ref="BA596:BB596"/>
    <mergeCell ref="BC596:BD596"/>
    <mergeCell ref="BE596:BF596"/>
    <mergeCell ref="B642:B643"/>
    <mergeCell ref="G643:H643"/>
    <mergeCell ref="I643:J643"/>
    <mergeCell ref="K643:L643"/>
    <mergeCell ref="M643:N643"/>
    <mergeCell ref="O643:P643"/>
    <mergeCell ref="Q643:R643"/>
    <mergeCell ref="S643:T643"/>
    <mergeCell ref="U643:V643"/>
    <mergeCell ref="W643:X643"/>
    <mergeCell ref="Y643:Z643"/>
    <mergeCell ref="AA643:AB643"/>
    <mergeCell ref="AC643:AD643"/>
    <mergeCell ref="AE643:AF643"/>
    <mergeCell ref="AG643:AH643"/>
    <mergeCell ref="AI643:AJ643"/>
    <mergeCell ref="AK643:AL643"/>
    <mergeCell ref="AM643:AN643"/>
    <mergeCell ref="AO643:AP643"/>
    <mergeCell ref="AQ643:AR643"/>
    <mergeCell ref="AS643:AT643"/>
    <mergeCell ref="AU643:AV643"/>
    <mergeCell ref="AW643:AX643"/>
    <mergeCell ref="G596:H596"/>
    <mergeCell ref="I596:J596"/>
    <mergeCell ref="K596:L596"/>
    <mergeCell ref="M596:N596"/>
    <mergeCell ref="O596:P596"/>
    <mergeCell ref="Q596:R596"/>
    <mergeCell ref="S596:T596"/>
    <mergeCell ref="U596:V596"/>
    <mergeCell ref="W596:X596"/>
    <mergeCell ref="Y596:Z596"/>
    <mergeCell ref="AA596:AB596"/>
    <mergeCell ref="AC596:AD596"/>
    <mergeCell ref="AE596:AF596"/>
    <mergeCell ref="AG596:AH596"/>
    <mergeCell ref="AI596:AJ596"/>
    <mergeCell ref="AK596:AL596"/>
    <mergeCell ref="AM596:AN596"/>
    <mergeCell ref="BE594:BF594"/>
    <mergeCell ref="G595:H595"/>
    <mergeCell ref="I595:J595"/>
    <mergeCell ref="K595:L595"/>
    <mergeCell ref="M595:N595"/>
    <mergeCell ref="O595:P595"/>
    <mergeCell ref="Q595:R595"/>
    <mergeCell ref="S595:T595"/>
    <mergeCell ref="U595:V595"/>
    <mergeCell ref="W595:X595"/>
    <mergeCell ref="Y595:Z595"/>
    <mergeCell ref="AA595:AB595"/>
    <mergeCell ref="AC595:AD595"/>
    <mergeCell ref="AE595:AF595"/>
    <mergeCell ref="AG595:AH595"/>
    <mergeCell ref="AI595:AJ595"/>
    <mergeCell ref="AK595:AL595"/>
    <mergeCell ref="AM595:AN595"/>
    <mergeCell ref="AO595:AP595"/>
    <mergeCell ref="AQ595:AR595"/>
    <mergeCell ref="AS595:AT595"/>
    <mergeCell ref="AU595:AV595"/>
    <mergeCell ref="AW595:AX595"/>
    <mergeCell ref="AY595:AZ595"/>
    <mergeCell ref="BA595:BB595"/>
    <mergeCell ref="BC595:BD595"/>
    <mergeCell ref="BE595:BF595"/>
    <mergeCell ref="C593:H593"/>
    <mergeCell ref="L593:T593"/>
    <mergeCell ref="AG593:AH593"/>
    <mergeCell ref="AI593:AO593"/>
    <mergeCell ref="AW593:BD593"/>
    <mergeCell ref="G594:H594"/>
    <mergeCell ref="I594:J594"/>
    <mergeCell ref="K594:L594"/>
    <mergeCell ref="M594:N594"/>
    <mergeCell ref="O594:P594"/>
    <mergeCell ref="Q594:R594"/>
    <mergeCell ref="S594:T594"/>
    <mergeCell ref="U594:V594"/>
    <mergeCell ref="W594:X594"/>
    <mergeCell ref="Y594:Z594"/>
    <mergeCell ref="AA594:AB594"/>
    <mergeCell ref="AC594:AD594"/>
    <mergeCell ref="AE594:AF594"/>
    <mergeCell ref="AG594:AH594"/>
    <mergeCell ref="AI594:AJ594"/>
    <mergeCell ref="AK594:AL594"/>
    <mergeCell ref="AM594:AN594"/>
    <mergeCell ref="AO594:AP594"/>
    <mergeCell ref="AQ594:AR594"/>
    <mergeCell ref="AS594:AT594"/>
    <mergeCell ref="AU594:AV594"/>
    <mergeCell ref="AW594:AX594"/>
    <mergeCell ref="AY594:AZ594"/>
    <mergeCell ref="BA594:BB594"/>
    <mergeCell ref="BC594:BD594"/>
    <mergeCell ref="AO529:AP529"/>
    <mergeCell ref="AQ529:AR529"/>
    <mergeCell ref="AS529:AT529"/>
    <mergeCell ref="AU529:AV529"/>
    <mergeCell ref="AW529:AX529"/>
    <mergeCell ref="AY529:AZ529"/>
    <mergeCell ref="BA529:BB529"/>
    <mergeCell ref="BC529:BD529"/>
    <mergeCell ref="BE529:BF529"/>
    <mergeCell ref="C530:H530"/>
    <mergeCell ref="L530:T530"/>
    <mergeCell ref="AG530:AH530"/>
    <mergeCell ref="AL530:AO530"/>
    <mergeCell ref="AW530:BD530"/>
    <mergeCell ref="G529:H529"/>
    <mergeCell ref="I529:J529"/>
    <mergeCell ref="K529:L529"/>
    <mergeCell ref="M529:N529"/>
    <mergeCell ref="O529:P529"/>
    <mergeCell ref="Q529:R529"/>
    <mergeCell ref="S529:T529"/>
    <mergeCell ref="U529:V529"/>
    <mergeCell ref="W529:X529"/>
    <mergeCell ref="Y529:Z529"/>
    <mergeCell ref="AA529:AB529"/>
    <mergeCell ref="AC529:AD529"/>
    <mergeCell ref="AE529:AF529"/>
    <mergeCell ref="AG529:AH529"/>
    <mergeCell ref="AI529:AJ529"/>
    <mergeCell ref="AK529:AL529"/>
    <mergeCell ref="AM529:AN529"/>
    <mergeCell ref="AY527:AZ527"/>
    <mergeCell ref="BA527:BB527"/>
    <mergeCell ref="BC527:BD527"/>
    <mergeCell ref="BE527:BF527"/>
    <mergeCell ref="G528:H528"/>
    <mergeCell ref="I528:J528"/>
    <mergeCell ref="K528:L528"/>
    <mergeCell ref="M528:N528"/>
    <mergeCell ref="O528:P528"/>
    <mergeCell ref="Q528:R528"/>
    <mergeCell ref="S528:T528"/>
    <mergeCell ref="U528:V528"/>
    <mergeCell ref="W528:X528"/>
    <mergeCell ref="Y528:Z528"/>
    <mergeCell ref="AA528:AB528"/>
    <mergeCell ref="AC528:AD528"/>
    <mergeCell ref="AE528:AF528"/>
    <mergeCell ref="AG528:AH528"/>
    <mergeCell ref="AI528:AJ528"/>
    <mergeCell ref="AK528:AL528"/>
    <mergeCell ref="AM528:AN528"/>
    <mergeCell ref="AO528:AP528"/>
    <mergeCell ref="AQ528:AR528"/>
    <mergeCell ref="AS528:AT528"/>
    <mergeCell ref="AU528:AV528"/>
    <mergeCell ref="AW528:AX528"/>
    <mergeCell ref="AY528:AZ528"/>
    <mergeCell ref="BA528:BB528"/>
    <mergeCell ref="BC528:BD528"/>
    <mergeCell ref="BE528:BF528"/>
    <mergeCell ref="AO479:AP479"/>
    <mergeCell ref="AQ479:AR479"/>
    <mergeCell ref="AS479:AT479"/>
    <mergeCell ref="AU479:AV479"/>
    <mergeCell ref="AW479:AX479"/>
    <mergeCell ref="AY479:AZ479"/>
    <mergeCell ref="BA479:BB479"/>
    <mergeCell ref="BC479:BD479"/>
    <mergeCell ref="BE479:BF479"/>
    <mergeCell ref="B526:B527"/>
    <mergeCell ref="G527:H527"/>
    <mergeCell ref="I527:J527"/>
    <mergeCell ref="K527:L527"/>
    <mergeCell ref="M527:N527"/>
    <mergeCell ref="O527:P527"/>
    <mergeCell ref="Q527:R527"/>
    <mergeCell ref="S527:T527"/>
    <mergeCell ref="U527:V527"/>
    <mergeCell ref="W527:X527"/>
    <mergeCell ref="Y527:Z527"/>
    <mergeCell ref="AA527:AB527"/>
    <mergeCell ref="AC527:AD527"/>
    <mergeCell ref="AE527:AF527"/>
    <mergeCell ref="AG527:AH527"/>
    <mergeCell ref="AI527:AJ527"/>
    <mergeCell ref="AK527:AL527"/>
    <mergeCell ref="AM527:AN527"/>
    <mergeCell ref="AO527:AP527"/>
    <mergeCell ref="AQ527:AR527"/>
    <mergeCell ref="AS527:AT527"/>
    <mergeCell ref="AU527:AV527"/>
    <mergeCell ref="AW527:AX527"/>
    <mergeCell ref="G479:H479"/>
    <mergeCell ref="I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G479:AH479"/>
    <mergeCell ref="AI479:AJ479"/>
    <mergeCell ref="AK479:AL479"/>
    <mergeCell ref="AM479:AN479"/>
    <mergeCell ref="BE477:BF477"/>
    <mergeCell ref="G478:H478"/>
    <mergeCell ref="I478:J478"/>
    <mergeCell ref="K478:L478"/>
    <mergeCell ref="M478:N478"/>
    <mergeCell ref="O478:P478"/>
    <mergeCell ref="Q478:R478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I478:AJ478"/>
    <mergeCell ref="AK478:AL478"/>
    <mergeCell ref="AM478:AN478"/>
    <mergeCell ref="AO478:AP478"/>
    <mergeCell ref="AQ478:AR478"/>
    <mergeCell ref="AS478:AT478"/>
    <mergeCell ref="AU478:AV478"/>
    <mergeCell ref="AW478:AX478"/>
    <mergeCell ref="AY478:AZ478"/>
    <mergeCell ref="BA478:BB478"/>
    <mergeCell ref="BC478:BD478"/>
    <mergeCell ref="BE478:BF478"/>
    <mergeCell ref="C476:H476"/>
    <mergeCell ref="L476:T476"/>
    <mergeCell ref="AG476:AH476"/>
    <mergeCell ref="AI476:AO476"/>
    <mergeCell ref="AW476:BD476"/>
    <mergeCell ref="G477:H477"/>
    <mergeCell ref="I477:J477"/>
    <mergeCell ref="K477:L477"/>
    <mergeCell ref="M477:N477"/>
    <mergeCell ref="O477:P477"/>
    <mergeCell ref="Q477:R477"/>
    <mergeCell ref="S477:T477"/>
    <mergeCell ref="U477:V477"/>
    <mergeCell ref="W477:X477"/>
    <mergeCell ref="Y477:Z477"/>
    <mergeCell ref="AA477:AB477"/>
    <mergeCell ref="AC477:AD477"/>
    <mergeCell ref="AE477:AF477"/>
    <mergeCell ref="AG477:AH477"/>
    <mergeCell ref="AI477:AJ477"/>
    <mergeCell ref="AK477:AL477"/>
    <mergeCell ref="AM477:AN477"/>
    <mergeCell ref="AO477:AP477"/>
    <mergeCell ref="AQ477:AR477"/>
    <mergeCell ref="AS477:AT477"/>
    <mergeCell ref="AU477:AV477"/>
    <mergeCell ref="AW477:AX477"/>
    <mergeCell ref="AY477:AZ477"/>
    <mergeCell ref="BA477:BB477"/>
    <mergeCell ref="BC477:BD477"/>
    <mergeCell ref="AO303:AP303"/>
    <mergeCell ref="AQ303:AR303"/>
    <mergeCell ref="AS303:AT303"/>
    <mergeCell ref="AU303:AV303"/>
    <mergeCell ref="AW303:AX303"/>
    <mergeCell ref="AY303:AZ303"/>
    <mergeCell ref="BA303:BB303"/>
    <mergeCell ref="BC303:BD303"/>
    <mergeCell ref="BE303:BF303"/>
    <mergeCell ref="C304:H304"/>
    <mergeCell ref="L304:T304"/>
    <mergeCell ref="AG304:AH304"/>
    <mergeCell ref="AL304:AO304"/>
    <mergeCell ref="AW304:BD304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I303:AJ303"/>
    <mergeCell ref="AK303:AL303"/>
    <mergeCell ref="AM303:AN303"/>
    <mergeCell ref="AY301:AZ301"/>
    <mergeCell ref="BA301:BB301"/>
    <mergeCell ref="BC301:BD301"/>
    <mergeCell ref="BE301:BF301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I302:AJ302"/>
    <mergeCell ref="AK302:AL302"/>
    <mergeCell ref="AM302:AN302"/>
    <mergeCell ref="AO302:AP302"/>
    <mergeCell ref="AQ302:AR302"/>
    <mergeCell ref="AS302:AT302"/>
    <mergeCell ref="AU302:AV302"/>
    <mergeCell ref="AW302:AX302"/>
    <mergeCell ref="AY302:AZ302"/>
    <mergeCell ref="BA302:BB302"/>
    <mergeCell ref="BC302:BD302"/>
    <mergeCell ref="BE302:BF302"/>
    <mergeCell ref="AO249:AP249"/>
    <mergeCell ref="AQ249:AR249"/>
    <mergeCell ref="AS249:AT249"/>
    <mergeCell ref="AU249:AV249"/>
    <mergeCell ref="AW249:AX249"/>
    <mergeCell ref="AY249:AZ249"/>
    <mergeCell ref="BA249:BB249"/>
    <mergeCell ref="BC249:BD249"/>
    <mergeCell ref="BE249:BF249"/>
    <mergeCell ref="B300:B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I301:AJ301"/>
    <mergeCell ref="AK301:AL301"/>
    <mergeCell ref="AM301:AN301"/>
    <mergeCell ref="AO301:AP301"/>
    <mergeCell ref="AQ301:AR301"/>
    <mergeCell ref="AS301:AT301"/>
    <mergeCell ref="AU301:AV301"/>
    <mergeCell ref="AW301:AX301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I249:AJ249"/>
    <mergeCell ref="AK249:AL249"/>
    <mergeCell ref="AM249:AN249"/>
    <mergeCell ref="AY247:AZ247"/>
    <mergeCell ref="BA247:BB247"/>
    <mergeCell ref="BC247:BD247"/>
    <mergeCell ref="BE247:BF247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I248:AJ248"/>
    <mergeCell ref="AK248:AL248"/>
    <mergeCell ref="AM248:AN248"/>
    <mergeCell ref="AO248:AP248"/>
    <mergeCell ref="AQ248:AR248"/>
    <mergeCell ref="AS248:AT248"/>
    <mergeCell ref="AU248:AV248"/>
    <mergeCell ref="AW248:AX248"/>
    <mergeCell ref="AY248:AZ248"/>
    <mergeCell ref="BA248:BB248"/>
    <mergeCell ref="BC248:BD248"/>
    <mergeCell ref="BE248:BF248"/>
    <mergeCell ref="C244:H244"/>
    <mergeCell ref="L244:T244"/>
    <mergeCell ref="AG244:AH244"/>
    <mergeCell ref="AL244:AO244"/>
    <mergeCell ref="AW244:BD244"/>
    <mergeCell ref="C246:H246"/>
    <mergeCell ref="L246:T246"/>
    <mergeCell ref="AG246:AH246"/>
    <mergeCell ref="AI246:AO246"/>
    <mergeCell ref="AW246:BD246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I247:AJ247"/>
    <mergeCell ref="AK247:AL247"/>
    <mergeCell ref="AM247:AN247"/>
    <mergeCell ref="AO247:AP247"/>
    <mergeCell ref="AQ247:AR247"/>
    <mergeCell ref="AS247:AT247"/>
    <mergeCell ref="AU247:AV247"/>
    <mergeCell ref="AW247:AX247"/>
    <mergeCell ref="AY242:AZ242"/>
    <mergeCell ref="BA242:BB242"/>
    <mergeCell ref="BC242:BD242"/>
    <mergeCell ref="BE242:BF242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I243:AJ243"/>
    <mergeCell ref="AK243:AL243"/>
    <mergeCell ref="AM243:AN243"/>
    <mergeCell ref="AO243:AP243"/>
    <mergeCell ref="AQ243:AR243"/>
    <mergeCell ref="AS243:AT243"/>
    <mergeCell ref="AU243:AV243"/>
    <mergeCell ref="AW243:AX243"/>
    <mergeCell ref="AY243:AZ243"/>
    <mergeCell ref="BA243:BB243"/>
    <mergeCell ref="BC243:BD243"/>
    <mergeCell ref="BE243:BF243"/>
    <mergeCell ref="AM241:AN241"/>
    <mergeCell ref="AO241:AP241"/>
    <mergeCell ref="AQ241:AR241"/>
    <mergeCell ref="AS241:AT241"/>
    <mergeCell ref="AU241:AV241"/>
    <mergeCell ref="AW241:AX241"/>
    <mergeCell ref="AY241:AZ241"/>
    <mergeCell ref="BA241:BB241"/>
    <mergeCell ref="BC241:BD241"/>
    <mergeCell ref="BE241:BF241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I242:AJ242"/>
    <mergeCell ref="AK242:AL242"/>
    <mergeCell ref="AM242:AN242"/>
    <mergeCell ref="AO242:AP242"/>
    <mergeCell ref="AQ242:AR242"/>
    <mergeCell ref="AS242:AT242"/>
    <mergeCell ref="AU242:AV242"/>
    <mergeCell ref="AW242:AX242"/>
    <mergeCell ref="B240:B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I241:AJ241"/>
    <mergeCell ref="AK241:AL241"/>
    <mergeCell ref="BA197:BB197"/>
    <mergeCell ref="BC197:BD197"/>
    <mergeCell ref="BE197:BF197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I198:AJ198"/>
    <mergeCell ref="AK198:AL198"/>
    <mergeCell ref="AM198:AN198"/>
    <mergeCell ref="AO198:AP198"/>
    <mergeCell ref="AQ198:AR198"/>
    <mergeCell ref="AS198:AT198"/>
    <mergeCell ref="AU198:AV198"/>
    <mergeCell ref="AW198:AX198"/>
    <mergeCell ref="AY198:AZ198"/>
    <mergeCell ref="BA198:BB198"/>
    <mergeCell ref="BC198:BD198"/>
    <mergeCell ref="BE198:BF198"/>
    <mergeCell ref="AO196:AP196"/>
    <mergeCell ref="AQ196:AR196"/>
    <mergeCell ref="AS196:AT196"/>
    <mergeCell ref="AU196:AV196"/>
    <mergeCell ref="AW196:AX196"/>
    <mergeCell ref="AY196:AZ196"/>
    <mergeCell ref="BA196:BB196"/>
    <mergeCell ref="BC196:BD196"/>
    <mergeCell ref="BE196:BF196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I197:AJ197"/>
    <mergeCell ref="AK197:AL197"/>
    <mergeCell ref="AM197:AN197"/>
    <mergeCell ref="AO197:AP197"/>
    <mergeCell ref="AQ197:AR197"/>
    <mergeCell ref="AS197:AT197"/>
    <mergeCell ref="AU197:AV197"/>
    <mergeCell ref="AW197:AX197"/>
    <mergeCell ref="AY197:AZ197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I196:AJ196"/>
    <mergeCell ref="AK196:AL196"/>
    <mergeCell ref="AM196:AN196"/>
    <mergeCell ref="AO192:AP192"/>
    <mergeCell ref="AQ192:AR192"/>
    <mergeCell ref="AS192:AT192"/>
    <mergeCell ref="AU192:AV192"/>
    <mergeCell ref="AW192:AX192"/>
    <mergeCell ref="AY192:AZ192"/>
    <mergeCell ref="BA192:BB192"/>
    <mergeCell ref="BC192:BD192"/>
    <mergeCell ref="BE192:BF192"/>
    <mergeCell ref="C193:H193"/>
    <mergeCell ref="L193:T193"/>
    <mergeCell ref="AG193:AH193"/>
    <mergeCell ref="AL193:AO193"/>
    <mergeCell ref="AW193:BD193"/>
    <mergeCell ref="C195:H195"/>
    <mergeCell ref="L195:T195"/>
    <mergeCell ref="AG195:AH195"/>
    <mergeCell ref="AI195:AO195"/>
    <mergeCell ref="AW195:BD195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I192:AJ192"/>
    <mergeCell ref="AK192:AL192"/>
    <mergeCell ref="AM192:AN192"/>
    <mergeCell ref="AY190:AZ190"/>
    <mergeCell ref="BA190:BB190"/>
    <mergeCell ref="BC190:BD190"/>
    <mergeCell ref="BE190:BF190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AY191:AZ191"/>
    <mergeCell ref="BA191:BB191"/>
    <mergeCell ref="BC191:BD191"/>
    <mergeCell ref="BE191:BF191"/>
    <mergeCell ref="AO139:AP139"/>
    <mergeCell ref="AQ139:AR139"/>
    <mergeCell ref="AS139:AT139"/>
    <mergeCell ref="AU139:AV139"/>
    <mergeCell ref="AW139:AX139"/>
    <mergeCell ref="AY139:AZ139"/>
    <mergeCell ref="BA139:BB139"/>
    <mergeCell ref="BC139:BD139"/>
    <mergeCell ref="BE139:BF139"/>
    <mergeCell ref="B189:B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I190:AJ190"/>
    <mergeCell ref="AK190:AL190"/>
    <mergeCell ref="AM190:AN190"/>
    <mergeCell ref="AO190:AP190"/>
    <mergeCell ref="AQ190:AR190"/>
    <mergeCell ref="AS190:AT190"/>
    <mergeCell ref="BA138:BB138"/>
    <mergeCell ref="BC138:BD138"/>
    <mergeCell ref="BE138:BF138"/>
    <mergeCell ref="AU190:AV190"/>
    <mergeCell ref="AW190:AX190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I139:AJ139"/>
    <mergeCell ref="AK139:AL139"/>
    <mergeCell ref="AM139:AN139"/>
    <mergeCell ref="AO137:AP137"/>
    <mergeCell ref="AQ137:AR137"/>
    <mergeCell ref="AS137:AT137"/>
    <mergeCell ref="AU137:AV137"/>
    <mergeCell ref="AW137:AX137"/>
    <mergeCell ref="AY137:AZ137"/>
    <mergeCell ref="BA137:BB137"/>
    <mergeCell ref="BC137:BD137"/>
    <mergeCell ref="BE137:BF137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I138:AJ138"/>
    <mergeCell ref="AK138:AL138"/>
    <mergeCell ref="AM138:AN138"/>
    <mergeCell ref="AO138:AP138"/>
    <mergeCell ref="AQ138:AR138"/>
    <mergeCell ref="AS138:AT138"/>
    <mergeCell ref="AU138:AV138"/>
    <mergeCell ref="AW138:AX138"/>
    <mergeCell ref="AY138:AZ138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I137:AJ137"/>
    <mergeCell ref="AK137:AL137"/>
    <mergeCell ref="AM137:AN137"/>
    <mergeCell ref="C64:H64"/>
    <mergeCell ref="L64:T64"/>
    <mergeCell ref="AG64:AH64"/>
    <mergeCell ref="AL64:AO64"/>
    <mergeCell ref="AW64:BD64"/>
    <mergeCell ref="AY62:AZ62"/>
    <mergeCell ref="BA62:BB62"/>
    <mergeCell ref="BC62:BD62"/>
    <mergeCell ref="BE62:BF62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I63:AJ63"/>
    <mergeCell ref="AO62:AP62"/>
    <mergeCell ref="G62:H62"/>
    <mergeCell ref="I62:J62"/>
    <mergeCell ref="K62:L62"/>
    <mergeCell ref="M62:N62"/>
    <mergeCell ref="BC63:BD63"/>
    <mergeCell ref="BE63:BF63"/>
    <mergeCell ref="AQ61:AR61"/>
    <mergeCell ref="AS61:AT61"/>
    <mergeCell ref="AU61:AV61"/>
    <mergeCell ref="AW61:AX61"/>
    <mergeCell ref="AY61:AZ61"/>
    <mergeCell ref="BA61:BB61"/>
    <mergeCell ref="BC61:BD61"/>
    <mergeCell ref="BE61:BF61"/>
    <mergeCell ref="AQ62:AR62"/>
    <mergeCell ref="AS62:AT62"/>
    <mergeCell ref="AU62:AV62"/>
    <mergeCell ref="AW62:AX62"/>
    <mergeCell ref="AK63:AL63"/>
    <mergeCell ref="AM63:AN63"/>
    <mergeCell ref="AO63:AP63"/>
    <mergeCell ref="AQ63:AR63"/>
    <mergeCell ref="AS63:AT63"/>
    <mergeCell ref="AU63:AV63"/>
    <mergeCell ref="AW63:AX63"/>
    <mergeCell ref="AY63:AZ63"/>
    <mergeCell ref="BA63:BB63"/>
    <mergeCell ref="B60:B61"/>
    <mergeCell ref="G61:H61"/>
    <mergeCell ref="I61:J61"/>
    <mergeCell ref="K61:L61"/>
    <mergeCell ref="M61:N61"/>
    <mergeCell ref="O61:P61"/>
    <mergeCell ref="Q61:R61"/>
    <mergeCell ref="S61:T61"/>
    <mergeCell ref="U61:V61"/>
    <mergeCell ref="Y62:Z62"/>
    <mergeCell ref="AA62:AB62"/>
    <mergeCell ref="AC62:AD62"/>
    <mergeCell ref="AE62:AF62"/>
    <mergeCell ref="AG62:AH62"/>
    <mergeCell ref="AI62:AJ62"/>
    <mergeCell ref="AK62:AL62"/>
    <mergeCell ref="AM62:AN62"/>
    <mergeCell ref="O62:P62"/>
    <mergeCell ref="Q62:R62"/>
    <mergeCell ref="S62:T62"/>
    <mergeCell ref="U62:V62"/>
    <mergeCell ref="W62:X62"/>
    <mergeCell ref="AM61:AN61"/>
    <mergeCell ref="AI5:AJ5"/>
    <mergeCell ref="AK5:AL5"/>
    <mergeCell ref="AM5:AN5"/>
    <mergeCell ref="AO5:AP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W61:X61"/>
    <mergeCell ref="Y61:Z61"/>
    <mergeCell ref="AA61:AB61"/>
    <mergeCell ref="AC61:AD61"/>
    <mergeCell ref="AE61:AF61"/>
    <mergeCell ref="AG61:AH61"/>
    <mergeCell ref="AI61:AJ61"/>
    <mergeCell ref="AK61:AL61"/>
    <mergeCell ref="Y5:Z5"/>
    <mergeCell ref="AA5:AB5"/>
    <mergeCell ref="AC5:AD5"/>
    <mergeCell ref="AE5:AF5"/>
    <mergeCell ref="AG5:AH5"/>
    <mergeCell ref="AO61:AP61"/>
    <mergeCell ref="BC5:BD5"/>
    <mergeCell ref="BE5:BF5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AO4:AP4"/>
    <mergeCell ref="AQ4:AR4"/>
    <mergeCell ref="AS4:AT4"/>
    <mergeCell ref="AU4:AV4"/>
    <mergeCell ref="AW4:AX4"/>
    <mergeCell ref="AY4:AZ4"/>
    <mergeCell ref="BC4:BD4"/>
    <mergeCell ref="BE4:BF4"/>
    <mergeCell ref="AQ5:AR5"/>
    <mergeCell ref="AS5:AT5"/>
    <mergeCell ref="AU5:AV5"/>
    <mergeCell ref="AW5:AX5"/>
    <mergeCell ref="BA4:BB4"/>
    <mergeCell ref="AY5:AZ5"/>
    <mergeCell ref="BA5:BB5"/>
    <mergeCell ref="C2:H2"/>
    <mergeCell ref="L2:T2"/>
    <mergeCell ref="AG2:AH2"/>
    <mergeCell ref="AI2:AO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W2:BD2"/>
    <mergeCell ref="C66:H66"/>
    <mergeCell ref="L66:T66"/>
    <mergeCell ref="AG66:AH66"/>
    <mergeCell ref="AI66:AO66"/>
    <mergeCell ref="AW66:BD66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Y3:Z3"/>
    <mergeCell ref="AA3:AB3"/>
    <mergeCell ref="AC3:AD3"/>
    <mergeCell ref="AE3:AF3"/>
    <mergeCell ref="AG3:AH3"/>
    <mergeCell ref="AI3:AJ3"/>
    <mergeCell ref="AK3:AL3"/>
    <mergeCell ref="AM3:AN3"/>
    <mergeCell ref="AQ67:AR67"/>
    <mergeCell ref="AS67:AT67"/>
    <mergeCell ref="AU67:AV67"/>
    <mergeCell ref="AW67:AX67"/>
    <mergeCell ref="AY67:AZ67"/>
    <mergeCell ref="BA67:BB67"/>
    <mergeCell ref="BC67:BD67"/>
    <mergeCell ref="BE67:BF67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BE68:BF68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I69:AJ69"/>
    <mergeCell ref="AK69:AL69"/>
    <mergeCell ref="AM69:AN69"/>
    <mergeCell ref="AO69:AP69"/>
    <mergeCell ref="AQ69:AR69"/>
    <mergeCell ref="AS69:AT69"/>
    <mergeCell ref="AU69:AV69"/>
    <mergeCell ref="AW69:AX69"/>
    <mergeCell ref="AY69:AZ69"/>
    <mergeCell ref="AM68:AN68"/>
    <mergeCell ref="AO68:AP68"/>
    <mergeCell ref="AQ68:AR68"/>
    <mergeCell ref="AS68:AT68"/>
    <mergeCell ref="AU68:AV68"/>
    <mergeCell ref="AW68:AX68"/>
    <mergeCell ref="AY68:AZ68"/>
    <mergeCell ref="BA68:BB68"/>
    <mergeCell ref="BA69:BB69"/>
    <mergeCell ref="BC69:BD69"/>
    <mergeCell ref="BE69:BF69"/>
    <mergeCell ref="BC68:BD68"/>
    <mergeCell ref="B130:B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K131:AL131"/>
    <mergeCell ref="AM131:AN131"/>
    <mergeCell ref="AO131:AP131"/>
    <mergeCell ref="AQ131:AR131"/>
    <mergeCell ref="AS131:AT131"/>
    <mergeCell ref="AU131:AV131"/>
    <mergeCell ref="AW131:AX131"/>
    <mergeCell ref="AY131:AZ131"/>
    <mergeCell ref="BA131:BB131"/>
    <mergeCell ref="BC131:BD131"/>
    <mergeCell ref="BE131:BF131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I132:AJ132"/>
    <mergeCell ref="AK132:AL132"/>
    <mergeCell ref="AM132:AN132"/>
    <mergeCell ref="AO132:AP132"/>
    <mergeCell ref="AQ132:AR132"/>
    <mergeCell ref="AS132:AT132"/>
    <mergeCell ref="AU132:AV132"/>
    <mergeCell ref="AW132:AX132"/>
    <mergeCell ref="AY132:AZ132"/>
    <mergeCell ref="BA132:BB132"/>
    <mergeCell ref="BC132:BD132"/>
    <mergeCell ref="BE132:BF132"/>
    <mergeCell ref="AO133:AP133"/>
    <mergeCell ref="AQ133:AR133"/>
    <mergeCell ref="AS133:AT133"/>
    <mergeCell ref="AU133:AV133"/>
    <mergeCell ref="AW133:AX133"/>
    <mergeCell ref="AY133:AZ133"/>
    <mergeCell ref="BA133:BB133"/>
    <mergeCell ref="BC133:BD133"/>
    <mergeCell ref="BE133:BF133"/>
    <mergeCell ref="C134:H134"/>
    <mergeCell ref="L134:T134"/>
    <mergeCell ref="AG134:AH134"/>
    <mergeCell ref="AL134:AO134"/>
    <mergeCell ref="AW134:BD134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I133:AJ133"/>
    <mergeCell ref="AK133:AL133"/>
    <mergeCell ref="AM133:AN133"/>
    <mergeCell ref="C306:H306"/>
    <mergeCell ref="L306:T306"/>
    <mergeCell ref="AG306:AH306"/>
    <mergeCell ref="AI306:AO306"/>
    <mergeCell ref="AW306:BD306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I307:AJ307"/>
    <mergeCell ref="AK307:AL307"/>
    <mergeCell ref="AM307:AN307"/>
    <mergeCell ref="AO307:AP307"/>
    <mergeCell ref="AQ307:AR307"/>
    <mergeCell ref="C136:H136"/>
    <mergeCell ref="L136:T136"/>
    <mergeCell ref="AG136:AH136"/>
    <mergeCell ref="AI136:AO136"/>
    <mergeCell ref="AW136:BD136"/>
    <mergeCell ref="AU308:AV308"/>
    <mergeCell ref="AW308:AX308"/>
    <mergeCell ref="AY308:AZ308"/>
    <mergeCell ref="BA308:BB308"/>
    <mergeCell ref="BC308:BD308"/>
    <mergeCell ref="BE308:BF308"/>
    <mergeCell ref="AS307:AT307"/>
    <mergeCell ref="AU307:AV307"/>
    <mergeCell ref="AW307:AX307"/>
    <mergeCell ref="AY307:AZ307"/>
    <mergeCell ref="BA307:BB307"/>
    <mergeCell ref="BC307:BD307"/>
    <mergeCell ref="BE307:BF307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I308:AJ308"/>
    <mergeCell ref="AK308:AL308"/>
    <mergeCell ref="AM308:AN308"/>
    <mergeCell ref="AG309:AH309"/>
    <mergeCell ref="AI309:AJ309"/>
    <mergeCell ref="AK309:AL309"/>
    <mergeCell ref="AM309:AN309"/>
    <mergeCell ref="AO309:AP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AO308:AP308"/>
    <mergeCell ref="AQ308:AR308"/>
    <mergeCell ref="AS308:AT308"/>
    <mergeCell ref="AU356:AV356"/>
    <mergeCell ref="AW356:AX356"/>
    <mergeCell ref="AY356:AZ356"/>
    <mergeCell ref="BA356:BB356"/>
    <mergeCell ref="AQ309:AR309"/>
    <mergeCell ref="AS309:AT309"/>
    <mergeCell ref="AU309:AV309"/>
    <mergeCell ref="AW309:AX309"/>
    <mergeCell ref="AY309:AZ309"/>
    <mergeCell ref="BA309:BB309"/>
    <mergeCell ref="BC309:BD309"/>
    <mergeCell ref="BE309:BF309"/>
    <mergeCell ref="B355:B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I356:AJ356"/>
    <mergeCell ref="Y309:Z309"/>
    <mergeCell ref="AA309:AB309"/>
    <mergeCell ref="AC309:AD309"/>
    <mergeCell ref="AE309:AF309"/>
    <mergeCell ref="AO358:AP358"/>
    <mergeCell ref="AQ358:AR358"/>
    <mergeCell ref="AS358:AT358"/>
    <mergeCell ref="BC356:BD356"/>
    <mergeCell ref="BE356:BF356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I357:AJ357"/>
    <mergeCell ref="AK357:AL357"/>
    <mergeCell ref="AM357:AN357"/>
    <mergeCell ref="AO357:AP357"/>
    <mergeCell ref="AQ357:AR357"/>
    <mergeCell ref="AS357:AT357"/>
    <mergeCell ref="AU357:AV357"/>
    <mergeCell ref="AW357:AX357"/>
    <mergeCell ref="AK356:AL356"/>
    <mergeCell ref="AM356:AN356"/>
    <mergeCell ref="AO356:AP356"/>
    <mergeCell ref="AQ356:AR356"/>
    <mergeCell ref="AS356:AT356"/>
    <mergeCell ref="AU358:AV358"/>
    <mergeCell ref="AW358:AX358"/>
    <mergeCell ref="AY358:AZ358"/>
    <mergeCell ref="BA358:BB358"/>
    <mergeCell ref="BC358:BD358"/>
    <mergeCell ref="BE358:BF358"/>
    <mergeCell ref="C359:H359"/>
    <mergeCell ref="L359:T359"/>
    <mergeCell ref="AG359:AH359"/>
    <mergeCell ref="AL359:AO359"/>
    <mergeCell ref="AW359:BD359"/>
    <mergeCell ref="AY357:AZ357"/>
    <mergeCell ref="BA357:BB357"/>
    <mergeCell ref="BC357:BD357"/>
    <mergeCell ref="BE357:BF357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I358:AJ358"/>
    <mergeCell ref="AK358:AL358"/>
    <mergeCell ref="AM358:AN358"/>
    <mergeCell ref="C361:H361"/>
    <mergeCell ref="L361:T361"/>
    <mergeCell ref="AG361:AH361"/>
    <mergeCell ref="AI361:AO361"/>
    <mergeCell ref="AW361:BD361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Z362"/>
    <mergeCell ref="AA362:AB362"/>
    <mergeCell ref="AC362:AD362"/>
    <mergeCell ref="AE362:AF362"/>
    <mergeCell ref="AG362:AH362"/>
    <mergeCell ref="AI362:AJ362"/>
    <mergeCell ref="AK362:AL362"/>
    <mergeCell ref="AM362:AN362"/>
    <mergeCell ref="AO362:AP362"/>
    <mergeCell ref="AQ362:AR362"/>
    <mergeCell ref="AS362:AT362"/>
    <mergeCell ref="AU362:AV362"/>
    <mergeCell ref="AW362:AX362"/>
    <mergeCell ref="AY362:AZ362"/>
    <mergeCell ref="BA362:BB362"/>
    <mergeCell ref="BC362:BD362"/>
    <mergeCell ref="BE362:BF362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Z363"/>
    <mergeCell ref="AA363:AB363"/>
    <mergeCell ref="AC363:AD363"/>
    <mergeCell ref="AE363:AF363"/>
    <mergeCell ref="AG363:AH363"/>
    <mergeCell ref="AI363:AJ363"/>
    <mergeCell ref="AK363:AL363"/>
    <mergeCell ref="AM363:AN363"/>
    <mergeCell ref="AO363:AP363"/>
    <mergeCell ref="AQ363:AR363"/>
    <mergeCell ref="AS363:AT363"/>
    <mergeCell ref="AU363:AV363"/>
    <mergeCell ref="AW363:AX363"/>
    <mergeCell ref="AY363:AZ363"/>
    <mergeCell ref="BA363:BB363"/>
    <mergeCell ref="BC363:BD363"/>
    <mergeCell ref="BE363:BF363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I364:AJ364"/>
    <mergeCell ref="AK364:AL364"/>
    <mergeCell ref="AM364:AN364"/>
    <mergeCell ref="AO364:AP364"/>
    <mergeCell ref="AQ364:AR364"/>
    <mergeCell ref="AS364:AT364"/>
    <mergeCell ref="AU364:AV364"/>
    <mergeCell ref="AW364:AX364"/>
    <mergeCell ref="AY364:AZ364"/>
    <mergeCell ref="BA364:BB364"/>
    <mergeCell ref="BC364:BD364"/>
    <mergeCell ref="BE364:BF364"/>
    <mergeCell ref="B410:B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I411:AJ411"/>
    <mergeCell ref="AK411:AL411"/>
    <mergeCell ref="AM411:AN411"/>
    <mergeCell ref="AO411:AP411"/>
    <mergeCell ref="AQ411:AR411"/>
    <mergeCell ref="AS411:AT411"/>
    <mergeCell ref="AU411:AV411"/>
    <mergeCell ref="AW411:AX411"/>
    <mergeCell ref="AY411:AZ411"/>
    <mergeCell ref="BA411:BB411"/>
    <mergeCell ref="BC411:BD411"/>
    <mergeCell ref="BE411:BF411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I412:AJ412"/>
    <mergeCell ref="AK412:AL412"/>
    <mergeCell ref="AM412:AN412"/>
    <mergeCell ref="AO412:AP412"/>
    <mergeCell ref="AQ412:AR412"/>
    <mergeCell ref="AS412:AT412"/>
    <mergeCell ref="AU412:AV412"/>
    <mergeCell ref="AW412:AX412"/>
    <mergeCell ref="AY412:AZ412"/>
    <mergeCell ref="BA412:BB412"/>
    <mergeCell ref="BC412:BD412"/>
    <mergeCell ref="BE412:BF412"/>
    <mergeCell ref="AO413:AP413"/>
    <mergeCell ref="AQ413:AR413"/>
    <mergeCell ref="AS413:AT413"/>
    <mergeCell ref="AU413:AV413"/>
    <mergeCell ref="AW413:AX413"/>
    <mergeCell ref="AY413:AZ413"/>
    <mergeCell ref="BA413:BB413"/>
    <mergeCell ref="BC413:BD413"/>
    <mergeCell ref="BE413:BF413"/>
    <mergeCell ref="C414:H414"/>
    <mergeCell ref="L414:T414"/>
    <mergeCell ref="AG414:AH414"/>
    <mergeCell ref="AL414:AO414"/>
    <mergeCell ref="AW414:BD414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I413:AJ413"/>
    <mergeCell ref="AK413:AL413"/>
    <mergeCell ref="AM413:AN413"/>
    <mergeCell ref="C416:H416"/>
    <mergeCell ref="L416:T416"/>
    <mergeCell ref="AG416:AH416"/>
    <mergeCell ref="AI416:AO416"/>
    <mergeCell ref="AW416:BD416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I417:AJ417"/>
    <mergeCell ref="AK417:AL417"/>
    <mergeCell ref="AM417:AN417"/>
    <mergeCell ref="AO417:AP417"/>
    <mergeCell ref="AQ417:AR417"/>
    <mergeCell ref="AS417:AT417"/>
    <mergeCell ref="AU417:AV417"/>
    <mergeCell ref="AW417:AX417"/>
    <mergeCell ref="AY417:AZ417"/>
    <mergeCell ref="BA417:BB417"/>
    <mergeCell ref="BC417:BD417"/>
    <mergeCell ref="BE417:BF417"/>
    <mergeCell ref="G418:H418"/>
    <mergeCell ref="I418:J418"/>
    <mergeCell ref="K418:L418"/>
    <mergeCell ref="M418:N418"/>
    <mergeCell ref="O418:P418"/>
    <mergeCell ref="Q418:R418"/>
    <mergeCell ref="S418:T418"/>
    <mergeCell ref="U418:V418"/>
    <mergeCell ref="W418:X418"/>
    <mergeCell ref="Y418:Z418"/>
    <mergeCell ref="AA418:AB418"/>
    <mergeCell ref="AC418:AD418"/>
    <mergeCell ref="AE418:AF418"/>
    <mergeCell ref="AG418:AH418"/>
    <mergeCell ref="AI418:AJ418"/>
    <mergeCell ref="AK418:AL418"/>
    <mergeCell ref="AM418:AN418"/>
    <mergeCell ref="AO418:AP418"/>
    <mergeCell ref="AQ418:AR418"/>
    <mergeCell ref="AS418:AT418"/>
    <mergeCell ref="AU418:AV418"/>
    <mergeCell ref="AW418:AX418"/>
    <mergeCell ref="AY418:AZ418"/>
    <mergeCell ref="BA418:BB418"/>
    <mergeCell ref="BC418:BD418"/>
    <mergeCell ref="BE418:BF418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I419:AJ419"/>
    <mergeCell ref="AK419:AL419"/>
    <mergeCell ref="AM419:AN419"/>
    <mergeCell ref="AO419:AP419"/>
    <mergeCell ref="AQ419:AR419"/>
    <mergeCell ref="AS419:AT419"/>
    <mergeCell ref="AU419:AV419"/>
    <mergeCell ref="AW419:AX419"/>
    <mergeCell ref="AY419:AZ419"/>
    <mergeCell ref="BA419:BB419"/>
    <mergeCell ref="BC419:BD419"/>
    <mergeCell ref="BE419:BF419"/>
    <mergeCell ref="B470:B471"/>
    <mergeCell ref="G471:H471"/>
    <mergeCell ref="I471:J471"/>
    <mergeCell ref="K471:L471"/>
    <mergeCell ref="M471:N471"/>
    <mergeCell ref="O471:P471"/>
    <mergeCell ref="Q471:R471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I471:AJ471"/>
    <mergeCell ref="AK471:AL471"/>
    <mergeCell ref="AM471:AN471"/>
    <mergeCell ref="AO471:AP471"/>
    <mergeCell ref="AQ471:AR471"/>
    <mergeCell ref="AS471:AT471"/>
    <mergeCell ref="AU471:AV471"/>
    <mergeCell ref="AW471:AX471"/>
    <mergeCell ref="AY471:AZ471"/>
    <mergeCell ref="BA471:BB471"/>
    <mergeCell ref="BC471:BD471"/>
    <mergeCell ref="BE471:BF471"/>
    <mergeCell ref="G472:H472"/>
    <mergeCell ref="I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AC472:AD472"/>
    <mergeCell ref="AE472:AF472"/>
    <mergeCell ref="AG472:AH472"/>
    <mergeCell ref="AI472:AJ472"/>
    <mergeCell ref="AK472:AL472"/>
    <mergeCell ref="AM472:AN472"/>
    <mergeCell ref="AO472:AP472"/>
    <mergeCell ref="AQ472:AR472"/>
    <mergeCell ref="AS472:AT472"/>
    <mergeCell ref="AU472:AV472"/>
    <mergeCell ref="AW472:AX472"/>
    <mergeCell ref="AY472:AZ472"/>
    <mergeCell ref="BA472:BB472"/>
    <mergeCell ref="BC472:BD472"/>
    <mergeCell ref="BE472:BF472"/>
    <mergeCell ref="AO473:AP473"/>
    <mergeCell ref="AQ473:AR473"/>
    <mergeCell ref="AS473:AT473"/>
    <mergeCell ref="AU473:AV473"/>
    <mergeCell ref="AW473:AX473"/>
    <mergeCell ref="AY473:AZ473"/>
    <mergeCell ref="BA473:BB473"/>
    <mergeCell ref="BC473:BD473"/>
    <mergeCell ref="BE473:BF473"/>
    <mergeCell ref="C474:H474"/>
    <mergeCell ref="L474:T474"/>
    <mergeCell ref="AG474:AH474"/>
    <mergeCell ref="AL474:AO474"/>
    <mergeCell ref="AW474:BD474"/>
    <mergeCell ref="G473:H473"/>
    <mergeCell ref="I473:J473"/>
    <mergeCell ref="K473:L473"/>
    <mergeCell ref="M473:N473"/>
    <mergeCell ref="O473:P473"/>
    <mergeCell ref="Q473:R473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I473:AJ473"/>
    <mergeCell ref="AK473:AL473"/>
    <mergeCell ref="AM473:AN473"/>
    <mergeCell ref="C532:H532"/>
    <mergeCell ref="L532:T532"/>
    <mergeCell ref="AG532:AH532"/>
    <mergeCell ref="AI532:AO532"/>
    <mergeCell ref="AW532:BD532"/>
    <mergeCell ref="G533:H533"/>
    <mergeCell ref="I533:J533"/>
    <mergeCell ref="K533:L533"/>
    <mergeCell ref="M533:N533"/>
    <mergeCell ref="O533:P533"/>
    <mergeCell ref="Q533:R533"/>
    <mergeCell ref="S533:T533"/>
    <mergeCell ref="U533:V533"/>
    <mergeCell ref="W533:X533"/>
    <mergeCell ref="Y533:Z533"/>
    <mergeCell ref="AA533:AB533"/>
    <mergeCell ref="AC533:AD533"/>
    <mergeCell ref="AE533:AF533"/>
    <mergeCell ref="AG533:AH533"/>
    <mergeCell ref="AI533:AJ533"/>
    <mergeCell ref="AK533:AL533"/>
    <mergeCell ref="AM533:AN533"/>
    <mergeCell ref="AO533:AP533"/>
    <mergeCell ref="AQ533:AR533"/>
    <mergeCell ref="AS533:AT533"/>
    <mergeCell ref="AU533:AV533"/>
    <mergeCell ref="AW533:AX533"/>
    <mergeCell ref="AY533:AZ533"/>
    <mergeCell ref="BA533:BB533"/>
    <mergeCell ref="BC533:BD533"/>
    <mergeCell ref="BE533:BF533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AC534:AD534"/>
    <mergeCell ref="AE534:AF534"/>
    <mergeCell ref="AG534:AH534"/>
    <mergeCell ref="AI534:AJ534"/>
    <mergeCell ref="AK534:AL534"/>
    <mergeCell ref="AM534:AN534"/>
    <mergeCell ref="AO534:AP534"/>
    <mergeCell ref="AQ534:AR534"/>
    <mergeCell ref="AS534:AT534"/>
    <mergeCell ref="AU534:AV534"/>
    <mergeCell ref="AW534:AX534"/>
    <mergeCell ref="AY534:AZ534"/>
    <mergeCell ref="BA534:BB534"/>
    <mergeCell ref="BC534:BD534"/>
    <mergeCell ref="BE534:BF534"/>
    <mergeCell ref="G535:H535"/>
    <mergeCell ref="I535:J535"/>
    <mergeCell ref="K535:L535"/>
    <mergeCell ref="M535:N535"/>
    <mergeCell ref="O535:P535"/>
    <mergeCell ref="Q535:R535"/>
    <mergeCell ref="S535:T535"/>
    <mergeCell ref="U535:V535"/>
    <mergeCell ref="W535:X535"/>
    <mergeCell ref="Y535:Z535"/>
    <mergeCell ref="AA535:AB535"/>
    <mergeCell ref="AC535:AD535"/>
    <mergeCell ref="AE535:AF535"/>
    <mergeCell ref="AG535:AH535"/>
    <mergeCell ref="AI535:AJ535"/>
    <mergeCell ref="AK535:AL535"/>
    <mergeCell ref="AM535:AN535"/>
    <mergeCell ref="AO535:AP535"/>
    <mergeCell ref="AQ535:AR535"/>
    <mergeCell ref="AS535:AT535"/>
    <mergeCell ref="AU535:AV535"/>
    <mergeCell ref="AW535:AX535"/>
    <mergeCell ref="AY535:AZ535"/>
    <mergeCell ref="BA535:BB535"/>
    <mergeCell ref="BC535:BD535"/>
    <mergeCell ref="BE535:BF535"/>
    <mergeCell ref="B587:B588"/>
    <mergeCell ref="G588:H588"/>
    <mergeCell ref="I588:J588"/>
    <mergeCell ref="K588:L588"/>
    <mergeCell ref="M588:N588"/>
    <mergeCell ref="O588:P588"/>
    <mergeCell ref="Q588:R588"/>
    <mergeCell ref="S588:T588"/>
    <mergeCell ref="U588:V588"/>
    <mergeCell ref="W588:X588"/>
    <mergeCell ref="Y588:Z588"/>
    <mergeCell ref="AA588:AB588"/>
    <mergeCell ref="AC588:AD588"/>
    <mergeCell ref="AE588:AF588"/>
    <mergeCell ref="AG588:AH588"/>
    <mergeCell ref="AI588:AJ588"/>
    <mergeCell ref="AK588:AL588"/>
    <mergeCell ref="AM588:AN588"/>
    <mergeCell ref="AO588:AP588"/>
    <mergeCell ref="AQ588:AR588"/>
    <mergeCell ref="AS588:AT588"/>
    <mergeCell ref="AU588:AV588"/>
    <mergeCell ref="AW588:AX588"/>
    <mergeCell ref="AY588:AZ588"/>
    <mergeCell ref="BA588:BB588"/>
    <mergeCell ref="BC588:BD588"/>
    <mergeCell ref="BE588:BF588"/>
    <mergeCell ref="G589:H589"/>
    <mergeCell ref="I589:J589"/>
    <mergeCell ref="K589:L589"/>
    <mergeCell ref="M589:N589"/>
    <mergeCell ref="O589:P589"/>
    <mergeCell ref="Q589:R589"/>
    <mergeCell ref="S589:T589"/>
    <mergeCell ref="U589:V589"/>
    <mergeCell ref="W589:X589"/>
    <mergeCell ref="Y589:Z589"/>
    <mergeCell ref="AA589:AB589"/>
    <mergeCell ref="AC589:AD589"/>
    <mergeCell ref="AE589:AF589"/>
    <mergeCell ref="AG589:AH589"/>
    <mergeCell ref="AI589:AJ589"/>
    <mergeCell ref="AK589:AL589"/>
    <mergeCell ref="AM589:AN589"/>
    <mergeCell ref="AO589:AP589"/>
    <mergeCell ref="AQ589:AR589"/>
    <mergeCell ref="AS589:AT589"/>
    <mergeCell ref="AU589:AV589"/>
    <mergeCell ref="AW589:AX589"/>
    <mergeCell ref="AY589:AZ589"/>
    <mergeCell ref="BA589:BB589"/>
    <mergeCell ref="BC589:BD589"/>
    <mergeCell ref="BE589:BF589"/>
    <mergeCell ref="AO590:AP590"/>
    <mergeCell ref="AQ590:AR590"/>
    <mergeCell ref="AS590:AT590"/>
    <mergeCell ref="AU590:AV590"/>
    <mergeCell ref="AW590:AX590"/>
    <mergeCell ref="AY590:AZ590"/>
    <mergeCell ref="BA590:BB590"/>
    <mergeCell ref="BC590:BD590"/>
    <mergeCell ref="BE590:BF590"/>
    <mergeCell ref="C591:H591"/>
    <mergeCell ref="L591:T591"/>
    <mergeCell ref="AG591:AH591"/>
    <mergeCell ref="AL591:AO591"/>
    <mergeCell ref="AW591:BD591"/>
    <mergeCell ref="G590:H590"/>
    <mergeCell ref="I590:J590"/>
    <mergeCell ref="K590:L590"/>
    <mergeCell ref="M590:N590"/>
    <mergeCell ref="O590:P590"/>
    <mergeCell ref="Q590:R590"/>
    <mergeCell ref="S590:T590"/>
    <mergeCell ref="U590:V590"/>
    <mergeCell ref="W590:X590"/>
    <mergeCell ref="Y590:Z590"/>
    <mergeCell ref="AA590:AB590"/>
    <mergeCell ref="AC590:AD590"/>
    <mergeCell ref="AE590:AF590"/>
    <mergeCell ref="AG590:AH590"/>
    <mergeCell ref="AI590:AJ590"/>
    <mergeCell ref="AK590:AL590"/>
    <mergeCell ref="AM590:AN590"/>
    <mergeCell ref="C773:H773"/>
    <mergeCell ref="L773:T773"/>
    <mergeCell ref="AG773:AH773"/>
    <mergeCell ref="AI773:AO773"/>
    <mergeCell ref="AW773:BD773"/>
    <mergeCell ref="G774:H774"/>
    <mergeCell ref="I774:J774"/>
    <mergeCell ref="K774:L774"/>
    <mergeCell ref="M774:N774"/>
    <mergeCell ref="O774:P774"/>
    <mergeCell ref="Q774:R774"/>
    <mergeCell ref="S774:T774"/>
    <mergeCell ref="U774:V774"/>
    <mergeCell ref="W774:X774"/>
    <mergeCell ref="Y774:Z774"/>
    <mergeCell ref="AA774:AB774"/>
    <mergeCell ref="AC774:AD774"/>
    <mergeCell ref="AE774:AF774"/>
    <mergeCell ref="AG774:AH774"/>
    <mergeCell ref="AI774:AJ774"/>
    <mergeCell ref="AK774:AL774"/>
    <mergeCell ref="AM774:AN774"/>
    <mergeCell ref="AO774:AP774"/>
    <mergeCell ref="AQ774:AR774"/>
    <mergeCell ref="AS774:AT774"/>
    <mergeCell ref="AU774:AV774"/>
    <mergeCell ref="AW774:AX774"/>
    <mergeCell ref="AY774:AZ774"/>
    <mergeCell ref="BA774:BB774"/>
    <mergeCell ref="BC774:BD774"/>
    <mergeCell ref="BE774:BF774"/>
    <mergeCell ref="G775:H775"/>
    <mergeCell ref="I775:J775"/>
    <mergeCell ref="K775:L775"/>
    <mergeCell ref="M775:N775"/>
    <mergeCell ref="O775:P775"/>
    <mergeCell ref="Q775:R775"/>
    <mergeCell ref="S775:T775"/>
    <mergeCell ref="U775:V775"/>
    <mergeCell ref="W775:X775"/>
    <mergeCell ref="Y775:Z775"/>
    <mergeCell ref="AA775:AB775"/>
    <mergeCell ref="AC775:AD775"/>
    <mergeCell ref="AE775:AF775"/>
    <mergeCell ref="AG775:AH775"/>
    <mergeCell ref="AI775:AJ775"/>
    <mergeCell ref="AK775:AL775"/>
    <mergeCell ref="AM775:AN775"/>
    <mergeCell ref="AO775:AP775"/>
    <mergeCell ref="AQ775:AR775"/>
    <mergeCell ref="AS775:AT775"/>
    <mergeCell ref="AU775:AV775"/>
    <mergeCell ref="AW775:AX775"/>
    <mergeCell ref="AY775:AZ775"/>
    <mergeCell ref="BA775:BB775"/>
    <mergeCell ref="BC775:BD775"/>
    <mergeCell ref="BE775:BF775"/>
    <mergeCell ref="G776:H776"/>
    <mergeCell ref="I776:J776"/>
    <mergeCell ref="K776:L776"/>
    <mergeCell ref="M776:N776"/>
    <mergeCell ref="O776:P776"/>
    <mergeCell ref="Q776:R776"/>
    <mergeCell ref="S776:T776"/>
    <mergeCell ref="U776:V776"/>
    <mergeCell ref="W776:X776"/>
    <mergeCell ref="Y776:Z776"/>
    <mergeCell ref="AA776:AB776"/>
    <mergeCell ref="AC776:AD776"/>
    <mergeCell ref="AE776:AF776"/>
    <mergeCell ref="AG776:AH776"/>
    <mergeCell ref="AI776:AJ776"/>
    <mergeCell ref="AK776:AL776"/>
    <mergeCell ref="AM776:AN776"/>
    <mergeCell ref="AO776:AP776"/>
    <mergeCell ref="AQ776:AR776"/>
    <mergeCell ref="AS776:AT776"/>
    <mergeCell ref="AU776:AV776"/>
    <mergeCell ref="AW776:AX776"/>
    <mergeCell ref="AY776:AZ776"/>
    <mergeCell ref="BA776:BB776"/>
    <mergeCell ref="BC776:BD776"/>
    <mergeCell ref="BE776:BF776"/>
    <mergeCell ref="B827:B828"/>
    <mergeCell ref="G828:H828"/>
    <mergeCell ref="I828:J828"/>
    <mergeCell ref="K828:L828"/>
    <mergeCell ref="M828:N828"/>
    <mergeCell ref="O828:P828"/>
    <mergeCell ref="Q828:R828"/>
    <mergeCell ref="S828:T828"/>
    <mergeCell ref="U828:V828"/>
    <mergeCell ref="W828:X828"/>
    <mergeCell ref="Y828:Z828"/>
    <mergeCell ref="AA828:AB828"/>
    <mergeCell ref="AC828:AD828"/>
    <mergeCell ref="AE828:AF828"/>
    <mergeCell ref="AG828:AH828"/>
    <mergeCell ref="AI828:AJ828"/>
    <mergeCell ref="AK828:AL828"/>
    <mergeCell ref="AM828:AN828"/>
    <mergeCell ref="AO828:AP828"/>
    <mergeCell ref="AQ828:AR828"/>
    <mergeCell ref="AS828:AT828"/>
    <mergeCell ref="AU828:AV828"/>
    <mergeCell ref="AW828:AX828"/>
    <mergeCell ref="AY828:AZ828"/>
    <mergeCell ref="BA828:BB828"/>
    <mergeCell ref="BC828:BD828"/>
    <mergeCell ref="BE828:BF828"/>
    <mergeCell ref="G829:H829"/>
    <mergeCell ref="I829:J829"/>
    <mergeCell ref="K829:L829"/>
    <mergeCell ref="M829:N829"/>
    <mergeCell ref="O829:P829"/>
    <mergeCell ref="Q829:R829"/>
    <mergeCell ref="S829:T829"/>
    <mergeCell ref="U829:V829"/>
    <mergeCell ref="W829:X829"/>
    <mergeCell ref="Y829:Z829"/>
    <mergeCell ref="AA829:AB829"/>
    <mergeCell ref="AC829:AD829"/>
    <mergeCell ref="AE829:AF829"/>
    <mergeCell ref="AG829:AH829"/>
    <mergeCell ref="AI829:AJ829"/>
    <mergeCell ref="AK829:AL829"/>
    <mergeCell ref="AM829:AN829"/>
    <mergeCell ref="AO829:AP829"/>
    <mergeCell ref="AQ829:AR829"/>
    <mergeCell ref="AS829:AT829"/>
    <mergeCell ref="AU829:AV829"/>
    <mergeCell ref="AW829:AX829"/>
    <mergeCell ref="AY829:AZ829"/>
    <mergeCell ref="BA829:BB829"/>
    <mergeCell ref="BC829:BD829"/>
    <mergeCell ref="BE829:BF829"/>
    <mergeCell ref="AO830:AP830"/>
    <mergeCell ref="AQ830:AR830"/>
    <mergeCell ref="AS830:AT830"/>
    <mergeCell ref="AU830:AV830"/>
    <mergeCell ref="AW830:AX830"/>
    <mergeCell ref="AY830:AZ830"/>
    <mergeCell ref="BA830:BB830"/>
    <mergeCell ref="BC830:BD830"/>
    <mergeCell ref="BE830:BF830"/>
    <mergeCell ref="C831:H831"/>
    <mergeCell ref="L831:T831"/>
    <mergeCell ref="AG831:AH831"/>
    <mergeCell ref="AL831:AO831"/>
    <mergeCell ref="AW831:BD831"/>
    <mergeCell ref="G830:H830"/>
    <mergeCell ref="I830:J830"/>
    <mergeCell ref="K830:L830"/>
    <mergeCell ref="M830:N830"/>
    <mergeCell ref="O830:P830"/>
    <mergeCell ref="Q830:R830"/>
    <mergeCell ref="S830:T830"/>
    <mergeCell ref="U830:V830"/>
    <mergeCell ref="W830:X830"/>
    <mergeCell ref="Y830:Z830"/>
    <mergeCell ref="AA830:AB830"/>
    <mergeCell ref="AC830:AD830"/>
    <mergeCell ref="AE830:AF830"/>
    <mergeCell ref="AG830:AH830"/>
    <mergeCell ref="AI830:AJ830"/>
    <mergeCell ref="AK830:AL830"/>
    <mergeCell ref="AM830:AN830"/>
    <mergeCell ref="C1023:H1023"/>
    <mergeCell ref="L1023:T1023"/>
    <mergeCell ref="AG1023:AH1023"/>
    <mergeCell ref="AI1023:AO1023"/>
    <mergeCell ref="AW1023:BD1023"/>
    <mergeCell ref="G1024:H1024"/>
    <mergeCell ref="I1024:J1024"/>
    <mergeCell ref="K1024:L1024"/>
    <mergeCell ref="M1024:N1024"/>
    <mergeCell ref="O1024:P1024"/>
    <mergeCell ref="Q1024:R1024"/>
    <mergeCell ref="S1024:T1024"/>
    <mergeCell ref="U1024:V1024"/>
    <mergeCell ref="W1024:X1024"/>
    <mergeCell ref="Y1024:Z1024"/>
    <mergeCell ref="AA1024:AB1024"/>
    <mergeCell ref="AC1024:AD1024"/>
    <mergeCell ref="AE1024:AF1024"/>
    <mergeCell ref="AG1024:AH1024"/>
    <mergeCell ref="AI1024:AJ1024"/>
    <mergeCell ref="AK1024:AL1024"/>
    <mergeCell ref="AM1024:AN1024"/>
    <mergeCell ref="AO1024:AP1024"/>
    <mergeCell ref="AQ1024:AR1024"/>
    <mergeCell ref="AS1024:AT1024"/>
    <mergeCell ref="AU1024:AV1024"/>
    <mergeCell ref="AW1024:AX1024"/>
    <mergeCell ref="AY1024:AZ1024"/>
    <mergeCell ref="BA1024:BB1024"/>
    <mergeCell ref="BC1024:BD1024"/>
    <mergeCell ref="BE1024:BF1024"/>
    <mergeCell ref="G1025:H1025"/>
    <mergeCell ref="I1025:J1025"/>
    <mergeCell ref="K1025:L1025"/>
    <mergeCell ref="M1025:N1025"/>
    <mergeCell ref="O1025:P1025"/>
    <mergeCell ref="Q1025:R1025"/>
    <mergeCell ref="S1025:T1025"/>
    <mergeCell ref="U1025:V1025"/>
    <mergeCell ref="W1025:X1025"/>
    <mergeCell ref="Y1025:Z1025"/>
    <mergeCell ref="AA1025:AB1025"/>
    <mergeCell ref="AC1025:AD1025"/>
    <mergeCell ref="AE1025:AF1025"/>
    <mergeCell ref="AG1025:AH1025"/>
    <mergeCell ref="AI1025:AJ1025"/>
    <mergeCell ref="AK1025:AL1025"/>
    <mergeCell ref="AM1025:AN1025"/>
    <mergeCell ref="AO1025:AP1025"/>
    <mergeCell ref="AQ1025:AR1025"/>
    <mergeCell ref="AS1025:AT1025"/>
    <mergeCell ref="AU1025:AV1025"/>
    <mergeCell ref="AW1025:AX1025"/>
    <mergeCell ref="AY1025:AZ1025"/>
    <mergeCell ref="BA1025:BB1025"/>
    <mergeCell ref="BC1025:BD1025"/>
    <mergeCell ref="BE1025:BF1025"/>
    <mergeCell ref="G1026:H1026"/>
    <mergeCell ref="I1026:J1026"/>
    <mergeCell ref="K1026:L1026"/>
    <mergeCell ref="M1026:N1026"/>
    <mergeCell ref="O1026:P1026"/>
    <mergeCell ref="Q1026:R1026"/>
    <mergeCell ref="S1026:T1026"/>
    <mergeCell ref="U1026:V1026"/>
    <mergeCell ref="W1026:X1026"/>
    <mergeCell ref="Y1026:Z1026"/>
    <mergeCell ref="AA1026:AB1026"/>
    <mergeCell ref="AC1026:AD1026"/>
    <mergeCell ref="AE1026:AF1026"/>
    <mergeCell ref="AG1026:AH1026"/>
    <mergeCell ref="AI1026:AJ1026"/>
    <mergeCell ref="AK1026:AL1026"/>
    <mergeCell ref="AM1026:AN1026"/>
    <mergeCell ref="AO1026:AP1026"/>
    <mergeCell ref="AQ1026:AR1026"/>
    <mergeCell ref="AS1026:AT1026"/>
    <mergeCell ref="AU1026:AV1026"/>
    <mergeCell ref="AW1026:AX1026"/>
    <mergeCell ref="AY1026:AZ1026"/>
    <mergeCell ref="BA1026:BB1026"/>
    <mergeCell ref="BC1026:BD1026"/>
    <mergeCell ref="BE1026:BF1026"/>
    <mergeCell ref="B1076:B1077"/>
    <mergeCell ref="G1077:H1077"/>
    <mergeCell ref="I1077:J1077"/>
    <mergeCell ref="K1077:L1077"/>
    <mergeCell ref="M1077:N1077"/>
    <mergeCell ref="O1077:P1077"/>
    <mergeCell ref="Q1077:R1077"/>
    <mergeCell ref="S1077:T1077"/>
    <mergeCell ref="U1077:V1077"/>
    <mergeCell ref="W1077:X1077"/>
    <mergeCell ref="Y1077:Z1077"/>
    <mergeCell ref="AA1077:AB1077"/>
    <mergeCell ref="AC1077:AD1077"/>
    <mergeCell ref="AE1077:AF1077"/>
    <mergeCell ref="AG1077:AH1077"/>
    <mergeCell ref="AI1077:AJ1077"/>
    <mergeCell ref="AK1077:AL1077"/>
    <mergeCell ref="AM1077:AN1077"/>
    <mergeCell ref="AO1077:AP1077"/>
    <mergeCell ref="AQ1077:AR1077"/>
    <mergeCell ref="AS1077:AT1077"/>
    <mergeCell ref="AU1077:AV1077"/>
    <mergeCell ref="AW1077:AX1077"/>
    <mergeCell ref="AY1077:AZ1077"/>
    <mergeCell ref="BA1077:BB1077"/>
    <mergeCell ref="BC1077:BD1077"/>
    <mergeCell ref="BE1077:BF1077"/>
    <mergeCell ref="G1078:H1078"/>
    <mergeCell ref="I1078:J1078"/>
    <mergeCell ref="K1078:L1078"/>
    <mergeCell ref="M1078:N1078"/>
    <mergeCell ref="O1078:P1078"/>
    <mergeCell ref="Q1078:R1078"/>
    <mergeCell ref="S1078:T1078"/>
    <mergeCell ref="U1078:V1078"/>
    <mergeCell ref="W1078:X1078"/>
    <mergeCell ref="Y1078:Z1078"/>
    <mergeCell ref="AA1078:AB1078"/>
    <mergeCell ref="AC1078:AD1078"/>
    <mergeCell ref="AE1078:AF1078"/>
    <mergeCell ref="AG1078:AH1078"/>
    <mergeCell ref="AI1078:AJ1078"/>
    <mergeCell ref="AK1078:AL1078"/>
    <mergeCell ref="AM1078:AN1078"/>
    <mergeCell ref="AO1078:AP1078"/>
    <mergeCell ref="AQ1078:AR1078"/>
    <mergeCell ref="AS1078:AT1078"/>
    <mergeCell ref="AU1078:AV1078"/>
    <mergeCell ref="AW1078:AX1078"/>
    <mergeCell ref="AY1078:AZ1078"/>
    <mergeCell ref="BA1078:BB1078"/>
    <mergeCell ref="BC1078:BD1078"/>
    <mergeCell ref="BE1078:BF1078"/>
    <mergeCell ref="AO1079:AP1079"/>
    <mergeCell ref="AQ1079:AR1079"/>
    <mergeCell ref="AS1079:AT1079"/>
    <mergeCell ref="AU1079:AV1079"/>
    <mergeCell ref="AW1079:AX1079"/>
    <mergeCell ref="AY1079:AZ1079"/>
    <mergeCell ref="BA1079:BB1079"/>
    <mergeCell ref="BC1079:BD1079"/>
    <mergeCell ref="BE1079:BF1079"/>
    <mergeCell ref="C1080:H1080"/>
    <mergeCell ref="L1080:T1080"/>
    <mergeCell ref="AG1080:AH1080"/>
    <mergeCell ref="AL1080:AO1080"/>
    <mergeCell ref="AW1080:BD1080"/>
    <mergeCell ref="G1079:H1079"/>
    <mergeCell ref="I1079:J1079"/>
    <mergeCell ref="K1079:L1079"/>
    <mergeCell ref="M1079:N1079"/>
    <mergeCell ref="O1079:P1079"/>
    <mergeCell ref="Q1079:R1079"/>
    <mergeCell ref="S1079:T1079"/>
    <mergeCell ref="U1079:V1079"/>
    <mergeCell ref="W1079:X1079"/>
    <mergeCell ref="Y1079:Z1079"/>
    <mergeCell ref="AA1079:AB1079"/>
    <mergeCell ref="AC1079:AD1079"/>
    <mergeCell ref="AE1079:AF1079"/>
    <mergeCell ref="AG1079:AH1079"/>
    <mergeCell ref="AI1079:AJ1079"/>
    <mergeCell ref="AK1079:AL1079"/>
    <mergeCell ref="AM1079:AN1079"/>
    <mergeCell ref="C1082:H1082"/>
    <mergeCell ref="L1082:T1082"/>
    <mergeCell ref="AG1082:AH1082"/>
    <mergeCell ref="AI1082:AO1082"/>
    <mergeCell ref="AW1082:BD1082"/>
    <mergeCell ref="G1083:H1083"/>
    <mergeCell ref="I1083:J1083"/>
    <mergeCell ref="K1083:L1083"/>
    <mergeCell ref="M1083:N1083"/>
    <mergeCell ref="O1083:P1083"/>
    <mergeCell ref="Q1083:R1083"/>
    <mergeCell ref="S1083:T1083"/>
    <mergeCell ref="U1083:V1083"/>
    <mergeCell ref="W1083:X1083"/>
    <mergeCell ref="Y1083:Z1083"/>
    <mergeCell ref="AA1083:AB1083"/>
    <mergeCell ref="AC1083:AD1083"/>
    <mergeCell ref="AE1083:AF1083"/>
    <mergeCell ref="AG1083:AH1083"/>
    <mergeCell ref="AI1083:AJ1083"/>
    <mergeCell ref="AK1083:AL1083"/>
    <mergeCell ref="AM1083:AN1083"/>
    <mergeCell ref="AO1083:AP1083"/>
    <mergeCell ref="AQ1083:AR1083"/>
    <mergeCell ref="AS1083:AT1083"/>
    <mergeCell ref="AU1083:AV1083"/>
    <mergeCell ref="AW1083:AX1083"/>
    <mergeCell ref="AY1083:AZ1083"/>
    <mergeCell ref="BA1083:BB1083"/>
    <mergeCell ref="BC1083:BD1083"/>
    <mergeCell ref="BE1083:BF1083"/>
    <mergeCell ref="G1084:H1084"/>
    <mergeCell ref="I1084:J1084"/>
    <mergeCell ref="K1084:L1084"/>
    <mergeCell ref="M1084:N1084"/>
    <mergeCell ref="O1084:P1084"/>
    <mergeCell ref="Q1084:R1084"/>
    <mergeCell ref="S1084:T1084"/>
    <mergeCell ref="U1084:V1084"/>
    <mergeCell ref="W1084:X1084"/>
    <mergeCell ref="Y1084:Z1084"/>
    <mergeCell ref="AA1084:AB1084"/>
    <mergeCell ref="AC1084:AD1084"/>
    <mergeCell ref="AE1084:AF1084"/>
    <mergeCell ref="AG1084:AH1084"/>
    <mergeCell ref="AI1084:AJ1084"/>
    <mergeCell ref="AK1084:AL1084"/>
    <mergeCell ref="AM1084:AN1084"/>
    <mergeCell ref="AO1084:AP1084"/>
    <mergeCell ref="AQ1084:AR1084"/>
    <mergeCell ref="AS1084:AT1084"/>
    <mergeCell ref="AU1084:AV1084"/>
    <mergeCell ref="AW1084:AX1084"/>
    <mergeCell ref="AY1084:AZ1084"/>
    <mergeCell ref="BA1084:BB1084"/>
    <mergeCell ref="BC1084:BD1084"/>
    <mergeCell ref="BE1084:BF1084"/>
    <mergeCell ref="G1085:H1085"/>
    <mergeCell ref="I1085:J1085"/>
    <mergeCell ref="K1085:L1085"/>
    <mergeCell ref="M1085:N1085"/>
    <mergeCell ref="O1085:P1085"/>
    <mergeCell ref="Q1085:R1085"/>
    <mergeCell ref="S1085:T1085"/>
    <mergeCell ref="U1085:V1085"/>
    <mergeCell ref="W1085:X1085"/>
    <mergeCell ref="Y1085:Z1085"/>
    <mergeCell ref="AA1085:AB1085"/>
    <mergeCell ref="AC1085:AD1085"/>
    <mergeCell ref="AE1085:AF1085"/>
    <mergeCell ref="AG1085:AH1085"/>
    <mergeCell ref="AI1085:AJ1085"/>
    <mergeCell ref="AK1085:AL1085"/>
    <mergeCell ref="AM1085:AN1085"/>
    <mergeCell ref="AO1085:AP1085"/>
    <mergeCell ref="AQ1085:AR1085"/>
    <mergeCell ref="AS1085:AT1085"/>
    <mergeCell ref="AU1085:AV1085"/>
    <mergeCell ref="AW1085:AX1085"/>
    <mergeCell ref="AY1085:AZ1085"/>
    <mergeCell ref="BA1085:BB1085"/>
    <mergeCell ref="BC1085:BD1085"/>
    <mergeCell ref="BE1085:BF1085"/>
    <mergeCell ref="B1135:B1136"/>
    <mergeCell ref="G1136:H1136"/>
    <mergeCell ref="I1136:J1136"/>
    <mergeCell ref="K1136:L1136"/>
    <mergeCell ref="M1136:N1136"/>
    <mergeCell ref="O1136:P1136"/>
    <mergeCell ref="Q1136:R1136"/>
    <mergeCell ref="S1136:T1136"/>
    <mergeCell ref="U1136:V1136"/>
    <mergeCell ref="W1136:X1136"/>
    <mergeCell ref="Y1136:Z1136"/>
    <mergeCell ref="AA1136:AB1136"/>
    <mergeCell ref="AC1136:AD1136"/>
    <mergeCell ref="AE1136:AF1136"/>
    <mergeCell ref="AG1136:AH1136"/>
    <mergeCell ref="AI1136:AJ1136"/>
    <mergeCell ref="AK1136:AL1136"/>
    <mergeCell ref="AM1136:AN1136"/>
    <mergeCell ref="AO1136:AP1136"/>
    <mergeCell ref="AQ1136:AR1136"/>
    <mergeCell ref="AS1136:AT1136"/>
    <mergeCell ref="AU1136:AV1136"/>
    <mergeCell ref="AW1136:AX1136"/>
    <mergeCell ref="AY1136:AZ1136"/>
    <mergeCell ref="BA1136:BB1136"/>
    <mergeCell ref="BC1136:BD1136"/>
    <mergeCell ref="BE1136:BF1136"/>
    <mergeCell ref="G1137:H1137"/>
    <mergeCell ref="I1137:J1137"/>
    <mergeCell ref="K1137:L1137"/>
    <mergeCell ref="M1137:N1137"/>
    <mergeCell ref="O1137:P1137"/>
    <mergeCell ref="Q1137:R1137"/>
    <mergeCell ref="S1137:T1137"/>
    <mergeCell ref="U1137:V1137"/>
    <mergeCell ref="W1137:X1137"/>
    <mergeCell ref="Y1137:Z1137"/>
    <mergeCell ref="AA1137:AB1137"/>
    <mergeCell ref="AC1137:AD1137"/>
    <mergeCell ref="AE1137:AF1137"/>
    <mergeCell ref="AG1137:AH1137"/>
    <mergeCell ref="AI1137:AJ1137"/>
    <mergeCell ref="AK1137:AL1137"/>
    <mergeCell ref="AM1137:AN1137"/>
    <mergeCell ref="AO1137:AP1137"/>
    <mergeCell ref="AQ1137:AR1137"/>
    <mergeCell ref="AS1137:AT1137"/>
    <mergeCell ref="AU1137:AV1137"/>
    <mergeCell ref="AW1137:AX1137"/>
    <mergeCell ref="AY1137:AZ1137"/>
    <mergeCell ref="BA1137:BB1137"/>
    <mergeCell ref="BC1137:BD1137"/>
    <mergeCell ref="BE1137:BF1137"/>
    <mergeCell ref="AO1138:AP1138"/>
    <mergeCell ref="AQ1138:AR1138"/>
    <mergeCell ref="AS1138:AT1138"/>
    <mergeCell ref="AU1138:AV1138"/>
    <mergeCell ref="AW1138:AX1138"/>
    <mergeCell ref="AY1138:AZ1138"/>
    <mergeCell ref="BA1138:BB1138"/>
    <mergeCell ref="BC1138:BD1138"/>
    <mergeCell ref="BE1138:BF1138"/>
    <mergeCell ref="C1139:H1139"/>
    <mergeCell ref="L1139:T1139"/>
    <mergeCell ref="AG1139:AH1139"/>
    <mergeCell ref="AL1139:AO1139"/>
    <mergeCell ref="AW1139:BD1139"/>
    <mergeCell ref="G1138:H1138"/>
    <mergeCell ref="I1138:J1138"/>
    <mergeCell ref="K1138:L1138"/>
    <mergeCell ref="M1138:N1138"/>
    <mergeCell ref="O1138:P1138"/>
    <mergeCell ref="Q1138:R1138"/>
    <mergeCell ref="S1138:T1138"/>
    <mergeCell ref="U1138:V1138"/>
    <mergeCell ref="W1138:X1138"/>
    <mergeCell ref="Y1138:Z1138"/>
    <mergeCell ref="AA1138:AB1138"/>
    <mergeCell ref="AC1138:AD1138"/>
    <mergeCell ref="AE1138:AF1138"/>
    <mergeCell ref="AG1138:AH1138"/>
    <mergeCell ref="AI1138:AJ1138"/>
    <mergeCell ref="AK1138:AL1138"/>
    <mergeCell ref="AM1138:AN1138"/>
    <mergeCell ref="C1141:H1141"/>
    <mergeCell ref="L1141:T1141"/>
    <mergeCell ref="AG1141:AH1141"/>
    <mergeCell ref="AI1141:AO1141"/>
    <mergeCell ref="AW1141:BD1141"/>
    <mergeCell ref="G1142:H1142"/>
    <mergeCell ref="I1142:J1142"/>
    <mergeCell ref="K1142:L1142"/>
    <mergeCell ref="M1142:N1142"/>
    <mergeCell ref="O1142:P1142"/>
    <mergeCell ref="Q1142:R1142"/>
    <mergeCell ref="S1142:T1142"/>
    <mergeCell ref="U1142:V1142"/>
    <mergeCell ref="W1142:X1142"/>
    <mergeCell ref="Y1142:Z1142"/>
    <mergeCell ref="AA1142:AB1142"/>
    <mergeCell ref="AC1142:AD1142"/>
    <mergeCell ref="AE1142:AF1142"/>
    <mergeCell ref="AG1142:AH1142"/>
    <mergeCell ref="AI1142:AJ1142"/>
    <mergeCell ref="AK1142:AL1142"/>
    <mergeCell ref="AM1142:AN1142"/>
    <mergeCell ref="AO1142:AP1142"/>
    <mergeCell ref="AQ1142:AR1142"/>
    <mergeCell ref="AS1142:AT1142"/>
    <mergeCell ref="AU1142:AV1142"/>
    <mergeCell ref="AW1142:AX1142"/>
    <mergeCell ref="AY1142:AZ1142"/>
    <mergeCell ref="BA1142:BB1142"/>
    <mergeCell ref="BC1142:BD1142"/>
    <mergeCell ref="BE1142:BF1142"/>
    <mergeCell ref="G1143:H1143"/>
    <mergeCell ref="I1143:J1143"/>
    <mergeCell ref="K1143:L1143"/>
    <mergeCell ref="M1143:N1143"/>
    <mergeCell ref="O1143:P1143"/>
    <mergeCell ref="Q1143:R1143"/>
    <mergeCell ref="S1143:T1143"/>
    <mergeCell ref="U1143:V1143"/>
    <mergeCell ref="W1143:X1143"/>
    <mergeCell ref="Y1143:Z1143"/>
    <mergeCell ref="AA1143:AB1143"/>
    <mergeCell ref="AC1143:AD1143"/>
    <mergeCell ref="AE1143:AF1143"/>
    <mergeCell ref="AG1143:AH1143"/>
    <mergeCell ref="AI1143:AJ1143"/>
    <mergeCell ref="AK1143:AL1143"/>
    <mergeCell ref="AM1143:AN1143"/>
    <mergeCell ref="AO1143:AP1143"/>
    <mergeCell ref="AQ1143:AR1143"/>
    <mergeCell ref="AS1143:AT1143"/>
    <mergeCell ref="AU1143:AV1143"/>
    <mergeCell ref="AW1143:AX1143"/>
    <mergeCell ref="AY1143:AZ1143"/>
    <mergeCell ref="BA1143:BB1143"/>
    <mergeCell ref="BC1143:BD1143"/>
    <mergeCell ref="BE1143:BF1143"/>
    <mergeCell ref="G1144:H1144"/>
    <mergeCell ref="I1144:J1144"/>
    <mergeCell ref="K1144:L1144"/>
    <mergeCell ref="M1144:N1144"/>
    <mergeCell ref="O1144:P1144"/>
    <mergeCell ref="Q1144:R1144"/>
    <mergeCell ref="S1144:T1144"/>
    <mergeCell ref="U1144:V1144"/>
    <mergeCell ref="W1144:X1144"/>
    <mergeCell ref="Y1144:Z1144"/>
    <mergeCell ref="AA1144:AB1144"/>
    <mergeCell ref="AC1144:AD1144"/>
    <mergeCell ref="AE1144:AF1144"/>
    <mergeCell ref="AG1144:AH1144"/>
    <mergeCell ref="AI1144:AJ1144"/>
    <mergeCell ref="AK1144:AL1144"/>
    <mergeCell ref="AM1144:AN1144"/>
    <mergeCell ref="AO1144:AP1144"/>
    <mergeCell ref="AQ1144:AR1144"/>
    <mergeCell ref="AS1144:AT1144"/>
    <mergeCell ref="AU1144:AV1144"/>
    <mergeCell ref="AW1144:AX1144"/>
    <mergeCell ref="AY1144:AZ1144"/>
    <mergeCell ref="BA1144:BB1144"/>
    <mergeCell ref="BC1144:BD1144"/>
    <mergeCell ref="BE1144:BF1144"/>
    <mergeCell ref="B1194:B1195"/>
    <mergeCell ref="G1195:H1195"/>
    <mergeCell ref="I1195:J1195"/>
    <mergeCell ref="K1195:L1195"/>
    <mergeCell ref="M1195:N1195"/>
    <mergeCell ref="O1195:P1195"/>
    <mergeCell ref="Q1195:R1195"/>
    <mergeCell ref="S1195:T1195"/>
    <mergeCell ref="U1195:V1195"/>
    <mergeCell ref="W1195:X1195"/>
    <mergeCell ref="Y1195:Z1195"/>
    <mergeCell ref="AA1195:AB1195"/>
    <mergeCell ref="AC1195:AD1195"/>
    <mergeCell ref="AE1195:AF1195"/>
    <mergeCell ref="AG1195:AH1195"/>
    <mergeCell ref="AI1195:AJ1195"/>
    <mergeCell ref="AK1195:AL1195"/>
    <mergeCell ref="AM1195:AN1195"/>
    <mergeCell ref="AO1195:AP1195"/>
    <mergeCell ref="AQ1195:AR1195"/>
    <mergeCell ref="AS1195:AT1195"/>
    <mergeCell ref="AU1195:AV1195"/>
    <mergeCell ref="AW1195:AX1195"/>
    <mergeCell ref="AY1195:AZ1195"/>
    <mergeCell ref="BA1195:BB1195"/>
    <mergeCell ref="BC1195:BD1195"/>
    <mergeCell ref="BE1195:BF1195"/>
    <mergeCell ref="G1196:H1196"/>
    <mergeCell ref="I1196:J1196"/>
    <mergeCell ref="K1196:L1196"/>
    <mergeCell ref="M1196:N1196"/>
    <mergeCell ref="O1196:P1196"/>
    <mergeCell ref="Q1196:R1196"/>
    <mergeCell ref="S1196:T1196"/>
    <mergeCell ref="U1196:V1196"/>
    <mergeCell ref="W1196:X1196"/>
    <mergeCell ref="Y1196:Z1196"/>
    <mergeCell ref="AA1196:AB1196"/>
    <mergeCell ref="AC1196:AD1196"/>
    <mergeCell ref="AE1196:AF1196"/>
    <mergeCell ref="AG1196:AH1196"/>
    <mergeCell ref="AI1196:AJ1196"/>
    <mergeCell ref="AK1196:AL1196"/>
    <mergeCell ref="AM1196:AN1196"/>
    <mergeCell ref="AO1196:AP1196"/>
    <mergeCell ref="AQ1196:AR1196"/>
    <mergeCell ref="AS1196:AT1196"/>
    <mergeCell ref="AU1196:AV1196"/>
    <mergeCell ref="AW1196:AX1196"/>
    <mergeCell ref="AY1196:AZ1196"/>
    <mergeCell ref="BA1196:BB1196"/>
    <mergeCell ref="BC1196:BD1196"/>
    <mergeCell ref="BE1196:BF1196"/>
    <mergeCell ref="AO1197:AP1197"/>
    <mergeCell ref="AQ1197:AR1197"/>
    <mergeCell ref="AS1197:AT1197"/>
    <mergeCell ref="AU1197:AV1197"/>
    <mergeCell ref="AW1197:AX1197"/>
    <mergeCell ref="AY1197:AZ1197"/>
    <mergeCell ref="BA1197:BB1197"/>
    <mergeCell ref="BC1197:BD1197"/>
    <mergeCell ref="BE1197:BF1197"/>
    <mergeCell ref="C1198:H1198"/>
    <mergeCell ref="L1198:T1198"/>
    <mergeCell ref="AG1198:AH1198"/>
    <mergeCell ref="AL1198:AO1198"/>
    <mergeCell ref="AW1198:BD1198"/>
    <mergeCell ref="G1197:H1197"/>
    <mergeCell ref="I1197:J1197"/>
    <mergeCell ref="K1197:L1197"/>
    <mergeCell ref="M1197:N1197"/>
    <mergeCell ref="O1197:P1197"/>
    <mergeCell ref="Q1197:R1197"/>
    <mergeCell ref="S1197:T1197"/>
    <mergeCell ref="U1197:V1197"/>
    <mergeCell ref="W1197:X1197"/>
    <mergeCell ref="Y1197:Z1197"/>
    <mergeCell ref="AA1197:AB1197"/>
    <mergeCell ref="AC1197:AD1197"/>
    <mergeCell ref="AE1197:AF1197"/>
    <mergeCell ref="AG1197:AH1197"/>
    <mergeCell ref="AI1197:AJ1197"/>
    <mergeCell ref="AK1197:AL1197"/>
    <mergeCell ref="AM1197:AN1197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98"/>
  <sheetViews>
    <sheetView zoomScale="69" zoomScaleNormal="55" workbookViewId="0">
      <selection activeCell="C40" sqref="C40:E40"/>
    </sheetView>
  </sheetViews>
  <sheetFormatPr baseColWidth="10" defaultColWidth="8.83203125" defaultRowHeight="15" x14ac:dyDescent="0.2"/>
  <cols>
    <col min="1" max="1" width="10.1640625" bestFit="1" customWidth="1"/>
    <col min="2" max="2" width="10" bestFit="1" customWidth="1"/>
    <col min="6" max="6" width="9" bestFit="1" customWidth="1"/>
    <col min="7" max="7" width="13" bestFit="1" customWidth="1"/>
    <col min="9" max="9" width="11.6640625" bestFit="1" customWidth="1"/>
    <col min="11" max="11" width="13" bestFit="1" customWidth="1"/>
    <col min="13" max="13" width="13" bestFit="1" customWidth="1"/>
    <col min="15" max="15" width="13" bestFit="1" customWidth="1"/>
    <col min="17" max="17" width="11.6640625" bestFit="1" customWidth="1"/>
    <col min="19" max="19" width="11.6640625" bestFit="1" customWidth="1"/>
    <col min="21" max="21" width="12.1640625" bestFit="1" customWidth="1"/>
    <col min="23" max="23" width="12.1640625" bestFit="1" customWidth="1"/>
    <col min="25" max="25" width="10.6640625" bestFit="1" customWidth="1"/>
    <col min="27" max="27" width="12.1640625" bestFit="1" customWidth="1"/>
    <col min="29" max="29" width="12.1640625" bestFit="1" customWidth="1"/>
    <col min="31" max="31" width="11.6640625" bestFit="1" customWidth="1"/>
    <col min="33" max="33" width="10.6640625" bestFit="1" customWidth="1"/>
    <col min="37" max="37" width="11.33203125" bestFit="1" customWidth="1"/>
    <col min="39" max="39" width="10.6640625" bestFit="1" customWidth="1"/>
    <col min="41" max="41" width="10.6640625" bestFit="1" customWidth="1"/>
    <col min="43" max="43" width="10.6640625" bestFit="1" customWidth="1"/>
    <col min="47" max="47" width="10.6640625" bestFit="1" customWidth="1"/>
    <col min="49" max="49" width="13" bestFit="1" customWidth="1"/>
    <col min="51" max="51" width="11.6640625" bestFit="1" customWidth="1"/>
    <col min="53" max="53" width="10.6640625" bestFit="1" customWidth="1"/>
    <col min="57" max="57" width="10.6640625" bestFit="1" customWidth="1"/>
  </cols>
  <sheetData>
    <row r="1" spans="1:59" ht="16" thickBot="1" x14ac:dyDescent="0.25"/>
    <row r="2" spans="1:59" ht="16" thickBot="1" x14ac:dyDescent="0.25">
      <c r="A2" s="768" t="s">
        <v>364</v>
      </c>
      <c r="B2" s="769"/>
      <c r="C2" s="770"/>
      <c r="D2" s="157"/>
      <c r="E2" s="157"/>
      <c r="F2" s="157"/>
      <c r="G2" s="157"/>
      <c r="H2" s="163"/>
      <c r="I2" s="157"/>
      <c r="J2" s="157"/>
      <c r="K2" s="766"/>
      <c r="L2" s="766"/>
      <c r="M2" s="766"/>
      <c r="N2" s="766"/>
      <c r="O2" s="766"/>
      <c r="P2" s="766"/>
      <c r="Q2" s="766"/>
      <c r="R2" s="766"/>
      <c r="S2" s="766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766"/>
      <c r="AG2" s="766"/>
      <c r="AH2" s="766"/>
      <c r="AI2" s="766"/>
      <c r="AJ2" s="766"/>
      <c r="AK2" s="766"/>
      <c r="AL2" s="766"/>
      <c r="AM2" s="766"/>
      <c r="AN2" s="766"/>
      <c r="AO2" s="157"/>
      <c r="AP2" s="157"/>
      <c r="AQ2" s="157"/>
      <c r="AR2" s="157"/>
      <c r="AS2" s="157"/>
      <c r="AT2" s="157"/>
      <c r="AU2" s="157"/>
      <c r="AV2" s="766"/>
      <c r="AW2" s="766"/>
      <c r="AX2" s="766"/>
      <c r="AY2" s="766"/>
      <c r="AZ2" s="766"/>
      <c r="BA2" s="766"/>
      <c r="BB2" s="766"/>
      <c r="BC2" s="766"/>
      <c r="BD2" s="157"/>
      <c r="BE2" s="157"/>
    </row>
    <row r="3" spans="1:59" ht="16" thickBot="1" x14ac:dyDescent="0.25">
      <c r="A3" s="780">
        <v>45658</v>
      </c>
      <c r="B3" s="781"/>
      <c r="C3" s="774" t="s">
        <v>342</v>
      </c>
      <c r="D3" s="775"/>
      <c r="E3" s="776"/>
      <c r="F3" s="752" t="s">
        <v>29</v>
      </c>
      <c r="G3" s="752"/>
      <c r="H3" s="752" t="s">
        <v>30</v>
      </c>
      <c r="I3" s="752"/>
      <c r="J3" s="752" t="s">
        <v>31</v>
      </c>
      <c r="K3" s="752"/>
      <c r="L3" s="752" t="s">
        <v>32</v>
      </c>
      <c r="M3" s="752"/>
      <c r="N3" s="752" t="s">
        <v>33</v>
      </c>
      <c r="O3" s="752"/>
      <c r="P3" s="752" t="s">
        <v>247</v>
      </c>
      <c r="Q3" s="752"/>
      <c r="R3" s="752" t="s">
        <v>34</v>
      </c>
      <c r="S3" s="752"/>
      <c r="T3" s="752" t="s">
        <v>35</v>
      </c>
      <c r="U3" s="752"/>
      <c r="V3" s="752" t="s">
        <v>36</v>
      </c>
      <c r="W3" s="752"/>
      <c r="X3" s="752" t="s">
        <v>37</v>
      </c>
      <c r="Y3" s="752"/>
      <c r="Z3" s="752" t="s">
        <v>38</v>
      </c>
      <c r="AA3" s="752"/>
      <c r="AB3" s="752" t="s">
        <v>39</v>
      </c>
      <c r="AC3" s="752"/>
      <c r="AD3" s="752" t="s">
        <v>40</v>
      </c>
      <c r="AE3" s="752"/>
      <c r="AF3" s="752" t="s">
        <v>41</v>
      </c>
      <c r="AG3" s="752"/>
      <c r="AH3" s="752" t="s">
        <v>42</v>
      </c>
      <c r="AI3" s="752"/>
      <c r="AJ3" s="752" t="s">
        <v>43</v>
      </c>
      <c r="AK3" s="752"/>
      <c r="AL3" s="752" t="s">
        <v>157</v>
      </c>
      <c r="AM3" s="752"/>
      <c r="AN3" s="752" t="s">
        <v>248</v>
      </c>
      <c r="AO3" s="752"/>
      <c r="AP3" s="752" t="s">
        <v>249</v>
      </c>
      <c r="AQ3" s="752"/>
      <c r="AR3" s="752" t="s">
        <v>150</v>
      </c>
      <c r="AS3" s="752"/>
      <c r="AT3" s="752" t="s">
        <v>151</v>
      </c>
      <c r="AU3" s="752"/>
      <c r="AV3" s="752" t="s">
        <v>44</v>
      </c>
      <c r="AW3" s="752"/>
      <c r="AX3" s="752" t="s">
        <v>250</v>
      </c>
      <c r="AY3" s="752"/>
      <c r="AZ3" s="752" t="s">
        <v>45</v>
      </c>
      <c r="BA3" s="752"/>
      <c r="BB3" s="752" t="s">
        <v>46</v>
      </c>
      <c r="BC3" s="752"/>
      <c r="BD3" s="752" t="s">
        <v>92</v>
      </c>
      <c r="BE3" s="752"/>
    </row>
    <row r="4" spans="1:59" ht="16" thickBot="1" x14ac:dyDescent="0.25">
      <c r="A4" s="782"/>
      <c r="B4" s="783"/>
      <c r="C4" s="777"/>
      <c r="D4" s="778"/>
      <c r="E4" s="779"/>
      <c r="F4" s="752" t="s">
        <v>50</v>
      </c>
      <c r="G4" s="752"/>
      <c r="H4" s="752" t="s">
        <v>51</v>
      </c>
      <c r="I4" s="752"/>
      <c r="J4" s="752" t="s">
        <v>51</v>
      </c>
      <c r="K4" s="752"/>
      <c r="L4" s="752" t="s">
        <v>52</v>
      </c>
      <c r="M4" s="752"/>
      <c r="N4" s="752">
        <v>180</v>
      </c>
      <c r="O4" s="752"/>
      <c r="P4" s="752" t="s">
        <v>53</v>
      </c>
      <c r="Q4" s="752"/>
      <c r="R4" s="752" t="s">
        <v>54</v>
      </c>
      <c r="S4" s="752"/>
      <c r="T4" s="752" t="s">
        <v>54</v>
      </c>
      <c r="U4" s="752"/>
      <c r="V4" s="752" t="s">
        <v>55</v>
      </c>
      <c r="W4" s="752"/>
      <c r="X4" s="752" t="s">
        <v>54</v>
      </c>
      <c r="Y4" s="752"/>
      <c r="Z4" s="752" t="s">
        <v>54</v>
      </c>
      <c r="AA4" s="752"/>
      <c r="AB4" s="752" t="s">
        <v>56</v>
      </c>
      <c r="AC4" s="752"/>
      <c r="AD4" s="752" t="s">
        <v>57</v>
      </c>
      <c r="AE4" s="752"/>
      <c r="AF4" s="752" t="s">
        <v>57</v>
      </c>
      <c r="AG4" s="752"/>
      <c r="AH4" s="752" t="s">
        <v>58</v>
      </c>
      <c r="AI4" s="752"/>
      <c r="AJ4" s="752" t="s">
        <v>300</v>
      </c>
      <c r="AK4" s="752"/>
      <c r="AL4" s="752" t="s">
        <v>301</v>
      </c>
      <c r="AM4" s="752"/>
      <c r="AN4" s="752">
        <v>20</v>
      </c>
      <c r="AO4" s="752"/>
      <c r="AP4" s="752">
        <v>20</v>
      </c>
      <c r="AQ4" s="752"/>
      <c r="AR4" s="752" t="s">
        <v>57</v>
      </c>
      <c r="AS4" s="752"/>
      <c r="AT4" s="752" t="s">
        <v>302</v>
      </c>
      <c r="AU4" s="752"/>
      <c r="AV4" s="752">
        <v>100</v>
      </c>
      <c r="AW4" s="752"/>
      <c r="AX4" s="752">
        <v>100</v>
      </c>
      <c r="AY4" s="752"/>
      <c r="AZ4" s="752" t="s">
        <v>59</v>
      </c>
      <c r="BA4" s="752"/>
      <c r="BB4" s="752" t="s">
        <v>51</v>
      </c>
      <c r="BC4" s="752"/>
      <c r="BD4" s="752" t="s">
        <v>53</v>
      </c>
      <c r="BE4" s="752"/>
    </row>
    <row r="5" spans="1:59" ht="16" thickBot="1" x14ac:dyDescent="0.25">
      <c r="A5" s="782"/>
      <c r="B5" s="783"/>
      <c r="C5" s="768" t="s">
        <v>362</v>
      </c>
      <c r="D5" s="769"/>
      <c r="E5" s="770"/>
      <c r="F5" s="116" t="s">
        <v>268</v>
      </c>
      <c r="G5" s="116" t="s">
        <v>19</v>
      </c>
      <c r="H5" s="116" t="s">
        <v>268</v>
      </c>
      <c r="I5" s="116" t="s">
        <v>19</v>
      </c>
      <c r="J5" s="116" t="s">
        <v>268</v>
      </c>
      <c r="K5" s="116" t="s">
        <v>19</v>
      </c>
      <c r="L5" s="116" t="s">
        <v>268</v>
      </c>
      <c r="M5" s="116" t="s">
        <v>19</v>
      </c>
      <c r="N5" s="116" t="s">
        <v>268</v>
      </c>
      <c r="O5" s="116" t="s">
        <v>19</v>
      </c>
      <c r="P5" s="116" t="s">
        <v>268</v>
      </c>
      <c r="Q5" s="116" t="s">
        <v>19</v>
      </c>
      <c r="R5" s="116" t="s">
        <v>268</v>
      </c>
      <c r="S5" s="116" t="s">
        <v>19</v>
      </c>
      <c r="T5" s="116" t="s">
        <v>268</v>
      </c>
      <c r="U5" s="116" t="s">
        <v>19</v>
      </c>
      <c r="V5" s="116" t="s">
        <v>268</v>
      </c>
      <c r="W5" s="116" t="s">
        <v>19</v>
      </c>
      <c r="X5" s="116" t="s">
        <v>268</v>
      </c>
      <c r="Y5" s="116" t="s">
        <v>19</v>
      </c>
      <c r="Z5" s="116" t="s">
        <v>268</v>
      </c>
      <c r="AA5" s="116" t="s">
        <v>19</v>
      </c>
      <c r="AB5" s="116" t="s">
        <v>268</v>
      </c>
      <c r="AC5" s="116" t="s">
        <v>19</v>
      </c>
      <c r="AD5" s="116" t="s">
        <v>268</v>
      </c>
      <c r="AE5" s="116" t="s">
        <v>19</v>
      </c>
      <c r="AF5" s="116" t="s">
        <v>268</v>
      </c>
      <c r="AG5" s="116" t="s">
        <v>19</v>
      </c>
      <c r="AH5" s="116" t="s">
        <v>268</v>
      </c>
      <c r="AI5" s="116" t="s">
        <v>19</v>
      </c>
      <c r="AJ5" s="116" t="s">
        <v>268</v>
      </c>
      <c r="AK5" s="116" t="s">
        <v>19</v>
      </c>
      <c r="AL5" s="116" t="s">
        <v>268</v>
      </c>
      <c r="AM5" s="116" t="s">
        <v>19</v>
      </c>
      <c r="AN5" s="116" t="s">
        <v>268</v>
      </c>
      <c r="AO5" s="116" t="s">
        <v>19</v>
      </c>
      <c r="AP5" s="116" t="s">
        <v>268</v>
      </c>
      <c r="AQ5" s="116" t="s">
        <v>19</v>
      </c>
      <c r="AR5" s="116" t="s">
        <v>268</v>
      </c>
      <c r="AS5" s="116" t="s">
        <v>19</v>
      </c>
      <c r="AT5" s="116" t="s">
        <v>268</v>
      </c>
      <c r="AU5" s="116" t="s">
        <v>19</v>
      </c>
      <c r="AV5" s="116" t="s">
        <v>268</v>
      </c>
      <c r="AW5" s="116" t="s">
        <v>19</v>
      </c>
      <c r="AX5" s="116" t="s">
        <v>268</v>
      </c>
      <c r="AY5" s="116" t="s">
        <v>19</v>
      </c>
      <c r="AZ5" s="116" t="s">
        <v>268</v>
      </c>
      <c r="BA5" s="116" t="s">
        <v>19</v>
      </c>
      <c r="BB5" s="116" t="s">
        <v>268</v>
      </c>
      <c r="BC5" s="116" t="s">
        <v>19</v>
      </c>
      <c r="BD5" s="116" t="s">
        <v>268</v>
      </c>
      <c r="BE5" s="116" t="s">
        <v>19</v>
      </c>
    </row>
    <row r="6" spans="1:59" ht="16" thickBot="1" x14ac:dyDescent="0.25">
      <c r="A6" s="782"/>
      <c r="B6" s="783"/>
      <c r="C6" s="768" t="s">
        <v>533</v>
      </c>
      <c r="D6" s="769"/>
      <c r="E6" s="770"/>
      <c r="F6" s="271">
        <f>'DAILY WEEKLY EXPENSES STOCK'!G60</f>
        <v>24</v>
      </c>
      <c r="G6" s="271">
        <f>'DAILY WEEKLY EXPENSES STOCK'!H60</f>
        <v>3299.76</v>
      </c>
      <c r="H6" s="271">
        <f>'DAILY WEEKLY EXPENSES STOCK'!I60</f>
        <v>12</v>
      </c>
      <c r="I6" s="271">
        <f>'DAILY WEEKLY EXPENSES STOCK'!J60</f>
        <v>1439.88</v>
      </c>
      <c r="J6" s="271">
        <f>'DAILY WEEKLY EXPENSES STOCK'!K60</f>
        <v>20</v>
      </c>
      <c r="K6" s="271">
        <f>'DAILY WEEKLY EXPENSES STOCK'!L60</f>
        <v>3639.8</v>
      </c>
      <c r="L6" s="271">
        <f>'DAILY WEEKLY EXPENSES STOCK'!M60</f>
        <v>32</v>
      </c>
      <c r="M6" s="271">
        <f>'DAILY WEEKLY EXPENSES STOCK'!N60</f>
        <v>4639.68</v>
      </c>
      <c r="N6" s="271">
        <f>'DAILY WEEKLY EXPENSES STOCK'!O60</f>
        <v>15</v>
      </c>
      <c r="O6" s="271">
        <f>'DAILY WEEKLY EXPENSES STOCK'!P60</f>
        <v>7850</v>
      </c>
      <c r="P6" s="271">
        <f>'DAILY WEEKLY EXPENSES STOCK'!Q60</f>
        <v>1</v>
      </c>
      <c r="Q6" s="271">
        <f>'DAILY WEEKLY EXPENSES STOCK'!R60</f>
        <v>134.99</v>
      </c>
      <c r="R6" s="271">
        <f>'DAILY WEEKLY EXPENSES STOCK'!S60</f>
        <v>0</v>
      </c>
      <c r="S6" s="271">
        <f>'DAILY WEEKLY EXPENSES STOCK'!T60</f>
        <v>0</v>
      </c>
      <c r="T6" s="271">
        <f>'DAILY WEEKLY EXPENSES STOCK'!U60</f>
        <v>0</v>
      </c>
      <c r="U6" s="271">
        <f>'DAILY WEEKLY EXPENSES STOCK'!V60</f>
        <v>0</v>
      </c>
      <c r="V6" s="271">
        <f>'DAILY WEEKLY EXPENSES STOCK'!W60</f>
        <v>18</v>
      </c>
      <c r="W6" s="271">
        <f>'DAILY WEEKLY EXPENSES STOCK'!X60</f>
        <v>1431.8200000000002</v>
      </c>
      <c r="X6" s="271">
        <f>'DAILY WEEKLY EXPENSES STOCK'!Y60</f>
        <v>0</v>
      </c>
      <c r="Y6" s="271">
        <f>'DAILY WEEKLY EXPENSES STOCK'!Z60</f>
        <v>0</v>
      </c>
      <c r="Z6" s="271">
        <f>'DAILY WEEKLY EXPENSES STOCK'!AA60</f>
        <v>0</v>
      </c>
      <c r="AA6" s="271">
        <f>'DAILY WEEKLY EXPENSES STOCK'!AB60</f>
        <v>0</v>
      </c>
      <c r="AB6" s="271">
        <f>'DAILY WEEKLY EXPENSES STOCK'!AC60</f>
        <v>12</v>
      </c>
      <c r="AC6" s="271">
        <f>'DAILY WEEKLY EXPENSES STOCK'!AD60</f>
        <v>1189.8800000000001</v>
      </c>
      <c r="AD6" s="271">
        <f>'DAILY WEEKLY EXPENSES STOCK'!AE60</f>
        <v>20</v>
      </c>
      <c r="AE6" s="271">
        <f>'DAILY WEEKLY EXPENSES STOCK'!AF60</f>
        <v>599.79999999999995</v>
      </c>
      <c r="AF6" s="271">
        <f>'DAILY WEEKLY EXPENSES STOCK'!AG60</f>
        <v>0</v>
      </c>
      <c r="AG6" s="271">
        <f>'DAILY WEEKLY EXPENSES STOCK'!AH60</f>
        <v>0</v>
      </c>
      <c r="AH6" s="271">
        <f>'DAILY WEEKLY EXPENSES STOCK'!AI60</f>
        <v>2</v>
      </c>
      <c r="AI6" s="271">
        <f>'DAILY WEEKLY EXPENSES STOCK'!AJ60</f>
        <v>11.98</v>
      </c>
      <c r="AJ6" s="271">
        <f>'DAILY WEEKLY EXPENSES STOCK'!AK60</f>
        <v>0</v>
      </c>
      <c r="AK6" s="271">
        <f>'DAILY WEEKLY EXPENSES STOCK'!AL60</f>
        <v>0</v>
      </c>
      <c r="AL6" s="271">
        <f>'DAILY WEEKLY EXPENSES STOCK'!AM60</f>
        <v>1</v>
      </c>
      <c r="AM6" s="271">
        <f>'DAILY WEEKLY EXPENSES STOCK'!AN60</f>
        <v>49.99</v>
      </c>
      <c r="AN6" s="271">
        <f>'DAILY WEEKLY EXPENSES STOCK'!AO60</f>
        <v>0</v>
      </c>
      <c r="AO6" s="271">
        <f>'DAILY WEEKLY EXPENSES STOCK'!AP60</f>
        <v>0</v>
      </c>
      <c r="AP6" s="271">
        <f>'DAILY WEEKLY EXPENSES STOCK'!AQ60</f>
        <v>0</v>
      </c>
      <c r="AQ6" s="271">
        <f>'DAILY WEEKLY EXPENSES STOCK'!AR60</f>
        <v>0</v>
      </c>
      <c r="AR6" s="271">
        <f>'DAILY WEEKLY EXPENSES STOCK'!AS60</f>
        <v>0</v>
      </c>
      <c r="AS6" s="271">
        <f>'DAILY WEEKLY EXPENSES STOCK'!AT60</f>
        <v>0</v>
      </c>
      <c r="AT6" s="271">
        <f>'DAILY WEEKLY EXPENSES STOCK'!AU60</f>
        <v>0</v>
      </c>
      <c r="AU6" s="271">
        <f>'DAILY WEEKLY EXPENSES STOCK'!AV60</f>
        <v>0</v>
      </c>
      <c r="AV6" s="271">
        <f>'DAILY WEEKLY EXPENSES STOCK'!AW60</f>
        <v>17</v>
      </c>
      <c r="AW6" s="271">
        <f>'DAILY WEEKLY EXPENSES STOCK'!AX60</f>
        <v>6547.83</v>
      </c>
      <c r="AX6" s="271">
        <f>'DAILY WEEKLY EXPENSES STOCK'!AY60</f>
        <v>17</v>
      </c>
      <c r="AY6" s="271">
        <f>'DAILY WEEKLY EXPENSES STOCK'!AZ60</f>
        <v>4215.42</v>
      </c>
      <c r="AZ6" s="271">
        <f>'DAILY WEEKLY EXPENSES STOCK'!BA60</f>
        <v>4</v>
      </c>
      <c r="BA6" s="271">
        <f>'DAILY WEEKLY EXPENSES STOCK'!BB60</f>
        <v>145.94999999999999</v>
      </c>
      <c r="BB6" s="271">
        <f>'DAILY WEEKLY EXPENSES STOCK'!BC60</f>
        <v>0</v>
      </c>
      <c r="BC6" s="271">
        <f>'DAILY WEEKLY EXPENSES STOCK'!BD60</f>
        <v>0</v>
      </c>
      <c r="BD6" s="271">
        <f>'DAILY WEEKLY EXPENSES STOCK'!BE60</f>
        <v>2</v>
      </c>
      <c r="BE6" s="271">
        <f>'DAILY WEEKLY EXPENSES STOCK'!BF60</f>
        <v>117.98</v>
      </c>
    </row>
    <row r="7" spans="1:59" ht="16" thickBot="1" x14ac:dyDescent="0.25">
      <c r="A7" s="782"/>
      <c r="B7" s="783"/>
      <c r="C7" s="768" t="s">
        <v>534</v>
      </c>
      <c r="D7" s="769"/>
      <c r="E7" s="770"/>
      <c r="F7" s="271">
        <f>'DAILY WEEKLY EXPENSES STOCK'!G130</f>
        <v>28</v>
      </c>
      <c r="G7" s="271">
        <f>'DAILY WEEKLY EXPENSES STOCK'!H130</f>
        <v>3865.7200000000003</v>
      </c>
      <c r="H7" s="271">
        <f>'DAILY WEEKLY EXPENSES STOCK'!I130</f>
        <v>16</v>
      </c>
      <c r="I7" s="271">
        <f>'DAILY WEEKLY EXPENSES STOCK'!J130</f>
        <v>1647.8400000000001</v>
      </c>
      <c r="J7" s="271">
        <f>'DAILY WEEKLY EXPENSES STOCK'!K130</f>
        <v>22</v>
      </c>
      <c r="K7" s="271">
        <f>'DAILY WEEKLY EXPENSES STOCK'!L130</f>
        <v>4003.78</v>
      </c>
      <c r="L7" s="271">
        <f>'DAILY WEEKLY EXPENSES STOCK'!M130</f>
        <v>30</v>
      </c>
      <c r="M7" s="271">
        <f>'DAILY WEEKLY EXPENSES STOCK'!N130</f>
        <v>4389.7000000000007</v>
      </c>
      <c r="N7" s="271">
        <f>'DAILY WEEKLY EXPENSES STOCK'!O130</f>
        <v>10</v>
      </c>
      <c r="O7" s="271">
        <f>'DAILY WEEKLY EXPENSES STOCK'!P130</f>
        <v>6000</v>
      </c>
      <c r="P7" s="271">
        <f>'DAILY WEEKLY EXPENSES STOCK'!Q130</f>
        <v>2</v>
      </c>
      <c r="Q7" s="271">
        <f>'DAILY WEEKLY EXPENSES STOCK'!R130</f>
        <v>269.98</v>
      </c>
      <c r="R7" s="271">
        <f>'DAILY WEEKLY EXPENSES STOCK'!S130</f>
        <v>6</v>
      </c>
      <c r="S7" s="271">
        <f>'DAILY WEEKLY EXPENSES STOCK'!T130</f>
        <v>4899</v>
      </c>
      <c r="T7" s="271">
        <f>'DAILY WEEKLY EXPENSES STOCK'!U130</f>
        <v>25</v>
      </c>
      <c r="U7" s="271">
        <f>'DAILY WEEKLY EXPENSES STOCK'!V130</f>
        <v>13225</v>
      </c>
      <c r="V7" s="271">
        <f>'DAILY WEEKLY EXPENSES STOCK'!W130</f>
        <v>17</v>
      </c>
      <c r="W7" s="271">
        <f>'DAILY WEEKLY EXPENSES STOCK'!X130</f>
        <v>989.82999999999993</v>
      </c>
      <c r="X7" s="271">
        <f>'DAILY WEEKLY EXPENSES STOCK'!Y130</f>
        <v>0</v>
      </c>
      <c r="Y7" s="271">
        <f>'DAILY WEEKLY EXPENSES STOCK'!Z130</f>
        <v>0</v>
      </c>
      <c r="Z7" s="271">
        <f>'DAILY WEEKLY EXPENSES STOCK'!AA130</f>
        <v>2</v>
      </c>
      <c r="AA7" s="271">
        <f>'DAILY WEEKLY EXPENSES STOCK'!AB130</f>
        <v>8050</v>
      </c>
      <c r="AB7" s="271">
        <f>'DAILY WEEKLY EXPENSES STOCK'!AC130</f>
        <v>11</v>
      </c>
      <c r="AC7" s="271">
        <f>'DAILY WEEKLY EXPENSES STOCK'!AD130</f>
        <v>1084.8899999999999</v>
      </c>
      <c r="AD7" s="271">
        <f>'DAILY WEEKLY EXPENSES STOCK'!AE130</f>
        <v>26</v>
      </c>
      <c r="AE7" s="271">
        <f>'DAILY WEEKLY EXPENSES STOCK'!AF130</f>
        <v>779.74</v>
      </c>
      <c r="AF7" s="271">
        <f>'DAILY WEEKLY EXPENSES STOCK'!AG130</f>
        <v>0</v>
      </c>
      <c r="AG7" s="271">
        <f>'DAILY WEEKLY EXPENSES STOCK'!AH130</f>
        <v>0</v>
      </c>
      <c r="AH7" s="271">
        <f>'DAILY WEEKLY EXPENSES STOCK'!AI130</f>
        <v>0</v>
      </c>
      <c r="AI7" s="271">
        <f>'DAILY WEEKLY EXPENSES STOCK'!AJ130</f>
        <v>0</v>
      </c>
      <c r="AJ7" s="271">
        <f>'DAILY WEEKLY EXPENSES STOCK'!AK130</f>
        <v>0</v>
      </c>
      <c r="AK7" s="271">
        <f>'DAILY WEEKLY EXPENSES STOCK'!AL130</f>
        <v>0</v>
      </c>
      <c r="AL7" s="271">
        <f>'DAILY WEEKLY EXPENSES STOCK'!AM130</f>
        <v>0</v>
      </c>
      <c r="AM7" s="271">
        <f>'DAILY WEEKLY EXPENSES STOCK'!AN130</f>
        <v>0</v>
      </c>
      <c r="AN7" s="271">
        <f>'DAILY WEEKLY EXPENSES STOCK'!AO130</f>
        <v>0</v>
      </c>
      <c r="AO7" s="271">
        <f>'DAILY WEEKLY EXPENSES STOCK'!AP130</f>
        <v>0</v>
      </c>
      <c r="AP7" s="271">
        <f>'DAILY WEEKLY EXPENSES STOCK'!AQ130</f>
        <v>0</v>
      </c>
      <c r="AQ7" s="271">
        <f>'DAILY WEEKLY EXPENSES STOCK'!AR130</f>
        <v>0</v>
      </c>
      <c r="AR7" s="271">
        <f>'DAILY WEEKLY EXPENSES STOCK'!AS130</f>
        <v>0</v>
      </c>
      <c r="AS7" s="271">
        <f>'DAILY WEEKLY EXPENSES STOCK'!AT130</f>
        <v>0</v>
      </c>
      <c r="AT7" s="271">
        <f>'DAILY WEEKLY EXPENSES STOCK'!AU130</f>
        <v>0</v>
      </c>
      <c r="AU7" s="271">
        <f>'DAILY WEEKLY EXPENSES STOCK'!AV130</f>
        <v>0</v>
      </c>
      <c r="AV7" s="271">
        <f>'DAILY WEEKLY EXPENSES STOCK'!AW130</f>
        <v>15</v>
      </c>
      <c r="AW7" s="271">
        <f>'DAILY WEEKLY EXPENSES STOCK'!AX130</f>
        <v>4578.83</v>
      </c>
      <c r="AX7" s="271">
        <f>'DAILY WEEKLY EXPENSES STOCK'!AY130</f>
        <v>15</v>
      </c>
      <c r="AY7" s="271">
        <f>'DAILY WEEKLY EXPENSES STOCK'!AZ130</f>
        <v>3008.42</v>
      </c>
      <c r="AZ7" s="271">
        <f>'DAILY WEEKLY EXPENSES STOCK'!BA130</f>
        <v>3</v>
      </c>
      <c r="BA7" s="271">
        <f>'DAILY WEEKLY EXPENSES STOCK'!BB130</f>
        <v>83.97</v>
      </c>
      <c r="BB7" s="271">
        <f>'DAILY WEEKLY EXPENSES STOCK'!BC130</f>
        <v>0</v>
      </c>
      <c r="BC7" s="271">
        <f>'DAILY WEEKLY EXPENSES STOCK'!BD130</f>
        <v>0</v>
      </c>
      <c r="BD7" s="271">
        <f>'DAILY WEEKLY EXPENSES STOCK'!BE130</f>
        <v>3</v>
      </c>
      <c r="BE7" s="271">
        <f>'DAILY WEEKLY EXPENSES STOCK'!BF130</f>
        <v>191.97</v>
      </c>
    </row>
    <row r="8" spans="1:59" ht="16" thickBot="1" x14ac:dyDescent="0.25">
      <c r="A8" s="782"/>
      <c r="B8" s="783"/>
      <c r="C8" s="768" t="s">
        <v>535</v>
      </c>
      <c r="D8" s="769"/>
      <c r="E8" s="770"/>
      <c r="F8" s="271">
        <v>29</v>
      </c>
      <c r="G8" s="271">
        <v>3972.71</v>
      </c>
      <c r="H8" s="271">
        <v>11</v>
      </c>
      <c r="I8" s="271">
        <v>1540.89</v>
      </c>
      <c r="J8" s="271">
        <v>22</v>
      </c>
      <c r="K8" s="271">
        <v>4003.78</v>
      </c>
      <c r="L8" s="271">
        <v>31</v>
      </c>
      <c r="M8" s="271">
        <v>4645.75</v>
      </c>
      <c r="N8" s="271">
        <v>18</v>
      </c>
      <c r="O8" s="271">
        <v>9725</v>
      </c>
      <c r="P8" s="271">
        <v>1</v>
      </c>
      <c r="Q8" s="271">
        <v>134.99</v>
      </c>
      <c r="R8" s="271">
        <v>0</v>
      </c>
      <c r="S8" s="271">
        <v>0</v>
      </c>
      <c r="T8" s="271">
        <v>0</v>
      </c>
      <c r="U8" s="271">
        <v>0</v>
      </c>
      <c r="V8" s="271">
        <v>16</v>
      </c>
      <c r="W8" s="271">
        <v>687.84</v>
      </c>
      <c r="X8" s="271">
        <v>0</v>
      </c>
      <c r="Y8" s="271">
        <v>0</v>
      </c>
      <c r="Z8" s="271">
        <v>0</v>
      </c>
      <c r="AA8" s="271">
        <v>0</v>
      </c>
      <c r="AB8" s="271">
        <v>19</v>
      </c>
      <c r="AC8" s="271">
        <v>1880.81</v>
      </c>
      <c r="AD8" s="271">
        <v>26</v>
      </c>
      <c r="AE8" s="271">
        <v>909.74</v>
      </c>
      <c r="AF8" s="271">
        <v>0</v>
      </c>
      <c r="AG8" s="271">
        <v>0</v>
      </c>
      <c r="AH8" s="271">
        <v>2</v>
      </c>
      <c r="AI8" s="271">
        <v>11.98</v>
      </c>
      <c r="AJ8" s="271">
        <v>0</v>
      </c>
      <c r="AK8" s="271">
        <v>0</v>
      </c>
      <c r="AL8" s="271">
        <v>0</v>
      </c>
      <c r="AM8" s="271">
        <v>0</v>
      </c>
      <c r="AN8" s="271">
        <v>0</v>
      </c>
      <c r="AO8" s="271">
        <v>0</v>
      </c>
      <c r="AP8" s="271">
        <v>0</v>
      </c>
      <c r="AQ8" s="271">
        <v>0</v>
      </c>
      <c r="AR8" s="271">
        <v>0</v>
      </c>
      <c r="AS8" s="271">
        <v>0</v>
      </c>
      <c r="AT8" s="271">
        <v>0</v>
      </c>
      <c r="AU8" s="271">
        <v>0</v>
      </c>
      <c r="AV8" s="271">
        <v>0</v>
      </c>
      <c r="AW8" s="271">
        <v>0</v>
      </c>
      <c r="AX8" s="271">
        <v>0</v>
      </c>
      <c r="AY8" s="271">
        <v>0</v>
      </c>
      <c r="AZ8" s="271">
        <v>5</v>
      </c>
      <c r="BA8" s="271">
        <v>139.94999999999999</v>
      </c>
      <c r="BB8" s="271">
        <v>0</v>
      </c>
      <c r="BC8" s="271">
        <v>0</v>
      </c>
      <c r="BD8" s="271">
        <v>3</v>
      </c>
      <c r="BE8" s="271">
        <v>227.96999999999997</v>
      </c>
    </row>
    <row r="9" spans="1:59" ht="16" thickBot="1" x14ac:dyDescent="0.25">
      <c r="A9" s="782"/>
      <c r="B9" s="783"/>
      <c r="C9" s="768" t="s">
        <v>638</v>
      </c>
      <c r="D9" s="769"/>
      <c r="E9" s="770"/>
      <c r="F9" s="271">
        <v>24</v>
      </c>
      <c r="G9" s="271">
        <v>3287.76</v>
      </c>
      <c r="H9" s="271">
        <v>12</v>
      </c>
      <c r="I9" s="271">
        <v>1235.8799999999999</v>
      </c>
      <c r="J9" s="271">
        <v>20</v>
      </c>
      <c r="K9" s="271">
        <v>3639.8</v>
      </c>
      <c r="L9" s="271">
        <v>32</v>
      </c>
      <c r="M9" s="271">
        <v>5023.68</v>
      </c>
      <c r="N9" s="271">
        <v>0</v>
      </c>
      <c r="O9" s="271">
        <v>0</v>
      </c>
      <c r="P9" s="271">
        <v>2</v>
      </c>
      <c r="Q9" s="271">
        <v>269.98</v>
      </c>
      <c r="R9" s="271">
        <v>0</v>
      </c>
      <c r="S9" s="271">
        <v>0</v>
      </c>
      <c r="T9" s="271">
        <v>0</v>
      </c>
      <c r="U9" s="271">
        <v>0</v>
      </c>
      <c r="V9" s="271">
        <v>14</v>
      </c>
      <c r="W9" s="271">
        <v>601.86</v>
      </c>
      <c r="X9" s="271">
        <v>0</v>
      </c>
      <c r="Y9" s="271">
        <v>0</v>
      </c>
      <c r="Z9" s="271">
        <v>0</v>
      </c>
      <c r="AA9" s="271">
        <v>0</v>
      </c>
      <c r="AB9" s="271">
        <v>18</v>
      </c>
      <c r="AC9" s="271">
        <v>1777.82</v>
      </c>
      <c r="AD9" s="271">
        <v>10</v>
      </c>
      <c r="AE9" s="271">
        <v>349.9</v>
      </c>
      <c r="AF9" s="271">
        <v>0</v>
      </c>
      <c r="AG9" s="271">
        <v>0</v>
      </c>
      <c r="AH9" s="271">
        <v>2</v>
      </c>
      <c r="AI9" s="271">
        <v>11.98</v>
      </c>
      <c r="AJ9" s="271">
        <v>0</v>
      </c>
      <c r="AK9" s="271">
        <v>0</v>
      </c>
      <c r="AL9" s="271">
        <v>1</v>
      </c>
      <c r="AM9" s="271">
        <v>49.99</v>
      </c>
      <c r="AN9" s="271">
        <v>0</v>
      </c>
      <c r="AO9" s="271">
        <v>0</v>
      </c>
      <c r="AP9" s="271">
        <v>0</v>
      </c>
      <c r="AQ9" s="271">
        <v>0</v>
      </c>
      <c r="AR9" s="271">
        <v>0</v>
      </c>
      <c r="AS9" s="271">
        <v>0</v>
      </c>
      <c r="AT9" s="271">
        <v>0</v>
      </c>
      <c r="AU9" s="271">
        <v>0</v>
      </c>
      <c r="AV9" s="271">
        <v>20</v>
      </c>
      <c r="AW9" s="271">
        <v>4149.3</v>
      </c>
      <c r="AX9" s="271">
        <v>20</v>
      </c>
      <c r="AY9" s="271">
        <v>4149.3</v>
      </c>
      <c r="AZ9" s="271">
        <v>3</v>
      </c>
      <c r="BA9" s="271">
        <v>80.97</v>
      </c>
      <c r="BB9" s="271">
        <v>0</v>
      </c>
      <c r="BC9" s="271">
        <v>0</v>
      </c>
      <c r="BD9" s="271">
        <v>2</v>
      </c>
      <c r="BE9" s="271">
        <v>151.97999999999999</v>
      </c>
    </row>
    <row r="10" spans="1:59" ht="16" thickBot="1" x14ac:dyDescent="0.25">
      <c r="A10" s="784"/>
      <c r="B10" s="785"/>
      <c r="C10" s="771" t="s">
        <v>330</v>
      </c>
      <c r="D10" s="772"/>
      <c r="E10" s="773"/>
      <c r="F10" s="306">
        <f>SUM(F6:F9)</f>
        <v>105</v>
      </c>
      <c r="G10" s="307">
        <f t="shared" ref="G10:BE10" si="0">SUM(G6:G9)</f>
        <v>14425.95</v>
      </c>
      <c r="H10" s="306">
        <f t="shared" si="0"/>
        <v>51</v>
      </c>
      <c r="I10" s="307">
        <f t="shared" si="0"/>
        <v>5864.4900000000007</v>
      </c>
      <c r="J10" s="306">
        <f t="shared" si="0"/>
        <v>84</v>
      </c>
      <c r="K10" s="307">
        <f t="shared" si="0"/>
        <v>15287.16</v>
      </c>
      <c r="L10" s="306">
        <f t="shared" si="0"/>
        <v>125</v>
      </c>
      <c r="M10" s="307">
        <f t="shared" si="0"/>
        <v>18698.810000000001</v>
      </c>
      <c r="N10" s="308">
        <f t="shared" si="0"/>
        <v>43</v>
      </c>
      <c r="O10" s="307">
        <f t="shared" si="0"/>
        <v>23575</v>
      </c>
      <c r="P10" s="308">
        <f t="shared" si="0"/>
        <v>6</v>
      </c>
      <c r="Q10" s="307">
        <f t="shared" si="0"/>
        <v>809.94</v>
      </c>
      <c r="R10" s="306">
        <f t="shared" si="0"/>
        <v>6</v>
      </c>
      <c r="S10" s="307">
        <f t="shared" si="0"/>
        <v>4899</v>
      </c>
      <c r="T10" s="306">
        <f t="shared" si="0"/>
        <v>25</v>
      </c>
      <c r="U10" s="307">
        <f t="shared" si="0"/>
        <v>13225</v>
      </c>
      <c r="V10" s="306">
        <f t="shared" si="0"/>
        <v>65</v>
      </c>
      <c r="W10" s="307">
        <f t="shared" si="0"/>
        <v>3711.3500000000004</v>
      </c>
      <c r="X10" s="306">
        <f t="shared" si="0"/>
        <v>0</v>
      </c>
      <c r="Y10" s="307">
        <f t="shared" si="0"/>
        <v>0</v>
      </c>
      <c r="Z10" s="306">
        <f t="shared" si="0"/>
        <v>2</v>
      </c>
      <c r="AA10" s="307">
        <f t="shared" si="0"/>
        <v>8050</v>
      </c>
      <c r="AB10" s="308">
        <f t="shared" si="0"/>
        <v>60</v>
      </c>
      <c r="AC10" s="307">
        <f t="shared" si="0"/>
        <v>5933.4</v>
      </c>
      <c r="AD10" s="306">
        <f t="shared" si="0"/>
        <v>82</v>
      </c>
      <c r="AE10" s="307">
        <f t="shared" si="0"/>
        <v>2639.18</v>
      </c>
      <c r="AF10" s="306">
        <f t="shared" si="0"/>
        <v>0</v>
      </c>
      <c r="AG10" s="307">
        <f t="shared" si="0"/>
        <v>0</v>
      </c>
      <c r="AH10" s="306">
        <f t="shared" si="0"/>
        <v>6</v>
      </c>
      <c r="AI10" s="307">
        <f t="shared" si="0"/>
        <v>35.94</v>
      </c>
      <c r="AJ10" s="306">
        <f t="shared" si="0"/>
        <v>0</v>
      </c>
      <c r="AK10" s="307">
        <f t="shared" si="0"/>
        <v>0</v>
      </c>
      <c r="AL10" s="306">
        <f t="shared" si="0"/>
        <v>2</v>
      </c>
      <c r="AM10" s="307">
        <f t="shared" si="0"/>
        <v>99.98</v>
      </c>
      <c r="AN10" s="306">
        <f t="shared" si="0"/>
        <v>0</v>
      </c>
      <c r="AO10" s="307">
        <f t="shared" si="0"/>
        <v>0</v>
      </c>
      <c r="AP10" s="306">
        <f t="shared" si="0"/>
        <v>0</v>
      </c>
      <c r="AQ10" s="307">
        <f t="shared" si="0"/>
        <v>0</v>
      </c>
      <c r="AR10" s="306">
        <f t="shared" si="0"/>
        <v>0</v>
      </c>
      <c r="AS10" s="307">
        <f t="shared" si="0"/>
        <v>0</v>
      </c>
      <c r="AT10" s="306">
        <f t="shared" si="0"/>
        <v>0</v>
      </c>
      <c r="AU10" s="307">
        <f t="shared" si="0"/>
        <v>0</v>
      </c>
      <c r="AV10" s="306">
        <f t="shared" si="0"/>
        <v>52</v>
      </c>
      <c r="AW10" s="307">
        <f t="shared" si="0"/>
        <v>15275.96</v>
      </c>
      <c r="AX10" s="306">
        <f t="shared" si="0"/>
        <v>52</v>
      </c>
      <c r="AY10" s="307">
        <f t="shared" si="0"/>
        <v>11373.14</v>
      </c>
      <c r="AZ10" s="308">
        <f t="shared" si="0"/>
        <v>15</v>
      </c>
      <c r="BA10" s="307">
        <f t="shared" si="0"/>
        <v>450.84000000000003</v>
      </c>
      <c r="BB10" s="308">
        <f t="shared" si="0"/>
        <v>0</v>
      </c>
      <c r="BC10" s="307">
        <f t="shared" si="0"/>
        <v>0</v>
      </c>
      <c r="BD10" s="308">
        <f t="shared" si="0"/>
        <v>10</v>
      </c>
      <c r="BE10" s="307">
        <f t="shared" si="0"/>
        <v>689.9</v>
      </c>
    </row>
    <row r="11" spans="1:59" ht="15.75" customHeight="1" thickBot="1" x14ac:dyDescent="0.25">
      <c r="A11" s="780">
        <v>45689</v>
      </c>
      <c r="B11" s="781"/>
      <c r="C11" s="774" t="s">
        <v>342</v>
      </c>
      <c r="D11" s="775"/>
      <c r="E11" s="776"/>
      <c r="F11" s="752" t="s">
        <v>29</v>
      </c>
      <c r="G11" s="752"/>
      <c r="H11" s="752" t="s">
        <v>30</v>
      </c>
      <c r="I11" s="752"/>
      <c r="J11" s="752" t="s">
        <v>31</v>
      </c>
      <c r="K11" s="752"/>
      <c r="L11" s="752" t="s">
        <v>32</v>
      </c>
      <c r="M11" s="752"/>
      <c r="N11" s="752" t="s">
        <v>33</v>
      </c>
      <c r="O11" s="752"/>
      <c r="P11" s="752" t="s">
        <v>247</v>
      </c>
      <c r="Q11" s="752"/>
      <c r="R11" s="752" t="s">
        <v>34</v>
      </c>
      <c r="S11" s="752"/>
      <c r="T11" s="752" t="s">
        <v>35</v>
      </c>
      <c r="U11" s="752"/>
      <c r="V11" s="752" t="s">
        <v>36</v>
      </c>
      <c r="W11" s="752"/>
      <c r="X11" s="752" t="s">
        <v>37</v>
      </c>
      <c r="Y11" s="752"/>
      <c r="Z11" s="752" t="s">
        <v>38</v>
      </c>
      <c r="AA11" s="752"/>
      <c r="AB11" s="752" t="s">
        <v>39</v>
      </c>
      <c r="AC11" s="752"/>
      <c r="AD11" s="752" t="s">
        <v>40</v>
      </c>
      <c r="AE11" s="752"/>
      <c r="AF11" s="752" t="s">
        <v>41</v>
      </c>
      <c r="AG11" s="752"/>
      <c r="AH11" s="752" t="s">
        <v>42</v>
      </c>
      <c r="AI11" s="752"/>
      <c r="AJ11" s="752" t="s">
        <v>43</v>
      </c>
      <c r="AK11" s="752"/>
      <c r="AL11" s="752" t="s">
        <v>157</v>
      </c>
      <c r="AM11" s="752"/>
      <c r="AN11" s="752" t="s">
        <v>248</v>
      </c>
      <c r="AO11" s="752"/>
      <c r="AP11" s="752" t="s">
        <v>249</v>
      </c>
      <c r="AQ11" s="752"/>
      <c r="AR11" s="752" t="s">
        <v>150</v>
      </c>
      <c r="AS11" s="752"/>
      <c r="AT11" s="752" t="s">
        <v>151</v>
      </c>
      <c r="AU11" s="752"/>
      <c r="AV11" s="752" t="s">
        <v>44</v>
      </c>
      <c r="AW11" s="752"/>
      <c r="AX11" s="752" t="s">
        <v>250</v>
      </c>
      <c r="AY11" s="752"/>
      <c r="AZ11" s="752" t="s">
        <v>45</v>
      </c>
      <c r="BA11" s="752"/>
      <c r="BB11" s="752" t="s">
        <v>46</v>
      </c>
      <c r="BC11" s="752"/>
      <c r="BD11" s="752" t="s">
        <v>92</v>
      </c>
      <c r="BE11" s="752"/>
    </row>
    <row r="12" spans="1:59" ht="15.75" customHeight="1" thickBot="1" x14ac:dyDescent="0.25">
      <c r="A12" s="782"/>
      <c r="B12" s="783"/>
      <c r="C12" s="777"/>
      <c r="D12" s="778"/>
      <c r="E12" s="779"/>
      <c r="F12" s="752" t="s">
        <v>50</v>
      </c>
      <c r="G12" s="752"/>
      <c r="H12" s="752" t="s">
        <v>51</v>
      </c>
      <c r="I12" s="752"/>
      <c r="J12" s="752" t="s">
        <v>51</v>
      </c>
      <c r="K12" s="752"/>
      <c r="L12" s="752" t="s">
        <v>52</v>
      </c>
      <c r="M12" s="752"/>
      <c r="N12" s="752">
        <v>180</v>
      </c>
      <c r="O12" s="752"/>
      <c r="P12" s="752" t="s">
        <v>53</v>
      </c>
      <c r="Q12" s="752"/>
      <c r="R12" s="752" t="s">
        <v>54</v>
      </c>
      <c r="S12" s="752"/>
      <c r="T12" s="752" t="s">
        <v>54</v>
      </c>
      <c r="U12" s="752"/>
      <c r="V12" s="752" t="s">
        <v>55</v>
      </c>
      <c r="W12" s="752"/>
      <c r="X12" s="752" t="s">
        <v>54</v>
      </c>
      <c r="Y12" s="752"/>
      <c r="Z12" s="752" t="s">
        <v>54</v>
      </c>
      <c r="AA12" s="752"/>
      <c r="AB12" s="752" t="s">
        <v>56</v>
      </c>
      <c r="AC12" s="752"/>
      <c r="AD12" s="752" t="s">
        <v>57</v>
      </c>
      <c r="AE12" s="752"/>
      <c r="AF12" s="752" t="s">
        <v>57</v>
      </c>
      <c r="AG12" s="752"/>
      <c r="AH12" s="752" t="s">
        <v>58</v>
      </c>
      <c r="AI12" s="752"/>
      <c r="AJ12" s="752" t="s">
        <v>300</v>
      </c>
      <c r="AK12" s="752"/>
      <c r="AL12" s="752" t="s">
        <v>301</v>
      </c>
      <c r="AM12" s="752"/>
      <c r="AN12" s="752">
        <v>20</v>
      </c>
      <c r="AO12" s="752"/>
      <c r="AP12" s="752">
        <v>20</v>
      </c>
      <c r="AQ12" s="752"/>
      <c r="AR12" s="752" t="s">
        <v>57</v>
      </c>
      <c r="AS12" s="752"/>
      <c r="AT12" s="752" t="s">
        <v>302</v>
      </c>
      <c r="AU12" s="752"/>
      <c r="AV12" s="752">
        <v>100</v>
      </c>
      <c r="AW12" s="752"/>
      <c r="AX12" s="752">
        <v>100</v>
      </c>
      <c r="AY12" s="752"/>
      <c r="AZ12" s="752" t="s">
        <v>59</v>
      </c>
      <c r="BA12" s="752"/>
      <c r="BB12" s="752" t="s">
        <v>51</v>
      </c>
      <c r="BC12" s="752"/>
      <c r="BD12" s="752" t="s">
        <v>53</v>
      </c>
      <c r="BE12" s="752"/>
    </row>
    <row r="13" spans="1:59" ht="15.75" customHeight="1" thickBot="1" x14ac:dyDescent="0.25">
      <c r="A13" s="782"/>
      <c r="B13" s="783"/>
      <c r="C13" s="768" t="s">
        <v>362</v>
      </c>
      <c r="D13" s="769"/>
      <c r="E13" s="770"/>
      <c r="F13" s="116" t="s">
        <v>268</v>
      </c>
      <c r="G13" s="116" t="s">
        <v>19</v>
      </c>
      <c r="H13" s="116" t="s">
        <v>268</v>
      </c>
      <c r="I13" s="116" t="s">
        <v>19</v>
      </c>
      <c r="J13" s="116" t="s">
        <v>268</v>
      </c>
      <c r="K13" s="116" t="s">
        <v>19</v>
      </c>
      <c r="L13" s="116" t="s">
        <v>268</v>
      </c>
      <c r="M13" s="116" t="s">
        <v>19</v>
      </c>
      <c r="N13" s="116" t="s">
        <v>268</v>
      </c>
      <c r="O13" s="116" t="s">
        <v>19</v>
      </c>
      <c r="P13" s="116" t="s">
        <v>268</v>
      </c>
      <c r="Q13" s="116" t="s">
        <v>19</v>
      </c>
      <c r="R13" s="116" t="s">
        <v>268</v>
      </c>
      <c r="S13" s="116" t="s">
        <v>19</v>
      </c>
      <c r="T13" s="116" t="s">
        <v>268</v>
      </c>
      <c r="U13" s="116" t="s">
        <v>19</v>
      </c>
      <c r="V13" s="116" t="s">
        <v>268</v>
      </c>
      <c r="W13" s="116" t="s">
        <v>19</v>
      </c>
      <c r="X13" s="116" t="s">
        <v>268</v>
      </c>
      <c r="Y13" s="116" t="s">
        <v>19</v>
      </c>
      <c r="Z13" s="116" t="s">
        <v>268</v>
      </c>
      <c r="AA13" s="116" t="s">
        <v>19</v>
      </c>
      <c r="AB13" s="116" t="s">
        <v>268</v>
      </c>
      <c r="AC13" s="116" t="s">
        <v>19</v>
      </c>
      <c r="AD13" s="116" t="s">
        <v>268</v>
      </c>
      <c r="AE13" s="116" t="s">
        <v>19</v>
      </c>
      <c r="AF13" s="116" t="s">
        <v>268</v>
      </c>
      <c r="AG13" s="116" t="s">
        <v>19</v>
      </c>
      <c r="AH13" s="116" t="s">
        <v>268</v>
      </c>
      <c r="AI13" s="116" t="s">
        <v>19</v>
      </c>
      <c r="AJ13" s="116" t="s">
        <v>268</v>
      </c>
      <c r="AK13" s="116" t="s">
        <v>19</v>
      </c>
      <c r="AL13" s="116" t="s">
        <v>268</v>
      </c>
      <c r="AM13" s="116" t="s">
        <v>19</v>
      </c>
      <c r="AN13" s="116" t="s">
        <v>268</v>
      </c>
      <c r="AO13" s="116" t="s">
        <v>19</v>
      </c>
      <c r="AP13" s="116" t="s">
        <v>268</v>
      </c>
      <c r="AQ13" s="116" t="s">
        <v>19</v>
      </c>
      <c r="AR13" s="116" t="s">
        <v>268</v>
      </c>
      <c r="AS13" s="116" t="s">
        <v>19</v>
      </c>
      <c r="AT13" s="116" t="s">
        <v>268</v>
      </c>
      <c r="AU13" s="116" t="s">
        <v>19</v>
      </c>
      <c r="AV13" s="116" t="s">
        <v>268</v>
      </c>
      <c r="AW13" s="116" t="s">
        <v>19</v>
      </c>
      <c r="AX13" s="116" t="s">
        <v>268</v>
      </c>
      <c r="AY13" s="116" t="s">
        <v>19</v>
      </c>
      <c r="AZ13" s="116" t="s">
        <v>268</v>
      </c>
      <c r="BA13" s="116" t="s">
        <v>19</v>
      </c>
      <c r="BB13" s="116" t="s">
        <v>268</v>
      </c>
      <c r="BC13" s="116" t="s">
        <v>19</v>
      </c>
      <c r="BD13" s="116" t="s">
        <v>268</v>
      </c>
      <c r="BE13" s="116" t="s">
        <v>19</v>
      </c>
    </row>
    <row r="14" spans="1:59" ht="15.75" customHeight="1" thickBot="1" x14ac:dyDescent="0.25">
      <c r="A14" s="782"/>
      <c r="B14" s="783"/>
      <c r="C14" s="768" t="s">
        <v>648</v>
      </c>
      <c r="D14" s="769"/>
      <c r="E14" s="770"/>
      <c r="F14" s="271">
        <v>27</v>
      </c>
      <c r="G14" s="271">
        <v>3698.7300000000005</v>
      </c>
      <c r="H14" s="271">
        <v>10</v>
      </c>
      <c r="I14" s="271">
        <v>1541.9</v>
      </c>
      <c r="J14" s="271">
        <v>24</v>
      </c>
      <c r="K14" s="271">
        <v>4367.76</v>
      </c>
      <c r="L14" s="271">
        <v>34</v>
      </c>
      <c r="M14" s="271">
        <v>5307.7800000000007</v>
      </c>
      <c r="N14" s="271">
        <v>10</v>
      </c>
      <c r="O14" s="271">
        <v>6000</v>
      </c>
      <c r="P14" s="271">
        <v>2</v>
      </c>
      <c r="Q14" s="271">
        <v>269.98</v>
      </c>
      <c r="R14" s="271">
        <v>0</v>
      </c>
      <c r="S14" s="271">
        <v>0</v>
      </c>
      <c r="T14" s="271">
        <v>0</v>
      </c>
      <c r="U14" s="271">
        <v>0</v>
      </c>
      <c r="V14" s="271">
        <v>16</v>
      </c>
      <c r="W14" s="271">
        <v>687.83999999999992</v>
      </c>
      <c r="X14" s="271">
        <v>0</v>
      </c>
      <c r="Y14" s="271">
        <v>0</v>
      </c>
      <c r="Z14" s="271">
        <v>0</v>
      </c>
      <c r="AA14" s="271">
        <v>0</v>
      </c>
      <c r="AB14" s="271">
        <v>19</v>
      </c>
      <c r="AC14" s="271">
        <v>1880.81</v>
      </c>
      <c r="AD14" s="271">
        <v>20</v>
      </c>
      <c r="AE14" s="271">
        <v>729.8</v>
      </c>
      <c r="AF14" s="271">
        <v>0</v>
      </c>
      <c r="AG14" s="271">
        <v>0</v>
      </c>
      <c r="AH14" s="271">
        <v>0</v>
      </c>
      <c r="AI14" s="271">
        <v>0</v>
      </c>
      <c r="AJ14" s="271">
        <v>0</v>
      </c>
      <c r="AK14" s="271">
        <v>0</v>
      </c>
      <c r="AL14" s="271">
        <v>1</v>
      </c>
      <c r="AM14" s="271">
        <v>49.99</v>
      </c>
      <c r="AN14" s="271">
        <v>0</v>
      </c>
      <c r="AO14" s="271">
        <v>0</v>
      </c>
      <c r="AP14" s="271">
        <v>0</v>
      </c>
      <c r="AQ14" s="271">
        <v>0</v>
      </c>
      <c r="AR14" s="271">
        <v>0</v>
      </c>
      <c r="AS14" s="271">
        <v>0</v>
      </c>
      <c r="AT14" s="271">
        <v>0</v>
      </c>
      <c r="AU14" s="271">
        <v>0</v>
      </c>
      <c r="AV14" s="271">
        <v>15</v>
      </c>
      <c r="AW14" s="271">
        <v>3578.77</v>
      </c>
      <c r="AX14" s="271">
        <v>15</v>
      </c>
      <c r="AY14" s="271">
        <v>3578.77</v>
      </c>
      <c r="AZ14" s="271">
        <v>3</v>
      </c>
      <c r="BA14" s="271">
        <v>81.97</v>
      </c>
      <c r="BB14" s="271">
        <v>0</v>
      </c>
      <c r="BC14" s="271">
        <v>0</v>
      </c>
      <c r="BD14" s="271">
        <v>2</v>
      </c>
      <c r="BE14" s="271">
        <v>151.97999999999999</v>
      </c>
      <c r="BG14" t="e">
        <f>'DAILY WEEKLY EXPENSES STOCK'!#REF!</f>
        <v>#REF!</v>
      </c>
    </row>
    <row r="15" spans="1:59" ht="15.75" customHeight="1" thickBot="1" x14ac:dyDescent="0.25">
      <c r="A15" s="782"/>
      <c r="B15" s="783"/>
      <c r="C15" s="768" t="s">
        <v>863</v>
      </c>
      <c r="D15" s="769"/>
      <c r="E15" s="770"/>
      <c r="F15" s="271">
        <v>26</v>
      </c>
      <c r="G15" s="271">
        <v>3579.7400000000002</v>
      </c>
      <c r="H15" s="271">
        <v>11</v>
      </c>
      <c r="I15" s="271">
        <v>1876.89</v>
      </c>
      <c r="J15" s="271">
        <v>23</v>
      </c>
      <c r="K15" s="271">
        <v>4185.7700000000004</v>
      </c>
      <c r="L15" s="271">
        <v>34</v>
      </c>
      <c r="M15" s="271">
        <v>5557.66</v>
      </c>
      <c r="N15" s="271">
        <v>16</v>
      </c>
      <c r="O15" s="271">
        <v>8130</v>
      </c>
      <c r="P15" s="271">
        <v>2</v>
      </c>
      <c r="Q15" s="271">
        <v>269.98</v>
      </c>
      <c r="R15" s="271">
        <v>0</v>
      </c>
      <c r="S15" s="271">
        <v>0</v>
      </c>
      <c r="T15" s="271">
        <v>0</v>
      </c>
      <c r="U15" s="271">
        <v>0</v>
      </c>
      <c r="V15" s="271">
        <v>16</v>
      </c>
      <c r="W15" s="271">
        <v>687.83999999999992</v>
      </c>
      <c r="X15" s="271">
        <v>0</v>
      </c>
      <c r="Y15" s="271">
        <v>0</v>
      </c>
      <c r="Z15" s="271">
        <v>0</v>
      </c>
      <c r="AA15" s="271">
        <v>0</v>
      </c>
      <c r="AB15" s="271">
        <v>18</v>
      </c>
      <c r="AC15" s="271">
        <v>1781.82</v>
      </c>
      <c r="AD15" s="271">
        <v>27</v>
      </c>
      <c r="AE15" s="271">
        <v>944.73</v>
      </c>
      <c r="AF15" s="271">
        <v>0</v>
      </c>
      <c r="AG15" s="271">
        <v>0</v>
      </c>
      <c r="AH15" s="271">
        <v>4</v>
      </c>
      <c r="AI15" s="271">
        <v>23.96</v>
      </c>
      <c r="AJ15" s="271">
        <v>3</v>
      </c>
      <c r="AK15" s="271">
        <v>509.8</v>
      </c>
      <c r="AL15" s="271">
        <v>1</v>
      </c>
      <c r="AM15" s="271">
        <v>49.99</v>
      </c>
      <c r="AN15" s="271">
        <v>20</v>
      </c>
      <c r="AO15" s="271">
        <v>600</v>
      </c>
      <c r="AP15" s="271">
        <v>20</v>
      </c>
      <c r="AQ15" s="271">
        <v>600</v>
      </c>
      <c r="AR15" s="271">
        <v>0</v>
      </c>
      <c r="AS15" s="271">
        <v>0</v>
      </c>
      <c r="AT15" s="271">
        <v>0</v>
      </c>
      <c r="AU15" s="271">
        <v>0</v>
      </c>
      <c r="AV15" s="271">
        <v>15</v>
      </c>
      <c r="AW15" s="271">
        <v>3578.77</v>
      </c>
      <c r="AX15" s="271">
        <v>15</v>
      </c>
      <c r="AY15" s="271">
        <v>3578.77</v>
      </c>
      <c r="AZ15" s="271">
        <v>3</v>
      </c>
      <c r="BA15" s="271">
        <v>81.97</v>
      </c>
      <c r="BB15" s="271">
        <v>0</v>
      </c>
      <c r="BC15" s="271">
        <v>0</v>
      </c>
      <c r="BD15" s="271">
        <v>2</v>
      </c>
      <c r="BE15" s="271">
        <v>135.97999999999999</v>
      </c>
    </row>
    <row r="16" spans="1:59" ht="15.75" customHeight="1" thickBot="1" x14ac:dyDescent="0.25">
      <c r="A16" s="782"/>
      <c r="B16" s="783"/>
      <c r="C16" s="768" t="s">
        <v>864</v>
      </c>
      <c r="D16" s="769"/>
      <c r="E16" s="770"/>
      <c r="F16" s="271">
        <v>30</v>
      </c>
      <c r="G16" s="271">
        <v>4139.7000000000007</v>
      </c>
      <c r="H16" s="271">
        <v>10</v>
      </c>
      <c r="I16" s="271">
        <v>1699.9</v>
      </c>
      <c r="J16" s="271">
        <v>24</v>
      </c>
      <c r="K16" s="271">
        <v>4367.76</v>
      </c>
      <c r="L16" s="271">
        <v>33</v>
      </c>
      <c r="M16" s="271">
        <v>5510.67</v>
      </c>
      <c r="N16" s="271">
        <v>15</v>
      </c>
      <c r="O16" s="271">
        <v>5324.9400000000005</v>
      </c>
      <c r="P16" s="271">
        <v>3</v>
      </c>
      <c r="Q16" s="271">
        <v>404.97</v>
      </c>
      <c r="R16" s="271">
        <v>0</v>
      </c>
      <c r="S16" s="271">
        <v>0</v>
      </c>
      <c r="T16" s="271">
        <v>0</v>
      </c>
      <c r="U16" s="271">
        <v>0</v>
      </c>
      <c r="V16" s="271">
        <v>16</v>
      </c>
      <c r="W16" s="271">
        <v>687.83999999999992</v>
      </c>
      <c r="X16" s="271">
        <v>0</v>
      </c>
      <c r="Y16" s="271">
        <v>0</v>
      </c>
      <c r="Z16" s="271">
        <v>0</v>
      </c>
      <c r="AA16" s="271">
        <v>0</v>
      </c>
      <c r="AB16" s="271">
        <v>16</v>
      </c>
      <c r="AC16" s="271">
        <v>1583.8400000000001</v>
      </c>
      <c r="AD16" s="271">
        <v>24</v>
      </c>
      <c r="AE16" s="271">
        <v>819.76</v>
      </c>
      <c r="AF16" s="271">
        <v>1</v>
      </c>
      <c r="AG16" s="271">
        <v>575</v>
      </c>
      <c r="AH16" s="271">
        <v>0</v>
      </c>
      <c r="AI16" s="271">
        <v>0</v>
      </c>
      <c r="AJ16" s="271">
        <v>4</v>
      </c>
      <c r="AK16" s="271">
        <v>679.8</v>
      </c>
      <c r="AL16" s="271">
        <v>0</v>
      </c>
      <c r="AM16" s="271">
        <v>0</v>
      </c>
      <c r="AN16" s="271">
        <v>0</v>
      </c>
      <c r="AO16" s="271">
        <v>0</v>
      </c>
      <c r="AP16" s="271">
        <v>0</v>
      </c>
      <c r="AQ16" s="271">
        <v>0</v>
      </c>
      <c r="AR16" s="271">
        <v>0</v>
      </c>
      <c r="AS16" s="271">
        <v>0</v>
      </c>
      <c r="AT16" s="271">
        <v>0</v>
      </c>
      <c r="AU16" s="271">
        <v>0</v>
      </c>
      <c r="AV16" s="271">
        <v>15</v>
      </c>
      <c r="AW16" s="271">
        <v>3578.77</v>
      </c>
      <c r="AX16" s="271">
        <v>15</v>
      </c>
      <c r="AY16" s="271">
        <v>3578.77</v>
      </c>
      <c r="AZ16" s="271">
        <v>3</v>
      </c>
      <c r="BA16" s="271">
        <v>80.97</v>
      </c>
      <c r="BB16" s="271">
        <v>0</v>
      </c>
      <c r="BC16" s="271">
        <v>0</v>
      </c>
      <c r="BD16" s="271">
        <v>3</v>
      </c>
      <c r="BE16" s="271">
        <v>195.97</v>
      </c>
    </row>
    <row r="17" spans="1:57" ht="15.75" customHeight="1" thickBot="1" x14ac:dyDescent="0.25">
      <c r="A17" s="782"/>
      <c r="B17" s="783"/>
      <c r="C17" s="768" t="s">
        <v>865</v>
      </c>
      <c r="D17" s="769"/>
      <c r="E17" s="770"/>
      <c r="F17" s="271">
        <v>17</v>
      </c>
      <c r="G17" s="271">
        <v>2328.83</v>
      </c>
      <c r="H17" s="271">
        <v>4</v>
      </c>
      <c r="I17" s="271">
        <v>819.96</v>
      </c>
      <c r="J17" s="271">
        <v>14</v>
      </c>
      <c r="K17" s="271">
        <v>2547.86</v>
      </c>
      <c r="L17" s="271">
        <v>16</v>
      </c>
      <c r="M17" s="271">
        <v>2671.84</v>
      </c>
      <c r="N17" s="271">
        <v>9</v>
      </c>
      <c r="O17" s="271">
        <v>3184.95</v>
      </c>
      <c r="P17" s="271">
        <v>1</v>
      </c>
      <c r="Q17" s="271">
        <v>134.99</v>
      </c>
      <c r="R17" s="271">
        <v>6</v>
      </c>
      <c r="S17" s="271">
        <v>5451</v>
      </c>
      <c r="T17" s="271">
        <v>18</v>
      </c>
      <c r="U17" s="271">
        <v>9522</v>
      </c>
      <c r="V17" s="271">
        <v>8</v>
      </c>
      <c r="W17" s="271">
        <v>343.92</v>
      </c>
      <c r="X17" s="271">
        <v>1</v>
      </c>
      <c r="Y17" s="271">
        <v>772.8</v>
      </c>
      <c r="Z17" s="271">
        <v>2</v>
      </c>
      <c r="AA17" s="271">
        <v>8050</v>
      </c>
      <c r="AB17" s="271">
        <v>16</v>
      </c>
      <c r="AC17" s="271">
        <v>1285.8399999999999</v>
      </c>
      <c r="AD17" s="271">
        <v>18</v>
      </c>
      <c r="AE17" s="271">
        <v>629.82000000000005</v>
      </c>
      <c r="AF17" s="271">
        <v>0</v>
      </c>
      <c r="AG17" s="271">
        <v>0</v>
      </c>
      <c r="AH17" s="271">
        <v>0</v>
      </c>
      <c r="AI17" s="271">
        <v>0</v>
      </c>
      <c r="AJ17" s="271">
        <v>0</v>
      </c>
      <c r="AK17" s="271">
        <v>0</v>
      </c>
      <c r="AL17" s="271">
        <v>1</v>
      </c>
      <c r="AM17" s="271">
        <v>49.99</v>
      </c>
      <c r="AN17" s="271">
        <v>0</v>
      </c>
      <c r="AO17" s="271">
        <v>0</v>
      </c>
      <c r="AP17" s="271">
        <v>0</v>
      </c>
      <c r="AQ17" s="271">
        <v>0</v>
      </c>
      <c r="AR17" s="271">
        <v>0</v>
      </c>
      <c r="AS17" s="271">
        <v>0</v>
      </c>
      <c r="AT17" s="271">
        <v>2</v>
      </c>
      <c r="AU17" s="271">
        <v>824.32999999999993</v>
      </c>
      <c r="AV17" s="271">
        <v>10</v>
      </c>
      <c r="AW17" s="271">
        <v>2385.85</v>
      </c>
      <c r="AX17" s="271">
        <v>10</v>
      </c>
      <c r="AY17" s="271">
        <v>2385.85</v>
      </c>
      <c r="AZ17" s="271">
        <v>2</v>
      </c>
      <c r="BA17" s="271">
        <v>53.98</v>
      </c>
      <c r="BB17" s="271">
        <v>0</v>
      </c>
      <c r="BC17" s="271">
        <v>0</v>
      </c>
      <c r="BD17" s="271">
        <v>2</v>
      </c>
      <c r="BE17" s="271">
        <v>151.97999999999999</v>
      </c>
    </row>
    <row r="18" spans="1:57" ht="15.75" customHeight="1" thickBot="1" x14ac:dyDescent="0.25">
      <c r="A18" s="784"/>
      <c r="B18" s="785"/>
      <c r="C18" s="771" t="s">
        <v>330</v>
      </c>
      <c r="D18" s="772"/>
      <c r="E18" s="773"/>
      <c r="F18" s="306">
        <f t="shared" ref="F18:AK18" si="1">SUM(F14:F17)</f>
        <v>100</v>
      </c>
      <c r="G18" s="307">
        <f t="shared" si="1"/>
        <v>13747.000000000002</v>
      </c>
      <c r="H18" s="306">
        <f t="shared" si="1"/>
        <v>35</v>
      </c>
      <c r="I18" s="307">
        <f t="shared" si="1"/>
        <v>5938.6500000000005</v>
      </c>
      <c r="J18" s="306">
        <f t="shared" si="1"/>
        <v>85</v>
      </c>
      <c r="K18" s="307">
        <f t="shared" si="1"/>
        <v>15469.150000000001</v>
      </c>
      <c r="L18" s="306">
        <f t="shared" si="1"/>
        <v>117</v>
      </c>
      <c r="M18" s="307">
        <f t="shared" si="1"/>
        <v>19047.95</v>
      </c>
      <c r="N18" s="308">
        <f t="shared" si="1"/>
        <v>50</v>
      </c>
      <c r="O18" s="307">
        <f t="shared" si="1"/>
        <v>22639.890000000003</v>
      </c>
      <c r="P18" s="308">
        <f t="shared" si="1"/>
        <v>8</v>
      </c>
      <c r="Q18" s="307">
        <f t="shared" si="1"/>
        <v>1079.92</v>
      </c>
      <c r="R18" s="306">
        <f t="shared" si="1"/>
        <v>6</v>
      </c>
      <c r="S18" s="307">
        <f t="shared" si="1"/>
        <v>5451</v>
      </c>
      <c r="T18" s="306">
        <f t="shared" si="1"/>
        <v>18</v>
      </c>
      <c r="U18" s="307">
        <f t="shared" si="1"/>
        <v>9522</v>
      </c>
      <c r="V18" s="306">
        <f t="shared" si="1"/>
        <v>56</v>
      </c>
      <c r="W18" s="307">
        <f t="shared" si="1"/>
        <v>2407.4399999999996</v>
      </c>
      <c r="X18" s="306">
        <f t="shared" si="1"/>
        <v>1</v>
      </c>
      <c r="Y18" s="307">
        <f t="shared" si="1"/>
        <v>772.8</v>
      </c>
      <c r="Z18" s="306">
        <f t="shared" si="1"/>
        <v>2</v>
      </c>
      <c r="AA18" s="307">
        <f t="shared" si="1"/>
        <v>8050</v>
      </c>
      <c r="AB18" s="308">
        <f t="shared" si="1"/>
        <v>69</v>
      </c>
      <c r="AC18" s="307">
        <f t="shared" si="1"/>
        <v>6532.31</v>
      </c>
      <c r="AD18" s="306">
        <f t="shared" si="1"/>
        <v>89</v>
      </c>
      <c r="AE18" s="307">
        <f t="shared" si="1"/>
        <v>3124.11</v>
      </c>
      <c r="AF18" s="306">
        <f t="shared" si="1"/>
        <v>1</v>
      </c>
      <c r="AG18" s="307">
        <f t="shared" si="1"/>
        <v>575</v>
      </c>
      <c r="AH18" s="306">
        <f t="shared" si="1"/>
        <v>4</v>
      </c>
      <c r="AI18" s="307">
        <f t="shared" si="1"/>
        <v>23.96</v>
      </c>
      <c r="AJ18" s="306">
        <f t="shared" si="1"/>
        <v>7</v>
      </c>
      <c r="AK18" s="307">
        <f t="shared" si="1"/>
        <v>1189.5999999999999</v>
      </c>
      <c r="AL18" s="306">
        <f t="shared" ref="AL18:BE18" si="2">SUM(AL14:AL17)</f>
        <v>3</v>
      </c>
      <c r="AM18" s="307">
        <f t="shared" si="2"/>
        <v>149.97</v>
      </c>
      <c r="AN18" s="306">
        <f t="shared" si="2"/>
        <v>20</v>
      </c>
      <c r="AO18" s="307">
        <f t="shared" si="2"/>
        <v>600</v>
      </c>
      <c r="AP18" s="306">
        <f t="shared" si="2"/>
        <v>20</v>
      </c>
      <c r="AQ18" s="307">
        <f t="shared" si="2"/>
        <v>600</v>
      </c>
      <c r="AR18" s="306">
        <f t="shared" si="2"/>
        <v>0</v>
      </c>
      <c r="AS18" s="307">
        <f t="shared" si="2"/>
        <v>0</v>
      </c>
      <c r="AT18" s="306">
        <f t="shared" si="2"/>
        <v>2</v>
      </c>
      <c r="AU18" s="307">
        <f t="shared" si="2"/>
        <v>824.32999999999993</v>
      </c>
      <c r="AV18" s="306">
        <f t="shared" si="2"/>
        <v>55</v>
      </c>
      <c r="AW18" s="307">
        <f t="shared" si="2"/>
        <v>13122.16</v>
      </c>
      <c r="AX18" s="306">
        <f t="shared" si="2"/>
        <v>55</v>
      </c>
      <c r="AY18" s="307">
        <f t="shared" si="2"/>
        <v>13122.16</v>
      </c>
      <c r="AZ18" s="308">
        <f t="shared" si="2"/>
        <v>11</v>
      </c>
      <c r="BA18" s="307">
        <f t="shared" si="2"/>
        <v>298.89</v>
      </c>
      <c r="BB18" s="308">
        <f t="shared" si="2"/>
        <v>0</v>
      </c>
      <c r="BC18" s="307">
        <f t="shared" si="2"/>
        <v>0</v>
      </c>
      <c r="BD18" s="308">
        <f t="shared" si="2"/>
        <v>9</v>
      </c>
      <c r="BE18" s="307">
        <f t="shared" si="2"/>
        <v>635.91</v>
      </c>
    </row>
    <row r="19" spans="1:57" ht="15.75" customHeight="1" thickBot="1" x14ac:dyDescent="0.25">
      <c r="A19" s="780">
        <v>45717</v>
      </c>
      <c r="B19" s="781"/>
      <c r="C19" s="774" t="s">
        <v>342</v>
      </c>
      <c r="D19" s="775"/>
      <c r="E19" s="776"/>
      <c r="F19" s="752" t="s">
        <v>29</v>
      </c>
      <c r="G19" s="752"/>
      <c r="H19" s="752" t="s">
        <v>30</v>
      </c>
      <c r="I19" s="752"/>
      <c r="J19" s="752" t="s">
        <v>31</v>
      </c>
      <c r="K19" s="752"/>
      <c r="L19" s="752" t="s">
        <v>32</v>
      </c>
      <c r="M19" s="752"/>
      <c r="N19" s="752" t="s">
        <v>33</v>
      </c>
      <c r="O19" s="752"/>
      <c r="P19" s="752" t="s">
        <v>247</v>
      </c>
      <c r="Q19" s="752"/>
      <c r="R19" s="752" t="s">
        <v>34</v>
      </c>
      <c r="S19" s="752"/>
      <c r="T19" s="752" t="s">
        <v>35</v>
      </c>
      <c r="U19" s="752"/>
      <c r="V19" s="752" t="s">
        <v>36</v>
      </c>
      <c r="W19" s="752"/>
      <c r="X19" s="752" t="s">
        <v>37</v>
      </c>
      <c r="Y19" s="752"/>
      <c r="Z19" s="752" t="s">
        <v>38</v>
      </c>
      <c r="AA19" s="752"/>
      <c r="AB19" s="752" t="s">
        <v>39</v>
      </c>
      <c r="AC19" s="752"/>
      <c r="AD19" s="752" t="s">
        <v>40</v>
      </c>
      <c r="AE19" s="752"/>
      <c r="AF19" s="752" t="s">
        <v>41</v>
      </c>
      <c r="AG19" s="752"/>
      <c r="AH19" s="752" t="s">
        <v>42</v>
      </c>
      <c r="AI19" s="752"/>
      <c r="AJ19" s="752" t="s">
        <v>43</v>
      </c>
      <c r="AK19" s="752"/>
      <c r="AL19" s="752" t="s">
        <v>157</v>
      </c>
      <c r="AM19" s="752"/>
      <c r="AN19" s="752" t="s">
        <v>248</v>
      </c>
      <c r="AO19" s="752"/>
      <c r="AP19" s="752" t="s">
        <v>249</v>
      </c>
      <c r="AQ19" s="752"/>
      <c r="AR19" s="752" t="s">
        <v>150</v>
      </c>
      <c r="AS19" s="752"/>
      <c r="AT19" s="752" t="s">
        <v>151</v>
      </c>
      <c r="AU19" s="752"/>
      <c r="AV19" s="752" t="s">
        <v>44</v>
      </c>
      <c r="AW19" s="752"/>
      <c r="AX19" s="752" t="s">
        <v>250</v>
      </c>
      <c r="AY19" s="752"/>
      <c r="AZ19" s="752" t="s">
        <v>45</v>
      </c>
      <c r="BA19" s="752"/>
      <c r="BB19" s="752" t="s">
        <v>46</v>
      </c>
      <c r="BC19" s="752"/>
      <c r="BD19" s="752" t="s">
        <v>92</v>
      </c>
      <c r="BE19" s="752"/>
    </row>
    <row r="20" spans="1:57" ht="15.75" customHeight="1" thickBot="1" x14ac:dyDescent="0.25">
      <c r="A20" s="782"/>
      <c r="B20" s="783"/>
      <c r="C20" s="777"/>
      <c r="D20" s="778"/>
      <c r="E20" s="779"/>
      <c r="F20" s="752" t="s">
        <v>50</v>
      </c>
      <c r="G20" s="752"/>
      <c r="H20" s="752" t="s">
        <v>51</v>
      </c>
      <c r="I20" s="752"/>
      <c r="J20" s="752" t="s">
        <v>51</v>
      </c>
      <c r="K20" s="752"/>
      <c r="L20" s="752" t="s">
        <v>52</v>
      </c>
      <c r="M20" s="752"/>
      <c r="N20" s="752">
        <v>180</v>
      </c>
      <c r="O20" s="752"/>
      <c r="P20" s="752" t="s">
        <v>53</v>
      </c>
      <c r="Q20" s="752"/>
      <c r="R20" s="752" t="s">
        <v>54</v>
      </c>
      <c r="S20" s="752"/>
      <c r="T20" s="752" t="s">
        <v>54</v>
      </c>
      <c r="U20" s="752"/>
      <c r="V20" s="752" t="s">
        <v>55</v>
      </c>
      <c r="W20" s="752"/>
      <c r="X20" s="752" t="s">
        <v>54</v>
      </c>
      <c r="Y20" s="752"/>
      <c r="Z20" s="752" t="s">
        <v>54</v>
      </c>
      <c r="AA20" s="752"/>
      <c r="AB20" s="752" t="s">
        <v>56</v>
      </c>
      <c r="AC20" s="752"/>
      <c r="AD20" s="752" t="s">
        <v>57</v>
      </c>
      <c r="AE20" s="752"/>
      <c r="AF20" s="752" t="s">
        <v>57</v>
      </c>
      <c r="AG20" s="752"/>
      <c r="AH20" s="752" t="s">
        <v>58</v>
      </c>
      <c r="AI20" s="752"/>
      <c r="AJ20" s="752" t="s">
        <v>300</v>
      </c>
      <c r="AK20" s="752"/>
      <c r="AL20" s="752" t="s">
        <v>301</v>
      </c>
      <c r="AM20" s="752"/>
      <c r="AN20" s="752">
        <v>20</v>
      </c>
      <c r="AO20" s="752"/>
      <c r="AP20" s="752">
        <v>20</v>
      </c>
      <c r="AQ20" s="752"/>
      <c r="AR20" s="752" t="s">
        <v>57</v>
      </c>
      <c r="AS20" s="752"/>
      <c r="AT20" s="752" t="s">
        <v>302</v>
      </c>
      <c r="AU20" s="752"/>
      <c r="AV20" s="752">
        <v>100</v>
      </c>
      <c r="AW20" s="752"/>
      <c r="AX20" s="752">
        <v>100</v>
      </c>
      <c r="AY20" s="752"/>
      <c r="AZ20" s="752" t="s">
        <v>59</v>
      </c>
      <c r="BA20" s="752"/>
      <c r="BB20" s="752" t="s">
        <v>51</v>
      </c>
      <c r="BC20" s="752"/>
      <c r="BD20" s="752" t="s">
        <v>53</v>
      </c>
      <c r="BE20" s="752"/>
    </row>
    <row r="21" spans="1:57" ht="15.75" customHeight="1" thickBot="1" x14ac:dyDescent="0.25">
      <c r="A21" s="782"/>
      <c r="B21" s="783"/>
      <c r="C21" s="768" t="s">
        <v>362</v>
      </c>
      <c r="D21" s="769"/>
      <c r="E21" s="770"/>
      <c r="F21" s="116" t="s">
        <v>268</v>
      </c>
      <c r="G21" s="116" t="s">
        <v>19</v>
      </c>
      <c r="H21" s="116" t="s">
        <v>268</v>
      </c>
      <c r="I21" s="116" t="s">
        <v>19</v>
      </c>
      <c r="J21" s="116" t="s">
        <v>268</v>
      </c>
      <c r="K21" s="116" t="s">
        <v>19</v>
      </c>
      <c r="L21" s="116" t="s">
        <v>268</v>
      </c>
      <c r="M21" s="116" t="s">
        <v>19</v>
      </c>
      <c r="N21" s="116" t="s">
        <v>268</v>
      </c>
      <c r="O21" s="116" t="s">
        <v>19</v>
      </c>
      <c r="P21" s="116" t="s">
        <v>268</v>
      </c>
      <c r="Q21" s="116" t="s">
        <v>19</v>
      </c>
      <c r="R21" s="116" t="s">
        <v>268</v>
      </c>
      <c r="S21" s="116" t="s">
        <v>19</v>
      </c>
      <c r="T21" s="116" t="s">
        <v>268</v>
      </c>
      <c r="U21" s="116" t="s">
        <v>19</v>
      </c>
      <c r="V21" s="116" t="s">
        <v>268</v>
      </c>
      <c r="W21" s="116" t="s">
        <v>19</v>
      </c>
      <c r="X21" s="116" t="s">
        <v>268</v>
      </c>
      <c r="Y21" s="116" t="s">
        <v>19</v>
      </c>
      <c r="Z21" s="116" t="s">
        <v>268</v>
      </c>
      <c r="AA21" s="116" t="s">
        <v>19</v>
      </c>
      <c r="AB21" s="116" t="s">
        <v>268</v>
      </c>
      <c r="AC21" s="116" t="s">
        <v>19</v>
      </c>
      <c r="AD21" s="116" t="s">
        <v>268</v>
      </c>
      <c r="AE21" s="116" t="s">
        <v>19</v>
      </c>
      <c r="AF21" s="116" t="s">
        <v>268</v>
      </c>
      <c r="AG21" s="116" t="s">
        <v>19</v>
      </c>
      <c r="AH21" s="116" t="s">
        <v>268</v>
      </c>
      <c r="AI21" s="116" t="s">
        <v>19</v>
      </c>
      <c r="AJ21" s="116" t="s">
        <v>268</v>
      </c>
      <c r="AK21" s="116" t="s">
        <v>19</v>
      </c>
      <c r="AL21" s="116" t="s">
        <v>268</v>
      </c>
      <c r="AM21" s="116" t="s">
        <v>19</v>
      </c>
      <c r="AN21" s="116" t="s">
        <v>268</v>
      </c>
      <c r="AO21" s="116" t="s">
        <v>19</v>
      </c>
      <c r="AP21" s="116" t="s">
        <v>268</v>
      </c>
      <c r="AQ21" s="116" t="s">
        <v>19</v>
      </c>
      <c r="AR21" s="116" t="s">
        <v>268</v>
      </c>
      <c r="AS21" s="116" t="s">
        <v>19</v>
      </c>
      <c r="AT21" s="116" t="s">
        <v>268</v>
      </c>
      <c r="AU21" s="116" t="s">
        <v>19</v>
      </c>
      <c r="AV21" s="116" t="s">
        <v>268</v>
      </c>
      <c r="AW21" s="116" t="s">
        <v>19</v>
      </c>
      <c r="AX21" s="116" t="s">
        <v>268</v>
      </c>
      <c r="AY21" s="116" t="s">
        <v>19</v>
      </c>
      <c r="AZ21" s="116" t="s">
        <v>268</v>
      </c>
      <c r="BA21" s="116" t="s">
        <v>19</v>
      </c>
      <c r="BB21" s="116" t="s">
        <v>268</v>
      </c>
      <c r="BC21" s="116" t="s">
        <v>19</v>
      </c>
      <c r="BD21" s="116" t="s">
        <v>268</v>
      </c>
      <c r="BE21" s="116" t="s">
        <v>19</v>
      </c>
    </row>
    <row r="22" spans="1:57" ht="15.75" customHeight="1" thickBot="1" x14ac:dyDescent="0.25">
      <c r="A22" s="782"/>
      <c r="B22" s="783"/>
      <c r="C22" s="768" t="s">
        <v>866</v>
      </c>
      <c r="D22" s="769"/>
      <c r="E22" s="770"/>
      <c r="F22" s="271">
        <v>28</v>
      </c>
      <c r="G22" s="271">
        <v>3835.7200000000003</v>
      </c>
      <c r="H22" s="271">
        <v>8</v>
      </c>
      <c r="I22" s="271">
        <v>1639.92</v>
      </c>
      <c r="J22" s="271">
        <v>23</v>
      </c>
      <c r="K22" s="271">
        <v>4185.7700000000004</v>
      </c>
      <c r="L22" s="271">
        <v>32</v>
      </c>
      <c r="M22" s="271">
        <v>5379.8</v>
      </c>
      <c r="N22" s="271">
        <v>20</v>
      </c>
      <c r="O22" s="271">
        <v>6949.9400000000005</v>
      </c>
      <c r="P22" s="271">
        <v>1</v>
      </c>
      <c r="Q22" s="271">
        <v>134.99</v>
      </c>
      <c r="R22" s="271">
        <v>0</v>
      </c>
      <c r="S22" s="271">
        <v>0</v>
      </c>
      <c r="T22" s="271">
        <v>15</v>
      </c>
      <c r="U22" s="271">
        <v>7935</v>
      </c>
      <c r="V22" s="271">
        <v>14</v>
      </c>
      <c r="W22" s="271">
        <v>601.86</v>
      </c>
      <c r="X22" s="271">
        <v>0</v>
      </c>
      <c r="Y22" s="271">
        <v>0</v>
      </c>
      <c r="Z22" s="271">
        <v>0</v>
      </c>
      <c r="AA22" s="271">
        <v>0</v>
      </c>
      <c r="AB22" s="271">
        <v>19</v>
      </c>
      <c r="AC22" s="271">
        <v>1880.81</v>
      </c>
      <c r="AD22" s="271">
        <v>16</v>
      </c>
      <c r="AE22" s="271">
        <v>639.84</v>
      </c>
      <c r="AF22" s="271">
        <v>1</v>
      </c>
      <c r="AG22" s="271">
        <v>575</v>
      </c>
      <c r="AH22" s="271">
        <v>0</v>
      </c>
      <c r="AI22" s="271">
        <v>0</v>
      </c>
      <c r="AJ22" s="271">
        <v>5</v>
      </c>
      <c r="AK22" s="271">
        <v>849.75</v>
      </c>
      <c r="AL22" s="271">
        <v>0</v>
      </c>
      <c r="AM22" s="271">
        <v>0</v>
      </c>
      <c r="AN22" s="271">
        <v>20</v>
      </c>
      <c r="AO22" s="271">
        <v>600</v>
      </c>
      <c r="AP22" s="271">
        <v>20</v>
      </c>
      <c r="AQ22" s="271">
        <v>600</v>
      </c>
      <c r="AR22" s="271">
        <v>0</v>
      </c>
      <c r="AS22" s="271">
        <v>0</v>
      </c>
      <c r="AT22" s="271">
        <v>0</v>
      </c>
      <c r="AU22" s="271">
        <v>0</v>
      </c>
      <c r="AV22" s="271">
        <v>15</v>
      </c>
      <c r="AW22" s="271">
        <v>3578.77</v>
      </c>
      <c r="AX22" s="271">
        <v>15</v>
      </c>
      <c r="AY22" s="271">
        <v>3578.77</v>
      </c>
      <c r="AZ22" s="271">
        <v>3</v>
      </c>
      <c r="BA22" s="271">
        <v>80.97</v>
      </c>
      <c r="BB22" s="271">
        <v>0</v>
      </c>
      <c r="BC22" s="271">
        <v>0</v>
      </c>
      <c r="BD22" s="271">
        <v>3</v>
      </c>
      <c r="BE22" s="271">
        <v>227.96999999999997</v>
      </c>
    </row>
    <row r="23" spans="1:57" ht="15.75" customHeight="1" thickBot="1" x14ac:dyDescent="0.25">
      <c r="A23" s="782"/>
      <c r="B23" s="783"/>
      <c r="C23" s="768" t="s">
        <v>867</v>
      </c>
      <c r="D23" s="769"/>
      <c r="E23" s="770"/>
      <c r="F23" s="271">
        <v>32</v>
      </c>
      <c r="G23" s="271">
        <v>4419.68</v>
      </c>
      <c r="H23" s="271">
        <v>8</v>
      </c>
      <c r="I23" s="271">
        <v>1639.92</v>
      </c>
      <c r="J23" s="271">
        <v>27</v>
      </c>
      <c r="K23" s="271">
        <v>4913.7300000000005</v>
      </c>
      <c r="L23" s="271">
        <v>36</v>
      </c>
      <c r="M23" s="271">
        <v>6011.6399999999994</v>
      </c>
      <c r="N23" s="271">
        <v>17</v>
      </c>
      <c r="O23" s="271">
        <v>6074.96</v>
      </c>
      <c r="P23" s="271">
        <v>2</v>
      </c>
      <c r="Q23" s="271">
        <v>289.98</v>
      </c>
      <c r="R23" s="271">
        <v>12</v>
      </c>
      <c r="S23" s="271">
        <v>1886.9</v>
      </c>
      <c r="T23" s="271">
        <v>11</v>
      </c>
      <c r="U23" s="271">
        <v>6170.95</v>
      </c>
      <c r="V23" s="271">
        <v>14</v>
      </c>
      <c r="W23" s="271">
        <v>601.86</v>
      </c>
      <c r="X23" s="271">
        <v>0</v>
      </c>
      <c r="Y23" s="271">
        <v>0</v>
      </c>
      <c r="Z23" s="271">
        <v>0</v>
      </c>
      <c r="AA23" s="271">
        <v>0</v>
      </c>
      <c r="AB23" s="271">
        <v>20</v>
      </c>
      <c r="AC23" s="271">
        <v>1979.8000000000002</v>
      </c>
      <c r="AD23" s="271">
        <v>28</v>
      </c>
      <c r="AE23" s="271">
        <v>1123.72</v>
      </c>
      <c r="AF23" s="271">
        <v>0</v>
      </c>
      <c r="AG23" s="271">
        <v>0</v>
      </c>
      <c r="AH23" s="271">
        <v>0</v>
      </c>
      <c r="AI23" s="271">
        <v>0</v>
      </c>
      <c r="AJ23" s="271">
        <v>0</v>
      </c>
      <c r="AK23" s="271">
        <v>0</v>
      </c>
      <c r="AL23" s="271">
        <v>1</v>
      </c>
      <c r="AM23" s="271">
        <v>49.99</v>
      </c>
      <c r="AN23" s="271">
        <v>0</v>
      </c>
      <c r="AO23" s="271">
        <v>0</v>
      </c>
      <c r="AP23" s="271">
        <v>0</v>
      </c>
      <c r="AQ23" s="271">
        <v>0</v>
      </c>
      <c r="AR23" s="271">
        <v>0</v>
      </c>
      <c r="AS23" s="271">
        <v>0</v>
      </c>
      <c r="AT23" s="271">
        <v>0</v>
      </c>
      <c r="AU23" s="271">
        <v>0</v>
      </c>
      <c r="AV23" s="271">
        <v>0</v>
      </c>
      <c r="AW23" s="271">
        <v>0</v>
      </c>
      <c r="AX23" s="271">
        <v>0</v>
      </c>
      <c r="AY23" s="271">
        <v>0</v>
      </c>
      <c r="AZ23" s="271">
        <v>3</v>
      </c>
      <c r="BA23" s="271">
        <v>80.97</v>
      </c>
      <c r="BB23" s="271">
        <v>0</v>
      </c>
      <c r="BC23" s="271">
        <v>0</v>
      </c>
      <c r="BD23" s="271">
        <v>2</v>
      </c>
      <c r="BE23" s="271">
        <v>151.97999999999999</v>
      </c>
    </row>
    <row r="24" spans="1:57" ht="15.75" customHeight="1" thickBot="1" x14ac:dyDescent="0.25">
      <c r="A24" s="782"/>
      <c r="B24" s="783"/>
      <c r="C24" s="768" t="s">
        <v>868</v>
      </c>
      <c r="D24" s="769"/>
      <c r="E24" s="770"/>
      <c r="F24" s="271">
        <v>25</v>
      </c>
      <c r="G24" s="271">
        <v>3499.75</v>
      </c>
      <c r="H24" s="271">
        <v>6</v>
      </c>
      <c r="I24" s="271">
        <v>1229.94</v>
      </c>
      <c r="J24" s="271">
        <v>16</v>
      </c>
      <c r="K24" s="271">
        <v>2935.9</v>
      </c>
      <c r="L24" s="271">
        <v>28</v>
      </c>
      <c r="M24" s="271">
        <v>4711.84</v>
      </c>
      <c r="N24" s="271">
        <v>16</v>
      </c>
      <c r="O24" s="271">
        <v>5999.9400000000005</v>
      </c>
      <c r="P24" s="271">
        <v>2</v>
      </c>
      <c r="Q24" s="271">
        <v>289.99</v>
      </c>
      <c r="R24" s="271">
        <v>0</v>
      </c>
      <c r="S24" s="271">
        <v>0</v>
      </c>
      <c r="T24" s="271">
        <v>0</v>
      </c>
      <c r="U24" s="271">
        <v>0</v>
      </c>
      <c r="V24" s="271">
        <v>14</v>
      </c>
      <c r="W24" s="271">
        <v>601.86</v>
      </c>
      <c r="X24" s="271">
        <v>0</v>
      </c>
      <c r="Y24" s="271">
        <v>0</v>
      </c>
      <c r="Z24" s="271">
        <v>0</v>
      </c>
      <c r="AA24" s="271">
        <v>0</v>
      </c>
      <c r="AB24" s="271">
        <v>16</v>
      </c>
      <c r="AC24" s="271">
        <v>1627.8400000000001</v>
      </c>
      <c r="AD24" s="271">
        <v>21</v>
      </c>
      <c r="AE24" s="271">
        <v>944.79</v>
      </c>
      <c r="AF24" s="271">
        <v>0</v>
      </c>
      <c r="AG24" s="271">
        <v>0</v>
      </c>
      <c r="AH24" s="271">
        <v>2</v>
      </c>
      <c r="AI24" s="271">
        <v>11.98</v>
      </c>
      <c r="AJ24" s="271">
        <v>0</v>
      </c>
      <c r="AK24" s="271">
        <v>0</v>
      </c>
      <c r="AL24" s="271">
        <v>1</v>
      </c>
      <c r="AM24" s="271">
        <v>49.99</v>
      </c>
      <c r="AN24" s="271">
        <v>0</v>
      </c>
      <c r="AO24" s="271">
        <v>0</v>
      </c>
      <c r="AP24" s="271">
        <v>0</v>
      </c>
      <c r="AQ24" s="271">
        <v>0</v>
      </c>
      <c r="AR24" s="271">
        <v>0</v>
      </c>
      <c r="AS24" s="271">
        <v>0</v>
      </c>
      <c r="AT24" s="271">
        <v>0</v>
      </c>
      <c r="AU24" s="271">
        <v>0</v>
      </c>
      <c r="AV24" s="271">
        <v>10</v>
      </c>
      <c r="AW24" s="271">
        <v>2385.85</v>
      </c>
      <c r="AX24" s="271">
        <v>10</v>
      </c>
      <c r="AY24" s="271">
        <v>2385.85</v>
      </c>
      <c r="AZ24" s="271">
        <v>3</v>
      </c>
      <c r="BA24" s="271">
        <v>80.97</v>
      </c>
      <c r="BB24" s="271">
        <v>0</v>
      </c>
      <c r="BC24" s="271">
        <v>0</v>
      </c>
      <c r="BD24" s="271">
        <v>1</v>
      </c>
      <c r="BE24" s="271">
        <v>75.989999999999995</v>
      </c>
    </row>
    <row r="25" spans="1:57" ht="15.75" customHeight="1" thickBot="1" x14ac:dyDescent="0.25">
      <c r="A25" s="782"/>
      <c r="B25" s="783"/>
      <c r="C25" s="768" t="s">
        <v>1113</v>
      </c>
      <c r="D25" s="769"/>
      <c r="E25" s="770"/>
      <c r="F25" s="271">
        <v>22</v>
      </c>
      <c r="G25" s="271">
        <v>3079.78</v>
      </c>
      <c r="H25" s="271">
        <v>6</v>
      </c>
      <c r="I25" s="271">
        <v>1229.94</v>
      </c>
      <c r="J25" s="271">
        <v>20</v>
      </c>
      <c r="K25" s="271">
        <v>3639.8</v>
      </c>
      <c r="L25" s="271">
        <v>26</v>
      </c>
      <c r="M25" s="271">
        <v>4401.74</v>
      </c>
      <c r="N25" s="271">
        <v>47</v>
      </c>
      <c r="O25" s="271">
        <v>5934.79</v>
      </c>
      <c r="P25" s="271">
        <v>2</v>
      </c>
      <c r="Q25" s="271">
        <v>289.98</v>
      </c>
      <c r="R25" s="271">
        <v>0</v>
      </c>
      <c r="S25" s="271">
        <v>0</v>
      </c>
      <c r="T25" s="271">
        <v>0</v>
      </c>
      <c r="U25" s="271">
        <v>0</v>
      </c>
      <c r="V25" s="271">
        <v>16</v>
      </c>
      <c r="W25" s="271">
        <v>729.83999999999992</v>
      </c>
      <c r="X25" s="271">
        <v>0</v>
      </c>
      <c r="Y25" s="271">
        <v>0</v>
      </c>
      <c r="Z25" s="271">
        <v>0</v>
      </c>
      <c r="AA25" s="271">
        <v>0</v>
      </c>
      <c r="AB25" s="271">
        <v>18</v>
      </c>
      <c r="AC25" s="271">
        <v>1781.8200000000002</v>
      </c>
      <c r="AD25" s="271">
        <v>16</v>
      </c>
      <c r="AE25" s="271">
        <v>719.84</v>
      </c>
      <c r="AF25" s="271">
        <v>0</v>
      </c>
      <c r="AG25" s="271">
        <v>0</v>
      </c>
      <c r="AH25" s="271">
        <v>0</v>
      </c>
      <c r="AI25" s="271">
        <v>0</v>
      </c>
      <c r="AJ25" s="271">
        <v>0</v>
      </c>
      <c r="AK25" s="271">
        <v>0</v>
      </c>
      <c r="AL25" s="271">
        <v>0</v>
      </c>
      <c r="AM25" s="271">
        <v>0</v>
      </c>
      <c r="AN25" s="271">
        <v>0</v>
      </c>
      <c r="AO25" s="271">
        <v>0</v>
      </c>
      <c r="AP25" s="271">
        <v>0</v>
      </c>
      <c r="AQ25" s="271">
        <v>0</v>
      </c>
      <c r="AR25" s="271">
        <v>0</v>
      </c>
      <c r="AS25" s="271">
        <v>0</v>
      </c>
      <c r="AT25" s="271">
        <v>0</v>
      </c>
      <c r="AU25" s="271">
        <v>0</v>
      </c>
      <c r="AV25" s="271">
        <v>15</v>
      </c>
      <c r="AW25" s="271">
        <v>3578.77</v>
      </c>
      <c r="AX25" s="271">
        <v>15</v>
      </c>
      <c r="AY25" s="271">
        <v>3578.77</v>
      </c>
      <c r="AZ25" s="271">
        <v>2</v>
      </c>
      <c r="BA25" s="271">
        <v>53.98</v>
      </c>
      <c r="BB25" s="271">
        <v>0</v>
      </c>
      <c r="BC25" s="271">
        <v>0</v>
      </c>
      <c r="BD25" s="271">
        <v>2</v>
      </c>
      <c r="BE25" s="271">
        <v>154.97999999999999</v>
      </c>
    </row>
    <row r="26" spans="1:57" ht="15.75" customHeight="1" thickBot="1" x14ac:dyDescent="0.25">
      <c r="A26" s="784"/>
      <c r="B26" s="785"/>
      <c r="C26" s="771" t="s">
        <v>330</v>
      </c>
      <c r="D26" s="772"/>
      <c r="E26" s="773"/>
      <c r="F26" s="306">
        <f t="shared" ref="F26:AK26" si="3">SUM(F22:F25)</f>
        <v>107</v>
      </c>
      <c r="G26" s="307">
        <f t="shared" si="3"/>
        <v>14834.930000000002</v>
      </c>
      <c r="H26" s="306">
        <f t="shared" si="3"/>
        <v>28</v>
      </c>
      <c r="I26" s="307">
        <f t="shared" si="3"/>
        <v>5739.7200000000012</v>
      </c>
      <c r="J26" s="306">
        <f t="shared" si="3"/>
        <v>86</v>
      </c>
      <c r="K26" s="307">
        <f t="shared" si="3"/>
        <v>15675.2</v>
      </c>
      <c r="L26" s="306">
        <f t="shared" si="3"/>
        <v>122</v>
      </c>
      <c r="M26" s="307">
        <f t="shared" si="3"/>
        <v>20505.019999999997</v>
      </c>
      <c r="N26" s="308">
        <f t="shared" si="3"/>
        <v>100</v>
      </c>
      <c r="O26" s="307">
        <f t="shared" si="3"/>
        <v>24959.630000000005</v>
      </c>
      <c r="P26" s="308">
        <f t="shared" si="3"/>
        <v>7</v>
      </c>
      <c r="Q26" s="307">
        <f t="shared" si="3"/>
        <v>1004.94</v>
      </c>
      <c r="R26" s="306">
        <f t="shared" si="3"/>
        <v>12</v>
      </c>
      <c r="S26" s="307">
        <f t="shared" si="3"/>
        <v>1886.9</v>
      </c>
      <c r="T26" s="306">
        <f t="shared" si="3"/>
        <v>26</v>
      </c>
      <c r="U26" s="307">
        <f t="shared" si="3"/>
        <v>14105.95</v>
      </c>
      <c r="V26" s="306">
        <f t="shared" si="3"/>
        <v>58</v>
      </c>
      <c r="W26" s="307">
        <f t="shared" si="3"/>
        <v>2535.42</v>
      </c>
      <c r="X26" s="306">
        <f t="shared" si="3"/>
        <v>0</v>
      </c>
      <c r="Y26" s="307">
        <f t="shared" si="3"/>
        <v>0</v>
      </c>
      <c r="Z26" s="306">
        <f t="shared" si="3"/>
        <v>0</v>
      </c>
      <c r="AA26" s="307">
        <f t="shared" si="3"/>
        <v>0</v>
      </c>
      <c r="AB26" s="308">
        <f t="shared" si="3"/>
        <v>73</v>
      </c>
      <c r="AC26" s="307">
        <f t="shared" si="3"/>
        <v>7270.27</v>
      </c>
      <c r="AD26" s="306">
        <f t="shared" si="3"/>
        <v>81</v>
      </c>
      <c r="AE26" s="307">
        <f t="shared" si="3"/>
        <v>3428.19</v>
      </c>
      <c r="AF26" s="306">
        <f t="shared" si="3"/>
        <v>1</v>
      </c>
      <c r="AG26" s="307">
        <f t="shared" si="3"/>
        <v>575</v>
      </c>
      <c r="AH26" s="306">
        <f t="shared" si="3"/>
        <v>2</v>
      </c>
      <c r="AI26" s="307">
        <f t="shared" si="3"/>
        <v>11.98</v>
      </c>
      <c r="AJ26" s="306">
        <f t="shared" si="3"/>
        <v>5</v>
      </c>
      <c r="AK26" s="307">
        <f t="shared" si="3"/>
        <v>849.75</v>
      </c>
      <c r="AL26" s="306">
        <f t="shared" ref="AL26:BE26" si="4">SUM(AL22:AL25)</f>
        <v>2</v>
      </c>
      <c r="AM26" s="307">
        <f t="shared" si="4"/>
        <v>99.98</v>
      </c>
      <c r="AN26" s="306">
        <f t="shared" si="4"/>
        <v>20</v>
      </c>
      <c r="AO26" s="307">
        <f t="shared" si="4"/>
        <v>600</v>
      </c>
      <c r="AP26" s="306">
        <f t="shared" si="4"/>
        <v>20</v>
      </c>
      <c r="AQ26" s="307">
        <f t="shared" si="4"/>
        <v>600</v>
      </c>
      <c r="AR26" s="306">
        <f t="shared" si="4"/>
        <v>0</v>
      </c>
      <c r="AS26" s="307">
        <f t="shared" si="4"/>
        <v>0</v>
      </c>
      <c r="AT26" s="306">
        <f t="shared" si="4"/>
        <v>0</v>
      </c>
      <c r="AU26" s="307">
        <f t="shared" si="4"/>
        <v>0</v>
      </c>
      <c r="AV26" s="306">
        <f t="shared" si="4"/>
        <v>40</v>
      </c>
      <c r="AW26" s="307">
        <f t="shared" si="4"/>
        <v>9543.39</v>
      </c>
      <c r="AX26" s="306">
        <f t="shared" si="4"/>
        <v>40</v>
      </c>
      <c r="AY26" s="307">
        <f t="shared" si="4"/>
        <v>9543.39</v>
      </c>
      <c r="AZ26" s="308">
        <f t="shared" si="4"/>
        <v>11</v>
      </c>
      <c r="BA26" s="307">
        <f t="shared" si="4"/>
        <v>296.89</v>
      </c>
      <c r="BB26" s="308">
        <f t="shared" si="4"/>
        <v>0</v>
      </c>
      <c r="BC26" s="307">
        <f t="shared" si="4"/>
        <v>0</v>
      </c>
      <c r="BD26" s="308">
        <f t="shared" si="4"/>
        <v>8</v>
      </c>
      <c r="BE26" s="307">
        <f t="shared" si="4"/>
        <v>610.91999999999996</v>
      </c>
    </row>
    <row r="27" spans="1:57" ht="15.75" customHeight="1" thickBot="1" x14ac:dyDescent="0.25">
      <c r="A27" s="780">
        <v>45748</v>
      </c>
      <c r="B27" s="781"/>
      <c r="C27" s="774" t="s">
        <v>342</v>
      </c>
      <c r="D27" s="775"/>
      <c r="E27" s="776"/>
      <c r="F27" s="752" t="s">
        <v>29</v>
      </c>
      <c r="G27" s="752"/>
      <c r="H27" s="752" t="s">
        <v>30</v>
      </c>
      <c r="I27" s="752"/>
      <c r="J27" s="752" t="s">
        <v>31</v>
      </c>
      <c r="K27" s="752"/>
      <c r="L27" s="752" t="s">
        <v>32</v>
      </c>
      <c r="M27" s="752"/>
      <c r="N27" s="752" t="s">
        <v>33</v>
      </c>
      <c r="O27" s="752"/>
      <c r="P27" s="752" t="s">
        <v>247</v>
      </c>
      <c r="Q27" s="752"/>
      <c r="R27" s="752" t="s">
        <v>34</v>
      </c>
      <c r="S27" s="752"/>
      <c r="T27" s="752" t="s">
        <v>35</v>
      </c>
      <c r="U27" s="752"/>
      <c r="V27" s="752" t="s">
        <v>36</v>
      </c>
      <c r="W27" s="752"/>
      <c r="X27" s="752" t="s">
        <v>37</v>
      </c>
      <c r="Y27" s="752"/>
      <c r="Z27" s="752" t="s">
        <v>38</v>
      </c>
      <c r="AA27" s="752"/>
      <c r="AB27" s="752" t="s">
        <v>39</v>
      </c>
      <c r="AC27" s="752"/>
      <c r="AD27" s="752" t="s">
        <v>40</v>
      </c>
      <c r="AE27" s="752"/>
      <c r="AF27" s="752" t="s">
        <v>41</v>
      </c>
      <c r="AG27" s="752"/>
      <c r="AH27" s="752" t="s">
        <v>42</v>
      </c>
      <c r="AI27" s="752"/>
      <c r="AJ27" s="752" t="s">
        <v>43</v>
      </c>
      <c r="AK27" s="752"/>
      <c r="AL27" s="752" t="s">
        <v>157</v>
      </c>
      <c r="AM27" s="752"/>
      <c r="AN27" s="752" t="s">
        <v>248</v>
      </c>
      <c r="AO27" s="752"/>
      <c r="AP27" s="752" t="s">
        <v>249</v>
      </c>
      <c r="AQ27" s="752"/>
      <c r="AR27" s="752" t="s">
        <v>150</v>
      </c>
      <c r="AS27" s="752"/>
      <c r="AT27" s="752" t="s">
        <v>151</v>
      </c>
      <c r="AU27" s="752"/>
      <c r="AV27" s="752" t="s">
        <v>44</v>
      </c>
      <c r="AW27" s="752"/>
      <c r="AX27" s="752" t="s">
        <v>250</v>
      </c>
      <c r="AY27" s="752"/>
      <c r="AZ27" s="752" t="s">
        <v>45</v>
      </c>
      <c r="BA27" s="752"/>
      <c r="BB27" s="752" t="s">
        <v>46</v>
      </c>
      <c r="BC27" s="752"/>
      <c r="BD27" s="752" t="s">
        <v>92</v>
      </c>
      <c r="BE27" s="752"/>
    </row>
    <row r="28" spans="1:57" ht="15.75" customHeight="1" thickBot="1" x14ac:dyDescent="0.25">
      <c r="A28" s="782"/>
      <c r="B28" s="783"/>
      <c r="C28" s="777"/>
      <c r="D28" s="778"/>
      <c r="E28" s="779"/>
      <c r="F28" s="752" t="s">
        <v>50</v>
      </c>
      <c r="G28" s="752"/>
      <c r="H28" s="752" t="s">
        <v>51</v>
      </c>
      <c r="I28" s="752"/>
      <c r="J28" s="752" t="s">
        <v>51</v>
      </c>
      <c r="K28" s="752"/>
      <c r="L28" s="752" t="s">
        <v>52</v>
      </c>
      <c r="M28" s="752"/>
      <c r="N28" s="752">
        <v>180</v>
      </c>
      <c r="O28" s="752"/>
      <c r="P28" s="752" t="s">
        <v>53</v>
      </c>
      <c r="Q28" s="752"/>
      <c r="R28" s="752" t="s">
        <v>54</v>
      </c>
      <c r="S28" s="752"/>
      <c r="T28" s="752" t="s">
        <v>54</v>
      </c>
      <c r="U28" s="752"/>
      <c r="V28" s="752" t="s">
        <v>55</v>
      </c>
      <c r="W28" s="752"/>
      <c r="X28" s="752" t="s">
        <v>54</v>
      </c>
      <c r="Y28" s="752"/>
      <c r="Z28" s="752" t="s">
        <v>54</v>
      </c>
      <c r="AA28" s="752"/>
      <c r="AB28" s="752" t="s">
        <v>56</v>
      </c>
      <c r="AC28" s="752"/>
      <c r="AD28" s="752" t="s">
        <v>57</v>
      </c>
      <c r="AE28" s="752"/>
      <c r="AF28" s="752" t="s">
        <v>57</v>
      </c>
      <c r="AG28" s="752"/>
      <c r="AH28" s="752" t="s">
        <v>58</v>
      </c>
      <c r="AI28" s="752"/>
      <c r="AJ28" s="752" t="s">
        <v>300</v>
      </c>
      <c r="AK28" s="752"/>
      <c r="AL28" s="752" t="s">
        <v>301</v>
      </c>
      <c r="AM28" s="752"/>
      <c r="AN28" s="752">
        <v>20</v>
      </c>
      <c r="AO28" s="752"/>
      <c r="AP28" s="752">
        <v>20</v>
      </c>
      <c r="AQ28" s="752"/>
      <c r="AR28" s="752" t="s">
        <v>57</v>
      </c>
      <c r="AS28" s="752"/>
      <c r="AT28" s="752" t="s">
        <v>302</v>
      </c>
      <c r="AU28" s="752"/>
      <c r="AV28" s="752">
        <v>100</v>
      </c>
      <c r="AW28" s="752"/>
      <c r="AX28" s="752">
        <v>100</v>
      </c>
      <c r="AY28" s="752"/>
      <c r="AZ28" s="752" t="s">
        <v>59</v>
      </c>
      <c r="BA28" s="752"/>
      <c r="BB28" s="752" t="s">
        <v>51</v>
      </c>
      <c r="BC28" s="752"/>
      <c r="BD28" s="752" t="s">
        <v>53</v>
      </c>
      <c r="BE28" s="752"/>
    </row>
    <row r="29" spans="1:57" ht="15.75" customHeight="1" thickBot="1" x14ac:dyDescent="0.25">
      <c r="A29" s="782"/>
      <c r="B29" s="783"/>
      <c r="C29" s="768" t="s">
        <v>362</v>
      </c>
      <c r="D29" s="769"/>
      <c r="E29" s="770"/>
      <c r="F29" s="116" t="s">
        <v>268</v>
      </c>
      <c r="G29" s="116" t="s">
        <v>19</v>
      </c>
      <c r="H29" s="116" t="s">
        <v>268</v>
      </c>
      <c r="I29" s="116" t="s">
        <v>19</v>
      </c>
      <c r="J29" s="116" t="s">
        <v>268</v>
      </c>
      <c r="K29" s="116" t="s">
        <v>19</v>
      </c>
      <c r="L29" s="116" t="s">
        <v>268</v>
      </c>
      <c r="M29" s="116" t="s">
        <v>19</v>
      </c>
      <c r="N29" s="116" t="s">
        <v>268</v>
      </c>
      <c r="O29" s="116" t="s">
        <v>19</v>
      </c>
      <c r="P29" s="116" t="s">
        <v>268</v>
      </c>
      <c r="Q29" s="116" t="s">
        <v>19</v>
      </c>
      <c r="R29" s="116" t="s">
        <v>268</v>
      </c>
      <c r="S29" s="116" t="s">
        <v>19</v>
      </c>
      <c r="T29" s="116" t="s">
        <v>268</v>
      </c>
      <c r="U29" s="116" t="s">
        <v>19</v>
      </c>
      <c r="V29" s="116" t="s">
        <v>268</v>
      </c>
      <c r="W29" s="116" t="s">
        <v>19</v>
      </c>
      <c r="X29" s="116" t="s">
        <v>268</v>
      </c>
      <c r="Y29" s="116" t="s">
        <v>19</v>
      </c>
      <c r="Z29" s="116" t="s">
        <v>268</v>
      </c>
      <c r="AA29" s="116" t="s">
        <v>19</v>
      </c>
      <c r="AB29" s="116" t="s">
        <v>268</v>
      </c>
      <c r="AC29" s="116" t="s">
        <v>19</v>
      </c>
      <c r="AD29" s="116" t="s">
        <v>268</v>
      </c>
      <c r="AE29" s="116" t="s">
        <v>19</v>
      </c>
      <c r="AF29" s="116" t="s">
        <v>268</v>
      </c>
      <c r="AG29" s="116" t="s">
        <v>19</v>
      </c>
      <c r="AH29" s="116" t="s">
        <v>268</v>
      </c>
      <c r="AI29" s="116" t="s">
        <v>19</v>
      </c>
      <c r="AJ29" s="116" t="s">
        <v>268</v>
      </c>
      <c r="AK29" s="116" t="s">
        <v>19</v>
      </c>
      <c r="AL29" s="116" t="s">
        <v>268</v>
      </c>
      <c r="AM29" s="116" t="s">
        <v>19</v>
      </c>
      <c r="AN29" s="116" t="s">
        <v>268</v>
      </c>
      <c r="AO29" s="116" t="s">
        <v>19</v>
      </c>
      <c r="AP29" s="116" t="s">
        <v>268</v>
      </c>
      <c r="AQ29" s="116" t="s">
        <v>19</v>
      </c>
      <c r="AR29" s="116" t="s">
        <v>268</v>
      </c>
      <c r="AS29" s="116" t="s">
        <v>19</v>
      </c>
      <c r="AT29" s="116" t="s">
        <v>268</v>
      </c>
      <c r="AU29" s="116" t="s">
        <v>19</v>
      </c>
      <c r="AV29" s="116" t="s">
        <v>268</v>
      </c>
      <c r="AW29" s="116" t="s">
        <v>19</v>
      </c>
      <c r="AX29" s="116" t="s">
        <v>268</v>
      </c>
      <c r="AY29" s="116" t="s">
        <v>19</v>
      </c>
      <c r="AZ29" s="116" t="s">
        <v>268</v>
      </c>
      <c r="BA29" s="116" t="s">
        <v>19</v>
      </c>
      <c r="BB29" s="116" t="s">
        <v>268</v>
      </c>
      <c r="BC29" s="116" t="s">
        <v>19</v>
      </c>
      <c r="BD29" s="116" t="s">
        <v>268</v>
      </c>
      <c r="BE29" s="116" t="s">
        <v>19</v>
      </c>
    </row>
    <row r="30" spans="1:57" ht="15.75" customHeight="1" thickBot="1" x14ac:dyDescent="0.25">
      <c r="A30" s="782"/>
      <c r="B30" s="783"/>
      <c r="C30" s="768" t="s">
        <v>1112</v>
      </c>
      <c r="D30" s="769"/>
      <c r="E30" s="770"/>
      <c r="F30" s="271">
        <v>30</v>
      </c>
      <c r="G30" s="271">
        <v>4136.7000000000007</v>
      </c>
      <c r="H30" s="271">
        <v>8</v>
      </c>
      <c r="I30" s="271">
        <v>1664.92</v>
      </c>
      <c r="J30" s="271">
        <v>24</v>
      </c>
      <c r="K30" s="271">
        <v>4367.76</v>
      </c>
      <c r="L30" s="271">
        <v>32</v>
      </c>
      <c r="M30" s="271">
        <v>5494.77</v>
      </c>
      <c r="N30" s="271">
        <v>44</v>
      </c>
      <c r="O30" s="271">
        <v>7539.82</v>
      </c>
      <c r="P30" s="271">
        <v>3</v>
      </c>
      <c r="Q30" s="271">
        <v>434.97</v>
      </c>
      <c r="R30" s="271">
        <v>0</v>
      </c>
      <c r="S30" s="271">
        <v>0</v>
      </c>
      <c r="T30" s="271">
        <v>0</v>
      </c>
      <c r="U30" s="271">
        <v>0</v>
      </c>
      <c r="V30" s="271">
        <v>14</v>
      </c>
      <c r="W30" s="271">
        <v>601.86</v>
      </c>
      <c r="X30" s="271">
        <v>0</v>
      </c>
      <c r="Y30" s="271">
        <v>0</v>
      </c>
      <c r="Z30" s="271">
        <v>1</v>
      </c>
      <c r="AA30" s="271">
        <v>4358</v>
      </c>
      <c r="AB30" s="271">
        <v>17</v>
      </c>
      <c r="AC30" s="271">
        <v>1682.83</v>
      </c>
      <c r="AD30" s="271">
        <v>28</v>
      </c>
      <c r="AE30" s="271">
        <v>1259.72</v>
      </c>
      <c r="AF30" s="271">
        <v>1</v>
      </c>
      <c r="AG30" s="271">
        <v>575</v>
      </c>
      <c r="AH30" s="271">
        <v>0</v>
      </c>
      <c r="AI30" s="271">
        <v>0</v>
      </c>
      <c r="AJ30" s="271">
        <v>5</v>
      </c>
      <c r="AK30" s="271">
        <v>849.75</v>
      </c>
      <c r="AL30" s="271">
        <v>1</v>
      </c>
      <c r="AM30" s="271">
        <v>43.99</v>
      </c>
      <c r="AN30" s="271">
        <v>20</v>
      </c>
      <c r="AO30" s="271">
        <v>300</v>
      </c>
      <c r="AP30" s="271">
        <v>20</v>
      </c>
      <c r="AQ30" s="271">
        <v>300</v>
      </c>
      <c r="AR30" s="271">
        <v>0</v>
      </c>
      <c r="AS30" s="271">
        <v>0</v>
      </c>
      <c r="AT30" s="271">
        <v>0</v>
      </c>
      <c r="AU30" s="271">
        <v>0</v>
      </c>
      <c r="AV30" s="271">
        <v>15</v>
      </c>
      <c r="AW30" s="271">
        <v>3578.77</v>
      </c>
      <c r="AX30" s="271">
        <v>15</v>
      </c>
      <c r="AY30" s="271">
        <v>3578.77</v>
      </c>
      <c r="AZ30" s="271">
        <v>4</v>
      </c>
      <c r="BA30" s="271">
        <v>107.96</v>
      </c>
      <c r="BB30" s="271">
        <v>0</v>
      </c>
      <c r="BC30" s="271">
        <v>0</v>
      </c>
      <c r="BD30" s="271">
        <v>1</v>
      </c>
      <c r="BE30" s="271">
        <v>75.989999999999995</v>
      </c>
    </row>
    <row r="31" spans="1:57" ht="15.75" customHeight="1" thickBot="1" x14ac:dyDescent="0.25">
      <c r="A31" s="782"/>
      <c r="B31" s="783"/>
      <c r="C31" s="768" t="s">
        <v>920</v>
      </c>
      <c r="D31" s="769"/>
      <c r="E31" s="770"/>
      <c r="F31" s="271">
        <v>12</v>
      </c>
      <c r="G31" s="271">
        <v>1655.88</v>
      </c>
      <c r="H31" s="271">
        <v>4</v>
      </c>
      <c r="I31" s="271">
        <v>819.96</v>
      </c>
      <c r="J31" s="271">
        <v>8</v>
      </c>
      <c r="K31" s="271">
        <v>1455.92</v>
      </c>
      <c r="L31" s="271">
        <v>12</v>
      </c>
      <c r="M31" s="271">
        <v>2075.88</v>
      </c>
      <c r="N31" s="271">
        <v>20</v>
      </c>
      <c r="O31" s="271">
        <v>3675</v>
      </c>
      <c r="P31" s="271">
        <v>0</v>
      </c>
      <c r="Q31" s="271">
        <v>0</v>
      </c>
      <c r="R31" s="271">
        <v>0</v>
      </c>
      <c r="S31" s="271">
        <v>0</v>
      </c>
      <c r="T31" s="271">
        <v>0</v>
      </c>
      <c r="U31" s="271">
        <v>0</v>
      </c>
      <c r="V31" s="271">
        <v>8</v>
      </c>
      <c r="W31" s="271">
        <v>343.92</v>
      </c>
      <c r="X31" s="271">
        <v>0</v>
      </c>
      <c r="Y31" s="271">
        <v>0</v>
      </c>
      <c r="Z31" s="271">
        <v>0</v>
      </c>
      <c r="AA31" s="271">
        <v>0</v>
      </c>
      <c r="AB31" s="271">
        <v>8</v>
      </c>
      <c r="AC31" s="271">
        <v>791.92000000000007</v>
      </c>
      <c r="AD31" s="271">
        <v>23</v>
      </c>
      <c r="AE31" s="271">
        <v>1149.77</v>
      </c>
      <c r="AF31" s="271">
        <v>0</v>
      </c>
      <c r="AG31" s="271">
        <v>0</v>
      </c>
      <c r="AH31" s="271">
        <v>0</v>
      </c>
      <c r="AI31" s="271">
        <v>0</v>
      </c>
      <c r="AJ31" s="271">
        <v>0</v>
      </c>
      <c r="AK31" s="271">
        <v>0</v>
      </c>
      <c r="AL31" s="271">
        <v>0</v>
      </c>
      <c r="AM31" s="271">
        <v>0</v>
      </c>
      <c r="AN31" s="271">
        <v>0</v>
      </c>
      <c r="AO31" s="271">
        <v>0</v>
      </c>
      <c r="AP31" s="271">
        <v>0</v>
      </c>
      <c r="AQ31" s="271">
        <v>0</v>
      </c>
      <c r="AR31" s="271">
        <v>0</v>
      </c>
      <c r="AS31" s="271">
        <v>0</v>
      </c>
      <c r="AT31" s="271">
        <v>0</v>
      </c>
      <c r="AU31" s="271">
        <v>0</v>
      </c>
      <c r="AV31" s="271">
        <v>15</v>
      </c>
      <c r="AW31" s="271">
        <v>3578.77</v>
      </c>
      <c r="AX31" s="271">
        <v>15</v>
      </c>
      <c r="AY31" s="271">
        <v>3578.77</v>
      </c>
      <c r="AZ31" s="271">
        <v>1</v>
      </c>
      <c r="BA31" s="271">
        <v>26.99</v>
      </c>
      <c r="BB31" s="271">
        <v>0</v>
      </c>
      <c r="BC31" s="271">
        <v>0</v>
      </c>
      <c r="BD31" s="271">
        <v>0</v>
      </c>
      <c r="BE31" s="271">
        <v>0</v>
      </c>
    </row>
    <row r="32" spans="1:57" ht="15.75" customHeight="1" thickBot="1" x14ac:dyDescent="0.25">
      <c r="A32" s="782"/>
      <c r="B32" s="783"/>
      <c r="C32" s="768" t="s">
        <v>990</v>
      </c>
      <c r="D32" s="769"/>
      <c r="E32" s="770"/>
      <c r="F32" s="271">
        <v>23</v>
      </c>
      <c r="G32" s="271">
        <v>3150.77</v>
      </c>
      <c r="H32" s="271">
        <v>6</v>
      </c>
      <c r="I32" s="271">
        <v>1229.94</v>
      </c>
      <c r="J32" s="271">
        <v>21</v>
      </c>
      <c r="K32" s="271">
        <v>3821.7900000000004</v>
      </c>
      <c r="L32" s="271">
        <v>27</v>
      </c>
      <c r="M32" s="271">
        <v>4670.7299999999996</v>
      </c>
      <c r="N32" s="271">
        <v>45</v>
      </c>
      <c r="O32" s="271">
        <v>5849.5499999999993</v>
      </c>
      <c r="P32" s="271">
        <v>2</v>
      </c>
      <c r="Q32" s="271">
        <v>289.98</v>
      </c>
      <c r="R32" s="271">
        <v>22</v>
      </c>
      <c r="S32" s="271">
        <v>3763.12</v>
      </c>
      <c r="T32" s="271">
        <v>0</v>
      </c>
      <c r="U32" s="271">
        <v>0</v>
      </c>
      <c r="V32" s="271">
        <v>8</v>
      </c>
      <c r="W32" s="271">
        <v>413.94</v>
      </c>
      <c r="X32" s="271">
        <v>0</v>
      </c>
      <c r="Y32" s="271">
        <v>0</v>
      </c>
      <c r="Z32" s="271">
        <v>0</v>
      </c>
      <c r="AA32" s="271">
        <v>0</v>
      </c>
      <c r="AB32" s="271">
        <v>16</v>
      </c>
      <c r="AC32" s="271">
        <v>1583.84</v>
      </c>
      <c r="AD32" s="271">
        <v>22</v>
      </c>
      <c r="AE32" s="271">
        <v>784.78</v>
      </c>
      <c r="AF32" s="271">
        <v>1</v>
      </c>
      <c r="AG32" s="271">
        <v>548.32000000000005</v>
      </c>
      <c r="AH32" s="271">
        <v>0</v>
      </c>
      <c r="AI32" s="271">
        <v>0</v>
      </c>
      <c r="AJ32" s="271">
        <v>0</v>
      </c>
      <c r="AK32" s="271">
        <v>0</v>
      </c>
      <c r="AL32" s="271">
        <v>0</v>
      </c>
      <c r="AM32" s="271">
        <v>0</v>
      </c>
      <c r="AN32" s="271">
        <v>0</v>
      </c>
      <c r="AO32" s="271">
        <v>0</v>
      </c>
      <c r="AP32" s="271">
        <v>0</v>
      </c>
      <c r="AQ32" s="271">
        <v>0</v>
      </c>
      <c r="AR32" s="271">
        <v>0</v>
      </c>
      <c r="AS32" s="271">
        <v>0</v>
      </c>
      <c r="AT32" s="271">
        <v>0</v>
      </c>
      <c r="AU32" s="271">
        <v>0</v>
      </c>
      <c r="AV32" s="271">
        <v>15</v>
      </c>
      <c r="AW32" s="271">
        <v>3578.77</v>
      </c>
      <c r="AX32" s="271">
        <v>15</v>
      </c>
      <c r="AY32" s="271">
        <v>3578.77</v>
      </c>
      <c r="AZ32" s="271">
        <v>4</v>
      </c>
      <c r="BA32" s="271">
        <v>81.97</v>
      </c>
      <c r="BB32" s="271">
        <v>0</v>
      </c>
      <c r="BC32" s="271">
        <v>0</v>
      </c>
      <c r="BD32" s="271">
        <v>2</v>
      </c>
      <c r="BE32" s="271">
        <v>151.97999999999999</v>
      </c>
    </row>
    <row r="33" spans="1:57" ht="15.75" customHeight="1" thickBot="1" x14ac:dyDescent="0.25">
      <c r="A33" s="782"/>
      <c r="B33" s="783"/>
      <c r="C33" s="768" t="s">
        <v>1026</v>
      </c>
      <c r="D33" s="769"/>
      <c r="E33" s="770"/>
      <c r="F33" s="271">
        <v>40</v>
      </c>
      <c r="G33" s="271">
        <v>5479.6</v>
      </c>
      <c r="H33" s="271">
        <v>11</v>
      </c>
      <c r="I33" s="271">
        <v>2254.8900000000003</v>
      </c>
      <c r="J33" s="271">
        <v>34</v>
      </c>
      <c r="K33" s="271">
        <v>6187.6600000000008</v>
      </c>
      <c r="L33" s="271">
        <v>46</v>
      </c>
      <c r="M33" s="271">
        <v>7957.5400000000009</v>
      </c>
      <c r="N33" s="271">
        <v>40</v>
      </c>
      <c r="O33" s="271">
        <v>9854.7900000000009</v>
      </c>
      <c r="P33" s="271">
        <v>2</v>
      </c>
      <c r="Q33" s="271">
        <v>434.98</v>
      </c>
      <c r="R33" s="271">
        <v>0</v>
      </c>
      <c r="S33" s="271">
        <v>0</v>
      </c>
      <c r="T33" s="271">
        <v>0</v>
      </c>
      <c r="U33" s="271">
        <v>0</v>
      </c>
      <c r="V33" s="271">
        <v>24</v>
      </c>
      <c r="W33" s="271">
        <v>1783.76</v>
      </c>
      <c r="X33" s="271">
        <v>0</v>
      </c>
      <c r="Y33" s="271">
        <v>0</v>
      </c>
      <c r="Z33" s="271">
        <v>0</v>
      </c>
      <c r="AA33" s="271">
        <v>0</v>
      </c>
      <c r="AB33" s="271">
        <v>25</v>
      </c>
      <c r="AC33" s="271">
        <v>2474.75</v>
      </c>
      <c r="AD33" s="271">
        <v>38</v>
      </c>
      <c r="AE33" s="271">
        <v>1899.6200000000001</v>
      </c>
      <c r="AF33" s="271">
        <v>0</v>
      </c>
      <c r="AG33" s="271">
        <v>0</v>
      </c>
      <c r="AH33" s="271">
        <v>0</v>
      </c>
      <c r="AI33" s="271">
        <v>0</v>
      </c>
      <c r="AJ33" s="271">
        <v>0</v>
      </c>
      <c r="AK33" s="271">
        <v>0</v>
      </c>
      <c r="AL33" s="271">
        <v>1</v>
      </c>
      <c r="AM33" s="271">
        <v>49.99</v>
      </c>
      <c r="AN33" s="271">
        <v>0</v>
      </c>
      <c r="AO33" s="271">
        <v>0</v>
      </c>
      <c r="AP33" s="271">
        <v>0</v>
      </c>
      <c r="AQ33" s="271">
        <v>0</v>
      </c>
      <c r="AR33" s="271">
        <v>0</v>
      </c>
      <c r="AS33" s="271">
        <v>0</v>
      </c>
      <c r="AT33" s="271">
        <v>0</v>
      </c>
      <c r="AU33" s="271">
        <v>0</v>
      </c>
      <c r="AV33" s="271">
        <v>15</v>
      </c>
      <c r="AW33" s="271">
        <v>3578.77</v>
      </c>
      <c r="AX33" s="271">
        <v>15</v>
      </c>
      <c r="AY33" s="271">
        <v>3578.77</v>
      </c>
      <c r="AZ33" s="271">
        <v>5</v>
      </c>
      <c r="BA33" s="271">
        <v>139.94999999999999</v>
      </c>
      <c r="BB33" s="271">
        <v>0</v>
      </c>
      <c r="BC33" s="271">
        <v>0</v>
      </c>
      <c r="BD33" s="271">
        <v>1</v>
      </c>
      <c r="BE33" s="271">
        <v>75.989999999999995</v>
      </c>
    </row>
    <row r="34" spans="1:57" ht="15.75" customHeight="1" thickBot="1" x14ac:dyDescent="0.25">
      <c r="A34" s="784"/>
      <c r="B34" s="785"/>
      <c r="C34" s="786" t="s">
        <v>330</v>
      </c>
      <c r="D34" s="787"/>
      <c r="E34" s="788"/>
      <c r="F34" s="309">
        <f t="shared" ref="F34:AK34" si="5">SUM(F30:F33)</f>
        <v>105</v>
      </c>
      <c r="G34" s="310">
        <f t="shared" si="5"/>
        <v>14422.95</v>
      </c>
      <c r="H34" s="309">
        <f t="shared" si="5"/>
        <v>29</v>
      </c>
      <c r="I34" s="310">
        <f t="shared" si="5"/>
        <v>5969.7100000000009</v>
      </c>
      <c r="J34" s="309">
        <f t="shared" si="5"/>
        <v>87</v>
      </c>
      <c r="K34" s="310">
        <f t="shared" si="5"/>
        <v>15833.130000000001</v>
      </c>
      <c r="L34" s="309">
        <f t="shared" si="5"/>
        <v>117</v>
      </c>
      <c r="M34" s="310">
        <f t="shared" si="5"/>
        <v>20198.920000000002</v>
      </c>
      <c r="N34" s="271">
        <f t="shared" si="5"/>
        <v>149</v>
      </c>
      <c r="O34" s="310">
        <f t="shared" si="5"/>
        <v>26919.16</v>
      </c>
      <c r="P34" s="271">
        <f t="shared" si="5"/>
        <v>7</v>
      </c>
      <c r="Q34" s="310">
        <f t="shared" si="5"/>
        <v>1159.93</v>
      </c>
      <c r="R34" s="309">
        <f t="shared" si="5"/>
        <v>22</v>
      </c>
      <c r="S34" s="310">
        <f t="shared" si="5"/>
        <v>3763.12</v>
      </c>
      <c r="T34" s="309">
        <f t="shared" si="5"/>
        <v>0</v>
      </c>
      <c r="U34" s="310">
        <f t="shared" si="5"/>
        <v>0</v>
      </c>
      <c r="V34" s="309">
        <f t="shared" si="5"/>
        <v>54</v>
      </c>
      <c r="W34" s="310">
        <f t="shared" si="5"/>
        <v>3143.48</v>
      </c>
      <c r="X34" s="309">
        <f t="shared" si="5"/>
        <v>0</v>
      </c>
      <c r="Y34" s="310">
        <f t="shared" si="5"/>
        <v>0</v>
      </c>
      <c r="Z34" s="309">
        <f t="shared" si="5"/>
        <v>1</v>
      </c>
      <c r="AA34" s="310">
        <f t="shared" si="5"/>
        <v>4358</v>
      </c>
      <c r="AB34" s="271">
        <f t="shared" si="5"/>
        <v>66</v>
      </c>
      <c r="AC34" s="310">
        <f t="shared" si="5"/>
        <v>6533.34</v>
      </c>
      <c r="AD34" s="309">
        <f t="shared" si="5"/>
        <v>111</v>
      </c>
      <c r="AE34" s="310">
        <f t="shared" si="5"/>
        <v>5093.8899999999994</v>
      </c>
      <c r="AF34" s="309">
        <f t="shared" si="5"/>
        <v>2</v>
      </c>
      <c r="AG34" s="310">
        <f t="shared" si="5"/>
        <v>1123.3200000000002</v>
      </c>
      <c r="AH34" s="309">
        <f t="shared" si="5"/>
        <v>0</v>
      </c>
      <c r="AI34" s="310">
        <f t="shared" si="5"/>
        <v>0</v>
      </c>
      <c r="AJ34" s="309">
        <f t="shared" si="5"/>
        <v>5</v>
      </c>
      <c r="AK34" s="310">
        <f t="shared" si="5"/>
        <v>849.75</v>
      </c>
      <c r="AL34" s="309">
        <f t="shared" ref="AL34:BE34" si="6">SUM(AL30:AL33)</f>
        <v>2</v>
      </c>
      <c r="AM34" s="310">
        <f t="shared" si="6"/>
        <v>93.98</v>
      </c>
      <c r="AN34" s="309">
        <f t="shared" si="6"/>
        <v>20</v>
      </c>
      <c r="AO34" s="310">
        <f t="shared" si="6"/>
        <v>300</v>
      </c>
      <c r="AP34" s="309">
        <f t="shared" si="6"/>
        <v>20</v>
      </c>
      <c r="AQ34" s="310">
        <f t="shared" si="6"/>
        <v>300</v>
      </c>
      <c r="AR34" s="309">
        <f t="shared" si="6"/>
        <v>0</v>
      </c>
      <c r="AS34" s="310">
        <f t="shared" si="6"/>
        <v>0</v>
      </c>
      <c r="AT34" s="309">
        <f t="shared" si="6"/>
        <v>0</v>
      </c>
      <c r="AU34" s="310">
        <f t="shared" si="6"/>
        <v>0</v>
      </c>
      <c r="AV34" s="309">
        <f t="shared" si="6"/>
        <v>60</v>
      </c>
      <c r="AW34" s="310">
        <f t="shared" si="6"/>
        <v>14315.08</v>
      </c>
      <c r="AX34" s="309">
        <f t="shared" si="6"/>
        <v>60</v>
      </c>
      <c r="AY34" s="310">
        <f t="shared" si="6"/>
        <v>14315.08</v>
      </c>
      <c r="AZ34" s="271">
        <f t="shared" si="6"/>
        <v>14</v>
      </c>
      <c r="BA34" s="310">
        <f t="shared" si="6"/>
        <v>356.87</v>
      </c>
      <c r="BB34" s="271">
        <f t="shared" si="6"/>
        <v>0</v>
      </c>
      <c r="BC34" s="310">
        <f t="shared" si="6"/>
        <v>0</v>
      </c>
      <c r="BD34" s="271">
        <f t="shared" si="6"/>
        <v>4</v>
      </c>
      <c r="BE34" s="310">
        <f t="shared" si="6"/>
        <v>303.95999999999998</v>
      </c>
    </row>
    <row r="35" spans="1:57" ht="15.75" customHeight="1" thickBot="1" x14ac:dyDescent="0.25">
      <c r="A35" s="780">
        <v>45778</v>
      </c>
      <c r="B35" s="781"/>
      <c r="C35" s="774" t="s">
        <v>342</v>
      </c>
      <c r="D35" s="775"/>
      <c r="E35" s="776"/>
      <c r="F35" s="752" t="s">
        <v>29</v>
      </c>
      <c r="G35" s="752"/>
      <c r="H35" s="752" t="s">
        <v>30</v>
      </c>
      <c r="I35" s="752"/>
      <c r="J35" s="752" t="s">
        <v>31</v>
      </c>
      <c r="K35" s="752"/>
      <c r="L35" s="752" t="s">
        <v>32</v>
      </c>
      <c r="M35" s="752"/>
      <c r="N35" s="752" t="s">
        <v>33</v>
      </c>
      <c r="O35" s="752"/>
      <c r="P35" s="752" t="s">
        <v>247</v>
      </c>
      <c r="Q35" s="752"/>
      <c r="R35" s="752" t="s">
        <v>34</v>
      </c>
      <c r="S35" s="752"/>
      <c r="T35" s="752" t="s">
        <v>35</v>
      </c>
      <c r="U35" s="752"/>
      <c r="V35" s="752" t="s">
        <v>36</v>
      </c>
      <c r="W35" s="752"/>
      <c r="X35" s="752" t="s">
        <v>37</v>
      </c>
      <c r="Y35" s="752"/>
      <c r="Z35" s="752" t="s">
        <v>38</v>
      </c>
      <c r="AA35" s="752"/>
      <c r="AB35" s="752" t="s">
        <v>39</v>
      </c>
      <c r="AC35" s="752"/>
      <c r="AD35" s="752" t="s">
        <v>40</v>
      </c>
      <c r="AE35" s="752"/>
      <c r="AF35" s="752" t="s">
        <v>41</v>
      </c>
      <c r="AG35" s="752"/>
      <c r="AH35" s="752" t="s">
        <v>42</v>
      </c>
      <c r="AI35" s="752"/>
      <c r="AJ35" s="752" t="s">
        <v>43</v>
      </c>
      <c r="AK35" s="752"/>
      <c r="AL35" s="752" t="s">
        <v>157</v>
      </c>
      <c r="AM35" s="752"/>
      <c r="AN35" s="752" t="s">
        <v>248</v>
      </c>
      <c r="AO35" s="752"/>
      <c r="AP35" s="752" t="s">
        <v>249</v>
      </c>
      <c r="AQ35" s="752"/>
      <c r="AR35" s="752" t="s">
        <v>150</v>
      </c>
      <c r="AS35" s="752"/>
      <c r="AT35" s="752" t="s">
        <v>151</v>
      </c>
      <c r="AU35" s="752"/>
      <c r="AV35" s="752" t="s">
        <v>44</v>
      </c>
      <c r="AW35" s="752"/>
      <c r="AX35" s="752" t="s">
        <v>250</v>
      </c>
      <c r="AY35" s="752"/>
      <c r="AZ35" s="752" t="s">
        <v>45</v>
      </c>
      <c r="BA35" s="752"/>
      <c r="BB35" s="752" t="s">
        <v>46</v>
      </c>
      <c r="BC35" s="752"/>
      <c r="BD35" s="752" t="s">
        <v>92</v>
      </c>
      <c r="BE35" s="752"/>
    </row>
    <row r="36" spans="1:57" ht="15.75" customHeight="1" thickBot="1" x14ac:dyDescent="0.25">
      <c r="A36" s="782"/>
      <c r="B36" s="783"/>
      <c r="C36" s="777"/>
      <c r="D36" s="778"/>
      <c r="E36" s="779"/>
      <c r="F36" s="752" t="s">
        <v>50</v>
      </c>
      <c r="G36" s="752"/>
      <c r="H36" s="752" t="s">
        <v>51</v>
      </c>
      <c r="I36" s="752"/>
      <c r="J36" s="752" t="s">
        <v>51</v>
      </c>
      <c r="K36" s="752"/>
      <c r="L36" s="752" t="s">
        <v>52</v>
      </c>
      <c r="M36" s="752"/>
      <c r="N36" s="752">
        <v>180</v>
      </c>
      <c r="O36" s="752"/>
      <c r="P36" s="752" t="s">
        <v>53</v>
      </c>
      <c r="Q36" s="752"/>
      <c r="R36" s="752" t="s">
        <v>54</v>
      </c>
      <c r="S36" s="752"/>
      <c r="T36" s="752" t="s">
        <v>54</v>
      </c>
      <c r="U36" s="752"/>
      <c r="V36" s="752" t="s">
        <v>55</v>
      </c>
      <c r="W36" s="752"/>
      <c r="X36" s="752" t="s">
        <v>54</v>
      </c>
      <c r="Y36" s="752"/>
      <c r="Z36" s="752" t="s">
        <v>54</v>
      </c>
      <c r="AA36" s="752"/>
      <c r="AB36" s="752" t="s">
        <v>56</v>
      </c>
      <c r="AC36" s="752"/>
      <c r="AD36" s="752" t="s">
        <v>57</v>
      </c>
      <c r="AE36" s="752"/>
      <c r="AF36" s="752" t="s">
        <v>57</v>
      </c>
      <c r="AG36" s="752"/>
      <c r="AH36" s="752" t="s">
        <v>58</v>
      </c>
      <c r="AI36" s="752"/>
      <c r="AJ36" s="752" t="s">
        <v>300</v>
      </c>
      <c r="AK36" s="752"/>
      <c r="AL36" s="752" t="s">
        <v>301</v>
      </c>
      <c r="AM36" s="752"/>
      <c r="AN36" s="752">
        <v>20</v>
      </c>
      <c r="AO36" s="752"/>
      <c r="AP36" s="752">
        <v>20</v>
      </c>
      <c r="AQ36" s="752"/>
      <c r="AR36" s="752" t="s">
        <v>57</v>
      </c>
      <c r="AS36" s="752"/>
      <c r="AT36" s="752" t="s">
        <v>302</v>
      </c>
      <c r="AU36" s="752"/>
      <c r="AV36" s="752">
        <v>100</v>
      </c>
      <c r="AW36" s="752"/>
      <c r="AX36" s="752">
        <v>100</v>
      </c>
      <c r="AY36" s="752"/>
      <c r="AZ36" s="752" t="s">
        <v>59</v>
      </c>
      <c r="BA36" s="752"/>
      <c r="BB36" s="752" t="s">
        <v>51</v>
      </c>
      <c r="BC36" s="752"/>
      <c r="BD36" s="752" t="s">
        <v>53</v>
      </c>
      <c r="BE36" s="752"/>
    </row>
    <row r="37" spans="1:57" ht="15.75" customHeight="1" thickBot="1" x14ac:dyDescent="0.25">
      <c r="A37" s="782"/>
      <c r="B37" s="783"/>
      <c r="C37" s="768" t="s">
        <v>362</v>
      </c>
      <c r="D37" s="769"/>
      <c r="E37" s="770"/>
      <c r="F37" s="116" t="s">
        <v>268</v>
      </c>
      <c r="G37" s="116" t="s">
        <v>19</v>
      </c>
      <c r="H37" s="116" t="s">
        <v>268</v>
      </c>
      <c r="I37" s="116" t="s">
        <v>19</v>
      </c>
      <c r="J37" s="116" t="s">
        <v>268</v>
      </c>
      <c r="K37" s="116" t="s">
        <v>19</v>
      </c>
      <c r="L37" s="116" t="s">
        <v>268</v>
      </c>
      <c r="M37" s="116" t="s">
        <v>19</v>
      </c>
      <c r="N37" s="116" t="s">
        <v>268</v>
      </c>
      <c r="O37" s="116" t="s">
        <v>19</v>
      </c>
      <c r="P37" s="116" t="s">
        <v>268</v>
      </c>
      <c r="Q37" s="116" t="s">
        <v>19</v>
      </c>
      <c r="R37" s="116" t="s">
        <v>268</v>
      </c>
      <c r="S37" s="116" t="s">
        <v>19</v>
      </c>
      <c r="T37" s="116" t="s">
        <v>268</v>
      </c>
      <c r="U37" s="116" t="s">
        <v>19</v>
      </c>
      <c r="V37" s="116" t="s">
        <v>268</v>
      </c>
      <c r="W37" s="116" t="s">
        <v>19</v>
      </c>
      <c r="X37" s="116" t="s">
        <v>268</v>
      </c>
      <c r="Y37" s="116" t="s">
        <v>19</v>
      </c>
      <c r="Z37" s="116" t="s">
        <v>268</v>
      </c>
      <c r="AA37" s="116" t="s">
        <v>19</v>
      </c>
      <c r="AB37" s="116" t="s">
        <v>268</v>
      </c>
      <c r="AC37" s="116" t="s">
        <v>19</v>
      </c>
      <c r="AD37" s="116" t="s">
        <v>268</v>
      </c>
      <c r="AE37" s="116" t="s">
        <v>19</v>
      </c>
      <c r="AF37" s="116" t="s">
        <v>268</v>
      </c>
      <c r="AG37" s="116" t="s">
        <v>19</v>
      </c>
      <c r="AH37" s="116" t="s">
        <v>268</v>
      </c>
      <c r="AI37" s="116" t="s">
        <v>19</v>
      </c>
      <c r="AJ37" s="116" t="s">
        <v>268</v>
      </c>
      <c r="AK37" s="116" t="s">
        <v>19</v>
      </c>
      <c r="AL37" s="116" t="s">
        <v>268</v>
      </c>
      <c r="AM37" s="116" t="s">
        <v>19</v>
      </c>
      <c r="AN37" s="116" t="s">
        <v>268</v>
      </c>
      <c r="AO37" s="116" t="s">
        <v>19</v>
      </c>
      <c r="AP37" s="116" t="s">
        <v>268</v>
      </c>
      <c r="AQ37" s="116" t="s">
        <v>19</v>
      </c>
      <c r="AR37" s="116" t="s">
        <v>268</v>
      </c>
      <c r="AS37" s="116" t="s">
        <v>19</v>
      </c>
      <c r="AT37" s="116" t="s">
        <v>268</v>
      </c>
      <c r="AU37" s="116" t="s">
        <v>19</v>
      </c>
      <c r="AV37" s="116" t="s">
        <v>268</v>
      </c>
      <c r="AW37" s="116" t="s">
        <v>19</v>
      </c>
      <c r="AX37" s="116" t="s">
        <v>268</v>
      </c>
      <c r="AY37" s="116" t="s">
        <v>19</v>
      </c>
      <c r="AZ37" s="116" t="s">
        <v>268</v>
      </c>
      <c r="BA37" s="116" t="s">
        <v>19</v>
      </c>
      <c r="BB37" s="116" t="s">
        <v>268</v>
      </c>
      <c r="BC37" s="116" t="s">
        <v>19</v>
      </c>
      <c r="BD37" s="116" t="s">
        <v>268</v>
      </c>
      <c r="BE37" s="116" t="s">
        <v>19</v>
      </c>
    </row>
    <row r="38" spans="1:57" ht="15.75" customHeight="1" thickBot="1" x14ac:dyDescent="0.25">
      <c r="A38" s="782"/>
      <c r="B38" s="783"/>
      <c r="C38" s="768" t="s">
        <v>1058</v>
      </c>
      <c r="D38" s="769"/>
      <c r="E38" s="770"/>
      <c r="F38" s="271">
        <v>26</v>
      </c>
      <c r="G38" s="271">
        <v>3615.7400000000002</v>
      </c>
      <c r="H38" s="271">
        <v>8</v>
      </c>
      <c r="I38" s="271">
        <v>1639.92</v>
      </c>
      <c r="J38" s="271">
        <v>20</v>
      </c>
      <c r="K38" s="271">
        <v>3639.8</v>
      </c>
      <c r="L38" s="271">
        <v>26</v>
      </c>
      <c r="M38" s="271">
        <v>4497.74</v>
      </c>
      <c r="N38" s="271">
        <v>48</v>
      </c>
      <c r="O38" s="271">
        <v>6143.67</v>
      </c>
      <c r="P38" s="271">
        <v>3</v>
      </c>
      <c r="Q38" s="271">
        <v>454.97</v>
      </c>
      <c r="R38" s="271">
        <v>0</v>
      </c>
      <c r="S38" s="271">
        <v>0</v>
      </c>
      <c r="T38" s="271">
        <v>12</v>
      </c>
      <c r="U38" s="271">
        <v>5155.08</v>
      </c>
      <c r="V38" s="271">
        <v>4</v>
      </c>
      <c r="W38" s="271">
        <v>171.96</v>
      </c>
      <c r="X38" s="271">
        <v>0</v>
      </c>
      <c r="Y38" s="271">
        <v>0</v>
      </c>
      <c r="Z38" s="271">
        <v>0</v>
      </c>
      <c r="AA38" s="271">
        <v>0</v>
      </c>
      <c r="AB38" s="271">
        <v>19</v>
      </c>
      <c r="AC38" s="271">
        <v>1880.81</v>
      </c>
      <c r="AD38" s="271">
        <v>24</v>
      </c>
      <c r="AE38" s="271">
        <v>1439.76</v>
      </c>
      <c r="AF38" s="271">
        <v>0</v>
      </c>
      <c r="AG38" s="271">
        <v>0</v>
      </c>
      <c r="AH38" s="271">
        <v>0</v>
      </c>
      <c r="AI38" s="271">
        <v>0</v>
      </c>
      <c r="AJ38" s="271">
        <v>4</v>
      </c>
      <c r="AK38" s="271">
        <v>759.8</v>
      </c>
      <c r="AL38" s="271">
        <v>1</v>
      </c>
      <c r="AM38" s="271">
        <v>43.99</v>
      </c>
      <c r="AN38" s="271">
        <v>0</v>
      </c>
      <c r="AO38" s="271">
        <v>0</v>
      </c>
      <c r="AP38" s="271">
        <v>0</v>
      </c>
      <c r="AQ38" s="271">
        <v>0</v>
      </c>
      <c r="AR38" s="271">
        <v>0</v>
      </c>
      <c r="AS38" s="271">
        <v>0</v>
      </c>
      <c r="AT38" s="271">
        <v>0</v>
      </c>
      <c r="AU38" s="271">
        <v>0</v>
      </c>
      <c r="AV38" s="271">
        <v>15</v>
      </c>
      <c r="AW38" s="271">
        <v>3578.77</v>
      </c>
      <c r="AX38" s="271">
        <v>15</v>
      </c>
      <c r="AY38" s="271">
        <v>3578.77</v>
      </c>
      <c r="AZ38" s="271">
        <v>7</v>
      </c>
      <c r="BA38" s="271">
        <v>155.93</v>
      </c>
      <c r="BB38" s="271">
        <v>0</v>
      </c>
      <c r="BC38" s="271">
        <v>0</v>
      </c>
      <c r="BD38" s="271">
        <v>2</v>
      </c>
      <c r="BE38" s="271">
        <v>139.97999999999999</v>
      </c>
    </row>
    <row r="39" spans="1:57" ht="15.75" customHeight="1" thickBot="1" x14ac:dyDescent="0.25">
      <c r="A39" s="782"/>
      <c r="B39" s="783"/>
      <c r="C39" s="768" t="s">
        <v>1092</v>
      </c>
      <c r="D39" s="769"/>
      <c r="E39" s="770"/>
      <c r="F39" s="271">
        <v>34</v>
      </c>
      <c r="G39" s="271">
        <v>4711.66</v>
      </c>
      <c r="H39" s="271">
        <v>8</v>
      </c>
      <c r="I39" s="271">
        <v>1639.92</v>
      </c>
      <c r="J39" s="271">
        <v>27</v>
      </c>
      <c r="K39" s="271">
        <v>4949.7300000000005</v>
      </c>
      <c r="L39" s="271">
        <v>36</v>
      </c>
      <c r="M39" s="271">
        <v>6227.64</v>
      </c>
      <c r="N39" s="271">
        <v>69</v>
      </c>
      <c r="O39" s="271">
        <v>8843.7000000000007</v>
      </c>
      <c r="P39" s="271">
        <v>3</v>
      </c>
      <c r="Q39" s="271">
        <v>434.97</v>
      </c>
      <c r="R39" s="271">
        <v>0</v>
      </c>
      <c r="S39" s="271">
        <v>0</v>
      </c>
      <c r="T39" s="271">
        <v>0</v>
      </c>
      <c r="U39" s="271">
        <v>0</v>
      </c>
      <c r="V39" s="271">
        <v>18</v>
      </c>
      <c r="W39" s="271">
        <v>773.82</v>
      </c>
      <c r="X39" s="271">
        <v>0</v>
      </c>
      <c r="Y39" s="271">
        <v>0</v>
      </c>
      <c r="Z39" s="271">
        <v>0</v>
      </c>
      <c r="AA39" s="271">
        <v>0</v>
      </c>
      <c r="AB39" s="271">
        <v>24</v>
      </c>
      <c r="AC39" s="271">
        <v>2375.7599999999998</v>
      </c>
      <c r="AD39" s="271">
        <v>14</v>
      </c>
      <c r="AE39" s="271">
        <v>769.86</v>
      </c>
      <c r="AF39" s="271">
        <v>0</v>
      </c>
      <c r="AG39" s="271">
        <v>0</v>
      </c>
      <c r="AH39" s="271">
        <v>0</v>
      </c>
      <c r="AI39" s="271">
        <v>0</v>
      </c>
      <c r="AJ39" s="271">
        <v>0</v>
      </c>
      <c r="AK39" s="271">
        <v>0</v>
      </c>
      <c r="AL39" s="271">
        <v>0</v>
      </c>
      <c r="AM39" s="271">
        <v>0</v>
      </c>
      <c r="AN39" s="271">
        <v>0</v>
      </c>
      <c r="AO39" s="271">
        <v>0</v>
      </c>
      <c r="AP39" s="271">
        <v>0</v>
      </c>
      <c r="AQ39" s="271">
        <v>0</v>
      </c>
      <c r="AR39" s="271">
        <v>1</v>
      </c>
      <c r="AS39" s="271">
        <v>500</v>
      </c>
      <c r="AT39" s="271">
        <v>0</v>
      </c>
      <c r="AU39" s="271">
        <v>0</v>
      </c>
      <c r="AV39" s="271">
        <v>15</v>
      </c>
      <c r="AW39" s="271">
        <v>3578.77</v>
      </c>
      <c r="AX39" s="271">
        <v>15</v>
      </c>
      <c r="AY39" s="271">
        <v>3578.77</v>
      </c>
      <c r="AZ39" s="271">
        <v>3</v>
      </c>
      <c r="BA39" s="271">
        <v>83.97</v>
      </c>
      <c r="BB39" s="271">
        <v>0</v>
      </c>
      <c r="BC39" s="271">
        <v>0</v>
      </c>
      <c r="BD39" s="271">
        <v>2</v>
      </c>
      <c r="BE39" s="271">
        <v>159.97999999999999</v>
      </c>
    </row>
    <row r="40" spans="1:57" ht="15.75" customHeight="1" thickBot="1" x14ac:dyDescent="0.25">
      <c r="A40" s="782"/>
      <c r="B40" s="783"/>
      <c r="C40" s="768"/>
      <c r="D40" s="769"/>
      <c r="E40" s="770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</row>
    <row r="41" spans="1:57" ht="15.75" customHeight="1" thickBot="1" x14ac:dyDescent="0.25">
      <c r="A41" s="782"/>
      <c r="B41" s="783"/>
      <c r="C41" s="768"/>
      <c r="D41" s="769"/>
      <c r="E41" s="770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</row>
    <row r="42" spans="1:57" ht="15.75" customHeight="1" thickBot="1" x14ac:dyDescent="0.25">
      <c r="A42" s="784"/>
      <c r="B42" s="785"/>
      <c r="C42" s="786" t="s">
        <v>330</v>
      </c>
      <c r="D42" s="787"/>
      <c r="E42" s="788"/>
      <c r="F42" s="309">
        <f t="shared" ref="F42:AK42" si="7">SUM(F38:F41)</f>
        <v>60</v>
      </c>
      <c r="G42" s="310">
        <f t="shared" si="7"/>
        <v>8327.4</v>
      </c>
      <c r="H42" s="309">
        <f t="shared" si="7"/>
        <v>16</v>
      </c>
      <c r="I42" s="310">
        <f t="shared" si="7"/>
        <v>3279.84</v>
      </c>
      <c r="J42" s="309">
        <f t="shared" si="7"/>
        <v>47</v>
      </c>
      <c r="K42" s="310">
        <f t="shared" si="7"/>
        <v>8589.5300000000007</v>
      </c>
      <c r="L42" s="309">
        <f t="shared" si="7"/>
        <v>62</v>
      </c>
      <c r="M42" s="310">
        <f t="shared" si="7"/>
        <v>10725.380000000001</v>
      </c>
      <c r="N42" s="271">
        <f t="shared" si="7"/>
        <v>117</v>
      </c>
      <c r="O42" s="310">
        <f t="shared" si="7"/>
        <v>14987.37</v>
      </c>
      <c r="P42" s="271">
        <f t="shared" si="7"/>
        <v>6</v>
      </c>
      <c r="Q42" s="310">
        <f t="shared" si="7"/>
        <v>889.94</v>
      </c>
      <c r="R42" s="309">
        <f t="shared" si="7"/>
        <v>0</v>
      </c>
      <c r="S42" s="310">
        <f t="shared" si="7"/>
        <v>0</v>
      </c>
      <c r="T42" s="309">
        <f t="shared" si="7"/>
        <v>12</v>
      </c>
      <c r="U42" s="310">
        <f t="shared" si="7"/>
        <v>5155.08</v>
      </c>
      <c r="V42" s="309">
        <f t="shared" si="7"/>
        <v>22</v>
      </c>
      <c r="W42" s="310">
        <f t="shared" si="7"/>
        <v>945.78000000000009</v>
      </c>
      <c r="X42" s="309">
        <f t="shared" si="7"/>
        <v>0</v>
      </c>
      <c r="Y42" s="310">
        <f t="shared" si="7"/>
        <v>0</v>
      </c>
      <c r="Z42" s="309">
        <f t="shared" si="7"/>
        <v>0</v>
      </c>
      <c r="AA42" s="310">
        <f t="shared" si="7"/>
        <v>0</v>
      </c>
      <c r="AB42" s="271">
        <f t="shared" si="7"/>
        <v>43</v>
      </c>
      <c r="AC42" s="310">
        <f t="shared" si="7"/>
        <v>4256.57</v>
      </c>
      <c r="AD42" s="309">
        <f t="shared" si="7"/>
        <v>38</v>
      </c>
      <c r="AE42" s="310">
        <f t="shared" si="7"/>
        <v>2209.62</v>
      </c>
      <c r="AF42" s="309">
        <f t="shared" si="7"/>
        <v>0</v>
      </c>
      <c r="AG42" s="310">
        <f t="shared" si="7"/>
        <v>0</v>
      </c>
      <c r="AH42" s="309">
        <f t="shared" si="7"/>
        <v>0</v>
      </c>
      <c r="AI42" s="310">
        <f t="shared" si="7"/>
        <v>0</v>
      </c>
      <c r="AJ42" s="309">
        <f t="shared" si="7"/>
        <v>4</v>
      </c>
      <c r="AK42" s="310">
        <f t="shared" si="7"/>
        <v>759.8</v>
      </c>
      <c r="AL42" s="309">
        <f t="shared" ref="AL42:BE42" si="8">SUM(AL38:AL41)</f>
        <v>1</v>
      </c>
      <c r="AM42" s="310">
        <f t="shared" si="8"/>
        <v>43.99</v>
      </c>
      <c r="AN42" s="309">
        <f t="shared" si="8"/>
        <v>0</v>
      </c>
      <c r="AO42" s="310">
        <f t="shared" si="8"/>
        <v>0</v>
      </c>
      <c r="AP42" s="309">
        <f t="shared" si="8"/>
        <v>0</v>
      </c>
      <c r="AQ42" s="310">
        <f t="shared" si="8"/>
        <v>0</v>
      </c>
      <c r="AR42" s="309">
        <f t="shared" si="8"/>
        <v>1</v>
      </c>
      <c r="AS42" s="310">
        <f t="shared" si="8"/>
        <v>500</v>
      </c>
      <c r="AT42" s="309">
        <f t="shared" si="8"/>
        <v>0</v>
      </c>
      <c r="AU42" s="310">
        <f t="shared" si="8"/>
        <v>0</v>
      </c>
      <c r="AV42" s="309">
        <f t="shared" si="8"/>
        <v>30</v>
      </c>
      <c r="AW42" s="310">
        <f t="shared" si="8"/>
        <v>7157.54</v>
      </c>
      <c r="AX42" s="309">
        <f t="shared" si="8"/>
        <v>30</v>
      </c>
      <c r="AY42" s="310">
        <f t="shared" si="8"/>
        <v>7157.54</v>
      </c>
      <c r="AZ42" s="271">
        <f t="shared" si="8"/>
        <v>10</v>
      </c>
      <c r="BA42" s="310">
        <f t="shared" si="8"/>
        <v>239.9</v>
      </c>
      <c r="BB42" s="271">
        <f t="shared" si="8"/>
        <v>0</v>
      </c>
      <c r="BC42" s="310">
        <f t="shared" si="8"/>
        <v>0</v>
      </c>
      <c r="BD42" s="271">
        <f t="shared" si="8"/>
        <v>4</v>
      </c>
      <c r="BE42" s="310">
        <f t="shared" si="8"/>
        <v>299.95999999999998</v>
      </c>
    </row>
    <row r="43" spans="1:57" ht="15.75" customHeight="1" thickBot="1" x14ac:dyDescent="0.25">
      <c r="A43" s="780">
        <v>45809</v>
      </c>
      <c r="B43" s="781"/>
      <c r="C43" s="774" t="s">
        <v>342</v>
      </c>
      <c r="D43" s="775"/>
      <c r="E43" s="776"/>
      <c r="F43" s="752" t="s">
        <v>29</v>
      </c>
      <c r="G43" s="752"/>
      <c r="H43" s="752" t="s">
        <v>30</v>
      </c>
      <c r="I43" s="752"/>
      <c r="J43" s="752" t="s">
        <v>31</v>
      </c>
      <c r="K43" s="752"/>
      <c r="L43" s="752" t="s">
        <v>32</v>
      </c>
      <c r="M43" s="752"/>
      <c r="N43" s="752" t="s">
        <v>33</v>
      </c>
      <c r="O43" s="752"/>
      <c r="P43" s="752" t="s">
        <v>247</v>
      </c>
      <c r="Q43" s="752"/>
      <c r="R43" s="752" t="s">
        <v>34</v>
      </c>
      <c r="S43" s="752"/>
      <c r="T43" s="752" t="s">
        <v>35</v>
      </c>
      <c r="U43" s="752"/>
      <c r="V43" s="752" t="s">
        <v>36</v>
      </c>
      <c r="W43" s="752"/>
      <c r="X43" s="752" t="s">
        <v>37</v>
      </c>
      <c r="Y43" s="752"/>
      <c r="Z43" s="752" t="s">
        <v>38</v>
      </c>
      <c r="AA43" s="752"/>
      <c r="AB43" s="752" t="s">
        <v>39</v>
      </c>
      <c r="AC43" s="752"/>
      <c r="AD43" s="752" t="s">
        <v>40</v>
      </c>
      <c r="AE43" s="752"/>
      <c r="AF43" s="752" t="s">
        <v>41</v>
      </c>
      <c r="AG43" s="752"/>
      <c r="AH43" s="752" t="s">
        <v>42</v>
      </c>
      <c r="AI43" s="752"/>
      <c r="AJ43" s="752" t="s">
        <v>43</v>
      </c>
      <c r="AK43" s="752"/>
      <c r="AL43" s="752" t="s">
        <v>157</v>
      </c>
      <c r="AM43" s="752"/>
      <c r="AN43" s="752" t="s">
        <v>248</v>
      </c>
      <c r="AO43" s="752"/>
      <c r="AP43" s="752" t="s">
        <v>249</v>
      </c>
      <c r="AQ43" s="752"/>
      <c r="AR43" s="752" t="s">
        <v>150</v>
      </c>
      <c r="AS43" s="752"/>
      <c r="AT43" s="752" t="s">
        <v>151</v>
      </c>
      <c r="AU43" s="752"/>
      <c r="AV43" s="752" t="s">
        <v>44</v>
      </c>
      <c r="AW43" s="752"/>
      <c r="AX43" s="752" t="s">
        <v>250</v>
      </c>
      <c r="AY43" s="752"/>
      <c r="AZ43" s="752" t="s">
        <v>45</v>
      </c>
      <c r="BA43" s="752"/>
      <c r="BB43" s="752" t="s">
        <v>46</v>
      </c>
      <c r="BC43" s="752"/>
      <c r="BD43" s="752" t="s">
        <v>92</v>
      </c>
      <c r="BE43" s="752"/>
    </row>
    <row r="44" spans="1:57" ht="15.75" customHeight="1" thickBot="1" x14ac:dyDescent="0.25">
      <c r="A44" s="782"/>
      <c r="B44" s="783"/>
      <c r="C44" s="777"/>
      <c r="D44" s="778"/>
      <c r="E44" s="779"/>
      <c r="F44" s="752" t="s">
        <v>50</v>
      </c>
      <c r="G44" s="752"/>
      <c r="H44" s="752" t="s">
        <v>51</v>
      </c>
      <c r="I44" s="752"/>
      <c r="J44" s="752" t="s">
        <v>51</v>
      </c>
      <c r="K44" s="752"/>
      <c r="L44" s="752" t="s">
        <v>52</v>
      </c>
      <c r="M44" s="752"/>
      <c r="N44" s="752">
        <v>180</v>
      </c>
      <c r="O44" s="752"/>
      <c r="P44" s="752" t="s">
        <v>53</v>
      </c>
      <c r="Q44" s="752"/>
      <c r="R44" s="752" t="s">
        <v>54</v>
      </c>
      <c r="S44" s="752"/>
      <c r="T44" s="752" t="s">
        <v>54</v>
      </c>
      <c r="U44" s="752"/>
      <c r="V44" s="752" t="s">
        <v>55</v>
      </c>
      <c r="W44" s="752"/>
      <c r="X44" s="752" t="s">
        <v>54</v>
      </c>
      <c r="Y44" s="752"/>
      <c r="Z44" s="752" t="s">
        <v>54</v>
      </c>
      <c r="AA44" s="752"/>
      <c r="AB44" s="752" t="s">
        <v>56</v>
      </c>
      <c r="AC44" s="752"/>
      <c r="AD44" s="752" t="s">
        <v>57</v>
      </c>
      <c r="AE44" s="752"/>
      <c r="AF44" s="752" t="s">
        <v>57</v>
      </c>
      <c r="AG44" s="752"/>
      <c r="AH44" s="752" t="s">
        <v>58</v>
      </c>
      <c r="AI44" s="752"/>
      <c r="AJ44" s="752" t="s">
        <v>300</v>
      </c>
      <c r="AK44" s="752"/>
      <c r="AL44" s="752" t="s">
        <v>301</v>
      </c>
      <c r="AM44" s="752"/>
      <c r="AN44" s="752">
        <v>20</v>
      </c>
      <c r="AO44" s="752"/>
      <c r="AP44" s="752">
        <v>20</v>
      </c>
      <c r="AQ44" s="752"/>
      <c r="AR44" s="752" t="s">
        <v>57</v>
      </c>
      <c r="AS44" s="752"/>
      <c r="AT44" s="752" t="s">
        <v>302</v>
      </c>
      <c r="AU44" s="752"/>
      <c r="AV44" s="752">
        <v>100</v>
      </c>
      <c r="AW44" s="752"/>
      <c r="AX44" s="752">
        <v>100</v>
      </c>
      <c r="AY44" s="752"/>
      <c r="AZ44" s="752" t="s">
        <v>59</v>
      </c>
      <c r="BA44" s="752"/>
      <c r="BB44" s="752" t="s">
        <v>51</v>
      </c>
      <c r="BC44" s="752"/>
      <c r="BD44" s="752" t="s">
        <v>53</v>
      </c>
      <c r="BE44" s="752"/>
    </row>
    <row r="45" spans="1:57" ht="15.75" customHeight="1" thickBot="1" x14ac:dyDescent="0.25">
      <c r="A45" s="782"/>
      <c r="B45" s="783"/>
      <c r="C45" s="768" t="s">
        <v>362</v>
      </c>
      <c r="D45" s="769"/>
      <c r="E45" s="770"/>
      <c r="F45" s="116" t="s">
        <v>268</v>
      </c>
      <c r="G45" s="116" t="s">
        <v>19</v>
      </c>
      <c r="H45" s="116" t="s">
        <v>268</v>
      </c>
      <c r="I45" s="116" t="s">
        <v>19</v>
      </c>
      <c r="J45" s="116" t="s">
        <v>268</v>
      </c>
      <c r="K45" s="116" t="s">
        <v>19</v>
      </c>
      <c r="L45" s="116" t="s">
        <v>268</v>
      </c>
      <c r="M45" s="116" t="s">
        <v>19</v>
      </c>
      <c r="N45" s="116" t="s">
        <v>268</v>
      </c>
      <c r="O45" s="116" t="s">
        <v>19</v>
      </c>
      <c r="P45" s="116" t="s">
        <v>268</v>
      </c>
      <c r="Q45" s="116" t="s">
        <v>19</v>
      </c>
      <c r="R45" s="116" t="s">
        <v>268</v>
      </c>
      <c r="S45" s="116" t="s">
        <v>19</v>
      </c>
      <c r="T45" s="116" t="s">
        <v>268</v>
      </c>
      <c r="U45" s="116" t="s">
        <v>19</v>
      </c>
      <c r="V45" s="116" t="s">
        <v>268</v>
      </c>
      <c r="W45" s="116" t="s">
        <v>19</v>
      </c>
      <c r="X45" s="116" t="s">
        <v>268</v>
      </c>
      <c r="Y45" s="116" t="s">
        <v>19</v>
      </c>
      <c r="Z45" s="116" t="s">
        <v>268</v>
      </c>
      <c r="AA45" s="116" t="s">
        <v>19</v>
      </c>
      <c r="AB45" s="116" t="s">
        <v>268</v>
      </c>
      <c r="AC45" s="116" t="s">
        <v>19</v>
      </c>
      <c r="AD45" s="116" t="s">
        <v>268</v>
      </c>
      <c r="AE45" s="116" t="s">
        <v>19</v>
      </c>
      <c r="AF45" s="116" t="s">
        <v>268</v>
      </c>
      <c r="AG45" s="116" t="s">
        <v>19</v>
      </c>
      <c r="AH45" s="116" t="s">
        <v>268</v>
      </c>
      <c r="AI45" s="116" t="s">
        <v>19</v>
      </c>
      <c r="AJ45" s="116" t="s">
        <v>268</v>
      </c>
      <c r="AK45" s="116" t="s">
        <v>19</v>
      </c>
      <c r="AL45" s="116" t="s">
        <v>268</v>
      </c>
      <c r="AM45" s="116" t="s">
        <v>19</v>
      </c>
      <c r="AN45" s="116" t="s">
        <v>268</v>
      </c>
      <c r="AO45" s="116" t="s">
        <v>19</v>
      </c>
      <c r="AP45" s="116" t="s">
        <v>268</v>
      </c>
      <c r="AQ45" s="116" t="s">
        <v>19</v>
      </c>
      <c r="AR45" s="116" t="s">
        <v>268</v>
      </c>
      <c r="AS45" s="116" t="s">
        <v>19</v>
      </c>
      <c r="AT45" s="116" t="s">
        <v>268</v>
      </c>
      <c r="AU45" s="116" t="s">
        <v>19</v>
      </c>
      <c r="AV45" s="116" t="s">
        <v>268</v>
      </c>
      <c r="AW45" s="116" t="s">
        <v>19</v>
      </c>
      <c r="AX45" s="116" t="s">
        <v>268</v>
      </c>
      <c r="AY45" s="116" t="s">
        <v>19</v>
      </c>
      <c r="AZ45" s="116" t="s">
        <v>268</v>
      </c>
      <c r="BA45" s="116" t="s">
        <v>19</v>
      </c>
      <c r="BB45" s="116" t="s">
        <v>268</v>
      </c>
      <c r="BC45" s="116" t="s">
        <v>19</v>
      </c>
      <c r="BD45" s="116" t="s">
        <v>268</v>
      </c>
      <c r="BE45" s="116" t="s">
        <v>19</v>
      </c>
    </row>
    <row r="46" spans="1:57" ht="15.75" customHeight="1" thickBot="1" x14ac:dyDescent="0.25">
      <c r="A46" s="782"/>
      <c r="B46" s="783"/>
      <c r="C46" s="768"/>
      <c r="D46" s="769"/>
      <c r="E46" s="770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</row>
    <row r="47" spans="1:57" ht="15.75" customHeight="1" thickBot="1" x14ac:dyDescent="0.25">
      <c r="A47" s="782"/>
      <c r="B47" s="783"/>
      <c r="C47" s="768"/>
      <c r="D47" s="769"/>
      <c r="E47" s="770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</row>
    <row r="48" spans="1:57" ht="15.75" customHeight="1" thickBot="1" x14ac:dyDescent="0.25">
      <c r="A48" s="782"/>
      <c r="B48" s="783"/>
      <c r="C48" s="768"/>
      <c r="D48" s="769"/>
      <c r="E48" s="770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1"/>
      <c r="BC48" s="271"/>
      <c r="BD48" s="271"/>
      <c r="BE48" s="271"/>
    </row>
    <row r="49" spans="1:57" ht="15.75" customHeight="1" thickBot="1" x14ac:dyDescent="0.25">
      <c r="A49" s="782"/>
      <c r="B49" s="783"/>
      <c r="C49" s="768"/>
      <c r="D49" s="769"/>
      <c r="E49" s="770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  <c r="BC49" s="271"/>
      <c r="BD49" s="271"/>
      <c r="BE49" s="271"/>
    </row>
    <row r="50" spans="1:57" ht="15.75" customHeight="1" thickBot="1" x14ac:dyDescent="0.25">
      <c r="A50" s="784"/>
      <c r="B50" s="785"/>
      <c r="C50" s="786" t="s">
        <v>330</v>
      </c>
      <c r="D50" s="787"/>
      <c r="E50" s="788"/>
      <c r="F50" s="309">
        <f t="shared" ref="F50:AK50" si="9">SUM(F46:F49)</f>
        <v>0</v>
      </c>
      <c r="G50" s="310">
        <f t="shared" si="9"/>
        <v>0</v>
      </c>
      <c r="H50" s="309">
        <f t="shared" si="9"/>
        <v>0</v>
      </c>
      <c r="I50" s="310">
        <f t="shared" si="9"/>
        <v>0</v>
      </c>
      <c r="J50" s="309">
        <f t="shared" si="9"/>
        <v>0</v>
      </c>
      <c r="K50" s="310">
        <f t="shared" si="9"/>
        <v>0</v>
      </c>
      <c r="L50" s="309">
        <f t="shared" si="9"/>
        <v>0</v>
      </c>
      <c r="M50" s="310">
        <f t="shared" si="9"/>
        <v>0</v>
      </c>
      <c r="N50" s="271">
        <f t="shared" si="9"/>
        <v>0</v>
      </c>
      <c r="O50" s="310">
        <f t="shared" si="9"/>
        <v>0</v>
      </c>
      <c r="P50" s="271">
        <f t="shared" si="9"/>
        <v>0</v>
      </c>
      <c r="Q50" s="310">
        <f t="shared" si="9"/>
        <v>0</v>
      </c>
      <c r="R50" s="309">
        <f t="shared" si="9"/>
        <v>0</v>
      </c>
      <c r="S50" s="310">
        <f t="shared" si="9"/>
        <v>0</v>
      </c>
      <c r="T50" s="309">
        <f t="shared" si="9"/>
        <v>0</v>
      </c>
      <c r="U50" s="310">
        <f t="shared" si="9"/>
        <v>0</v>
      </c>
      <c r="V50" s="309">
        <f t="shared" si="9"/>
        <v>0</v>
      </c>
      <c r="W50" s="310">
        <f t="shared" si="9"/>
        <v>0</v>
      </c>
      <c r="X50" s="309">
        <f t="shared" si="9"/>
        <v>0</v>
      </c>
      <c r="Y50" s="310">
        <f t="shared" si="9"/>
        <v>0</v>
      </c>
      <c r="Z50" s="309">
        <f t="shared" si="9"/>
        <v>0</v>
      </c>
      <c r="AA50" s="310">
        <f t="shared" si="9"/>
        <v>0</v>
      </c>
      <c r="AB50" s="271">
        <f t="shared" si="9"/>
        <v>0</v>
      </c>
      <c r="AC50" s="310">
        <f t="shared" si="9"/>
        <v>0</v>
      </c>
      <c r="AD50" s="309">
        <f t="shared" si="9"/>
        <v>0</v>
      </c>
      <c r="AE50" s="310">
        <f t="shared" si="9"/>
        <v>0</v>
      </c>
      <c r="AF50" s="309">
        <f t="shared" si="9"/>
        <v>0</v>
      </c>
      <c r="AG50" s="310">
        <f t="shared" si="9"/>
        <v>0</v>
      </c>
      <c r="AH50" s="309">
        <f t="shared" si="9"/>
        <v>0</v>
      </c>
      <c r="AI50" s="310">
        <f t="shared" si="9"/>
        <v>0</v>
      </c>
      <c r="AJ50" s="309">
        <f t="shared" si="9"/>
        <v>0</v>
      </c>
      <c r="AK50" s="310">
        <f t="shared" si="9"/>
        <v>0</v>
      </c>
      <c r="AL50" s="309">
        <f t="shared" ref="AL50:BE50" si="10">SUM(AL46:AL49)</f>
        <v>0</v>
      </c>
      <c r="AM50" s="310">
        <f t="shared" si="10"/>
        <v>0</v>
      </c>
      <c r="AN50" s="309">
        <f t="shared" si="10"/>
        <v>0</v>
      </c>
      <c r="AO50" s="310">
        <f t="shared" si="10"/>
        <v>0</v>
      </c>
      <c r="AP50" s="309">
        <f t="shared" si="10"/>
        <v>0</v>
      </c>
      <c r="AQ50" s="310">
        <f t="shared" si="10"/>
        <v>0</v>
      </c>
      <c r="AR50" s="309">
        <f t="shared" si="10"/>
        <v>0</v>
      </c>
      <c r="AS50" s="310">
        <f t="shared" si="10"/>
        <v>0</v>
      </c>
      <c r="AT50" s="309">
        <f t="shared" si="10"/>
        <v>0</v>
      </c>
      <c r="AU50" s="310">
        <f t="shared" si="10"/>
        <v>0</v>
      </c>
      <c r="AV50" s="309">
        <f t="shared" si="10"/>
        <v>0</v>
      </c>
      <c r="AW50" s="310">
        <f t="shared" si="10"/>
        <v>0</v>
      </c>
      <c r="AX50" s="309">
        <f t="shared" si="10"/>
        <v>0</v>
      </c>
      <c r="AY50" s="310">
        <f t="shared" si="10"/>
        <v>0</v>
      </c>
      <c r="AZ50" s="271">
        <f t="shared" si="10"/>
        <v>0</v>
      </c>
      <c r="BA50" s="310">
        <f t="shared" si="10"/>
        <v>0</v>
      </c>
      <c r="BB50" s="271">
        <f t="shared" si="10"/>
        <v>0</v>
      </c>
      <c r="BC50" s="310">
        <f t="shared" si="10"/>
        <v>0</v>
      </c>
      <c r="BD50" s="271">
        <f t="shared" si="10"/>
        <v>0</v>
      </c>
      <c r="BE50" s="310">
        <f t="shared" si="10"/>
        <v>0</v>
      </c>
    </row>
    <row r="51" spans="1:57" ht="15.75" customHeight="1" thickBot="1" x14ac:dyDescent="0.25">
      <c r="A51" s="780">
        <v>45839</v>
      </c>
      <c r="B51" s="781"/>
      <c r="C51" s="774" t="s">
        <v>342</v>
      </c>
      <c r="D51" s="775"/>
      <c r="E51" s="776"/>
      <c r="F51" s="752" t="s">
        <v>29</v>
      </c>
      <c r="G51" s="752"/>
      <c r="H51" s="752" t="s">
        <v>30</v>
      </c>
      <c r="I51" s="752"/>
      <c r="J51" s="752" t="s">
        <v>31</v>
      </c>
      <c r="K51" s="752"/>
      <c r="L51" s="752" t="s">
        <v>32</v>
      </c>
      <c r="M51" s="752"/>
      <c r="N51" s="752" t="s">
        <v>33</v>
      </c>
      <c r="O51" s="752"/>
      <c r="P51" s="752" t="s">
        <v>247</v>
      </c>
      <c r="Q51" s="752"/>
      <c r="R51" s="752" t="s">
        <v>34</v>
      </c>
      <c r="S51" s="752"/>
      <c r="T51" s="752" t="s">
        <v>35</v>
      </c>
      <c r="U51" s="752"/>
      <c r="V51" s="752" t="s">
        <v>36</v>
      </c>
      <c r="W51" s="752"/>
      <c r="X51" s="752" t="s">
        <v>37</v>
      </c>
      <c r="Y51" s="752"/>
      <c r="Z51" s="752" t="s">
        <v>38</v>
      </c>
      <c r="AA51" s="752"/>
      <c r="AB51" s="752" t="s">
        <v>39</v>
      </c>
      <c r="AC51" s="752"/>
      <c r="AD51" s="752" t="s">
        <v>40</v>
      </c>
      <c r="AE51" s="752"/>
      <c r="AF51" s="752" t="s">
        <v>41</v>
      </c>
      <c r="AG51" s="752"/>
      <c r="AH51" s="752" t="s">
        <v>42</v>
      </c>
      <c r="AI51" s="752"/>
      <c r="AJ51" s="752" t="s">
        <v>43</v>
      </c>
      <c r="AK51" s="752"/>
      <c r="AL51" s="752" t="s">
        <v>157</v>
      </c>
      <c r="AM51" s="752"/>
      <c r="AN51" s="752" t="s">
        <v>248</v>
      </c>
      <c r="AO51" s="752"/>
      <c r="AP51" s="752" t="s">
        <v>249</v>
      </c>
      <c r="AQ51" s="752"/>
      <c r="AR51" s="752" t="s">
        <v>150</v>
      </c>
      <c r="AS51" s="752"/>
      <c r="AT51" s="752" t="s">
        <v>151</v>
      </c>
      <c r="AU51" s="752"/>
      <c r="AV51" s="752" t="s">
        <v>44</v>
      </c>
      <c r="AW51" s="752"/>
      <c r="AX51" s="752" t="s">
        <v>250</v>
      </c>
      <c r="AY51" s="752"/>
      <c r="AZ51" s="752" t="s">
        <v>45</v>
      </c>
      <c r="BA51" s="752"/>
      <c r="BB51" s="752" t="s">
        <v>46</v>
      </c>
      <c r="BC51" s="752"/>
      <c r="BD51" s="752" t="s">
        <v>92</v>
      </c>
      <c r="BE51" s="752"/>
    </row>
    <row r="52" spans="1:57" ht="15.75" customHeight="1" thickBot="1" x14ac:dyDescent="0.25">
      <c r="A52" s="782"/>
      <c r="B52" s="783"/>
      <c r="C52" s="777"/>
      <c r="D52" s="778"/>
      <c r="E52" s="779"/>
      <c r="F52" s="752" t="s">
        <v>50</v>
      </c>
      <c r="G52" s="752"/>
      <c r="H52" s="752" t="s">
        <v>51</v>
      </c>
      <c r="I52" s="752"/>
      <c r="J52" s="752" t="s">
        <v>51</v>
      </c>
      <c r="K52" s="752"/>
      <c r="L52" s="752" t="s">
        <v>52</v>
      </c>
      <c r="M52" s="752"/>
      <c r="N52" s="752">
        <v>180</v>
      </c>
      <c r="O52" s="752"/>
      <c r="P52" s="752" t="s">
        <v>53</v>
      </c>
      <c r="Q52" s="752"/>
      <c r="R52" s="752" t="s">
        <v>54</v>
      </c>
      <c r="S52" s="752"/>
      <c r="T52" s="752" t="s">
        <v>54</v>
      </c>
      <c r="U52" s="752"/>
      <c r="V52" s="752" t="s">
        <v>55</v>
      </c>
      <c r="W52" s="752"/>
      <c r="X52" s="752" t="s">
        <v>54</v>
      </c>
      <c r="Y52" s="752"/>
      <c r="Z52" s="752" t="s">
        <v>54</v>
      </c>
      <c r="AA52" s="752"/>
      <c r="AB52" s="752" t="s">
        <v>56</v>
      </c>
      <c r="AC52" s="752"/>
      <c r="AD52" s="752" t="s">
        <v>57</v>
      </c>
      <c r="AE52" s="752"/>
      <c r="AF52" s="752" t="s">
        <v>57</v>
      </c>
      <c r="AG52" s="752"/>
      <c r="AH52" s="752" t="s">
        <v>58</v>
      </c>
      <c r="AI52" s="752"/>
      <c r="AJ52" s="752" t="s">
        <v>300</v>
      </c>
      <c r="AK52" s="752"/>
      <c r="AL52" s="752" t="s">
        <v>301</v>
      </c>
      <c r="AM52" s="752"/>
      <c r="AN52" s="752">
        <v>20</v>
      </c>
      <c r="AO52" s="752"/>
      <c r="AP52" s="752">
        <v>20</v>
      </c>
      <c r="AQ52" s="752"/>
      <c r="AR52" s="752" t="s">
        <v>57</v>
      </c>
      <c r="AS52" s="752"/>
      <c r="AT52" s="752" t="s">
        <v>302</v>
      </c>
      <c r="AU52" s="752"/>
      <c r="AV52" s="752">
        <v>100</v>
      </c>
      <c r="AW52" s="752"/>
      <c r="AX52" s="752">
        <v>100</v>
      </c>
      <c r="AY52" s="752"/>
      <c r="AZ52" s="752" t="s">
        <v>59</v>
      </c>
      <c r="BA52" s="752"/>
      <c r="BB52" s="752" t="s">
        <v>51</v>
      </c>
      <c r="BC52" s="752"/>
      <c r="BD52" s="752" t="s">
        <v>53</v>
      </c>
      <c r="BE52" s="752"/>
    </row>
    <row r="53" spans="1:57" ht="15.75" customHeight="1" thickBot="1" x14ac:dyDescent="0.25">
      <c r="A53" s="782"/>
      <c r="B53" s="783"/>
      <c r="C53" s="768" t="s">
        <v>362</v>
      </c>
      <c r="D53" s="769"/>
      <c r="E53" s="770"/>
      <c r="F53" s="116" t="s">
        <v>268</v>
      </c>
      <c r="G53" s="116" t="s">
        <v>19</v>
      </c>
      <c r="H53" s="116" t="s">
        <v>268</v>
      </c>
      <c r="I53" s="116" t="s">
        <v>19</v>
      </c>
      <c r="J53" s="116" t="s">
        <v>268</v>
      </c>
      <c r="K53" s="116" t="s">
        <v>19</v>
      </c>
      <c r="L53" s="116" t="s">
        <v>268</v>
      </c>
      <c r="M53" s="116" t="s">
        <v>19</v>
      </c>
      <c r="N53" s="116" t="s">
        <v>268</v>
      </c>
      <c r="O53" s="116" t="s">
        <v>19</v>
      </c>
      <c r="P53" s="116" t="s">
        <v>268</v>
      </c>
      <c r="Q53" s="116" t="s">
        <v>19</v>
      </c>
      <c r="R53" s="116" t="s">
        <v>268</v>
      </c>
      <c r="S53" s="116" t="s">
        <v>19</v>
      </c>
      <c r="T53" s="116" t="s">
        <v>268</v>
      </c>
      <c r="U53" s="116" t="s">
        <v>19</v>
      </c>
      <c r="V53" s="116" t="s">
        <v>268</v>
      </c>
      <c r="W53" s="116" t="s">
        <v>19</v>
      </c>
      <c r="X53" s="116" t="s">
        <v>268</v>
      </c>
      <c r="Y53" s="116" t="s">
        <v>19</v>
      </c>
      <c r="Z53" s="116" t="s">
        <v>268</v>
      </c>
      <c r="AA53" s="116" t="s">
        <v>19</v>
      </c>
      <c r="AB53" s="116" t="s">
        <v>268</v>
      </c>
      <c r="AC53" s="116" t="s">
        <v>19</v>
      </c>
      <c r="AD53" s="116" t="s">
        <v>268</v>
      </c>
      <c r="AE53" s="116" t="s">
        <v>19</v>
      </c>
      <c r="AF53" s="116" t="s">
        <v>268</v>
      </c>
      <c r="AG53" s="116" t="s">
        <v>19</v>
      </c>
      <c r="AH53" s="116" t="s">
        <v>268</v>
      </c>
      <c r="AI53" s="116" t="s">
        <v>19</v>
      </c>
      <c r="AJ53" s="116" t="s">
        <v>268</v>
      </c>
      <c r="AK53" s="116" t="s">
        <v>19</v>
      </c>
      <c r="AL53" s="116" t="s">
        <v>268</v>
      </c>
      <c r="AM53" s="116" t="s">
        <v>19</v>
      </c>
      <c r="AN53" s="116" t="s">
        <v>268</v>
      </c>
      <c r="AO53" s="116" t="s">
        <v>19</v>
      </c>
      <c r="AP53" s="116" t="s">
        <v>268</v>
      </c>
      <c r="AQ53" s="116" t="s">
        <v>19</v>
      </c>
      <c r="AR53" s="116" t="s">
        <v>268</v>
      </c>
      <c r="AS53" s="116" t="s">
        <v>19</v>
      </c>
      <c r="AT53" s="116" t="s">
        <v>268</v>
      </c>
      <c r="AU53" s="116" t="s">
        <v>19</v>
      </c>
      <c r="AV53" s="116" t="s">
        <v>268</v>
      </c>
      <c r="AW53" s="116" t="s">
        <v>19</v>
      </c>
      <c r="AX53" s="116" t="s">
        <v>268</v>
      </c>
      <c r="AY53" s="116" t="s">
        <v>19</v>
      </c>
      <c r="AZ53" s="116" t="s">
        <v>268</v>
      </c>
      <c r="BA53" s="116" t="s">
        <v>19</v>
      </c>
      <c r="BB53" s="116" t="s">
        <v>268</v>
      </c>
      <c r="BC53" s="116" t="s">
        <v>19</v>
      </c>
      <c r="BD53" s="116" t="s">
        <v>268</v>
      </c>
      <c r="BE53" s="116" t="s">
        <v>19</v>
      </c>
    </row>
    <row r="54" spans="1:57" ht="15.75" customHeight="1" thickBot="1" x14ac:dyDescent="0.25">
      <c r="A54" s="782"/>
      <c r="B54" s="783"/>
      <c r="C54" s="768"/>
      <c r="D54" s="769"/>
      <c r="E54" s="770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  <c r="BC54" s="271"/>
      <c r="BD54" s="271"/>
      <c r="BE54" s="271"/>
    </row>
    <row r="55" spans="1:57" ht="15.75" customHeight="1" thickBot="1" x14ac:dyDescent="0.25">
      <c r="A55" s="782"/>
      <c r="B55" s="783"/>
      <c r="C55" s="768"/>
      <c r="D55" s="769"/>
      <c r="E55" s="770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  <c r="BC55" s="271"/>
      <c r="BD55" s="271"/>
      <c r="BE55" s="271"/>
    </row>
    <row r="56" spans="1:57" ht="15.75" customHeight="1" thickBot="1" x14ac:dyDescent="0.25">
      <c r="A56" s="782"/>
      <c r="B56" s="783"/>
      <c r="C56" s="768"/>
      <c r="D56" s="769"/>
      <c r="E56" s="770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1"/>
      <c r="BC56" s="271"/>
      <c r="BD56" s="271"/>
      <c r="BE56" s="271"/>
    </row>
    <row r="57" spans="1:57" ht="15.75" customHeight="1" thickBot="1" x14ac:dyDescent="0.25">
      <c r="A57" s="782"/>
      <c r="B57" s="783"/>
      <c r="C57" s="768"/>
      <c r="D57" s="769"/>
      <c r="E57" s="770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</row>
    <row r="58" spans="1:57" ht="15.75" customHeight="1" thickBot="1" x14ac:dyDescent="0.25">
      <c r="A58" s="784"/>
      <c r="B58" s="785"/>
      <c r="C58" s="786" t="s">
        <v>330</v>
      </c>
      <c r="D58" s="787"/>
      <c r="E58" s="788"/>
      <c r="F58" s="309">
        <f t="shared" ref="F58:AK58" si="11">SUM(F54:F57)</f>
        <v>0</v>
      </c>
      <c r="G58" s="310">
        <f t="shared" si="11"/>
        <v>0</v>
      </c>
      <c r="H58" s="309">
        <f t="shared" si="11"/>
        <v>0</v>
      </c>
      <c r="I58" s="310">
        <f t="shared" si="11"/>
        <v>0</v>
      </c>
      <c r="J58" s="309">
        <f t="shared" si="11"/>
        <v>0</v>
      </c>
      <c r="K58" s="310">
        <f t="shared" si="11"/>
        <v>0</v>
      </c>
      <c r="L58" s="309">
        <f t="shared" si="11"/>
        <v>0</v>
      </c>
      <c r="M58" s="310">
        <f t="shared" si="11"/>
        <v>0</v>
      </c>
      <c r="N58" s="271">
        <f t="shared" si="11"/>
        <v>0</v>
      </c>
      <c r="O58" s="310">
        <f t="shared" si="11"/>
        <v>0</v>
      </c>
      <c r="P58" s="271">
        <f t="shared" si="11"/>
        <v>0</v>
      </c>
      <c r="Q58" s="310">
        <f t="shared" si="11"/>
        <v>0</v>
      </c>
      <c r="R58" s="309">
        <f t="shared" si="11"/>
        <v>0</v>
      </c>
      <c r="S58" s="310">
        <f t="shared" si="11"/>
        <v>0</v>
      </c>
      <c r="T58" s="309">
        <f t="shared" si="11"/>
        <v>0</v>
      </c>
      <c r="U58" s="310">
        <f t="shared" si="11"/>
        <v>0</v>
      </c>
      <c r="V58" s="309">
        <f t="shared" si="11"/>
        <v>0</v>
      </c>
      <c r="W58" s="310">
        <f t="shared" si="11"/>
        <v>0</v>
      </c>
      <c r="X58" s="309">
        <f t="shared" si="11"/>
        <v>0</v>
      </c>
      <c r="Y58" s="310">
        <f t="shared" si="11"/>
        <v>0</v>
      </c>
      <c r="Z58" s="309">
        <f t="shared" si="11"/>
        <v>0</v>
      </c>
      <c r="AA58" s="310">
        <f t="shared" si="11"/>
        <v>0</v>
      </c>
      <c r="AB58" s="271">
        <f t="shared" si="11"/>
        <v>0</v>
      </c>
      <c r="AC58" s="310">
        <f t="shared" si="11"/>
        <v>0</v>
      </c>
      <c r="AD58" s="309">
        <f t="shared" si="11"/>
        <v>0</v>
      </c>
      <c r="AE58" s="310">
        <f t="shared" si="11"/>
        <v>0</v>
      </c>
      <c r="AF58" s="309">
        <f t="shared" si="11"/>
        <v>0</v>
      </c>
      <c r="AG58" s="310">
        <f t="shared" si="11"/>
        <v>0</v>
      </c>
      <c r="AH58" s="309">
        <f t="shared" si="11"/>
        <v>0</v>
      </c>
      <c r="AI58" s="310">
        <f t="shared" si="11"/>
        <v>0</v>
      </c>
      <c r="AJ58" s="309">
        <f t="shared" si="11"/>
        <v>0</v>
      </c>
      <c r="AK58" s="310">
        <f t="shared" si="11"/>
        <v>0</v>
      </c>
      <c r="AL58" s="309">
        <f t="shared" ref="AL58:BE58" si="12">SUM(AL54:AL57)</f>
        <v>0</v>
      </c>
      <c r="AM58" s="310">
        <f t="shared" si="12"/>
        <v>0</v>
      </c>
      <c r="AN58" s="309">
        <f t="shared" si="12"/>
        <v>0</v>
      </c>
      <c r="AO58" s="310">
        <f t="shared" si="12"/>
        <v>0</v>
      </c>
      <c r="AP58" s="309">
        <f t="shared" si="12"/>
        <v>0</v>
      </c>
      <c r="AQ58" s="310">
        <f t="shared" si="12"/>
        <v>0</v>
      </c>
      <c r="AR58" s="309">
        <f t="shared" si="12"/>
        <v>0</v>
      </c>
      <c r="AS58" s="310">
        <f t="shared" si="12"/>
        <v>0</v>
      </c>
      <c r="AT58" s="309">
        <f t="shared" si="12"/>
        <v>0</v>
      </c>
      <c r="AU58" s="310">
        <f t="shared" si="12"/>
        <v>0</v>
      </c>
      <c r="AV58" s="309">
        <f t="shared" si="12"/>
        <v>0</v>
      </c>
      <c r="AW58" s="310">
        <f t="shared" si="12"/>
        <v>0</v>
      </c>
      <c r="AX58" s="309">
        <f t="shared" si="12"/>
        <v>0</v>
      </c>
      <c r="AY58" s="310">
        <f t="shared" si="12"/>
        <v>0</v>
      </c>
      <c r="AZ58" s="271">
        <f t="shared" si="12"/>
        <v>0</v>
      </c>
      <c r="BA58" s="310">
        <f t="shared" si="12"/>
        <v>0</v>
      </c>
      <c r="BB58" s="271">
        <f t="shared" si="12"/>
        <v>0</v>
      </c>
      <c r="BC58" s="310">
        <f t="shared" si="12"/>
        <v>0</v>
      </c>
      <c r="BD58" s="271">
        <f t="shared" si="12"/>
        <v>0</v>
      </c>
      <c r="BE58" s="310">
        <f t="shared" si="12"/>
        <v>0</v>
      </c>
    </row>
    <row r="59" spans="1:57" ht="15.75" customHeight="1" thickBot="1" x14ac:dyDescent="0.25">
      <c r="A59" s="780">
        <v>45870</v>
      </c>
      <c r="B59" s="781"/>
      <c r="C59" s="774" t="s">
        <v>342</v>
      </c>
      <c r="D59" s="775"/>
      <c r="E59" s="776"/>
      <c r="F59" s="752" t="s">
        <v>29</v>
      </c>
      <c r="G59" s="752"/>
      <c r="H59" s="752" t="s">
        <v>30</v>
      </c>
      <c r="I59" s="752"/>
      <c r="J59" s="752" t="s">
        <v>31</v>
      </c>
      <c r="K59" s="752"/>
      <c r="L59" s="752" t="s">
        <v>32</v>
      </c>
      <c r="M59" s="752"/>
      <c r="N59" s="752" t="s">
        <v>33</v>
      </c>
      <c r="O59" s="752"/>
      <c r="P59" s="752" t="s">
        <v>247</v>
      </c>
      <c r="Q59" s="752"/>
      <c r="R59" s="752" t="s">
        <v>34</v>
      </c>
      <c r="S59" s="752"/>
      <c r="T59" s="752" t="s">
        <v>35</v>
      </c>
      <c r="U59" s="752"/>
      <c r="V59" s="752" t="s">
        <v>36</v>
      </c>
      <c r="W59" s="752"/>
      <c r="X59" s="752" t="s">
        <v>37</v>
      </c>
      <c r="Y59" s="752"/>
      <c r="Z59" s="752" t="s">
        <v>38</v>
      </c>
      <c r="AA59" s="752"/>
      <c r="AB59" s="752" t="s">
        <v>39</v>
      </c>
      <c r="AC59" s="752"/>
      <c r="AD59" s="752" t="s">
        <v>40</v>
      </c>
      <c r="AE59" s="752"/>
      <c r="AF59" s="752" t="s">
        <v>41</v>
      </c>
      <c r="AG59" s="752"/>
      <c r="AH59" s="752" t="s">
        <v>42</v>
      </c>
      <c r="AI59" s="752"/>
      <c r="AJ59" s="752" t="s">
        <v>43</v>
      </c>
      <c r="AK59" s="752"/>
      <c r="AL59" s="752" t="s">
        <v>157</v>
      </c>
      <c r="AM59" s="752"/>
      <c r="AN59" s="752" t="s">
        <v>248</v>
      </c>
      <c r="AO59" s="752"/>
      <c r="AP59" s="752" t="s">
        <v>249</v>
      </c>
      <c r="AQ59" s="752"/>
      <c r="AR59" s="752" t="s">
        <v>150</v>
      </c>
      <c r="AS59" s="752"/>
      <c r="AT59" s="752" t="s">
        <v>151</v>
      </c>
      <c r="AU59" s="752"/>
      <c r="AV59" s="752" t="s">
        <v>44</v>
      </c>
      <c r="AW59" s="752"/>
      <c r="AX59" s="752" t="s">
        <v>250</v>
      </c>
      <c r="AY59" s="752"/>
      <c r="AZ59" s="752" t="s">
        <v>45</v>
      </c>
      <c r="BA59" s="752"/>
      <c r="BB59" s="752" t="s">
        <v>46</v>
      </c>
      <c r="BC59" s="752"/>
      <c r="BD59" s="752" t="s">
        <v>92</v>
      </c>
      <c r="BE59" s="752"/>
    </row>
    <row r="60" spans="1:57" ht="15.75" customHeight="1" thickBot="1" x14ac:dyDescent="0.25">
      <c r="A60" s="782"/>
      <c r="B60" s="783"/>
      <c r="C60" s="777"/>
      <c r="D60" s="778"/>
      <c r="E60" s="779"/>
      <c r="F60" s="752" t="s">
        <v>50</v>
      </c>
      <c r="G60" s="752"/>
      <c r="H60" s="752" t="s">
        <v>51</v>
      </c>
      <c r="I60" s="752"/>
      <c r="J60" s="752" t="s">
        <v>51</v>
      </c>
      <c r="K60" s="752"/>
      <c r="L60" s="752" t="s">
        <v>52</v>
      </c>
      <c r="M60" s="752"/>
      <c r="N60" s="752">
        <v>180</v>
      </c>
      <c r="O60" s="752"/>
      <c r="P60" s="752" t="s">
        <v>53</v>
      </c>
      <c r="Q60" s="752"/>
      <c r="R60" s="752" t="s">
        <v>54</v>
      </c>
      <c r="S60" s="752"/>
      <c r="T60" s="752" t="s">
        <v>54</v>
      </c>
      <c r="U60" s="752"/>
      <c r="V60" s="752" t="s">
        <v>55</v>
      </c>
      <c r="W60" s="752"/>
      <c r="X60" s="752" t="s">
        <v>54</v>
      </c>
      <c r="Y60" s="752"/>
      <c r="Z60" s="752" t="s">
        <v>54</v>
      </c>
      <c r="AA60" s="752"/>
      <c r="AB60" s="752" t="s">
        <v>56</v>
      </c>
      <c r="AC60" s="752"/>
      <c r="AD60" s="752" t="s">
        <v>57</v>
      </c>
      <c r="AE60" s="752"/>
      <c r="AF60" s="752" t="s">
        <v>57</v>
      </c>
      <c r="AG60" s="752"/>
      <c r="AH60" s="752" t="s">
        <v>58</v>
      </c>
      <c r="AI60" s="752"/>
      <c r="AJ60" s="752" t="s">
        <v>300</v>
      </c>
      <c r="AK60" s="752"/>
      <c r="AL60" s="752" t="s">
        <v>301</v>
      </c>
      <c r="AM60" s="752"/>
      <c r="AN60" s="752">
        <v>20</v>
      </c>
      <c r="AO60" s="752"/>
      <c r="AP60" s="752">
        <v>20</v>
      </c>
      <c r="AQ60" s="752"/>
      <c r="AR60" s="752" t="s">
        <v>57</v>
      </c>
      <c r="AS60" s="752"/>
      <c r="AT60" s="752" t="s">
        <v>302</v>
      </c>
      <c r="AU60" s="752"/>
      <c r="AV60" s="752">
        <v>100</v>
      </c>
      <c r="AW60" s="752"/>
      <c r="AX60" s="752">
        <v>100</v>
      </c>
      <c r="AY60" s="752"/>
      <c r="AZ60" s="752" t="s">
        <v>59</v>
      </c>
      <c r="BA60" s="752"/>
      <c r="BB60" s="752" t="s">
        <v>51</v>
      </c>
      <c r="BC60" s="752"/>
      <c r="BD60" s="752" t="s">
        <v>53</v>
      </c>
      <c r="BE60" s="752"/>
    </row>
    <row r="61" spans="1:57" ht="15.75" customHeight="1" thickBot="1" x14ac:dyDescent="0.25">
      <c r="A61" s="782"/>
      <c r="B61" s="783"/>
      <c r="C61" s="768" t="s">
        <v>362</v>
      </c>
      <c r="D61" s="769"/>
      <c r="E61" s="770"/>
      <c r="F61" s="116" t="s">
        <v>268</v>
      </c>
      <c r="G61" s="116" t="s">
        <v>19</v>
      </c>
      <c r="H61" s="116" t="s">
        <v>268</v>
      </c>
      <c r="I61" s="116" t="s">
        <v>19</v>
      </c>
      <c r="J61" s="116" t="s">
        <v>268</v>
      </c>
      <c r="K61" s="116" t="s">
        <v>19</v>
      </c>
      <c r="L61" s="116" t="s">
        <v>268</v>
      </c>
      <c r="M61" s="116" t="s">
        <v>19</v>
      </c>
      <c r="N61" s="116" t="s">
        <v>268</v>
      </c>
      <c r="O61" s="116" t="s">
        <v>19</v>
      </c>
      <c r="P61" s="116" t="s">
        <v>268</v>
      </c>
      <c r="Q61" s="116" t="s">
        <v>19</v>
      </c>
      <c r="R61" s="116" t="s">
        <v>268</v>
      </c>
      <c r="S61" s="116" t="s">
        <v>19</v>
      </c>
      <c r="T61" s="116" t="s">
        <v>268</v>
      </c>
      <c r="U61" s="116" t="s">
        <v>19</v>
      </c>
      <c r="V61" s="116" t="s">
        <v>268</v>
      </c>
      <c r="W61" s="116" t="s">
        <v>19</v>
      </c>
      <c r="X61" s="116" t="s">
        <v>268</v>
      </c>
      <c r="Y61" s="116" t="s">
        <v>19</v>
      </c>
      <c r="Z61" s="116" t="s">
        <v>268</v>
      </c>
      <c r="AA61" s="116" t="s">
        <v>19</v>
      </c>
      <c r="AB61" s="116" t="s">
        <v>268</v>
      </c>
      <c r="AC61" s="116" t="s">
        <v>19</v>
      </c>
      <c r="AD61" s="116" t="s">
        <v>268</v>
      </c>
      <c r="AE61" s="116" t="s">
        <v>19</v>
      </c>
      <c r="AF61" s="116" t="s">
        <v>268</v>
      </c>
      <c r="AG61" s="116" t="s">
        <v>19</v>
      </c>
      <c r="AH61" s="116" t="s">
        <v>268</v>
      </c>
      <c r="AI61" s="116" t="s">
        <v>19</v>
      </c>
      <c r="AJ61" s="116" t="s">
        <v>268</v>
      </c>
      <c r="AK61" s="116" t="s">
        <v>19</v>
      </c>
      <c r="AL61" s="116" t="s">
        <v>268</v>
      </c>
      <c r="AM61" s="116" t="s">
        <v>19</v>
      </c>
      <c r="AN61" s="116" t="s">
        <v>268</v>
      </c>
      <c r="AO61" s="116" t="s">
        <v>19</v>
      </c>
      <c r="AP61" s="116" t="s">
        <v>268</v>
      </c>
      <c r="AQ61" s="116" t="s">
        <v>19</v>
      </c>
      <c r="AR61" s="116" t="s">
        <v>268</v>
      </c>
      <c r="AS61" s="116" t="s">
        <v>19</v>
      </c>
      <c r="AT61" s="116" t="s">
        <v>268</v>
      </c>
      <c r="AU61" s="116" t="s">
        <v>19</v>
      </c>
      <c r="AV61" s="116" t="s">
        <v>268</v>
      </c>
      <c r="AW61" s="116" t="s">
        <v>19</v>
      </c>
      <c r="AX61" s="116" t="s">
        <v>268</v>
      </c>
      <c r="AY61" s="116" t="s">
        <v>19</v>
      </c>
      <c r="AZ61" s="116" t="s">
        <v>268</v>
      </c>
      <c r="BA61" s="116" t="s">
        <v>19</v>
      </c>
      <c r="BB61" s="116" t="s">
        <v>268</v>
      </c>
      <c r="BC61" s="116" t="s">
        <v>19</v>
      </c>
      <c r="BD61" s="116" t="s">
        <v>268</v>
      </c>
      <c r="BE61" s="116" t="s">
        <v>19</v>
      </c>
    </row>
    <row r="62" spans="1:57" ht="15.75" customHeight="1" thickBot="1" x14ac:dyDescent="0.25">
      <c r="A62" s="782"/>
      <c r="B62" s="783"/>
      <c r="C62" s="768"/>
      <c r="D62" s="769"/>
      <c r="E62" s="770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  <c r="BC62" s="271"/>
      <c r="BD62" s="271"/>
      <c r="BE62" s="271"/>
    </row>
    <row r="63" spans="1:57" ht="15.75" customHeight="1" thickBot="1" x14ac:dyDescent="0.25">
      <c r="A63" s="782"/>
      <c r="B63" s="783"/>
      <c r="C63" s="768"/>
      <c r="D63" s="769"/>
      <c r="E63" s="770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1"/>
      <c r="AR63" s="271"/>
      <c r="AS63" s="271"/>
      <c r="AT63" s="271"/>
      <c r="AU63" s="271"/>
      <c r="AV63" s="271"/>
      <c r="AW63" s="271"/>
      <c r="AX63" s="271"/>
      <c r="AY63" s="271"/>
      <c r="AZ63" s="271"/>
      <c r="BA63" s="271"/>
      <c r="BB63" s="271"/>
      <c r="BC63" s="271"/>
      <c r="BD63" s="271"/>
      <c r="BE63" s="271"/>
    </row>
    <row r="64" spans="1:57" ht="15.75" customHeight="1" thickBot="1" x14ac:dyDescent="0.25">
      <c r="A64" s="782"/>
      <c r="B64" s="783"/>
      <c r="C64" s="768"/>
      <c r="D64" s="769"/>
      <c r="E64" s="770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271"/>
      <c r="BC64" s="271"/>
      <c r="BD64" s="271"/>
      <c r="BE64" s="271"/>
    </row>
    <row r="65" spans="1:57" ht="15.75" customHeight="1" thickBot="1" x14ac:dyDescent="0.25">
      <c r="A65" s="782"/>
      <c r="B65" s="783"/>
      <c r="C65" s="768"/>
      <c r="D65" s="769"/>
      <c r="E65" s="770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1"/>
      <c r="BC65" s="271"/>
      <c r="BD65" s="271"/>
      <c r="BE65" s="271"/>
    </row>
    <row r="66" spans="1:57" ht="15.75" customHeight="1" thickBot="1" x14ac:dyDescent="0.25">
      <c r="A66" s="784"/>
      <c r="B66" s="785"/>
      <c r="C66" s="786" t="s">
        <v>330</v>
      </c>
      <c r="D66" s="787"/>
      <c r="E66" s="788"/>
      <c r="F66" s="309">
        <f t="shared" ref="F66:AK66" si="13">SUM(F62:F65)</f>
        <v>0</v>
      </c>
      <c r="G66" s="310">
        <f t="shared" si="13"/>
        <v>0</v>
      </c>
      <c r="H66" s="309">
        <f t="shared" si="13"/>
        <v>0</v>
      </c>
      <c r="I66" s="310">
        <f t="shared" si="13"/>
        <v>0</v>
      </c>
      <c r="J66" s="309">
        <f t="shared" si="13"/>
        <v>0</v>
      </c>
      <c r="K66" s="310">
        <f t="shared" si="13"/>
        <v>0</v>
      </c>
      <c r="L66" s="309">
        <f t="shared" si="13"/>
        <v>0</v>
      </c>
      <c r="M66" s="310">
        <f t="shared" si="13"/>
        <v>0</v>
      </c>
      <c r="N66" s="271">
        <f t="shared" si="13"/>
        <v>0</v>
      </c>
      <c r="O66" s="310">
        <f t="shared" si="13"/>
        <v>0</v>
      </c>
      <c r="P66" s="271">
        <f t="shared" si="13"/>
        <v>0</v>
      </c>
      <c r="Q66" s="310">
        <f t="shared" si="13"/>
        <v>0</v>
      </c>
      <c r="R66" s="309">
        <f t="shared" si="13"/>
        <v>0</v>
      </c>
      <c r="S66" s="310">
        <f t="shared" si="13"/>
        <v>0</v>
      </c>
      <c r="T66" s="309">
        <f t="shared" si="13"/>
        <v>0</v>
      </c>
      <c r="U66" s="310">
        <f t="shared" si="13"/>
        <v>0</v>
      </c>
      <c r="V66" s="309">
        <f t="shared" si="13"/>
        <v>0</v>
      </c>
      <c r="W66" s="310">
        <f t="shared" si="13"/>
        <v>0</v>
      </c>
      <c r="X66" s="309">
        <f t="shared" si="13"/>
        <v>0</v>
      </c>
      <c r="Y66" s="310">
        <f t="shared" si="13"/>
        <v>0</v>
      </c>
      <c r="Z66" s="309">
        <f t="shared" si="13"/>
        <v>0</v>
      </c>
      <c r="AA66" s="310">
        <f t="shared" si="13"/>
        <v>0</v>
      </c>
      <c r="AB66" s="271">
        <f t="shared" si="13"/>
        <v>0</v>
      </c>
      <c r="AC66" s="310">
        <f t="shared" si="13"/>
        <v>0</v>
      </c>
      <c r="AD66" s="309">
        <f t="shared" si="13"/>
        <v>0</v>
      </c>
      <c r="AE66" s="310">
        <f t="shared" si="13"/>
        <v>0</v>
      </c>
      <c r="AF66" s="309">
        <f t="shared" si="13"/>
        <v>0</v>
      </c>
      <c r="AG66" s="310">
        <f t="shared" si="13"/>
        <v>0</v>
      </c>
      <c r="AH66" s="309">
        <f t="shared" si="13"/>
        <v>0</v>
      </c>
      <c r="AI66" s="310">
        <f t="shared" si="13"/>
        <v>0</v>
      </c>
      <c r="AJ66" s="309">
        <f t="shared" si="13"/>
        <v>0</v>
      </c>
      <c r="AK66" s="310">
        <f t="shared" si="13"/>
        <v>0</v>
      </c>
      <c r="AL66" s="309">
        <f t="shared" ref="AL66:BE66" si="14">SUM(AL62:AL65)</f>
        <v>0</v>
      </c>
      <c r="AM66" s="310">
        <f t="shared" si="14"/>
        <v>0</v>
      </c>
      <c r="AN66" s="309">
        <f t="shared" si="14"/>
        <v>0</v>
      </c>
      <c r="AO66" s="310">
        <f t="shared" si="14"/>
        <v>0</v>
      </c>
      <c r="AP66" s="309">
        <f t="shared" si="14"/>
        <v>0</v>
      </c>
      <c r="AQ66" s="310">
        <f t="shared" si="14"/>
        <v>0</v>
      </c>
      <c r="AR66" s="309">
        <f t="shared" si="14"/>
        <v>0</v>
      </c>
      <c r="AS66" s="310">
        <f t="shared" si="14"/>
        <v>0</v>
      </c>
      <c r="AT66" s="309">
        <f t="shared" si="14"/>
        <v>0</v>
      </c>
      <c r="AU66" s="310">
        <f t="shared" si="14"/>
        <v>0</v>
      </c>
      <c r="AV66" s="309">
        <f t="shared" si="14"/>
        <v>0</v>
      </c>
      <c r="AW66" s="310">
        <f t="shared" si="14"/>
        <v>0</v>
      </c>
      <c r="AX66" s="309">
        <f t="shared" si="14"/>
        <v>0</v>
      </c>
      <c r="AY66" s="310">
        <f t="shared" si="14"/>
        <v>0</v>
      </c>
      <c r="AZ66" s="271">
        <f t="shared" si="14"/>
        <v>0</v>
      </c>
      <c r="BA66" s="310">
        <f t="shared" si="14"/>
        <v>0</v>
      </c>
      <c r="BB66" s="271">
        <f t="shared" si="14"/>
        <v>0</v>
      </c>
      <c r="BC66" s="310">
        <f t="shared" si="14"/>
        <v>0</v>
      </c>
      <c r="BD66" s="271">
        <f t="shared" si="14"/>
        <v>0</v>
      </c>
      <c r="BE66" s="310">
        <f t="shared" si="14"/>
        <v>0</v>
      </c>
    </row>
    <row r="67" spans="1:57" ht="15.75" customHeight="1" thickBot="1" x14ac:dyDescent="0.25">
      <c r="A67" s="780">
        <v>45901</v>
      </c>
      <c r="B67" s="781"/>
      <c r="C67" s="774" t="s">
        <v>342</v>
      </c>
      <c r="D67" s="775"/>
      <c r="E67" s="776"/>
      <c r="F67" s="752" t="s">
        <v>29</v>
      </c>
      <c r="G67" s="752"/>
      <c r="H67" s="752" t="s">
        <v>30</v>
      </c>
      <c r="I67" s="752"/>
      <c r="J67" s="752" t="s">
        <v>31</v>
      </c>
      <c r="K67" s="752"/>
      <c r="L67" s="752" t="s">
        <v>32</v>
      </c>
      <c r="M67" s="752"/>
      <c r="N67" s="752" t="s">
        <v>33</v>
      </c>
      <c r="O67" s="752"/>
      <c r="P67" s="752" t="s">
        <v>247</v>
      </c>
      <c r="Q67" s="752"/>
      <c r="R67" s="752" t="s">
        <v>34</v>
      </c>
      <c r="S67" s="752"/>
      <c r="T67" s="752" t="s">
        <v>35</v>
      </c>
      <c r="U67" s="752"/>
      <c r="V67" s="752" t="s">
        <v>36</v>
      </c>
      <c r="W67" s="752"/>
      <c r="X67" s="752" t="s">
        <v>37</v>
      </c>
      <c r="Y67" s="752"/>
      <c r="Z67" s="752" t="s">
        <v>38</v>
      </c>
      <c r="AA67" s="752"/>
      <c r="AB67" s="752" t="s">
        <v>39</v>
      </c>
      <c r="AC67" s="752"/>
      <c r="AD67" s="752" t="s">
        <v>40</v>
      </c>
      <c r="AE67" s="752"/>
      <c r="AF67" s="752" t="s">
        <v>41</v>
      </c>
      <c r="AG67" s="752"/>
      <c r="AH67" s="752" t="s">
        <v>42</v>
      </c>
      <c r="AI67" s="752"/>
      <c r="AJ67" s="752" t="s">
        <v>43</v>
      </c>
      <c r="AK67" s="752"/>
      <c r="AL67" s="752" t="s">
        <v>157</v>
      </c>
      <c r="AM67" s="752"/>
      <c r="AN67" s="752" t="s">
        <v>248</v>
      </c>
      <c r="AO67" s="752"/>
      <c r="AP67" s="752" t="s">
        <v>249</v>
      </c>
      <c r="AQ67" s="752"/>
      <c r="AR67" s="752" t="s">
        <v>150</v>
      </c>
      <c r="AS67" s="752"/>
      <c r="AT67" s="752" t="s">
        <v>151</v>
      </c>
      <c r="AU67" s="752"/>
      <c r="AV67" s="752" t="s">
        <v>44</v>
      </c>
      <c r="AW67" s="752"/>
      <c r="AX67" s="752" t="s">
        <v>250</v>
      </c>
      <c r="AY67" s="752"/>
      <c r="AZ67" s="752" t="s">
        <v>45</v>
      </c>
      <c r="BA67" s="752"/>
      <c r="BB67" s="752" t="s">
        <v>46</v>
      </c>
      <c r="BC67" s="752"/>
      <c r="BD67" s="752" t="s">
        <v>92</v>
      </c>
      <c r="BE67" s="752"/>
    </row>
    <row r="68" spans="1:57" ht="15.75" customHeight="1" thickBot="1" x14ac:dyDescent="0.25">
      <c r="A68" s="782"/>
      <c r="B68" s="783"/>
      <c r="C68" s="777"/>
      <c r="D68" s="778"/>
      <c r="E68" s="779"/>
      <c r="F68" s="752" t="s">
        <v>50</v>
      </c>
      <c r="G68" s="752"/>
      <c r="H68" s="752" t="s">
        <v>51</v>
      </c>
      <c r="I68" s="752"/>
      <c r="J68" s="752" t="s">
        <v>51</v>
      </c>
      <c r="K68" s="752"/>
      <c r="L68" s="752" t="s">
        <v>52</v>
      </c>
      <c r="M68" s="752"/>
      <c r="N68" s="752">
        <v>180</v>
      </c>
      <c r="O68" s="752"/>
      <c r="P68" s="752" t="s">
        <v>53</v>
      </c>
      <c r="Q68" s="752"/>
      <c r="R68" s="752" t="s">
        <v>54</v>
      </c>
      <c r="S68" s="752"/>
      <c r="T68" s="752" t="s">
        <v>54</v>
      </c>
      <c r="U68" s="752"/>
      <c r="V68" s="752" t="s">
        <v>55</v>
      </c>
      <c r="W68" s="752"/>
      <c r="X68" s="752" t="s">
        <v>54</v>
      </c>
      <c r="Y68" s="752"/>
      <c r="Z68" s="752" t="s">
        <v>54</v>
      </c>
      <c r="AA68" s="752"/>
      <c r="AB68" s="752" t="s">
        <v>56</v>
      </c>
      <c r="AC68" s="752"/>
      <c r="AD68" s="752" t="s">
        <v>57</v>
      </c>
      <c r="AE68" s="752"/>
      <c r="AF68" s="752" t="s">
        <v>57</v>
      </c>
      <c r="AG68" s="752"/>
      <c r="AH68" s="752" t="s">
        <v>58</v>
      </c>
      <c r="AI68" s="752"/>
      <c r="AJ68" s="752" t="s">
        <v>300</v>
      </c>
      <c r="AK68" s="752"/>
      <c r="AL68" s="752" t="s">
        <v>301</v>
      </c>
      <c r="AM68" s="752"/>
      <c r="AN68" s="752">
        <v>20</v>
      </c>
      <c r="AO68" s="752"/>
      <c r="AP68" s="752">
        <v>20</v>
      </c>
      <c r="AQ68" s="752"/>
      <c r="AR68" s="752" t="s">
        <v>57</v>
      </c>
      <c r="AS68" s="752"/>
      <c r="AT68" s="752" t="s">
        <v>302</v>
      </c>
      <c r="AU68" s="752"/>
      <c r="AV68" s="752">
        <v>100</v>
      </c>
      <c r="AW68" s="752"/>
      <c r="AX68" s="752">
        <v>100</v>
      </c>
      <c r="AY68" s="752"/>
      <c r="AZ68" s="752" t="s">
        <v>59</v>
      </c>
      <c r="BA68" s="752"/>
      <c r="BB68" s="752" t="s">
        <v>51</v>
      </c>
      <c r="BC68" s="752"/>
      <c r="BD68" s="752" t="s">
        <v>53</v>
      </c>
      <c r="BE68" s="752"/>
    </row>
    <row r="69" spans="1:57" ht="15.75" customHeight="1" thickBot="1" x14ac:dyDescent="0.25">
      <c r="A69" s="782"/>
      <c r="B69" s="783"/>
      <c r="C69" s="768" t="s">
        <v>362</v>
      </c>
      <c r="D69" s="769"/>
      <c r="E69" s="770"/>
      <c r="F69" s="116" t="s">
        <v>268</v>
      </c>
      <c r="G69" s="116" t="s">
        <v>19</v>
      </c>
      <c r="H69" s="116" t="s">
        <v>268</v>
      </c>
      <c r="I69" s="116" t="s">
        <v>19</v>
      </c>
      <c r="J69" s="116" t="s">
        <v>268</v>
      </c>
      <c r="K69" s="116" t="s">
        <v>19</v>
      </c>
      <c r="L69" s="116" t="s">
        <v>268</v>
      </c>
      <c r="M69" s="116" t="s">
        <v>19</v>
      </c>
      <c r="N69" s="116" t="s">
        <v>268</v>
      </c>
      <c r="O69" s="116" t="s">
        <v>19</v>
      </c>
      <c r="P69" s="116" t="s">
        <v>268</v>
      </c>
      <c r="Q69" s="116" t="s">
        <v>19</v>
      </c>
      <c r="R69" s="116" t="s">
        <v>268</v>
      </c>
      <c r="S69" s="116" t="s">
        <v>19</v>
      </c>
      <c r="T69" s="116" t="s">
        <v>268</v>
      </c>
      <c r="U69" s="116" t="s">
        <v>19</v>
      </c>
      <c r="V69" s="116" t="s">
        <v>268</v>
      </c>
      <c r="W69" s="116" t="s">
        <v>19</v>
      </c>
      <c r="X69" s="116" t="s">
        <v>268</v>
      </c>
      <c r="Y69" s="116" t="s">
        <v>19</v>
      </c>
      <c r="Z69" s="116" t="s">
        <v>268</v>
      </c>
      <c r="AA69" s="116" t="s">
        <v>19</v>
      </c>
      <c r="AB69" s="116" t="s">
        <v>268</v>
      </c>
      <c r="AC69" s="116" t="s">
        <v>19</v>
      </c>
      <c r="AD69" s="116" t="s">
        <v>268</v>
      </c>
      <c r="AE69" s="116" t="s">
        <v>19</v>
      </c>
      <c r="AF69" s="116" t="s">
        <v>268</v>
      </c>
      <c r="AG69" s="116" t="s">
        <v>19</v>
      </c>
      <c r="AH69" s="116" t="s">
        <v>268</v>
      </c>
      <c r="AI69" s="116" t="s">
        <v>19</v>
      </c>
      <c r="AJ69" s="116" t="s">
        <v>268</v>
      </c>
      <c r="AK69" s="116" t="s">
        <v>19</v>
      </c>
      <c r="AL69" s="116" t="s">
        <v>268</v>
      </c>
      <c r="AM69" s="116" t="s">
        <v>19</v>
      </c>
      <c r="AN69" s="116" t="s">
        <v>268</v>
      </c>
      <c r="AO69" s="116" t="s">
        <v>19</v>
      </c>
      <c r="AP69" s="116" t="s">
        <v>268</v>
      </c>
      <c r="AQ69" s="116" t="s">
        <v>19</v>
      </c>
      <c r="AR69" s="116" t="s">
        <v>268</v>
      </c>
      <c r="AS69" s="116" t="s">
        <v>19</v>
      </c>
      <c r="AT69" s="116" t="s">
        <v>268</v>
      </c>
      <c r="AU69" s="116" t="s">
        <v>19</v>
      </c>
      <c r="AV69" s="116" t="s">
        <v>268</v>
      </c>
      <c r="AW69" s="116" t="s">
        <v>19</v>
      </c>
      <c r="AX69" s="116" t="s">
        <v>268</v>
      </c>
      <c r="AY69" s="116" t="s">
        <v>19</v>
      </c>
      <c r="AZ69" s="116" t="s">
        <v>268</v>
      </c>
      <c r="BA69" s="116" t="s">
        <v>19</v>
      </c>
      <c r="BB69" s="116" t="s">
        <v>268</v>
      </c>
      <c r="BC69" s="116" t="s">
        <v>19</v>
      </c>
      <c r="BD69" s="116" t="s">
        <v>268</v>
      </c>
      <c r="BE69" s="116" t="s">
        <v>19</v>
      </c>
    </row>
    <row r="70" spans="1:57" ht="15.75" customHeight="1" thickBot="1" x14ac:dyDescent="0.25">
      <c r="A70" s="782"/>
      <c r="B70" s="783"/>
      <c r="C70" s="768"/>
      <c r="D70" s="769"/>
      <c r="E70" s="770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  <c r="BC70" s="271"/>
      <c r="BD70" s="271"/>
      <c r="BE70" s="271"/>
    </row>
    <row r="71" spans="1:57" ht="15.75" customHeight="1" thickBot="1" x14ac:dyDescent="0.25">
      <c r="A71" s="782"/>
      <c r="B71" s="783"/>
      <c r="C71" s="768"/>
      <c r="D71" s="769"/>
      <c r="E71" s="770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</row>
    <row r="72" spans="1:57" ht="15.75" customHeight="1" thickBot="1" x14ac:dyDescent="0.25">
      <c r="A72" s="782"/>
      <c r="B72" s="783"/>
      <c r="C72" s="768"/>
      <c r="D72" s="769"/>
      <c r="E72" s="770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271"/>
      <c r="BD72" s="271"/>
      <c r="BE72" s="271"/>
    </row>
    <row r="73" spans="1:57" ht="15.75" customHeight="1" thickBot="1" x14ac:dyDescent="0.25">
      <c r="A73" s="782"/>
      <c r="B73" s="783"/>
      <c r="C73" s="768"/>
      <c r="D73" s="769"/>
      <c r="E73" s="770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1"/>
      <c r="AR73" s="271"/>
      <c r="AS73" s="271"/>
      <c r="AT73" s="271"/>
      <c r="AU73" s="271"/>
      <c r="AV73" s="271"/>
      <c r="AW73" s="271"/>
      <c r="AX73" s="271"/>
      <c r="AY73" s="271"/>
      <c r="AZ73" s="271"/>
      <c r="BA73" s="271"/>
      <c r="BB73" s="271"/>
      <c r="BC73" s="271"/>
      <c r="BD73" s="271"/>
      <c r="BE73" s="271"/>
    </row>
    <row r="74" spans="1:57" ht="15.75" customHeight="1" thickBot="1" x14ac:dyDescent="0.25">
      <c r="A74" s="784"/>
      <c r="B74" s="785"/>
      <c r="C74" s="786" t="s">
        <v>330</v>
      </c>
      <c r="D74" s="787"/>
      <c r="E74" s="788"/>
      <c r="F74" s="309">
        <f t="shared" ref="F74:AK74" si="15">SUM(F70:F73)</f>
        <v>0</v>
      </c>
      <c r="G74" s="310">
        <f t="shared" si="15"/>
        <v>0</v>
      </c>
      <c r="H74" s="309">
        <f t="shared" si="15"/>
        <v>0</v>
      </c>
      <c r="I74" s="310">
        <f t="shared" si="15"/>
        <v>0</v>
      </c>
      <c r="J74" s="309">
        <f t="shared" si="15"/>
        <v>0</v>
      </c>
      <c r="K74" s="310">
        <f t="shared" si="15"/>
        <v>0</v>
      </c>
      <c r="L74" s="309">
        <f t="shared" si="15"/>
        <v>0</v>
      </c>
      <c r="M74" s="310">
        <f t="shared" si="15"/>
        <v>0</v>
      </c>
      <c r="N74" s="271">
        <f t="shared" si="15"/>
        <v>0</v>
      </c>
      <c r="O74" s="310">
        <f t="shared" si="15"/>
        <v>0</v>
      </c>
      <c r="P74" s="271">
        <f t="shared" si="15"/>
        <v>0</v>
      </c>
      <c r="Q74" s="310">
        <f t="shared" si="15"/>
        <v>0</v>
      </c>
      <c r="R74" s="309">
        <f t="shared" si="15"/>
        <v>0</v>
      </c>
      <c r="S74" s="310">
        <f t="shared" si="15"/>
        <v>0</v>
      </c>
      <c r="T74" s="309">
        <f t="shared" si="15"/>
        <v>0</v>
      </c>
      <c r="U74" s="310">
        <f t="shared" si="15"/>
        <v>0</v>
      </c>
      <c r="V74" s="309">
        <f t="shared" si="15"/>
        <v>0</v>
      </c>
      <c r="W74" s="310">
        <f t="shared" si="15"/>
        <v>0</v>
      </c>
      <c r="X74" s="309">
        <f t="shared" si="15"/>
        <v>0</v>
      </c>
      <c r="Y74" s="310">
        <f t="shared" si="15"/>
        <v>0</v>
      </c>
      <c r="Z74" s="309">
        <f t="shared" si="15"/>
        <v>0</v>
      </c>
      <c r="AA74" s="310">
        <f t="shared" si="15"/>
        <v>0</v>
      </c>
      <c r="AB74" s="271">
        <f t="shared" si="15"/>
        <v>0</v>
      </c>
      <c r="AC74" s="310">
        <f t="shared" si="15"/>
        <v>0</v>
      </c>
      <c r="AD74" s="309">
        <f t="shared" si="15"/>
        <v>0</v>
      </c>
      <c r="AE74" s="310">
        <f t="shared" si="15"/>
        <v>0</v>
      </c>
      <c r="AF74" s="309">
        <f t="shared" si="15"/>
        <v>0</v>
      </c>
      <c r="AG74" s="310">
        <f t="shared" si="15"/>
        <v>0</v>
      </c>
      <c r="AH74" s="309">
        <f t="shared" si="15"/>
        <v>0</v>
      </c>
      <c r="AI74" s="310">
        <f t="shared" si="15"/>
        <v>0</v>
      </c>
      <c r="AJ74" s="309">
        <f t="shared" si="15"/>
        <v>0</v>
      </c>
      <c r="AK74" s="310">
        <f t="shared" si="15"/>
        <v>0</v>
      </c>
      <c r="AL74" s="309">
        <f t="shared" ref="AL74:BE74" si="16">SUM(AL70:AL73)</f>
        <v>0</v>
      </c>
      <c r="AM74" s="310">
        <f t="shared" si="16"/>
        <v>0</v>
      </c>
      <c r="AN74" s="309">
        <f t="shared" si="16"/>
        <v>0</v>
      </c>
      <c r="AO74" s="310">
        <f t="shared" si="16"/>
        <v>0</v>
      </c>
      <c r="AP74" s="309">
        <f t="shared" si="16"/>
        <v>0</v>
      </c>
      <c r="AQ74" s="310">
        <f t="shared" si="16"/>
        <v>0</v>
      </c>
      <c r="AR74" s="309">
        <f t="shared" si="16"/>
        <v>0</v>
      </c>
      <c r="AS74" s="310">
        <f t="shared" si="16"/>
        <v>0</v>
      </c>
      <c r="AT74" s="309">
        <f t="shared" si="16"/>
        <v>0</v>
      </c>
      <c r="AU74" s="310">
        <f t="shared" si="16"/>
        <v>0</v>
      </c>
      <c r="AV74" s="309">
        <f t="shared" si="16"/>
        <v>0</v>
      </c>
      <c r="AW74" s="310">
        <f t="shared" si="16"/>
        <v>0</v>
      </c>
      <c r="AX74" s="309">
        <f t="shared" si="16"/>
        <v>0</v>
      </c>
      <c r="AY74" s="310">
        <f t="shared" si="16"/>
        <v>0</v>
      </c>
      <c r="AZ74" s="271">
        <f t="shared" si="16"/>
        <v>0</v>
      </c>
      <c r="BA74" s="310">
        <f t="shared" si="16"/>
        <v>0</v>
      </c>
      <c r="BB74" s="271">
        <f t="shared" si="16"/>
        <v>0</v>
      </c>
      <c r="BC74" s="310">
        <f t="shared" si="16"/>
        <v>0</v>
      </c>
      <c r="BD74" s="271">
        <f t="shared" si="16"/>
        <v>0</v>
      </c>
      <c r="BE74" s="310">
        <f t="shared" si="16"/>
        <v>0</v>
      </c>
    </row>
    <row r="75" spans="1:57" ht="15.75" customHeight="1" thickBot="1" x14ac:dyDescent="0.25">
      <c r="A75" s="780">
        <v>45931</v>
      </c>
      <c r="B75" s="781"/>
      <c r="C75" s="774" t="s">
        <v>342</v>
      </c>
      <c r="D75" s="775"/>
      <c r="E75" s="776"/>
      <c r="F75" s="752" t="s">
        <v>29</v>
      </c>
      <c r="G75" s="752"/>
      <c r="H75" s="752" t="s">
        <v>30</v>
      </c>
      <c r="I75" s="752"/>
      <c r="J75" s="752" t="s">
        <v>31</v>
      </c>
      <c r="K75" s="752"/>
      <c r="L75" s="752" t="s">
        <v>32</v>
      </c>
      <c r="M75" s="752"/>
      <c r="N75" s="752" t="s">
        <v>33</v>
      </c>
      <c r="O75" s="752"/>
      <c r="P75" s="752" t="s">
        <v>247</v>
      </c>
      <c r="Q75" s="752"/>
      <c r="R75" s="752" t="s">
        <v>34</v>
      </c>
      <c r="S75" s="752"/>
      <c r="T75" s="752" t="s">
        <v>35</v>
      </c>
      <c r="U75" s="752"/>
      <c r="V75" s="752" t="s">
        <v>36</v>
      </c>
      <c r="W75" s="752"/>
      <c r="X75" s="752" t="s">
        <v>37</v>
      </c>
      <c r="Y75" s="752"/>
      <c r="Z75" s="752" t="s">
        <v>38</v>
      </c>
      <c r="AA75" s="752"/>
      <c r="AB75" s="752" t="s">
        <v>39</v>
      </c>
      <c r="AC75" s="752"/>
      <c r="AD75" s="752" t="s">
        <v>40</v>
      </c>
      <c r="AE75" s="752"/>
      <c r="AF75" s="752" t="s">
        <v>41</v>
      </c>
      <c r="AG75" s="752"/>
      <c r="AH75" s="752" t="s">
        <v>42</v>
      </c>
      <c r="AI75" s="752"/>
      <c r="AJ75" s="752" t="s">
        <v>43</v>
      </c>
      <c r="AK75" s="752"/>
      <c r="AL75" s="752" t="s">
        <v>157</v>
      </c>
      <c r="AM75" s="752"/>
      <c r="AN75" s="752" t="s">
        <v>248</v>
      </c>
      <c r="AO75" s="752"/>
      <c r="AP75" s="752" t="s">
        <v>249</v>
      </c>
      <c r="AQ75" s="752"/>
      <c r="AR75" s="752" t="s">
        <v>150</v>
      </c>
      <c r="AS75" s="752"/>
      <c r="AT75" s="752" t="s">
        <v>151</v>
      </c>
      <c r="AU75" s="752"/>
      <c r="AV75" s="752" t="s">
        <v>44</v>
      </c>
      <c r="AW75" s="752"/>
      <c r="AX75" s="752" t="s">
        <v>250</v>
      </c>
      <c r="AY75" s="752"/>
      <c r="AZ75" s="752" t="s">
        <v>45</v>
      </c>
      <c r="BA75" s="752"/>
      <c r="BB75" s="752" t="s">
        <v>46</v>
      </c>
      <c r="BC75" s="752"/>
      <c r="BD75" s="752" t="s">
        <v>92</v>
      </c>
      <c r="BE75" s="752"/>
    </row>
    <row r="76" spans="1:57" ht="15.75" customHeight="1" thickBot="1" x14ac:dyDescent="0.25">
      <c r="A76" s="782"/>
      <c r="B76" s="783"/>
      <c r="C76" s="777"/>
      <c r="D76" s="778"/>
      <c r="E76" s="779"/>
      <c r="F76" s="752" t="s">
        <v>50</v>
      </c>
      <c r="G76" s="752"/>
      <c r="H76" s="752" t="s">
        <v>51</v>
      </c>
      <c r="I76" s="752"/>
      <c r="J76" s="752" t="s">
        <v>51</v>
      </c>
      <c r="K76" s="752"/>
      <c r="L76" s="752" t="s">
        <v>52</v>
      </c>
      <c r="M76" s="752"/>
      <c r="N76" s="752">
        <v>180</v>
      </c>
      <c r="O76" s="752"/>
      <c r="P76" s="752" t="s">
        <v>53</v>
      </c>
      <c r="Q76" s="752"/>
      <c r="R76" s="752" t="s">
        <v>54</v>
      </c>
      <c r="S76" s="752"/>
      <c r="T76" s="752" t="s">
        <v>54</v>
      </c>
      <c r="U76" s="752"/>
      <c r="V76" s="752" t="s">
        <v>55</v>
      </c>
      <c r="W76" s="752"/>
      <c r="X76" s="752" t="s">
        <v>54</v>
      </c>
      <c r="Y76" s="752"/>
      <c r="Z76" s="752" t="s">
        <v>54</v>
      </c>
      <c r="AA76" s="752"/>
      <c r="AB76" s="752" t="s">
        <v>56</v>
      </c>
      <c r="AC76" s="752"/>
      <c r="AD76" s="752" t="s">
        <v>57</v>
      </c>
      <c r="AE76" s="752"/>
      <c r="AF76" s="752" t="s">
        <v>57</v>
      </c>
      <c r="AG76" s="752"/>
      <c r="AH76" s="752" t="s">
        <v>58</v>
      </c>
      <c r="AI76" s="752"/>
      <c r="AJ76" s="752" t="s">
        <v>300</v>
      </c>
      <c r="AK76" s="752"/>
      <c r="AL76" s="752" t="s">
        <v>301</v>
      </c>
      <c r="AM76" s="752"/>
      <c r="AN76" s="752">
        <v>20</v>
      </c>
      <c r="AO76" s="752"/>
      <c r="AP76" s="752">
        <v>20</v>
      </c>
      <c r="AQ76" s="752"/>
      <c r="AR76" s="752" t="s">
        <v>57</v>
      </c>
      <c r="AS76" s="752"/>
      <c r="AT76" s="752" t="s">
        <v>302</v>
      </c>
      <c r="AU76" s="752"/>
      <c r="AV76" s="752">
        <v>100</v>
      </c>
      <c r="AW76" s="752"/>
      <c r="AX76" s="752">
        <v>100</v>
      </c>
      <c r="AY76" s="752"/>
      <c r="AZ76" s="752" t="s">
        <v>59</v>
      </c>
      <c r="BA76" s="752"/>
      <c r="BB76" s="752" t="s">
        <v>51</v>
      </c>
      <c r="BC76" s="752"/>
      <c r="BD76" s="752" t="s">
        <v>53</v>
      </c>
      <c r="BE76" s="752"/>
    </row>
    <row r="77" spans="1:57" ht="15.75" customHeight="1" thickBot="1" x14ac:dyDescent="0.25">
      <c r="A77" s="782"/>
      <c r="B77" s="783"/>
      <c r="C77" s="768" t="s">
        <v>362</v>
      </c>
      <c r="D77" s="769"/>
      <c r="E77" s="770"/>
      <c r="F77" s="116" t="s">
        <v>268</v>
      </c>
      <c r="G77" s="116" t="s">
        <v>19</v>
      </c>
      <c r="H77" s="116" t="s">
        <v>268</v>
      </c>
      <c r="I77" s="116" t="s">
        <v>19</v>
      </c>
      <c r="J77" s="116" t="s">
        <v>268</v>
      </c>
      <c r="K77" s="116" t="s">
        <v>19</v>
      </c>
      <c r="L77" s="116" t="s">
        <v>268</v>
      </c>
      <c r="M77" s="116" t="s">
        <v>19</v>
      </c>
      <c r="N77" s="116" t="s">
        <v>268</v>
      </c>
      <c r="O77" s="116" t="s">
        <v>19</v>
      </c>
      <c r="P77" s="116" t="s">
        <v>268</v>
      </c>
      <c r="Q77" s="116" t="s">
        <v>19</v>
      </c>
      <c r="R77" s="116" t="s">
        <v>268</v>
      </c>
      <c r="S77" s="116" t="s">
        <v>19</v>
      </c>
      <c r="T77" s="116" t="s">
        <v>268</v>
      </c>
      <c r="U77" s="116" t="s">
        <v>19</v>
      </c>
      <c r="V77" s="116" t="s">
        <v>268</v>
      </c>
      <c r="W77" s="116" t="s">
        <v>19</v>
      </c>
      <c r="X77" s="116" t="s">
        <v>268</v>
      </c>
      <c r="Y77" s="116" t="s">
        <v>19</v>
      </c>
      <c r="Z77" s="116" t="s">
        <v>268</v>
      </c>
      <c r="AA77" s="116" t="s">
        <v>19</v>
      </c>
      <c r="AB77" s="116" t="s">
        <v>268</v>
      </c>
      <c r="AC77" s="116" t="s">
        <v>19</v>
      </c>
      <c r="AD77" s="116" t="s">
        <v>268</v>
      </c>
      <c r="AE77" s="116" t="s">
        <v>19</v>
      </c>
      <c r="AF77" s="116" t="s">
        <v>268</v>
      </c>
      <c r="AG77" s="116" t="s">
        <v>19</v>
      </c>
      <c r="AH77" s="116" t="s">
        <v>268</v>
      </c>
      <c r="AI77" s="116" t="s">
        <v>19</v>
      </c>
      <c r="AJ77" s="116" t="s">
        <v>268</v>
      </c>
      <c r="AK77" s="116" t="s">
        <v>19</v>
      </c>
      <c r="AL77" s="116" t="s">
        <v>268</v>
      </c>
      <c r="AM77" s="116" t="s">
        <v>19</v>
      </c>
      <c r="AN77" s="116" t="s">
        <v>268</v>
      </c>
      <c r="AO77" s="116" t="s">
        <v>19</v>
      </c>
      <c r="AP77" s="116" t="s">
        <v>268</v>
      </c>
      <c r="AQ77" s="116" t="s">
        <v>19</v>
      </c>
      <c r="AR77" s="116" t="s">
        <v>268</v>
      </c>
      <c r="AS77" s="116" t="s">
        <v>19</v>
      </c>
      <c r="AT77" s="116" t="s">
        <v>268</v>
      </c>
      <c r="AU77" s="116" t="s">
        <v>19</v>
      </c>
      <c r="AV77" s="116" t="s">
        <v>268</v>
      </c>
      <c r="AW77" s="116" t="s">
        <v>19</v>
      </c>
      <c r="AX77" s="116" t="s">
        <v>268</v>
      </c>
      <c r="AY77" s="116" t="s">
        <v>19</v>
      </c>
      <c r="AZ77" s="116" t="s">
        <v>268</v>
      </c>
      <c r="BA77" s="116" t="s">
        <v>19</v>
      </c>
      <c r="BB77" s="116" t="s">
        <v>268</v>
      </c>
      <c r="BC77" s="116" t="s">
        <v>19</v>
      </c>
      <c r="BD77" s="116" t="s">
        <v>268</v>
      </c>
      <c r="BE77" s="116" t="s">
        <v>19</v>
      </c>
    </row>
    <row r="78" spans="1:57" ht="15.75" customHeight="1" thickBot="1" x14ac:dyDescent="0.25">
      <c r="A78" s="782"/>
      <c r="B78" s="783"/>
      <c r="C78" s="768"/>
      <c r="D78" s="769"/>
      <c r="E78" s="770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1"/>
      <c r="AX78" s="271"/>
      <c r="AY78" s="271"/>
      <c r="AZ78" s="271"/>
      <c r="BA78" s="271"/>
      <c r="BB78" s="271"/>
      <c r="BC78" s="271"/>
      <c r="BD78" s="271"/>
      <c r="BE78" s="271"/>
    </row>
    <row r="79" spans="1:57" ht="15.75" customHeight="1" thickBot="1" x14ac:dyDescent="0.25">
      <c r="A79" s="782"/>
      <c r="B79" s="783"/>
      <c r="C79" s="768"/>
      <c r="D79" s="769"/>
      <c r="E79" s="770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1"/>
      <c r="AR79" s="271"/>
      <c r="AS79" s="271"/>
      <c r="AT79" s="271"/>
      <c r="AU79" s="271"/>
      <c r="AV79" s="271"/>
      <c r="AW79" s="271"/>
      <c r="AX79" s="271"/>
      <c r="AY79" s="271"/>
      <c r="AZ79" s="271"/>
      <c r="BA79" s="271"/>
      <c r="BB79" s="271"/>
      <c r="BC79" s="271"/>
      <c r="BD79" s="271"/>
      <c r="BE79" s="271"/>
    </row>
    <row r="80" spans="1:57" ht="15.75" customHeight="1" thickBot="1" x14ac:dyDescent="0.25">
      <c r="A80" s="782"/>
      <c r="B80" s="783"/>
      <c r="C80" s="768"/>
      <c r="D80" s="769"/>
      <c r="E80" s="770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1"/>
      <c r="AU80" s="271"/>
      <c r="AV80" s="271"/>
      <c r="AW80" s="271"/>
      <c r="AX80" s="271"/>
      <c r="AY80" s="271"/>
      <c r="AZ80" s="271"/>
      <c r="BA80" s="271"/>
      <c r="BB80" s="271"/>
      <c r="BC80" s="271"/>
      <c r="BD80" s="271"/>
      <c r="BE80" s="271"/>
    </row>
    <row r="81" spans="1:57" ht="15.75" customHeight="1" thickBot="1" x14ac:dyDescent="0.25">
      <c r="A81" s="782"/>
      <c r="B81" s="783"/>
      <c r="C81" s="768"/>
      <c r="D81" s="769"/>
      <c r="E81" s="770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</row>
    <row r="82" spans="1:57" ht="15.75" customHeight="1" thickBot="1" x14ac:dyDescent="0.25">
      <c r="A82" s="784"/>
      <c r="B82" s="785"/>
      <c r="C82" s="786" t="s">
        <v>330</v>
      </c>
      <c r="D82" s="787"/>
      <c r="E82" s="788"/>
      <c r="F82" s="309">
        <f t="shared" ref="F82:AK82" si="17">SUM(F78:F81)</f>
        <v>0</v>
      </c>
      <c r="G82" s="310">
        <f t="shared" si="17"/>
        <v>0</v>
      </c>
      <c r="H82" s="309">
        <f t="shared" si="17"/>
        <v>0</v>
      </c>
      <c r="I82" s="310">
        <f t="shared" si="17"/>
        <v>0</v>
      </c>
      <c r="J82" s="309">
        <f t="shared" si="17"/>
        <v>0</v>
      </c>
      <c r="K82" s="310">
        <f t="shared" si="17"/>
        <v>0</v>
      </c>
      <c r="L82" s="309">
        <f t="shared" si="17"/>
        <v>0</v>
      </c>
      <c r="M82" s="310">
        <f t="shared" si="17"/>
        <v>0</v>
      </c>
      <c r="N82" s="271">
        <f t="shared" si="17"/>
        <v>0</v>
      </c>
      <c r="O82" s="310">
        <f t="shared" si="17"/>
        <v>0</v>
      </c>
      <c r="P82" s="271">
        <f t="shared" si="17"/>
        <v>0</v>
      </c>
      <c r="Q82" s="310">
        <f t="shared" si="17"/>
        <v>0</v>
      </c>
      <c r="R82" s="309">
        <f t="shared" si="17"/>
        <v>0</v>
      </c>
      <c r="S82" s="310">
        <f t="shared" si="17"/>
        <v>0</v>
      </c>
      <c r="T82" s="309">
        <f t="shared" si="17"/>
        <v>0</v>
      </c>
      <c r="U82" s="310">
        <f t="shared" si="17"/>
        <v>0</v>
      </c>
      <c r="V82" s="309">
        <f t="shared" si="17"/>
        <v>0</v>
      </c>
      <c r="W82" s="310">
        <f t="shared" si="17"/>
        <v>0</v>
      </c>
      <c r="X82" s="309">
        <f t="shared" si="17"/>
        <v>0</v>
      </c>
      <c r="Y82" s="310">
        <f t="shared" si="17"/>
        <v>0</v>
      </c>
      <c r="Z82" s="309">
        <f t="shared" si="17"/>
        <v>0</v>
      </c>
      <c r="AA82" s="310">
        <f t="shared" si="17"/>
        <v>0</v>
      </c>
      <c r="AB82" s="271">
        <f t="shared" si="17"/>
        <v>0</v>
      </c>
      <c r="AC82" s="310">
        <f t="shared" si="17"/>
        <v>0</v>
      </c>
      <c r="AD82" s="309">
        <f t="shared" si="17"/>
        <v>0</v>
      </c>
      <c r="AE82" s="310">
        <f t="shared" si="17"/>
        <v>0</v>
      </c>
      <c r="AF82" s="309">
        <f t="shared" si="17"/>
        <v>0</v>
      </c>
      <c r="AG82" s="310">
        <f t="shared" si="17"/>
        <v>0</v>
      </c>
      <c r="AH82" s="309">
        <f t="shared" si="17"/>
        <v>0</v>
      </c>
      <c r="AI82" s="310">
        <f t="shared" si="17"/>
        <v>0</v>
      </c>
      <c r="AJ82" s="309">
        <f t="shared" si="17"/>
        <v>0</v>
      </c>
      <c r="AK82" s="310">
        <f t="shared" si="17"/>
        <v>0</v>
      </c>
      <c r="AL82" s="309">
        <f t="shared" ref="AL82:BE82" si="18">SUM(AL78:AL81)</f>
        <v>0</v>
      </c>
      <c r="AM82" s="310">
        <f t="shared" si="18"/>
        <v>0</v>
      </c>
      <c r="AN82" s="309">
        <f t="shared" si="18"/>
        <v>0</v>
      </c>
      <c r="AO82" s="310">
        <f t="shared" si="18"/>
        <v>0</v>
      </c>
      <c r="AP82" s="309">
        <f t="shared" si="18"/>
        <v>0</v>
      </c>
      <c r="AQ82" s="310">
        <f t="shared" si="18"/>
        <v>0</v>
      </c>
      <c r="AR82" s="309">
        <f t="shared" si="18"/>
        <v>0</v>
      </c>
      <c r="AS82" s="310">
        <f t="shared" si="18"/>
        <v>0</v>
      </c>
      <c r="AT82" s="309">
        <f t="shared" si="18"/>
        <v>0</v>
      </c>
      <c r="AU82" s="310">
        <f t="shared" si="18"/>
        <v>0</v>
      </c>
      <c r="AV82" s="309">
        <f t="shared" si="18"/>
        <v>0</v>
      </c>
      <c r="AW82" s="310">
        <f t="shared" si="18"/>
        <v>0</v>
      </c>
      <c r="AX82" s="309">
        <f t="shared" si="18"/>
        <v>0</v>
      </c>
      <c r="AY82" s="310">
        <f t="shared" si="18"/>
        <v>0</v>
      </c>
      <c r="AZ82" s="271">
        <f t="shared" si="18"/>
        <v>0</v>
      </c>
      <c r="BA82" s="310">
        <f t="shared" si="18"/>
        <v>0</v>
      </c>
      <c r="BB82" s="271">
        <f t="shared" si="18"/>
        <v>0</v>
      </c>
      <c r="BC82" s="310">
        <f t="shared" si="18"/>
        <v>0</v>
      </c>
      <c r="BD82" s="271">
        <f t="shared" si="18"/>
        <v>0</v>
      </c>
      <c r="BE82" s="310">
        <f t="shared" si="18"/>
        <v>0</v>
      </c>
    </row>
    <row r="83" spans="1:57" ht="15.75" customHeight="1" thickBot="1" x14ac:dyDescent="0.25">
      <c r="A83" s="780">
        <v>45962</v>
      </c>
      <c r="B83" s="781"/>
      <c r="C83" s="774" t="s">
        <v>342</v>
      </c>
      <c r="D83" s="775"/>
      <c r="E83" s="776"/>
      <c r="F83" s="752" t="s">
        <v>29</v>
      </c>
      <c r="G83" s="752"/>
      <c r="H83" s="752" t="s">
        <v>30</v>
      </c>
      <c r="I83" s="752"/>
      <c r="J83" s="752" t="s">
        <v>31</v>
      </c>
      <c r="K83" s="752"/>
      <c r="L83" s="752" t="s">
        <v>32</v>
      </c>
      <c r="M83" s="752"/>
      <c r="N83" s="752" t="s">
        <v>33</v>
      </c>
      <c r="O83" s="752"/>
      <c r="P83" s="752" t="s">
        <v>247</v>
      </c>
      <c r="Q83" s="752"/>
      <c r="R83" s="752" t="s">
        <v>34</v>
      </c>
      <c r="S83" s="752"/>
      <c r="T83" s="752" t="s">
        <v>35</v>
      </c>
      <c r="U83" s="752"/>
      <c r="V83" s="752" t="s">
        <v>36</v>
      </c>
      <c r="W83" s="752"/>
      <c r="X83" s="752" t="s">
        <v>37</v>
      </c>
      <c r="Y83" s="752"/>
      <c r="Z83" s="752" t="s">
        <v>38</v>
      </c>
      <c r="AA83" s="752"/>
      <c r="AB83" s="752" t="s">
        <v>39</v>
      </c>
      <c r="AC83" s="752"/>
      <c r="AD83" s="752" t="s">
        <v>40</v>
      </c>
      <c r="AE83" s="752"/>
      <c r="AF83" s="752" t="s">
        <v>41</v>
      </c>
      <c r="AG83" s="752"/>
      <c r="AH83" s="752" t="s">
        <v>42</v>
      </c>
      <c r="AI83" s="752"/>
      <c r="AJ83" s="752" t="s">
        <v>43</v>
      </c>
      <c r="AK83" s="752"/>
      <c r="AL83" s="752" t="s">
        <v>157</v>
      </c>
      <c r="AM83" s="752"/>
      <c r="AN83" s="752" t="s">
        <v>248</v>
      </c>
      <c r="AO83" s="752"/>
      <c r="AP83" s="752" t="s">
        <v>249</v>
      </c>
      <c r="AQ83" s="752"/>
      <c r="AR83" s="752" t="s">
        <v>150</v>
      </c>
      <c r="AS83" s="752"/>
      <c r="AT83" s="752" t="s">
        <v>151</v>
      </c>
      <c r="AU83" s="752"/>
      <c r="AV83" s="752" t="s">
        <v>44</v>
      </c>
      <c r="AW83" s="752"/>
      <c r="AX83" s="752" t="s">
        <v>250</v>
      </c>
      <c r="AY83" s="752"/>
      <c r="AZ83" s="752" t="s">
        <v>45</v>
      </c>
      <c r="BA83" s="752"/>
      <c r="BB83" s="752" t="s">
        <v>46</v>
      </c>
      <c r="BC83" s="752"/>
      <c r="BD83" s="752" t="s">
        <v>92</v>
      </c>
      <c r="BE83" s="752"/>
    </row>
    <row r="84" spans="1:57" ht="15.75" customHeight="1" thickBot="1" x14ac:dyDescent="0.25">
      <c r="A84" s="782"/>
      <c r="B84" s="783"/>
      <c r="C84" s="777"/>
      <c r="D84" s="778"/>
      <c r="E84" s="779"/>
      <c r="F84" s="752" t="s">
        <v>50</v>
      </c>
      <c r="G84" s="752"/>
      <c r="H84" s="752" t="s">
        <v>51</v>
      </c>
      <c r="I84" s="752"/>
      <c r="J84" s="752" t="s">
        <v>51</v>
      </c>
      <c r="K84" s="752"/>
      <c r="L84" s="752" t="s">
        <v>52</v>
      </c>
      <c r="M84" s="752"/>
      <c r="N84" s="752">
        <v>180</v>
      </c>
      <c r="O84" s="752"/>
      <c r="P84" s="752" t="s">
        <v>53</v>
      </c>
      <c r="Q84" s="752"/>
      <c r="R84" s="752" t="s">
        <v>54</v>
      </c>
      <c r="S84" s="752"/>
      <c r="T84" s="752" t="s">
        <v>54</v>
      </c>
      <c r="U84" s="752"/>
      <c r="V84" s="752" t="s">
        <v>55</v>
      </c>
      <c r="W84" s="752"/>
      <c r="X84" s="752" t="s">
        <v>54</v>
      </c>
      <c r="Y84" s="752"/>
      <c r="Z84" s="752" t="s">
        <v>54</v>
      </c>
      <c r="AA84" s="752"/>
      <c r="AB84" s="752" t="s">
        <v>56</v>
      </c>
      <c r="AC84" s="752"/>
      <c r="AD84" s="752" t="s">
        <v>57</v>
      </c>
      <c r="AE84" s="752"/>
      <c r="AF84" s="752" t="s">
        <v>57</v>
      </c>
      <c r="AG84" s="752"/>
      <c r="AH84" s="752" t="s">
        <v>58</v>
      </c>
      <c r="AI84" s="752"/>
      <c r="AJ84" s="752" t="s">
        <v>300</v>
      </c>
      <c r="AK84" s="752"/>
      <c r="AL84" s="752" t="s">
        <v>301</v>
      </c>
      <c r="AM84" s="752"/>
      <c r="AN84" s="752">
        <v>20</v>
      </c>
      <c r="AO84" s="752"/>
      <c r="AP84" s="752">
        <v>20</v>
      </c>
      <c r="AQ84" s="752"/>
      <c r="AR84" s="752" t="s">
        <v>57</v>
      </c>
      <c r="AS84" s="752"/>
      <c r="AT84" s="752" t="s">
        <v>302</v>
      </c>
      <c r="AU84" s="752"/>
      <c r="AV84" s="752">
        <v>100</v>
      </c>
      <c r="AW84" s="752"/>
      <c r="AX84" s="752">
        <v>100</v>
      </c>
      <c r="AY84" s="752"/>
      <c r="AZ84" s="752" t="s">
        <v>59</v>
      </c>
      <c r="BA84" s="752"/>
      <c r="BB84" s="752" t="s">
        <v>51</v>
      </c>
      <c r="BC84" s="752"/>
      <c r="BD84" s="752" t="s">
        <v>53</v>
      </c>
      <c r="BE84" s="752"/>
    </row>
    <row r="85" spans="1:57" ht="15.75" customHeight="1" thickBot="1" x14ac:dyDescent="0.25">
      <c r="A85" s="782"/>
      <c r="B85" s="783"/>
      <c r="C85" s="768" t="s">
        <v>362</v>
      </c>
      <c r="D85" s="769"/>
      <c r="E85" s="770"/>
      <c r="F85" s="116" t="s">
        <v>268</v>
      </c>
      <c r="G85" s="116" t="s">
        <v>19</v>
      </c>
      <c r="H85" s="116" t="s">
        <v>268</v>
      </c>
      <c r="I85" s="116" t="s">
        <v>19</v>
      </c>
      <c r="J85" s="116" t="s">
        <v>268</v>
      </c>
      <c r="K85" s="116" t="s">
        <v>19</v>
      </c>
      <c r="L85" s="116" t="s">
        <v>268</v>
      </c>
      <c r="M85" s="116" t="s">
        <v>19</v>
      </c>
      <c r="N85" s="116" t="s">
        <v>268</v>
      </c>
      <c r="O85" s="116" t="s">
        <v>19</v>
      </c>
      <c r="P85" s="116" t="s">
        <v>268</v>
      </c>
      <c r="Q85" s="116" t="s">
        <v>19</v>
      </c>
      <c r="R85" s="116" t="s">
        <v>268</v>
      </c>
      <c r="S85" s="116" t="s">
        <v>19</v>
      </c>
      <c r="T85" s="116" t="s">
        <v>268</v>
      </c>
      <c r="U85" s="116" t="s">
        <v>19</v>
      </c>
      <c r="V85" s="116" t="s">
        <v>268</v>
      </c>
      <c r="W85" s="116" t="s">
        <v>19</v>
      </c>
      <c r="X85" s="116" t="s">
        <v>268</v>
      </c>
      <c r="Y85" s="116" t="s">
        <v>19</v>
      </c>
      <c r="Z85" s="116" t="s">
        <v>268</v>
      </c>
      <c r="AA85" s="116" t="s">
        <v>19</v>
      </c>
      <c r="AB85" s="116" t="s">
        <v>268</v>
      </c>
      <c r="AC85" s="116" t="s">
        <v>19</v>
      </c>
      <c r="AD85" s="116" t="s">
        <v>268</v>
      </c>
      <c r="AE85" s="116" t="s">
        <v>19</v>
      </c>
      <c r="AF85" s="116" t="s">
        <v>268</v>
      </c>
      <c r="AG85" s="116" t="s">
        <v>19</v>
      </c>
      <c r="AH85" s="116" t="s">
        <v>268</v>
      </c>
      <c r="AI85" s="116" t="s">
        <v>19</v>
      </c>
      <c r="AJ85" s="116" t="s">
        <v>268</v>
      </c>
      <c r="AK85" s="116" t="s">
        <v>19</v>
      </c>
      <c r="AL85" s="116" t="s">
        <v>268</v>
      </c>
      <c r="AM85" s="116" t="s">
        <v>19</v>
      </c>
      <c r="AN85" s="116" t="s">
        <v>268</v>
      </c>
      <c r="AO85" s="116" t="s">
        <v>19</v>
      </c>
      <c r="AP85" s="116" t="s">
        <v>268</v>
      </c>
      <c r="AQ85" s="116" t="s">
        <v>19</v>
      </c>
      <c r="AR85" s="116" t="s">
        <v>268</v>
      </c>
      <c r="AS85" s="116" t="s">
        <v>19</v>
      </c>
      <c r="AT85" s="116" t="s">
        <v>268</v>
      </c>
      <c r="AU85" s="116" t="s">
        <v>19</v>
      </c>
      <c r="AV85" s="116" t="s">
        <v>268</v>
      </c>
      <c r="AW85" s="116" t="s">
        <v>19</v>
      </c>
      <c r="AX85" s="116" t="s">
        <v>268</v>
      </c>
      <c r="AY85" s="116" t="s">
        <v>19</v>
      </c>
      <c r="AZ85" s="116" t="s">
        <v>268</v>
      </c>
      <c r="BA85" s="116" t="s">
        <v>19</v>
      </c>
      <c r="BB85" s="116" t="s">
        <v>268</v>
      </c>
      <c r="BC85" s="116" t="s">
        <v>19</v>
      </c>
      <c r="BD85" s="116" t="s">
        <v>268</v>
      </c>
      <c r="BE85" s="116" t="s">
        <v>19</v>
      </c>
    </row>
    <row r="86" spans="1:57" ht="15.75" customHeight="1" thickBot="1" x14ac:dyDescent="0.25">
      <c r="A86" s="782"/>
      <c r="B86" s="783"/>
      <c r="C86" s="768"/>
      <c r="D86" s="769"/>
      <c r="E86" s="770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1"/>
      <c r="AZ86" s="271"/>
      <c r="BA86" s="271"/>
      <c r="BB86" s="271"/>
      <c r="BC86" s="271"/>
      <c r="BD86" s="271"/>
      <c r="BE86" s="271"/>
    </row>
    <row r="87" spans="1:57" ht="15.75" customHeight="1" thickBot="1" x14ac:dyDescent="0.25">
      <c r="A87" s="782"/>
      <c r="B87" s="783"/>
      <c r="C87" s="768"/>
      <c r="D87" s="769"/>
      <c r="E87" s="770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  <c r="AO87" s="271"/>
      <c r="AP87" s="271"/>
      <c r="AQ87" s="271"/>
      <c r="AR87" s="271"/>
      <c r="AS87" s="271"/>
      <c r="AT87" s="271"/>
      <c r="AU87" s="271"/>
      <c r="AV87" s="271"/>
      <c r="AW87" s="271"/>
      <c r="AX87" s="271"/>
      <c r="AY87" s="271"/>
      <c r="AZ87" s="271"/>
      <c r="BA87" s="271"/>
      <c r="BB87" s="271"/>
      <c r="BC87" s="271"/>
      <c r="BD87" s="271"/>
      <c r="BE87" s="271"/>
    </row>
    <row r="88" spans="1:57" ht="15.75" customHeight="1" thickBot="1" x14ac:dyDescent="0.25">
      <c r="A88" s="782"/>
      <c r="B88" s="783"/>
      <c r="C88" s="768"/>
      <c r="D88" s="769"/>
      <c r="E88" s="770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  <c r="AO88" s="271"/>
      <c r="AP88" s="271"/>
      <c r="AQ88" s="271"/>
      <c r="AR88" s="271"/>
      <c r="AS88" s="271"/>
      <c r="AT88" s="271"/>
      <c r="AU88" s="271"/>
      <c r="AV88" s="271"/>
      <c r="AW88" s="271"/>
      <c r="AX88" s="271"/>
      <c r="AY88" s="271"/>
      <c r="AZ88" s="271"/>
      <c r="BA88" s="271"/>
      <c r="BB88" s="271"/>
      <c r="BC88" s="271"/>
      <c r="BD88" s="271"/>
      <c r="BE88" s="271"/>
    </row>
    <row r="89" spans="1:57" ht="15.75" customHeight="1" thickBot="1" x14ac:dyDescent="0.25">
      <c r="A89" s="782"/>
      <c r="B89" s="783"/>
      <c r="C89" s="768"/>
      <c r="D89" s="769"/>
      <c r="E89" s="770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1"/>
      <c r="AU89" s="271"/>
      <c r="AV89" s="271"/>
      <c r="AW89" s="271"/>
      <c r="AX89" s="271"/>
      <c r="AY89" s="271"/>
      <c r="AZ89" s="271"/>
      <c r="BA89" s="271"/>
      <c r="BB89" s="271"/>
      <c r="BC89" s="271"/>
      <c r="BD89" s="271"/>
      <c r="BE89" s="271"/>
    </row>
    <row r="90" spans="1:57" ht="15.75" customHeight="1" thickBot="1" x14ac:dyDescent="0.25">
      <c r="A90" s="784"/>
      <c r="B90" s="785"/>
      <c r="C90" s="786" t="s">
        <v>330</v>
      </c>
      <c r="D90" s="787"/>
      <c r="E90" s="788"/>
      <c r="F90" s="309">
        <f t="shared" ref="F90:AK90" si="19">SUM(F86:F89)</f>
        <v>0</v>
      </c>
      <c r="G90" s="310">
        <f t="shared" si="19"/>
        <v>0</v>
      </c>
      <c r="H90" s="309">
        <f t="shared" si="19"/>
        <v>0</v>
      </c>
      <c r="I90" s="310">
        <f t="shared" si="19"/>
        <v>0</v>
      </c>
      <c r="J90" s="309">
        <f t="shared" si="19"/>
        <v>0</v>
      </c>
      <c r="K90" s="310">
        <f t="shared" si="19"/>
        <v>0</v>
      </c>
      <c r="L90" s="309">
        <f t="shared" si="19"/>
        <v>0</v>
      </c>
      <c r="M90" s="310">
        <f t="shared" si="19"/>
        <v>0</v>
      </c>
      <c r="N90" s="271">
        <f t="shared" si="19"/>
        <v>0</v>
      </c>
      <c r="O90" s="310">
        <f t="shared" si="19"/>
        <v>0</v>
      </c>
      <c r="P90" s="271">
        <f t="shared" si="19"/>
        <v>0</v>
      </c>
      <c r="Q90" s="310">
        <f t="shared" si="19"/>
        <v>0</v>
      </c>
      <c r="R90" s="309">
        <f t="shared" si="19"/>
        <v>0</v>
      </c>
      <c r="S90" s="310">
        <f t="shared" si="19"/>
        <v>0</v>
      </c>
      <c r="T90" s="309">
        <f t="shared" si="19"/>
        <v>0</v>
      </c>
      <c r="U90" s="310">
        <f t="shared" si="19"/>
        <v>0</v>
      </c>
      <c r="V90" s="309">
        <f t="shared" si="19"/>
        <v>0</v>
      </c>
      <c r="W90" s="310">
        <f t="shared" si="19"/>
        <v>0</v>
      </c>
      <c r="X90" s="309">
        <f t="shared" si="19"/>
        <v>0</v>
      </c>
      <c r="Y90" s="310">
        <f t="shared" si="19"/>
        <v>0</v>
      </c>
      <c r="Z90" s="309">
        <f t="shared" si="19"/>
        <v>0</v>
      </c>
      <c r="AA90" s="310">
        <f t="shared" si="19"/>
        <v>0</v>
      </c>
      <c r="AB90" s="271">
        <f t="shared" si="19"/>
        <v>0</v>
      </c>
      <c r="AC90" s="310">
        <f t="shared" si="19"/>
        <v>0</v>
      </c>
      <c r="AD90" s="309">
        <f t="shared" si="19"/>
        <v>0</v>
      </c>
      <c r="AE90" s="310">
        <f t="shared" si="19"/>
        <v>0</v>
      </c>
      <c r="AF90" s="309">
        <f t="shared" si="19"/>
        <v>0</v>
      </c>
      <c r="AG90" s="310">
        <f t="shared" si="19"/>
        <v>0</v>
      </c>
      <c r="AH90" s="309">
        <f t="shared" si="19"/>
        <v>0</v>
      </c>
      <c r="AI90" s="310">
        <f t="shared" si="19"/>
        <v>0</v>
      </c>
      <c r="AJ90" s="309">
        <f t="shared" si="19"/>
        <v>0</v>
      </c>
      <c r="AK90" s="310">
        <f t="shared" si="19"/>
        <v>0</v>
      </c>
      <c r="AL90" s="309">
        <f t="shared" ref="AL90:BE90" si="20">SUM(AL86:AL89)</f>
        <v>0</v>
      </c>
      <c r="AM90" s="310">
        <f t="shared" si="20"/>
        <v>0</v>
      </c>
      <c r="AN90" s="309">
        <f t="shared" si="20"/>
        <v>0</v>
      </c>
      <c r="AO90" s="310">
        <f t="shared" si="20"/>
        <v>0</v>
      </c>
      <c r="AP90" s="309">
        <f t="shared" si="20"/>
        <v>0</v>
      </c>
      <c r="AQ90" s="310">
        <f t="shared" si="20"/>
        <v>0</v>
      </c>
      <c r="AR90" s="309">
        <f t="shared" si="20"/>
        <v>0</v>
      </c>
      <c r="AS90" s="310">
        <f t="shared" si="20"/>
        <v>0</v>
      </c>
      <c r="AT90" s="309">
        <f t="shared" si="20"/>
        <v>0</v>
      </c>
      <c r="AU90" s="310">
        <f t="shared" si="20"/>
        <v>0</v>
      </c>
      <c r="AV90" s="309">
        <f t="shared" si="20"/>
        <v>0</v>
      </c>
      <c r="AW90" s="310">
        <f t="shared" si="20"/>
        <v>0</v>
      </c>
      <c r="AX90" s="309">
        <f t="shared" si="20"/>
        <v>0</v>
      </c>
      <c r="AY90" s="310">
        <f t="shared" si="20"/>
        <v>0</v>
      </c>
      <c r="AZ90" s="271">
        <f t="shared" si="20"/>
        <v>0</v>
      </c>
      <c r="BA90" s="310">
        <f t="shared" si="20"/>
        <v>0</v>
      </c>
      <c r="BB90" s="271">
        <f t="shared" si="20"/>
        <v>0</v>
      </c>
      <c r="BC90" s="310">
        <f t="shared" si="20"/>
        <v>0</v>
      </c>
      <c r="BD90" s="271">
        <f t="shared" si="20"/>
        <v>0</v>
      </c>
      <c r="BE90" s="310">
        <f t="shared" si="20"/>
        <v>0</v>
      </c>
    </row>
    <row r="91" spans="1:57" ht="15.75" customHeight="1" thickBot="1" x14ac:dyDescent="0.25">
      <c r="A91" s="780">
        <v>45992</v>
      </c>
      <c r="B91" s="781"/>
      <c r="C91" s="774" t="s">
        <v>342</v>
      </c>
      <c r="D91" s="775"/>
      <c r="E91" s="776"/>
      <c r="F91" s="752" t="s">
        <v>29</v>
      </c>
      <c r="G91" s="752"/>
      <c r="H91" s="752" t="s">
        <v>30</v>
      </c>
      <c r="I91" s="752"/>
      <c r="J91" s="752" t="s">
        <v>31</v>
      </c>
      <c r="K91" s="752"/>
      <c r="L91" s="752" t="s">
        <v>32</v>
      </c>
      <c r="M91" s="752"/>
      <c r="N91" s="752" t="s">
        <v>33</v>
      </c>
      <c r="O91" s="752"/>
      <c r="P91" s="752" t="s">
        <v>247</v>
      </c>
      <c r="Q91" s="752"/>
      <c r="R91" s="752" t="s">
        <v>34</v>
      </c>
      <c r="S91" s="752"/>
      <c r="T91" s="752" t="s">
        <v>35</v>
      </c>
      <c r="U91" s="752"/>
      <c r="V91" s="752" t="s">
        <v>36</v>
      </c>
      <c r="W91" s="752"/>
      <c r="X91" s="752" t="s">
        <v>37</v>
      </c>
      <c r="Y91" s="752"/>
      <c r="Z91" s="752" t="s">
        <v>38</v>
      </c>
      <c r="AA91" s="752"/>
      <c r="AB91" s="752" t="s">
        <v>39</v>
      </c>
      <c r="AC91" s="752"/>
      <c r="AD91" s="752" t="s">
        <v>40</v>
      </c>
      <c r="AE91" s="752"/>
      <c r="AF91" s="752" t="s">
        <v>41</v>
      </c>
      <c r="AG91" s="752"/>
      <c r="AH91" s="752" t="s">
        <v>42</v>
      </c>
      <c r="AI91" s="752"/>
      <c r="AJ91" s="752" t="s">
        <v>43</v>
      </c>
      <c r="AK91" s="752"/>
      <c r="AL91" s="752" t="s">
        <v>157</v>
      </c>
      <c r="AM91" s="752"/>
      <c r="AN91" s="752" t="s">
        <v>248</v>
      </c>
      <c r="AO91" s="752"/>
      <c r="AP91" s="752" t="s">
        <v>249</v>
      </c>
      <c r="AQ91" s="752"/>
      <c r="AR91" s="752" t="s">
        <v>150</v>
      </c>
      <c r="AS91" s="752"/>
      <c r="AT91" s="752" t="s">
        <v>151</v>
      </c>
      <c r="AU91" s="752"/>
      <c r="AV91" s="752" t="s">
        <v>44</v>
      </c>
      <c r="AW91" s="752"/>
      <c r="AX91" s="752" t="s">
        <v>250</v>
      </c>
      <c r="AY91" s="752"/>
      <c r="AZ91" s="752" t="s">
        <v>45</v>
      </c>
      <c r="BA91" s="752"/>
      <c r="BB91" s="752" t="s">
        <v>46</v>
      </c>
      <c r="BC91" s="752"/>
      <c r="BD91" s="752" t="s">
        <v>92</v>
      </c>
      <c r="BE91" s="752"/>
    </row>
    <row r="92" spans="1:57" ht="15.75" customHeight="1" thickBot="1" x14ac:dyDescent="0.25">
      <c r="A92" s="782"/>
      <c r="B92" s="783"/>
      <c r="C92" s="777"/>
      <c r="D92" s="778"/>
      <c r="E92" s="779"/>
      <c r="F92" s="752" t="s">
        <v>50</v>
      </c>
      <c r="G92" s="752"/>
      <c r="H92" s="752" t="s">
        <v>51</v>
      </c>
      <c r="I92" s="752"/>
      <c r="J92" s="752" t="s">
        <v>51</v>
      </c>
      <c r="K92" s="752"/>
      <c r="L92" s="752" t="s">
        <v>52</v>
      </c>
      <c r="M92" s="752"/>
      <c r="N92" s="752">
        <v>180</v>
      </c>
      <c r="O92" s="752"/>
      <c r="P92" s="752" t="s">
        <v>53</v>
      </c>
      <c r="Q92" s="752"/>
      <c r="R92" s="752" t="s">
        <v>54</v>
      </c>
      <c r="S92" s="752"/>
      <c r="T92" s="752" t="s">
        <v>54</v>
      </c>
      <c r="U92" s="752"/>
      <c r="V92" s="752" t="s">
        <v>55</v>
      </c>
      <c r="W92" s="752"/>
      <c r="X92" s="752" t="s">
        <v>54</v>
      </c>
      <c r="Y92" s="752"/>
      <c r="Z92" s="752" t="s">
        <v>54</v>
      </c>
      <c r="AA92" s="752"/>
      <c r="AB92" s="752" t="s">
        <v>56</v>
      </c>
      <c r="AC92" s="752"/>
      <c r="AD92" s="752" t="s">
        <v>57</v>
      </c>
      <c r="AE92" s="752"/>
      <c r="AF92" s="752" t="s">
        <v>57</v>
      </c>
      <c r="AG92" s="752"/>
      <c r="AH92" s="752" t="s">
        <v>58</v>
      </c>
      <c r="AI92" s="752"/>
      <c r="AJ92" s="752" t="s">
        <v>300</v>
      </c>
      <c r="AK92" s="752"/>
      <c r="AL92" s="752" t="s">
        <v>301</v>
      </c>
      <c r="AM92" s="752"/>
      <c r="AN92" s="752">
        <v>20</v>
      </c>
      <c r="AO92" s="752"/>
      <c r="AP92" s="752">
        <v>20</v>
      </c>
      <c r="AQ92" s="752"/>
      <c r="AR92" s="752" t="s">
        <v>57</v>
      </c>
      <c r="AS92" s="752"/>
      <c r="AT92" s="752" t="s">
        <v>302</v>
      </c>
      <c r="AU92" s="752"/>
      <c r="AV92" s="752">
        <v>100</v>
      </c>
      <c r="AW92" s="752"/>
      <c r="AX92" s="752">
        <v>100</v>
      </c>
      <c r="AY92" s="752"/>
      <c r="AZ92" s="752" t="s">
        <v>59</v>
      </c>
      <c r="BA92" s="752"/>
      <c r="BB92" s="752" t="s">
        <v>51</v>
      </c>
      <c r="BC92" s="752"/>
      <c r="BD92" s="752" t="s">
        <v>53</v>
      </c>
      <c r="BE92" s="752"/>
    </row>
    <row r="93" spans="1:57" ht="15.75" customHeight="1" thickBot="1" x14ac:dyDescent="0.25">
      <c r="A93" s="782"/>
      <c r="B93" s="783"/>
      <c r="C93" s="768" t="s">
        <v>362</v>
      </c>
      <c r="D93" s="769"/>
      <c r="E93" s="770"/>
      <c r="F93" s="116" t="s">
        <v>268</v>
      </c>
      <c r="G93" s="116" t="s">
        <v>19</v>
      </c>
      <c r="H93" s="116" t="s">
        <v>268</v>
      </c>
      <c r="I93" s="116" t="s">
        <v>19</v>
      </c>
      <c r="J93" s="116" t="s">
        <v>268</v>
      </c>
      <c r="K93" s="116" t="s">
        <v>19</v>
      </c>
      <c r="L93" s="116" t="s">
        <v>268</v>
      </c>
      <c r="M93" s="116" t="s">
        <v>19</v>
      </c>
      <c r="N93" s="116" t="s">
        <v>268</v>
      </c>
      <c r="O93" s="116" t="s">
        <v>19</v>
      </c>
      <c r="P93" s="116" t="s">
        <v>268</v>
      </c>
      <c r="Q93" s="116" t="s">
        <v>19</v>
      </c>
      <c r="R93" s="116" t="s">
        <v>268</v>
      </c>
      <c r="S93" s="116" t="s">
        <v>19</v>
      </c>
      <c r="T93" s="116" t="s">
        <v>268</v>
      </c>
      <c r="U93" s="116" t="s">
        <v>19</v>
      </c>
      <c r="V93" s="116" t="s">
        <v>268</v>
      </c>
      <c r="W93" s="116" t="s">
        <v>19</v>
      </c>
      <c r="X93" s="116" t="s">
        <v>268</v>
      </c>
      <c r="Y93" s="116" t="s">
        <v>19</v>
      </c>
      <c r="Z93" s="116" t="s">
        <v>268</v>
      </c>
      <c r="AA93" s="116" t="s">
        <v>19</v>
      </c>
      <c r="AB93" s="116" t="s">
        <v>268</v>
      </c>
      <c r="AC93" s="116" t="s">
        <v>19</v>
      </c>
      <c r="AD93" s="116" t="s">
        <v>268</v>
      </c>
      <c r="AE93" s="116" t="s">
        <v>19</v>
      </c>
      <c r="AF93" s="116" t="s">
        <v>268</v>
      </c>
      <c r="AG93" s="116" t="s">
        <v>19</v>
      </c>
      <c r="AH93" s="116" t="s">
        <v>268</v>
      </c>
      <c r="AI93" s="116" t="s">
        <v>19</v>
      </c>
      <c r="AJ93" s="116" t="s">
        <v>268</v>
      </c>
      <c r="AK93" s="116" t="s">
        <v>19</v>
      </c>
      <c r="AL93" s="116" t="s">
        <v>268</v>
      </c>
      <c r="AM93" s="116" t="s">
        <v>19</v>
      </c>
      <c r="AN93" s="116" t="s">
        <v>268</v>
      </c>
      <c r="AO93" s="116" t="s">
        <v>19</v>
      </c>
      <c r="AP93" s="116" t="s">
        <v>268</v>
      </c>
      <c r="AQ93" s="116" t="s">
        <v>19</v>
      </c>
      <c r="AR93" s="116" t="s">
        <v>268</v>
      </c>
      <c r="AS93" s="116" t="s">
        <v>19</v>
      </c>
      <c r="AT93" s="116" t="s">
        <v>268</v>
      </c>
      <c r="AU93" s="116" t="s">
        <v>19</v>
      </c>
      <c r="AV93" s="116" t="s">
        <v>268</v>
      </c>
      <c r="AW93" s="116" t="s">
        <v>19</v>
      </c>
      <c r="AX93" s="116" t="s">
        <v>268</v>
      </c>
      <c r="AY93" s="116" t="s">
        <v>19</v>
      </c>
      <c r="AZ93" s="116" t="s">
        <v>268</v>
      </c>
      <c r="BA93" s="116" t="s">
        <v>19</v>
      </c>
      <c r="BB93" s="116" t="s">
        <v>268</v>
      </c>
      <c r="BC93" s="116" t="s">
        <v>19</v>
      </c>
      <c r="BD93" s="116" t="s">
        <v>268</v>
      </c>
      <c r="BE93" s="116" t="s">
        <v>19</v>
      </c>
    </row>
    <row r="94" spans="1:57" ht="15.75" customHeight="1" thickBot="1" x14ac:dyDescent="0.25">
      <c r="A94" s="782"/>
      <c r="B94" s="783"/>
      <c r="C94" s="768"/>
      <c r="D94" s="769"/>
      <c r="E94" s="770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271"/>
      <c r="AY94" s="271"/>
      <c r="AZ94" s="271"/>
      <c r="BA94" s="271"/>
      <c r="BB94" s="271"/>
      <c r="BC94" s="271"/>
      <c r="BD94" s="271"/>
      <c r="BE94" s="271"/>
    </row>
    <row r="95" spans="1:57" ht="15.75" customHeight="1" thickBot="1" x14ac:dyDescent="0.25">
      <c r="A95" s="782"/>
      <c r="B95" s="783"/>
      <c r="C95" s="768"/>
      <c r="D95" s="769"/>
      <c r="E95" s="770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1"/>
      <c r="AU95" s="271"/>
      <c r="AV95" s="271"/>
      <c r="AW95" s="271"/>
      <c r="AX95" s="271"/>
      <c r="AY95" s="271"/>
      <c r="AZ95" s="271"/>
      <c r="BA95" s="271"/>
      <c r="BB95" s="271"/>
      <c r="BC95" s="271"/>
      <c r="BD95" s="271"/>
      <c r="BE95" s="271"/>
    </row>
    <row r="96" spans="1:57" ht="15.75" customHeight="1" thickBot="1" x14ac:dyDescent="0.25">
      <c r="A96" s="782"/>
      <c r="B96" s="783"/>
      <c r="C96" s="768"/>
      <c r="D96" s="769"/>
      <c r="E96" s="770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1"/>
      <c r="AY96" s="271"/>
      <c r="AZ96" s="271"/>
      <c r="BA96" s="271"/>
      <c r="BB96" s="271"/>
      <c r="BC96" s="271"/>
      <c r="BD96" s="271"/>
      <c r="BE96" s="271"/>
    </row>
    <row r="97" spans="1:57" ht="15.75" customHeight="1" thickBot="1" x14ac:dyDescent="0.25">
      <c r="A97" s="782"/>
      <c r="B97" s="783"/>
      <c r="C97" s="768"/>
      <c r="D97" s="769"/>
      <c r="E97" s="770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1"/>
      <c r="AS97" s="271"/>
      <c r="AT97" s="271"/>
      <c r="AU97" s="271"/>
      <c r="AV97" s="271"/>
      <c r="AW97" s="271"/>
      <c r="AX97" s="271"/>
      <c r="AY97" s="271"/>
      <c r="AZ97" s="271"/>
      <c r="BA97" s="271"/>
      <c r="BB97" s="271"/>
      <c r="BC97" s="271"/>
      <c r="BD97" s="271"/>
      <c r="BE97" s="271"/>
    </row>
    <row r="98" spans="1:57" ht="15.75" customHeight="1" thickBot="1" x14ac:dyDescent="0.25">
      <c r="A98" s="784"/>
      <c r="B98" s="785"/>
      <c r="C98" s="786" t="s">
        <v>330</v>
      </c>
      <c r="D98" s="787"/>
      <c r="E98" s="788"/>
      <c r="F98" s="309">
        <f t="shared" ref="F98:AK98" si="21">SUM(F94:F97)</f>
        <v>0</v>
      </c>
      <c r="G98" s="310">
        <f t="shared" si="21"/>
        <v>0</v>
      </c>
      <c r="H98" s="309">
        <f t="shared" si="21"/>
        <v>0</v>
      </c>
      <c r="I98" s="310">
        <f t="shared" si="21"/>
        <v>0</v>
      </c>
      <c r="J98" s="309">
        <f t="shared" si="21"/>
        <v>0</v>
      </c>
      <c r="K98" s="310">
        <f t="shared" si="21"/>
        <v>0</v>
      </c>
      <c r="L98" s="309">
        <f t="shared" si="21"/>
        <v>0</v>
      </c>
      <c r="M98" s="310">
        <f t="shared" si="21"/>
        <v>0</v>
      </c>
      <c r="N98" s="271">
        <f t="shared" si="21"/>
        <v>0</v>
      </c>
      <c r="O98" s="310">
        <f t="shared" si="21"/>
        <v>0</v>
      </c>
      <c r="P98" s="271">
        <f t="shared" si="21"/>
        <v>0</v>
      </c>
      <c r="Q98" s="310">
        <f t="shared" si="21"/>
        <v>0</v>
      </c>
      <c r="R98" s="309">
        <f t="shared" si="21"/>
        <v>0</v>
      </c>
      <c r="S98" s="310">
        <f t="shared" si="21"/>
        <v>0</v>
      </c>
      <c r="T98" s="309">
        <f t="shared" si="21"/>
        <v>0</v>
      </c>
      <c r="U98" s="310">
        <f t="shared" si="21"/>
        <v>0</v>
      </c>
      <c r="V98" s="309">
        <f t="shared" si="21"/>
        <v>0</v>
      </c>
      <c r="W98" s="310">
        <f t="shared" si="21"/>
        <v>0</v>
      </c>
      <c r="X98" s="309">
        <f t="shared" si="21"/>
        <v>0</v>
      </c>
      <c r="Y98" s="310">
        <f t="shared" si="21"/>
        <v>0</v>
      </c>
      <c r="Z98" s="309">
        <f t="shared" si="21"/>
        <v>0</v>
      </c>
      <c r="AA98" s="310">
        <f t="shared" si="21"/>
        <v>0</v>
      </c>
      <c r="AB98" s="271">
        <f t="shared" si="21"/>
        <v>0</v>
      </c>
      <c r="AC98" s="310">
        <f t="shared" si="21"/>
        <v>0</v>
      </c>
      <c r="AD98" s="309">
        <f t="shared" si="21"/>
        <v>0</v>
      </c>
      <c r="AE98" s="310">
        <f t="shared" si="21"/>
        <v>0</v>
      </c>
      <c r="AF98" s="309">
        <f t="shared" si="21"/>
        <v>0</v>
      </c>
      <c r="AG98" s="310">
        <f t="shared" si="21"/>
        <v>0</v>
      </c>
      <c r="AH98" s="309">
        <f t="shared" si="21"/>
        <v>0</v>
      </c>
      <c r="AI98" s="310">
        <f t="shared" si="21"/>
        <v>0</v>
      </c>
      <c r="AJ98" s="309">
        <f t="shared" si="21"/>
        <v>0</v>
      </c>
      <c r="AK98" s="310">
        <f t="shared" si="21"/>
        <v>0</v>
      </c>
      <c r="AL98" s="309">
        <f t="shared" ref="AL98:BE98" si="22">SUM(AL94:AL97)</f>
        <v>0</v>
      </c>
      <c r="AM98" s="310">
        <f t="shared" si="22"/>
        <v>0</v>
      </c>
      <c r="AN98" s="309">
        <f t="shared" si="22"/>
        <v>0</v>
      </c>
      <c r="AO98" s="310">
        <f t="shared" si="22"/>
        <v>0</v>
      </c>
      <c r="AP98" s="309">
        <f t="shared" si="22"/>
        <v>0</v>
      </c>
      <c r="AQ98" s="310">
        <f t="shared" si="22"/>
        <v>0</v>
      </c>
      <c r="AR98" s="309">
        <f t="shared" si="22"/>
        <v>0</v>
      </c>
      <c r="AS98" s="310">
        <f t="shared" si="22"/>
        <v>0</v>
      </c>
      <c r="AT98" s="309">
        <f t="shared" si="22"/>
        <v>0</v>
      </c>
      <c r="AU98" s="310">
        <f t="shared" si="22"/>
        <v>0</v>
      </c>
      <c r="AV98" s="309">
        <f t="shared" si="22"/>
        <v>0</v>
      </c>
      <c r="AW98" s="310">
        <f t="shared" si="22"/>
        <v>0</v>
      </c>
      <c r="AX98" s="309">
        <f t="shared" si="22"/>
        <v>0</v>
      </c>
      <c r="AY98" s="310">
        <f t="shared" si="22"/>
        <v>0</v>
      </c>
      <c r="AZ98" s="271">
        <f t="shared" si="22"/>
        <v>0</v>
      </c>
      <c r="BA98" s="310">
        <f t="shared" si="22"/>
        <v>0</v>
      </c>
      <c r="BB98" s="271">
        <f t="shared" si="22"/>
        <v>0</v>
      </c>
      <c r="BC98" s="310">
        <f t="shared" si="22"/>
        <v>0</v>
      </c>
      <c r="BD98" s="271">
        <f t="shared" si="22"/>
        <v>0</v>
      </c>
      <c r="BE98" s="310">
        <f t="shared" si="22"/>
        <v>0</v>
      </c>
    </row>
  </sheetData>
  <mergeCells count="725">
    <mergeCell ref="BB92:BC92"/>
    <mergeCell ref="BD92:BE92"/>
    <mergeCell ref="C93:E93"/>
    <mergeCell ref="C94:E94"/>
    <mergeCell ref="C95:E95"/>
    <mergeCell ref="C96:E96"/>
    <mergeCell ref="AP92:AQ92"/>
    <mergeCell ref="AR92:AS92"/>
    <mergeCell ref="AT92:AU92"/>
    <mergeCell ref="AV92:AW92"/>
    <mergeCell ref="AX92:AY92"/>
    <mergeCell ref="AZ92:BA92"/>
    <mergeCell ref="AD92:AE92"/>
    <mergeCell ref="AF92:AG92"/>
    <mergeCell ref="AH92:AI92"/>
    <mergeCell ref="AJ92:AK92"/>
    <mergeCell ref="AL92:AM92"/>
    <mergeCell ref="AN92:AO92"/>
    <mergeCell ref="R92:S92"/>
    <mergeCell ref="T92:U92"/>
    <mergeCell ref="V92:W92"/>
    <mergeCell ref="X92:Y92"/>
    <mergeCell ref="Z92:AA92"/>
    <mergeCell ref="AB92:AC92"/>
    <mergeCell ref="AX91:AY91"/>
    <mergeCell ref="AZ91:BA91"/>
    <mergeCell ref="BB91:BC91"/>
    <mergeCell ref="BD91:BE91"/>
    <mergeCell ref="F92:G92"/>
    <mergeCell ref="H92:I92"/>
    <mergeCell ref="J92:K92"/>
    <mergeCell ref="L92:M92"/>
    <mergeCell ref="N92:O92"/>
    <mergeCell ref="P92:Q92"/>
    <mergeCell ref="AL91:AM91"/>
    <mergeCell ref="AN91:AO91"/>
    <mergeCell ref="AP91:AQ91"/>
    <mergeCell ref="AR91:AS91"/>
    <mergeCell ref="AT91:AU91"/>
    <mergeCell ref="AV91:AW91"/>
    <mergeCell ref="Z91:AA91"/>
    <mergeCell ref="AB91:AC91"/>
    <mergeCell ref="AD91:AE91"/>
    <mergeCell ref="AF91:AG91"/>
    <mergeCell ref="AH91:AI91"/>
    <mergeCell ref="AJ91:AK91"/>
    <mergeCell ref="N91:O91"/>
    <mergeCell ref="P91:Q91"/>
    <mergeCell ref="R91:S91"/>
    <mergeCell ref="T91:U91"/>
    <mergeCell ref="V91:W91"/>
    <mergeCell ref="X91:Y91"/>
    <mergeCell ref="A91:B98"/>
    <mergeCell ref="C91:E92"/>
    <mergeCell ref="F91:G91"/>
    <mergeCell ref="H91:I91"/>
    <mergeCell ref="J91:K91"/>
    <mergeCell ref="L91:M91"/>
    <mergeCell ref="C97:E97"/>
    <mergeCell ref="C98:E98"/>
    <mergeCell ref="BB84:BC84"/>
    <mergeCell ref="BD84:BE84"/>
    <mergeCell ref="C85:E85"/>
    <mergeCell ref="C86:E86"/>
    <mergeCell ref="C87:E87"/>
    <mergeCell ref="C88:E88"/>
    <mergeCell ref="AP84:AQ84"/>
    <mergeCell ref="AR84:AS84"/>
    <mergeCell ref="AT84:AU84"/>
    <mergeCell ref="AV84:AW84"/>
    <mergeCell ref="AX84:AY84"/>
    <mergeCell ref="AZ84:BA84"/>
    <mergeCell ref="AD84:AE84"/>
    <mergeCell ref="AF84:AG84"/>
    <mergeCell ref="AH84:AI84"/>
    <mergeCell ref="AJ84:AK84"/>
    <mergeCell ref="AL84:AM84"/>
    <mergeCell ref="AN84:AO84"/>
    <mergeCell ref="R84:S84"/>
    <mergeCell ref="T84:U84"/>
    <mergeCell ref="V84:W84"/>
    <mergeCell ref="X84:Y84"/>
    <mergeCell ref="Z84:AA84"/>
    <mergeCell ref="AB84:AC84"/>
    <mergeCell ref="AX83:AY83"/>
    <mergeCell ref="AZ83:BA83"/>
    <mergeCell ref="BB83:BC83"/>
    <mergeCell ref="BD83:BE83"/>
    <mergeCell ref="F84:G84"/>
    <mergeCell ref="H84:I84"/>
    <mergeCell ref="J84:K84"/>
    <mergeCell ref="L84:M84"/>
    <mergeCell ref="N84:O84"/>
    <mergeCell ref="P84:Q84"/>
    <mergeCell ref="AL83:AM83"/>
    <mergeCell ref="AN83:AO83"/>
    <mergeCell ref="AP83:AQ83"/>
    <mergeCell ref="AR83:AS83"/>
    <mergeCell ref="AT83:AU83"/>
    <mergeCell ref="AV83:AW83"/>
    <mergeCell ref="Z83:AA83"/>
    <mergeCell ref="AB83:AC83"/>
    <mergeCell ref="AD83:AE83"/>
    <mergeCell ref="AF83:AG83"/>
    <mergeCell ref="AH83:AI83"/>
    <mergeCell ref="AJ83:AK83"/>
    <mergeCell ref="N83:O83"/>
    <mergeCell ref="P83:Q83"/>
    <mergeCell ref="R83:S83"/>
    <mergeCell ref="T83:U83"/>
    <mergeCell ref="V83:W83"/>
    <mergeCell ref="X83:Y83"/>
    <mergeCell ref="A83:B90"/>
    <mergeCell ref="C83:E84"/>
    <mergeCell ref="F83:G83"/>
    <mergeCell ref="H83:I83"/>
    <mergeCell ref="J83:K83"/>
    <mergeCell ref="L83:M83"/>
    <mergeCell ref="C89:E89"/>
    <mergeCell ref="C90:E90"/>
    <mergeCell ref="BB76:BC76"/>
    <mergeCell ref="BD76:BE76"/>
    <mergeCell ref="C77:E77"/>
    <mergeCell ref="C78:E78"/>
    <mergeCell ref="C79:E79"/>
    <mergeCell ref="C80:E80"/>
    <mergeCell ref="AP76:AQ76"/>
    <mergeCell ref="AR76:AS76"/>
    <mergeCell ref="AT76:AU76"/>
    <mergeCell ref="AV76:AW76"/>
    <mergeCell ref="AX76:AY76"/>
    <mergeCell ref="AZ76:BA76"/>
    <mergeCell ref="AD76:AE76"/>
    <mergeCell ref="AF76:AG76"/>
    <mergeCell ref="AH76:AI76"/>
    <mergeCell ref="AJ76:AK76"/>
    <mergeCell ref="AL76:AM76"/>
    <mergeCell ref="AN76:AO76"/>
    <mergeCell ref="R76:S76"/>
    <mergeCell ref="T76:U76"/>
    <mergeCell ref="V76:W76"/>
    <mergeCell ref="X76:Y76"/>
    <mergeCell ref="Z76:AA76"/>
    <mergeCell ref="AB76:AC76"/>
    <mergeCell ref="AX75:AY75"/>
    <mergeCell ref="AZ75:BA75"/>
    <mergeCell ref="BB75:BC75"/>
    <mergeCell ref="BD75:BE75"/>
    <mergeCell ref="F76:G76"/>
    <mergeCell ref="H76:I76"/>
    <mergeCell ref="J76:K76"/>
    <mergeCell ref="L76:M76"/>
    <mergeCell ref="N76:O76"/>
    <mergeCell ref="P76:Q76"/>
    <mergeCell ref="AL75:AM75"/>
    <mergeCell ref="AN75:AO75"/>
    <mergeCell ref="AP75:AQ75"/>
    <mergeCell ref="AR75:AS75"/>
    <mergeCell ref="AT75:AU75"/>
    <mergeCell ref="AV75:AW75"/>
    <mergeCell ref="Z75:AA75"/>
    <mergeCell ref="AB75:AC75"/>
    <mergeCell ref="AD75:AE75"/>
    <mergeCell ref="AF75:AG75"/>
    <mergeCell ref="AH75:AI75"/>
    <mergeCell ref="AJ75:AK75"/>
    <mergeCell ref="N75:O75"/>
    <mergeCell ref="P75:Q75"/>
    <mergeCell ref="R75:S75"/>
    <mergeCell ref="T75:U75"/>
    <mergeCell ref="V75:W75"/>
    <mergeCell ref="X75:Y75"/>
    <mergeCell ref="A75:B82"/>
    <mergeCell ref="C75:E76"/>
    <mergeCell ref="F75:G75"/>
    <mergeCell ref="H75:I75"/>
    <mergeCell ref="J75:K75"/>
    <mergeCell ref="L75:M75"/>
    <mergeCell ref="C81:E81"/>
    <mergeCell ref="C82:E82"/>
    <mergeCell ref="BB68:BC68"/>
    <mergeCell ref="BD68:BE68"/>
    <mergeCell ref="C69:E69"/>
    <mergeCell ref="C70:E70"/>
    <mergeCell ref="C71:E71"/>
    <mergeCell ref="C72:E72"/>
    <mergeCell ref="AP68:AQ68"/>
    <mergeCell ref="AR68:AS68"/>
    <mergeCell ref="AT68:AU68"/>
    <mergeCell ref="AV68:AW68"/>
    <mergeCell ref="AX68:AY68"/>
    <mergeCell ref="AZ68:BA68"/>
    <mergeCell ref="AD68:AE68"/>
    <mergeCell ref="AF68:AG68"/>
    <mergeCell ref="AH68:AI68"/>
    <mergeCell ref="AJ68:AK68"/>
    <mergeCell ref="AL68:AM68"/>
    <mergeCell ref="AN68:AO68"/>
    <mergeCell ref="R68:S68"/>
    <mergeCell ref="T68:U68"/>
    <mergeCell ref="V68:W68"/>
    <mergeCell ref="X68:Y68"/>
    <mergeCell ref="Z68:AA68"/>
    <mergeCell ref="AB68:AC68"/>
    <mergeCell ref="AX67:AY67"/>
    <mergeCell ref="AZ67:BA67"/>
    <mergeCell ref="BB67:BC67"/>
    <mergeCell ref="BD67:BE67"/>
    <mergeCell ref="F68:G68"/>
    <mergeCell ref="H68:I68"/>
    <mergeCell ref="J68:K68"/>
    <mergeCell ref="L68:M68"/>
    <mergeCell ref="N68:O68"/>
    <mergeCell ref="P68:Q68"/>
    <mergeCell ref="AL67:AM67"/>
    <mergeCell ref="AN67:AO67"/>
    <mergeCell ref="AP67:AQ67"/>
    <mergeCell ref="AR67:AS67"/>
    <mergeCell ref="AT67:AU67"/>
    <mergeCell ref="AV67:AW67"/>
    <mergeCell ref="Z67:AA67"/>
    <mergeCell ref="AB67:AC67"/>
    <mergeCell ref="AD67:AE67"/>
    <mergeCell ref="AF67:AG67"/>
    <mergeCell ref="AH67:AI67"/>
    <mergeCell ref="AJ67:AK67"/>
    <mergeCell ref="N67:O67"/>
    <mergeCell ref="P67:Q67"/>
    <mergeCell ref="R67:S67"/>
    <mergeCell ref="T67:U67"/>
    <mergeCell ref="V67:W67"/>
    <mergeCell ref="X67:Y67"/>
    <mergeCell ref="A67:B74"/>
    <mergeCell ref="C67:E68"/>
    <mergeCell ref="F67:G67"/>
    <mergeCell ref="H67:I67"/>
    <mergeCell ref="J67:K67"/>
    <mergeCell ref="L67:M67"/>
    <mergeCell ref="C73:E73"/>
    <mergeCell ref="C74:E74"/>
    <mergeCell ref="BB60:BC60"/>
    <mergeCell ref="BD60:BE60"/>
    <mergeCell ref="C61:E61"/>
    <mergeCell ref="C62:E62"/>
    <mergeCell ref="C63:E63"/>
    <mergeCell ref="C64:E64"/>
    <mergeCell ref="AP60:AQ60"/>
    <mergeCell ref="AR60:AS60"/>
    <mergeCell ref="AT60:AU60"/>
    <mergeCell ref="AV60:AW60"/>
    <mergeCell ref="AX60:AY60"/>
    <mergeCell ref="AZ60:BA60"/>
    <mergeCell ref="AD60:AE60"/>
    <mergeCell ref="AF60:AG60"/>
    <mergeCell ref="AH60:AI60"/>
    <mergeCell ref="AJ60:AK60"/>
    <mergeCell ref="AL60:AM60"/>
    <mergeCell ref="AN60:AO60"/>
    <mergeCell ref="R60:S60"/>
    <mergeCell ref="T60:U60"/>
    <mergeCell ref="V60:W60"/>
    <mergeCell ref="X60:Y60"/>
    <mergeCell ref="Z60:AA60"/>
    <mergeCell ref="AB60:AC60"/>
    <mergeCell ref="AX59:AY59"/>
    <mergeCell ref="AZ59:BA59"/>
    <mergeCell ref="BB59:BC59"/>
    <mergeCell ref="BD59:BE59"/>
    <mergeCell ref="F60:G60"/>
    <mergeCell ref="H60:I60"/>
    <mergeCell ref="J60:K60"/>
    <mergeCell ref="L60:M60"/>
    <mergeCell ref="N60:O60"/>
    <mergeCell ref="P60:Q60"/>
    <mergeCell ref="AL59:AM59"/>
    <mergeCell ref="AN59:AO59"/>
    <mergeCell ref="AP59:AQ59"/>
    <mergeCell ref="AR59:AS59"/>
    <mergeCell ref="AT59:AU59"/>
    <mergeCell ref="AV59:AW59"/>
    <mergeCell ref="Z59:AA59"/>
    <mergeCell ref="AB59:AC59"/>
    <mergeCell ref="AD59:AE59"/>
    <mergeCell ref="AF59:AG59"/>
    <mergeCell ref="AH59:AI59"/>
    <mergeCell ref="AJ59:AK59"/>
    <mergeCell ref="N59:O59"/>
    <mergeCell ref="P59:Q59"/>
    <mergeCell ref="R59:S59"/>
    <mergeCell ref="T59:U59"/>
    <mergeCell ref="V59:W59"/>
    <mergeCell ref="X59:Y59"/>
    <mergeCell ref="A59:B66"/>
    <mergeCell ref="C59:E60"/>
    <mergeCell ref="F59:G59"/>
    <mergeCell ref="H59:I59"/>
    <mergeCell ref="J59:K59"/>
    <mergeCell ref="L59:M59"/>
    <mergeCell ref="C65:E65"/>
    <mergeCell ref="C66:E66"/>
    <mergeCell ref="BB52:BC52"/>
    <mergeCell ref="BD52:BE52"/>
    <mergeCell ref="C53:E53"/>
    <mergeCell ref="C54:E54"/>
    <mergeCell ref="C55:E55"/>
    <mergeCell ref="C56:E56"/>
    <mergeCell ref="AP52:AQ52"/>
    <mergeCell ref="AR52:AS52"/>
    <mergeCell ref="AT52:AU52"/>
    <mergeCell ref="AV52:AW52"/>
    <mergeCell ref="AX52:AY52"/>
    <mergeCell ref="AZ52:BA52"/>
    <mergeCell ref="AD52:AE52"/>
    <mergeCell ref="AF52:AG52"/>
    <mergeCell ref="AH52:AI52"/>
    <mergeCell ref="AJ52:AK52"/>
    <mergeCell ref="AL52:AM52"/>
    <mergeCell ref="AN52:AO52"/>
    <mergeCell ref="R52:S52"/>
    <mergeCell ref="T52:U52"/>
    <mergeCell ref="V52:W52"/>
    <mergeCell ref="X52:Y52"/>
    <mergeCell ref="Z52:AA52"/>
    <mergeCell ref="AB52:AC52"/>
    <mergeCell ref="AX51:AY51"/>
    <mergeCell ref="AZ51:BA51"/>
    <mergeCell ref="BB51:BC51"/>
    <mergeCell ref="BD51:BE51"/>
    <mergeCell ref="F52:G52"/>
    <mergeCell ref="H52:I52"/>
    <mergeCell ref="J52:K52"/>
    <mergeCell ref="L52:M52"/>
    <mergeCell ref="N52:O52"/>
    <mergeCell ref="P52:Q52"/>
    <mergeCell ref="AL51:AM51"/>
    <mergeCell ref="AN51:AO51"/>
    <mergeCell ref="AP51:AQ51"/>
    <mergeCell ref="AR51:AS51"/>
    <mergeCell ref="AT51:AU51"/>
    <mergeCell ref="AV51:AW51"/>
    <mergeCell ref="Z51:AA51"/>
    <mergeCell ref="AB51:AC51"/>
    <mergeCell ref="AD51:AE51"/>
    <mergeCell ref="AF51:AG51"/>
    <mergeCell ref="AH51:AI51"/>
    <mergeCell ref="AJ51:AK51"/>
    <mergeCell ref="N51:O51"/>
    <mergeCell ref="P51:Q51"/>
    <mergeCell ref="R51:S51"/>
    <mergeCell ref="T51:U51"/>
    <mergeCell ref="V51:W51"/>
    <mergeCell ref="X51:Y51"/>
    <mergeCell ref="A51:B58"/>
    <mergeCell ref="C51:E52"/>
    <mergeCell ref="F51:G51"/>
    <mergeCell ref="H51:I51"/>
    <mergeCell ref="J51:K51"/>
    <mergeCell ref="L51:M51"/>
    <mergeCell ref="C57:E57"/>
    <mergeCell ref="C58:E58"/>
    <mergeCell ref="BB44:BC44"/>
    <mergeCell ref="BD44:BE44"/>
    <mergeCell ref="C45:E45"/>
    <mergeCell ref="C46:E46"/>
    <mergeCell ref="C47:E47"/>
    <mergeCell ref="C48:E48"/>
    <mergeCell ref="AP44:AQ44"/>
    <mergeCell ref="AR44:AS44"/>
    <mergeCell ref="AT44:AU44"/>
    <mergeCell ref="AV44:AW44"/>
    <mergeCell ref="AX44:AY44"/>
    <mergeCell ref="AZ44:BA44"/>
    <mergeCell ref="AD44:AE44"/>
    <mergeCell ref="AF44:AG44"/>
    <mergeCell ref="AH44:AI44"/>
    <mergeCell ref="AJ44:AK44"/>
    <mergeCell ref="AL44:AM44"/>
    <mergeCell ref="AN44:AO44"/>
    <mergeCell ref="R44:S44"/>
    <mergeCell ref="T44:U44"/>
    <mergeCell ref="V44:W44"/>
    <mergeCell ref="X44:Y44"/>
    <mergeCell ref="Z44:AA44"/>
    <mergeCell ref="AB44:AC44"/>
    <mergeCell ref="AX43:AY43"/>
    <mergeCell ref="AZ43:BA43"/>
    <mergeCell ref="BB43:BC43"/>
    <mergeCell ref="BD43:BE43"/>
    <mergeCell ref="F44:G44"/>
    <mergeCell ref="H44:I44"/>
    <mergeCell ref="J44:K44"/>
    <mergeCell ref="L44:M44"/>
    <mergeCell ref="N44:O44"/>
    <mergeCell ref="P44:Q44"/>
    <mergeCell ref="AL43:AM43"/>
    <mergeCell ref="AN43:AO43"/>
    <mergeCell ref="AP43:AQ43"/>
    <mergeCell ref="AR43:AS43"/>
    <mergeCell ref="AT43:AU43"/>
    <mergeCell ref="AV43:AW43"/>
    <mergeCell ref="Z43:AA43"/>
    <mergeCell ref="AB43:AC43"/>
    <mergeCell ref="AD43:AE43"/>
    <mergeCell ref="AF43:AG43"/>
    <mergeCell ref="AH43:AI43"/>
    <mergeCell ref="AJ43:AK43"/>
    <mergeCell ref="N43:O43"/>
    <mergeCell ref="P43:Q43"/>
    <mergeCell ref="R43:S43"/>
    <mergeCell ref="T43:U43"/>
    <mergeCell ref="V43:W43"/>
    <mergeCell ref="X43:Y43"/>
    <mergeCell ref="A43:B50"/>
    <mergeCell ref="C43:E44"/>
    <mergeCell ref="F43:G43"/>
    <mergeCell ref="H43:I43"/>
    <mergeCell ref="J43:K43"/>
    <mergeCell ref="L43:M43"/>
    <mergeCell ref="C49:E49"/>
    <mergeCell ref="C50:E50"/>
    <mergeCell ref="BB36:BC36"/>
    <mergeCell ref="BD36:BE36"/>
    <mergeCell ref="C37:E37"/>
    <mergeCell ref="C38:E38"/>
    <mergeCell ref="C39:E39"/>
    <mergeCell ref="C40:E40"/>
    <mergeCell ref="AP36:AQ36"/>
    <mergeCell ref="AR36:AS36"/>
    <mergeCell ref="AT36:AU36"/>
    <mergeCell ref="AV36:AW36"/>
    <mergeCell ref="AX36:AY36"/>
    <mergeCell ref="AZ36:BA36"/>
    <mergeCell ref="AD36:AE36"/>
    <mergeCell ref="AF36:AG36"/>
    <mergeCell ref="AH36:AI36"/>
    <mergeCell ref="AJ36:AK36"/>
    <mergeCell ref="AL36:AM36"/>
    <mergeCell ref="AN36:AO36"/>
    <mergeCell ref="R36:S36"/>
    <mergeCell ref="T36:U36"/>
    <mergeCell ref="V36:W36"/>
    <mergeCell ref="X36:Y36"/>
    <mergeCell ref="Z36:AA36"/>
    <mergeCell ref="AB36:AC36"/>
    <mergeCell ref="AX35:AY35"/>
    <mergeCell ref="AZ35:BA35"/>
    <mergeCell ref="BB35:BC35"/>
    <mergeCell ref="BD35:BE35"/>
    <mergeCell ref="F36:G36"/>
    <mergeCell ref="H36:I36"/>
    <mergeCell ref="J36:K36"/>
    <mergeCell ref="L36:M36"/>
    <mergeCell ref="N36:O36"/>
    <mergeCell ref="P36:Q36"/>
    <mergeCell ref="AL35:AM35"/>
    <mergeCell ref="AN35:AO35"/>
    <mergeCell ref="AP35:AQ35"/>
    <mergeCell ref="AR35:AS35"/>
    <mergeCell ref="AT35:AU35"/>
    <mergeCell ref="AV35:AW35"/>
    <mergeCell ref="Z35:AA35"/>
    <mergeCell ref="AB35:AC35"/>
    <mergeCell ref="AD35:AE35"/>
    <mergeCell ref="AF35:AG35"/>
    <mergeCell ref="AH35:AI35"/>
    <mergeCell ref="AJ35:AK35"/>
    <mergeCell ref="N35:O35"/>
    <mergeCell ref="P35:Q35"/>
    <mergeCell ref="R35:S35"/>
    <mergeCell ref="T35:U35"/>
    <mergeCell ref="V35:W35"/>
    <mergeCell ref="X35:Y35"/>
    <mergeCell ref="A35:B42"/>
    <mergeCell ref="C35:E36"/>
    <mergeCell ref="F35:G35"/>
    <mergeCell ref="H35:I35"/>
    <mergeCell ref="J35:K35"/>
    <mergeCell ref="L35:M35"/>
    <mergeCell ref="C41:E41"/>
    <mergeCell ref="C42:E42"/>
    <mergeCell ref="AZ28:BA28"/>
    <mergeCell ref="BB28:BC28"/>
    <mergeCell ref="BD28:BE28"/>
    <mergeCell ref="C29:E29"/>
    <mergeCell ref="C30:E30"/>
    <mergeCell ref="C31:E31"/>
    <mergeCell ref="AN28:AO28"/>
    <mergeCell ref="AP28:AQ28"/>
    <mergeCell ref="AR28:AS28"/>
    <mergeCell ref="AT28:AU28"/>
    <mergeCell ref="AV28:AW28"/>
    <mergeCell ref="AX28:AY28"/>
    <mergeCell ref="AB28:AC28"/>
    <mergeCell ref="AD28:AE28"/>
    <mergeCell ref="AF28:AG28"/>
    <mergeCell ref="AH28:AI28"/>
    <mergeCell ref="AJ28:AK28"/>
    <mergeCell ref="AL28:AM28"/>
    <mergeCell ref="P28:Q28"/>
    <mergeCell ref="R28:S28"/>
    <mergeCell ref="T28:U28"/>
    <mergeCell ref="V28:W28"/>
    <mergeCell ref="X28:Y28"/>
    <mergeCell ref="Z28:AA28"/>
    <mergeCell ref="AV27:AW27"/>
    <mergeCell ref="AX27:AY27"/>
    <mergeCell ref="AZ27:BA27"/>
    <mergeCell ref="BB27:BC27"/>
    <mergeCell ref="BD27:BE27"/>
    <mergeCell ref="F28:G28"/>
    <mergeCell ref="H28:I28"/>
    <mergeCell ref="J28:K28"/>
    <mergeCell ref="L28:M28"/>
    <mergeCell ref="N28:O28"/>
    <mergeCell ref="AJ27:AK27"/>
    <mergeCell ref="AL27:AM27"/>
    <mergeCell ref="AN27:AO27"/>
    <mergeCell ref="AP27:AQ27"/>
    <mergeCell ref="AR27:AS27"/>
    <mergeCell ref="AT27:AU27"/>
    <mergeCell ref="X27:Y27"/>
    <mergeCell ref="Z27:AA27"/>
    <mergeCell ref="AB27:AC27"/>
    <mergeCell ref="AD27:AE27"/>
    <mergeCell ref="AF27:AG27"/>
    <mergeCell ref="AH27:AI27"/>
    <mergeCell ref="L27:M27"/>
    <mergeCell ref="N27:O27"/>
    <mergeCell ref="P27:Q27"/>
    <mergeCell ref="R27:S27"/>
    <mergeCell ref="T27:U27"/>
    <mergeCell ref="V27:W27"/>
    <mergeCell ref="C26:E26"/>
    <mergeCell ref="A27:B34"/>
    <mergeCell ref="C27:E28"/>
    <mergeCell ref="F27:G27"/>
    <mergeCell ref="H27:I27"/>
    <mergeCell ref="J27:K27"/>
    <mergeCell ref="C32:E32"/>
    <mergeCell ref="C33:E33"/>
    <mergeCell ref="C34:E34"/>
    <mergeCell ref="A19:B26"/>
    <mergeCell ref="C22:E22"/>
    <mergeCell ref="C23:E23"/>
    <mergeCell ref="C24:E24"/>
    <mergeCell ref="C25:E25"/>
    <mergeCell ref="L20:M20"/>
    <mergeCell ref="N20:O20"/>
    <mergeCell ref="P20:Q20"/>
    <mergeCell ref="R20:S20"/>
    <mergeCell ref="T20:U20"/>
    <mergeCell ref="V20:W20"/>
    <mergeCell ref="AV20:AW20"/>
    <mergeCell ref="AX20:AY20"/>
    <mergeCell ref="AZ20:BA20"/>
    <mergeCell ref="BB20:BC20"/>
    <mergeCell ref="BD20:BE20"/>
    <mergeCell ref="C21:E21"/>
    <mergeCell ref="AJ20:AK20"/>
    <mergeCell ref="AL20:AM20"/>
    <mergeCell ref="AN20:AO20"/>
    <mergeCell ref="AP20:AQ20"/>
    <mergeCell ref="AR20:AS20"/>
    <mergeCell ref="AT20:AU20"/>
    <mergeCell ref="X20:Y20"/>
    <mergeCell ref="Z20:AA20"/>
    <mergeCell ref="AB20:AC20"/>
    <mergeCell ref="AD20:AE20"/>
    <mergeCell ref="AF20:AG20"/>
    <mergeCell ref="AH20:AI20"/>
    <mergeCell ref="C19:E20"/>
    <mergeCell ref="F19:G19"/>
    <mergeCell ref="Z19:AA19"/>
    <mergeCell ref="F20:G20"/>
    <mergeCell ref="H20:I20"/>
    <mergeCell ref="J20:K20"/>
    <mergeCell ref="AB19:AC19"/>
    <mergeCell ref="AD19:AE19"/>
    <mergeCell ref="H19:I19"/>
    <mergeCell ref="J19:K19"/>
    <mergeCell ref="L19:M19"/>
    <mergeCell ref="N19:O19"/>
    <mergeCell ref="P19:Q19"/>
    <mergeCell ref="R19:S19"/>
    <mergeCell ref="BD19:BE19"/>
    <mergeCell ref="AR19:AS19"/>
    <mergeCell ref="AT19:AU19"/>
    <mergeCell ref="AV19:AW19"/>
    <mergeCell ref="AX19:AY19"/>
    <mergeCell ref="AZ19:BA19"/>
    <mergeCell ref="BB19:BC19"/>
    <mergeCell ref="AF19:AG19"/>
    <mergeCell ref="AH19:AI19"/>
    <mergeCell ref="AJ19:AK19"/>
    <mergeCell ref="AL19:AM19"/>
    <mergeCell ref="AN19:AO19"/>
    <mergeCell ref="AP19:AQ19"/>
    <mergeCell ref="T19:U19"/>
    <mergeCell ref="V19:W19"/>
    <mergeCell ref="X19:Y19"/>
    <mergeCell ref="AT12:AU12"/>
    <mergeCell ref="AV12:AW12"/>
    <mergeCell ref="AX12:AY12"/>
    <mergeCell ref="AZ12:BA12"/>
    <mergeCell ref="BB12:BC12"/>
    <mergeCell ref="BD12:BE12"/>
    <mergeCell ref="AH12:AI12"/>
    <mergeCell ref="AJ12:AK12"/>
    <mergeCell ref="AL12:AM12"/>
    <mergeCell ref="AN12:AO12"/>
    <mergeCell ref="AP12:AQ12"/>
    <mergeCell ref="AR12:AS12"/>
    <mergeCell ref="V12:W12"/>
    <mergeCell ref="X12:Y12"/>
    <mergeCell ref="Z12:AA12"/>
    <mergeCell ref="AB12:AC12"/>
    <mergeCell ref="AD12:AE12"/>
    <mergeCell ref="AF12:AG12"/>
    <mergeCell ref="BB11:BC11"/>
    <mergeCell ref="BD11:BE11"/>
    <mergeCell ref="F12:G12"/>
    <mergeCell ref="H12:I12"/>
    <mergeCell ref="J12:K12"/>
    <mergeCell ref="L12:M12"/>
    <mergeCell ref="N12:O12"/>
    <mergeCell ref="P12:Q12"/>
    <mergeCell ref="R12:S12"/>
    <mergeCell ref="T12:U12"/>
    <mergeCell ref="AP11:AQ11"/>
    <mergeCell ref="AR11:AS11"/>
    <mergeCell ref="AT11:AU11"/>
    <mergeCell ref="AV11:AW11"/>
    <mergeCell ref="AX11:AY11"/>
    <mergeCell ref="AZ11:BA11"/>
    <mergeCell ref="AD11:AE11"/>
    <mergeCell ref="AF11:AG11"/>
    <mergeCell ref="AH11:AI11"/>
    <mergeCell ref="AJ11:AK11"/>
    <mergeCell ref="AL11:AM11"/>
    <mergeCell ref="AN11:AO11"/>
    <mergeCell ref="R11:S11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C10:E10"/>
    <mergeCell ref="C3:E4"/>
    <mergeCell ref="A3:B10"/>
    <mergeCell ref="A11:B18"/>
    <mergeCell ref="C11:E12"/>
    <mergeCell ref="C13:E13"/>
    <mergeCell ref="C14:E14"/>
    <mergeCell ref="C15:E15"/>
    <mergeCell ref="F3:G3"/>
    <mergeCell ref="H3:I3"/>
    <mergeCell ref="C16:E16"/>
    <mergeCell ref="C17:E17"/>
    <mergeCell ref="C18:E18"/>
    <mergeCell ref="A2:C2"/>
    <mergeCell ref="C6:E6"/>
    <mergeCell ref="C7:E7"/>
    <mergeCell ref="C8:E8"/>
    <mergeCell ref="C9:E9"/>
    <mergeCell ref="C5:E5"/>
    <mergeCell ref="BD4:BE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  <mergeCell ref="AZ3:BA3"/>
    <mergeCell ref="BB3:BC3"/>
    <mergeCell ref="BD3:BE3"/>
    <mergeCell ref="F4:G4"/>
    <mergeCell ref="H4:I4"/>
    <mergeCell ref="J4:K4"/>
    <mergeCell ref="L4:M4"/>
    <mergeCell ref="N4:O4"/>
    <mergeCell ref="P4:Q4"/>
    <mergeCell ref="R4:S4"/>
    <mergeCell ref="AN3:AO3"/>
    <mergeCell ref="AP3:AQ3"/>
    <mergeCell ref="AR3:AS3"/>
    <mergeCell ref="AT3:AU3"/>
    <mergeCell ref="AV3:AW3"/>
    <mergeCell ref="AX3:AY3"/>
    <mergeCell ref="AB3:AC3"/>
    <mergeCell ref="AD3:AE3"/>
    <mergeCell ref="AF3:AG3"/>
    <mergeCell ref="AH3:AI3"/>
    <mergeCell ref="AJ3:AK3"/>
    <mergeCell ref="AL3:AM3"/>
    <mergeCell ref="P3:Q3"/>
    <mergeCell ref="R3:S3"/>
    <mergeCell ref="T3:U3"/>
    <mergeCell ref="V3:W3"/>
    <mergeCell ref="X3:Y3"/>
    <mergeCell ref="Z3:AA3"/>
    <mergeCell ref="K2:S2"/>
    <mergeCell ref="AF2:AG2"/>
    <mergeCell ref="AH2:AN2"/>
    <mergeCell ref="AV2:BC2"/>
    <mergeCell ref="J3:K3"/>
    <mergeCell ref="L3:M3"/>
    <mergeCell ref="N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00"/>
  <sheetViews>
    <sheetView topLeftCell="A1168" zoomScaleNormal="100" workbookViewId="0">
      <selection activeCell="D737" sqref="D737"/>
    </sheetView>
  </sheetViews>
  <sheetFormatPr baseColWidth="10" defaultColWidth="8.83203125" defaultRowHeight="15" x14ac:dyDescent="0.2"/>
  <cols>
    <col min="1" max="1" width="12.6640625" customWidth="1"/>
    <col min="2" max="2" width="11.5" bestFit="1" customWidth="1"/>
    <col min="3" max="3" width="9.5" bestFit="1" customWidth="1"/>
    <col min="4" max="4" width="29.83203125" bestFit="1" customWidth="1"/>
  </cols>
  <sheetData>
    <row r="1" spans="1:4" ht="20" thickBot="1" x14ac:dyDescent="0.3">
      <c r="A1" s="107" t="s">
        <v>205</v>
      </c>
      <c r="B1" s="789"/>
      <c r="C1" s="790"/>
    </row>
    <row r="2" spans="1:4" ht="20" thickBot="1" x14ac:dyDescent="0.3">
      <c r="A2" s="195" t="s">
        <v>76</v>
      </c>
      <c r="B2" s="202">
        <v>45657</v>
      </c>
      <c r="C2" s="791"/>
      <c r="D2" s="792"/>
    </row>
    <row r="3" spans="1:4" ht="16" thickBot="1" x14ac:dyDescent="0.25">
      <c r="A3" s="195" t="s">
        <v>280</v>
      </c>
      <c r="B3" s="195" t="s">
        <v>117</v>
      </c>
      <c r="C3" s="195" t="s">
        <v>208</v>
      </c>
      <c r="D3" s="195" t="s">
        <v>206</v>
      </c>
    </row>
    <row r="4" spans="1:4" x14ac:dyDescent="0.2">
      <c r="A4" s="314">
        <v>1</v>
      </c>
      <c r="B4" s="315">
        <v>79</v>
      </c>
      <c r="C4" s="315">
        <v>10.3</v>
      </c>
      <c r="D4" s="317" t="s">
        <v>332</v>
      </c>
    </row>
    <row r="5" spans="1:4" x14ac:dyDescent="0.2">
      <c r="A5" s="313">
        <v>2</v>
      </c>
      <c r="B5" s="316">
        <v>79</v>
      </c>
      <c r="C5" s="316">
        <v>10.3</v>
      </c>
      <c r="D5" s="318" t="s">
        <v>332</v>
      </c>
    </row>
    <row r="6" spans="1:4" x14ac:dyDescent="0.2">
      <c r="A6" s="313">
        <v>3</v>
      </c>
      <c r="B6" s="316">
        <v>744.67</v>
      </c>
      <c r="C6" s="316"/>
      <c r="D6" s="318" t="s">
        <v>186</v>
      </c>
    </row>
    <row r="7" spans="1:4" x14ac:dyDescent="0.2">
      <c r="A7" s="313">
        <v>4</v>
      </c>
      <c r="B7" s="316">
        <v>1000</v>
      </c>
      <c r="C7" s="316"/>
      <c r="D7" s="318" t="s">
        <v>186</v>
      </c>
    </row>
    <row r="8" spans="1:4" x14ac:dyDescent="0.2">
      <c r="A8" s="313">
        <v>5</v>
      </c>
      <c r="B8" s="316">
        <v>3176</v>
      </c>
      <c r="C8" s="316">
        <v>414.26</v>
      </c>
      <c r="D8" s="318" t="s">
        <v>7</v>
      </c>
    </row>
    <row r="9" spans="1:4" x14ac:dyDescent="0.2">
      <c r="A9" s="313">
        <v>6</v>
      </c>
      <c r="B9" s="316">
        <v>252</v>
      </c>
      <c r="C9" s="316"/>
      <c r="D9" s="318" t="s">
        <v>377</v>
      </c>
    </row>
    <row r="10" spans="1:4" x14ac:dyDescent="0.2">
      <c r="A10" s="313">
        <v>7</v>
      </c>
      <c r="B10" s="316">
        <v>5765.73</v>
      </c>
      <c r="C10" s="316">
        <v>413.37</v>
      </c>
      <c r="D10" s="318" t="s">
        <v>9</v>
      </c>
    </row>
    <row r="11" spans="1:4" x14ac:dyDescent="0.2">
      <c r="A11" s="313">
        <v>8</v>
      </c>
      <c r="B11" s="316">
        <v>286.89999999999998</v>
      </c>
      <c r="C11" s="316">
        <v>2.3199999999999998</v>
      </c>
      <c r="D11" s="318" t="s">
        <v>14</v>
      </c>
    </row>
    <row r="12" spans="1:4" x14ac:dyDescent="0.2">
      <c r="A12" s="313">
        <v>9</v>
      </c>
      <c r="B12" s="316">
        <v>990.23</v>
      </c>
      <c r="C12" s="316">
        <v>129.16</v>
      </c>
      <c r="D12" s="318" t="s">
        <v>279</v>
      </c>
    </row>
    <row r="13" spans="1:4" x14ac:dyDescent="0.2">
      <c r="A13" s="313">
        <v>10</v>
      </c>
      <c r="B13" s="316">
        <v>570</v>
      </c>
      <c r="C13" s="316"/>
      <c r="D13" s="318" t="s">
        <v>396</v>
      </c>
    </row>
    <row r="14" spans="1:4" x14ac:dyDescent="0.2">
      <c r="A14" s="313">
        <v>11</v>
      </c>
      <c r="B14" s="316">
        <v>90</v>
      </c>
      <c r="C14" s="316"/>
      <c r="D14" s="318" t="s">
        <v>334</v>
      </c>
    </row>
    <row r="15" spans="1:4" x14ac:dyDescent="0.2">
      <c r="A15" s="313">
        <v>12</v>
      </c>
      <c r="B15" s="316">
        <v>6000</v>
      </c>
      <c r="C15" s="316"/>
      <c r="D15" s="318" t="s">
        <v>435</v>
      </c>
    </row>
    <row r="16" spans="1:4" ht="16" thickBot="1" x14ac:dyDescent="0.25">
      <c r="A16" s="256"/>
      <c r="B16" s="108">
        <f>SUM(B4:B15)</f>
        <v>19033.53</v>
      </c>
      <c r="C16" s="108">
        <f>SUM(C4:C15)</f>
        <v>979.71</v>
      </c>
      <c r="D16" s="547"/>
    </row>
    <row r="17" spans="1:4" ht="16" thickBot="1" x14ac:dyDescent="0.25"/>
    <row r="18" spans="1:4" ht="20" thickBot="1" x14ac:dyDescent="0.3">
      <c r="A18" s="107" t="s">
        <v>205</v>
      </c>
      <c r="B18" s="789"/>
      <c r="C18" s="790"/>
    </row>
    <row r="19" spans="1:4" ht="20" thickBot="1" x14ac:dyDescent="0.3">
      <c r="A19" s="195" t="s">
        <v>76</v>
      </c>
      <c r="B19" s="202">
        <v>45658</v>
      </c>
      <c r="C19" s="791"/>
      <c r="D19" s="792"/>
    </row>
    <row r="20" spans="1:4" ht="16" thickBot="1" x14ac:dyDescent="0.25">
      <c r="A20" s="195" t="s">
        <v>280</v>
      </c>
      <c r="B20" s="195" t="s">
        <v>117</v>
      </c>
      <c r="C20" s="195" t="s">
        <v>208</v>
      </c>
      <c r="D20" s="195" t="s">
        <v>206</v>
      </c>
    </row>
    <row r="21" spans="1:4" x14ac:dyDescent="0.2">
      <c r="A21" s="314">
        <v>1</v>
      </c>
      <c r="B21" s="315">
        <v>300</v>
      </c>
      <c r="C21" s="315"/>
      <c r="D21" s="317" t="s">
        <v>186</v>
      </c>
    </row>
    <row r="22" spans="1:4" x14ac:dyDescent="0.2">
      <c r="A22" s="313">
        <v>2</v>
      </c>
      <c r="B22" s="316">
        <v>800</v>
      </c>
      <c r="C22" s="316"/>
      <c r="D22" s="318" t="s">
        <v>186</v>
      </c>
    </row>
    <row r="23" spans="1:4" ht="16" thickBot="1" x14ac:dyDescent="0.25">
      <c r="A23" s="256"/>
      <c r="B23" s="108">
        <f>SUM(B21:B22)</f>
        <v>1100</v>
      </c>
      <c r="C23" s="108">
        <f>SUM(C21:C22)</f>
        <v>0</v>
      </c>
      <c r="D23" s="547"/>
    </row>
    <row r="24" spans="1:4" ht="16" thickBot="1" x14ac:dyDescent="0.25"/>
    <row r="25" spans="1:4" ht="20" thickBot="1" x14ac:dyDescent="0.3">
      <c r="A25" s="107" t="s">
        <v>205</v>
      </c>
      <c r="B25" s="789"/>
      <c r="C25" s="790"/>
    </row>
    <row r="26" spans="1:4" ht="20" thickBot="1" x14ac:dyDescent="0.3">
      <c r="A26" s="195" t="s">
        <v>76</v>
      </c>
      <c r="B26" s="202">
        <v>45659</v>
      </c>
      <c r="C26" s="791"/>
      <c r="D26" s="792"/>
    </row>
    <row r="27" spans="1:4" ht="16" thickBot="1" x14ac:dyDescent="0.25">
      <c r="A27" s="195" t="s">
        <v>280</v>
      </c>
      <c r="B27" s="195" t="s">
        <v>117</v>
      </c>
      <c r="C27" s="195" t="s">
        <v>208</v>
      </c>
      <c r="D27" s="195" t="s">
        <v>206</v>
      </c>
    </row>
    <row r="28" spans="1:4" x14ac:dyDescent="0.2">
      <c r="A28" s="314">
        <v>1</v>
      </c>
      <c r="B28" s="315">
        <v>300</v>
      </c>
      <c r="C28" s="315"/>
      <c r="D28" s="317" t="s">
        <v>186</v>
      </c>
    </row>
    <row r="29" spans="1:4" x14ac:dyDescent="0.2">
      <c r="A29" s="313">
        <v>2</v>
      </c>
      <c r="B29" s="316">
        <v>131.97999999999999</v>
      </c>
      <c r="C29" s="316">
        <v>17.21</v>
      </c>
      <c r="D29" s="318" t="s">
        <v>279</v>
      </c>
    </row>
    <row r="30" spans="1:4" x14ac:dyDescent="0.2">
      <c r="A30" s="313">
        <v>3</v>
      </c>
      <c r="B30" s="316">
        <v>6147.5</v>
      </c>
      <c r="C30" s="316">
        <v>593.35</v>
      </c>
      <c r="D30" s="318" t="s">
        <v>9</v>
      </c>
    </row>
    <row r="31" spans="1:4" x14ac:dyDescent="0.2">
      <c r="A31" s="313">
        <v>4</v>
      </c>
      <c r="B31" s="316">
        <v>7587.25</v>
      </c>
      <c r="C31" s="316">
        <v>989.64</v>
      </c>
      <c r="D31" s="318" t="s">
        <v>9</v>
      </c>
    </row>
    <row r="32" spans="1:4" ht="16" thickBot="1" x14ac:dyDescent="0.25">
      <c r="A32" s="256"/>
      <c r="B32" s="108">
        <f>SUM(B28:B31)</f>
        <v>14166.73</v>
      </c>
      <c r="C32" s="108">
        <f>SUM(C28:C31)</f>
        <v>1600.2</v>
      </c>
      <c r="D32" s="547"/>
    </row>
    <row r="33" spans="1:4" ht="16" thickBot="1" x14ac:dyDescent="0.25"/>
    <row r="34" spans="1:4" ht="20" thickBot="1" x14ac:dyDescent="0.3">
      <c r="A34" s="107" t="s">
        <v>205</v>
      </c>
      <c r="B34" s="789"/>
      <c r="C34" s="790"/>
    </row>
    <row r="35" spans="1:4" ht="20" thickBot="1" x14ac:dyDescent="0.3">
      <c r="A35" s="195" t="s">
        <v>76</v>
      </c>
      <c r="B35" s="202">
        <v>45660</v>
      </c>
      <c r="C35" s="791"/>
      <c r="D35" s="792"/>
    </row>
    <row r="36" spans="1:4" ht="16" thickBot="1" x14ac:dyDescent="0.25">
      <c r="A36" s="195" t="s">
        <v>280</v>
      </c>
      <c r="B36" s="195" t="s">
        <v>117</v>
      </c>
      <c r="C36" s="195" t="s">
        <v>208</v>
      </c>
      <c r="D36" s="195" t="s">
        <v>206</v>
      </c>
    </row>
    <row r="37" spans="1:4" x14ac:dyDescent="0.2">
      <c r="A37" s="314">
        <v>1</v>
      </c>
      <c r="B37" s="315">
        <v>704.64</v>
      </c>
      <c r="C37" s="315"/>
      <c r="D37" s="317" t="s">
        <v>186</v>
      </c>
    </row>
    <row r="38" spans="1:4" x14ac:dyDescent="0.2">
      <c r="A38" s="313">
        <v>2</v>
      </c>
      <c r="B38" s="316">
        <v>469.89</v>
      </c>
      <c r="C38" s="316">
        <v>11.34</v>
      </c>
      <c r="D38" s="318" t="s">
        <v>14</v>
      </c>
    </row>
    <row r="39" spans="1:4" ht="16" thickBot="1" x14ac:dyDescent="0.25">
      <c r="A39" s="256"/>
      <c r="B39" s="108">
        <f>SUM(B37:B38)</f>
        <v>1174.53</v>
      </c>
      <c r="C39" s="108">
        <f>SUM(C37:C38)</f>
        <v>11.34</v>
      </c>
      <c r="D39" s="547"/>
    </row>
    <row r="40" spans="1:4" ht="16" thickBot="1" x14ac:dyDescent="0.25"/>
    <row r="41" spans="1:4" ht="20" thickBot="1" x14ac:dyDescent="0.3">
      <c r="A41" s="107" t="s">
        <v>205</v>
      </c>
      <c r="B41" s="789"/>
      <c r="C41" s="790"/>
    </row>
    <row r="42" spans="1:4" ht="20" thickBot="1" x14ac:dyDescent="0.3">
      <c r="A42" s="195" t="s">
        <v>76</v>
      </c>
      <c r="B42" s="202">
        <v>45661</v>
      </c>
      <c r="C42" s="791"/>
      <c r="D42" s="792"/>
    </row>
    <row r="43" spans="1:4" ht="16" thickBot="1" x14ac:dyDescent="0.25">
      <c r="A43" s="195" t="s">
        <v>280</v>
      </c>
      <c r="B43" s="195" t="s">
        <v>117</v>
      </c>
      <c r="C43" s="195" t="s">
        <v>208</v>
      </c>
      <c r="D43" s="195" t="s">
        <v>206</v>
      </c>
    </row>
    <row r="44" spans="1:4" x14ac:dyDescent="0.2">
      <c r="A44" s="314">
        <v>1</v>
      </c>
      <c r="B44" s="315">
        <v>750</v>
      </c>
      <c r="C44" s="315"/>
      <c r="D44" s="317" t="s">
        <v>186</v>
      </c>
    </row>
    <row r="45" spans="1:4" x14ac:dyDescent="0.2">
      <c r="A45" s="313">
        <v>2</v>
      </c>
      <c r="B45" s="316">
        <v>1500</v>
      </c>
      <c r="C45" s="316"/>
      <c r="D45" s="318" t="s">
        <v>3</v>
      </c>
    </row>
    <row r="46" spans="1:4" x14ac:dyDescent="0.2">
      <c r="A46" s="313">
        <v>3</v>
      </c>
      <c r="B46" s="316">
        <v>209.93</v>
      </c>
      <c r="C46" s="316"/>
      <c r="D46" s="318" t="s">
        <v>14</v>
      </c>
    </row>
    <row r="47" spans="1:4" x14ac:dyDescent="0.2">
      <c r="A47" s="313">
        <v>4</v>
      </c>
      <c r="B47" s="316">
        <v>5716.55</v>
      </c>
      <c r="C47" s="316">
        <v>507.41</v>
      </c>
      <c r="D47" s="318" t="s">
        <v>9</v>
      </c>
    </row>
    <row r="48" spans="1:4" x14ac:dyDescent="0.2">
      <c r="A48" s="313">
        <v>5</v>
      </c>
      <c r="B48" s="316">
        <v>18010</v>
      </c>
      <c r="C48" s="316"/>
      <c r="D48" s="318" t="s">
        <v>12</v>
      </c>
    </row>
    <row r="49" spans="1:4" ht="16" thickBot="1" x14ac:dyDescent="0.25">
      <c r="A49" s="256"/>
      <c r="B49" s="108">
        <f>SUM(B44:B48)</f>
        <v>26186.48</v>
      </c>
      <c r="C49" s="108">
        <f>SUM(C44:C48)</f>
        <v>507.41</v>
      </c>
      <c r="D49" s="547"/>
    </row>
    <row r="50" spans="1:4" ht="16" thickBot="1" x14ac:dyDescent="0.25"/>
    <row r="51" spans="1:4" ht="20" thickBot="1" x14ac:dyDescent="0.3">
      <c r="A51" s="107" t="s">
        <v>205</v>
      </c>
      <c r="B51" s="789"/>
      <c r="C51" s="790"/>
    </row>
    <row r="52" spans="1:4" ht="20" thickBot="1" x14ac:dyDescent="0.3">
      <c r="A52" s="195" t="s">
        <v>76</v>
      </c>
      <c r="B52" s="202">
        <v>45662</v>
      </c>
      <c r="C52" s="791"/>
      <c r="D52" s="792"/>
    </row>
    <row r="53" spans="1:4" ht="16" thickBot="1" x14ac:dyDescent="0.25">
      <c r="A53" s="195" t="s">
        <v>280</v>
      </c>
      <c r="B53" s="195" t="s">
        <v>117</v>
      </c>
      <c r="C53" s="195" t="s">
        <v>208</v>
      </c>
      <c r="D53" s="195" t="s">
        <v>206</v>
      </c>
    </row>
    <row r="54" spans="1:4" x14ac:dyDescent="0.2">
      <c r="A54" s="314">
        <v>1</v>
      </c>
      <c r="B54" s="315">
        <v>189.17</v>
      </c>
      <c r="C54" s="315"/>
      <c r="D54" s="317" t="s">
        <v>411</v>
      </c>
    </row>
    <row r="55" spans="1:4" x14ac:dyDescent="0.2">
      <c r="A55" s="313">
        <v>2</v>
      </c>
      <c r="B55" s="316">
        <v>178.98</v>
      </c>
      <c r="C55" s="316">
        <v>23.35</v>
      </c>
      <c r="D55" s="318" t="s">
        <v>279</v>
      </c>
    </row>
    <row r="56" spans="1:4" x14ac:dyDescent="0.2">
      <c r="A56" s="313">
        <v>3</v>
      </c>
      <c r="B56" s="316">
        <v>40</v>
      </c>
      <c r="C56" s="316"/>
      <c r="D56" s="318" t="s">
        <v>458</v>
      </c>
    </row>
    <row r="57" spans="1:4" ht="16" thickBot="1" x14ac:dyDescent="0.25">
      <c r="A57" s="256"/>
      <c r="B57" s="108">
        <f>SUM(B54:B56)</f>
        <v>408.15</v>
      </c>
      <c r="C57" s="108">
        <f>SUM(C54:C56)</f>
        <v>23.35</v>
      </c>
      <c r="D57" s="547"/>
    </row>
    <row r="58" spans="1:4" ht="16" thickBot="1" x14ac:dyDescent="0.25"/>
    <row r="59" spans="1:4" ht="20" thickBot="1" x14ac:dyDescent="0.3">
      <c r="A59" s="107" t="s">
        <v>471</v>
      </c>
      <c r="B59" s="789"/>
      <c r="C59" s="790"/>
    </row>
    <row r="60" spans="1:4" ht="20" thickBot="1" x14ac:dyDescent="0.3">
      <c r="A60" s="195" t="s">
        <v>76</v>
      </c>
      <c r="B60" s="202">
        <v>45663</v>
      </c>
      <c r="C60" s="791"/>
      <c r="D60" s="792"/>
    </row>
    <row r="61" spans="1:4" ht="16" thickBot="1" x14ac:dyDescent="0.25">
      <c r="A61" s="195" t="s">
        <v>280</v>
      </c>
      <c r="B61" s="195" t="s">
        <v>117</v>
      </c>
      <c r="C61" s="195" t="s">
        <v>208</v>
      </c>
      <c r="D61" s="195" t="s">
        <v>206</v>
      </c>
    </row>
    <row r="62" spans="1:4" x14ac:dyDescent="0.2">
      <c r="A62" s="314">
        <v>1</v>
      </c>
      <c r="B62" s="315">
        <v>575.17999999999995</v>
      </c>
      <c r="C62" s="315"/>
      <c r="D62" s="317" t="s">
        <v>186</v>
      </c>
    </row>
    <row r="63" spans="1:4" x14ac:dyDescent="0.2">
      <c r="A63" s="313">
        <v>2</v>
      </c>
      <c r="B63" s="316">
        <v>289</v>
      </c>
      <c r="C63" s="316">
        <v>37.700000000000003</v>
      </c>
      <c r="D63" s="318" t="s">
        <v>297</v>
      </c>
    </row>
    <row r="64" spans="1:4" x14ac:dyDescent="0.2">
      <c r="A64" s="313">
        <v>3</v>
      </c>
      <c r="B64" s="316">
        <v>575</v>
      </c>
      <c r="C64" s="316">
        <v>75</v>
      </c>
      <c r="D64" s="318" t="s">
        <v>8</v>
      </c>
    </row>
    <row r="65" spans="1:4" x14ac:dyDescent="0.2">
      <c r="A65" s="313">
        <v>4</v>
      </c>
      <c r="B65" s="316">
        <v>299.89999999999998</v>
      </c>
      <c r="C65" s="316"/>
      <c r="D65" s="318" t="s">
        <v>14</v>
      </c>
    </row>
    <row r="66" spans="1:4" x14ac:dyDescent="0.2">
      <c r="A66" s="313">
        <v>5</v>
      </c>
      <c r="B66" s="316">
        <v>2472</v>
      </c>
      <c r="C66" s="316"/>
      <c r="D66" s="318" t="s">
        <v>17</v>
      </c>
    </row>
    <row r="67" spans="1:4" x14ac:dyDescent="0.2">
      <c r="A67" s="313">
        <v>6</v>
      </c>
      <c r="B67" s="316">
        <v>570</v>
      </c>
      <c r="C67" s="316"/>
      <c r="D67" s="318" t="s">
        <v>396</v>
      </c>
    </row>
    <row r="68" spans="1:4" x14ac:dyDescent="0.2">
      <c r="A68" s="313">
        <v>7</v>
      </c>
      <c r="B68" s="316">
        <v>6021.55</v>
      </c>
      <c r="C68" s="316">
        <v>582.86</v>
      </c>
      <c r="D68" s="318" t="s">
        <v>9</v>
      </c>
    </row>
    <row r="69" spans="1:4" x14ac:dyDescent="0.2">
      <c r="A69" s="313">
        <v>8</v>
      </c>
      <c r="B69" s="316">
        <v>1733.8</v>
      </c>
      <c r="C69" s="316">
        <v>220.94</v>
      </c>
      <c r="D69" s="318" t="s">
        <v>11</v>
      </c>
    </row>
    <row r="70" spans="1:4" x14ac:dyDescent="0.2">
      <c r="A70" s="313">
        <v>9</v>
      </c>
      <c r="B70" s="316">
        <v>12725</v>
      </c>
      <c r="C70" s="316"/>
      <c r="D70" s="318" t="s">
        <v>12</v>
      </c>
    </row>
    <row r="71" spans="1:4" ht="16" thickBot="1" x14ac:dyDescent="0.25">
      <c r="A71" s="256"/>
      <c r="B71" s="108">
        <f>SUM(B62:B70)</f>
        <v>25261.43</v>
      </c>
      <c r="C71" s="108">
        <f>SUM(C62:C70)</f>
        <v>916.5</v>
      </c>
      <c r="D71" s="547"/>
    </row>
    <row r="72" spans="1:4" ht="16" thickBot="1" x14ac:dyDescent="0.25"/>
    <row r="73" spans="1:4" ht="20" thickBot="1" x14ac:dyDescent="0.3">
      <c r="A73" s="107" t="s">
        <v>205</v>
      </c>
      <c r="B73" s="789"/>
      <c r="C73" s="790"/>
    </row>
    <row r="74" spans="1:4" ht="20" thickBot="1" x14ac:dyDescent="0.3">
      <c r="A74" s="195" t="s">
        <v>76</v>
      </c>
      <c r="B74" s="202">
        <v>45664</v>
      </c>
      <c r="C74" s="791"/>
      <c r="D74" s="792"/>
    </row>
    <row r="75" spans="1:4" ht="16" thickBot="1" x14ac:dyDescent="0.25">
      <c r="A75" s="195" t="s">
        <v>280</v>
      </c>
      <c r="B75" s="195" t="s">
        <v>117</v>
      </c>
      <c r="C75" s="195" t="s">
        <v>208</v>
      </c>
      <c r="D75" s="195" t="s">
        <v>206</v>
      </c>
    </row>
    <row r="76" spans="1:4" x14ac:dyDescent="0.2">
      <c r="A76" s="314">
        <v>1</v>
      </c>
      <c r="B76" s="315">
        <v>804.52</v>
      </c>
      <c r="C76" s="315"/>
      <c r="D76" s="317" t="s">
        <v>186</v>
      </c>
    </row>
    <row r="77" spans="1:4" x14ac:dyDescent="0.2">
      <c r="A77" s="313">
        <v>2</v>
      </c>
      <c r="B77" s="316">
        <v>258.35000000000002</v>
      </c>
      <c r="C77" s="316"/>
      <c r="D77" s="318" t="s">
        <v>411</v>
      </c>
    </row>
    <row r="78" spans="1:4" x14ac:dyDescent="0.2">
      <c r="A78" s="313">
        <v>3</v>
      </c>
      <c r="B78" s="316">
        <v>51</v>
      </c>
      <c r="C78" s="316"/>
      <c r="D78" s="318" t="s">
        <v>473</v>
      </c>
    </row>
    <row r="79" spans="1:4" x14ac:dyDescent="0.2">
      <c r="A79" s="313">
        <v>4</v>
      </c>
      <c r="B79" s="316">
        <v>1500</v>
      </c>
      <c r="C79" s="316"/>
      <c r="D79" s="318" t="s">
        <v>476</v>
      </c>
    </row>
    <row r="80" spans="1:4" x14ac:dyDescent="0.2">
      <c r="A80" s="313">
        <v>5</v>
      </c>
      <c r="B80" s="316">
        <v>79</v>
      </c>
      <c r="C80" s="316">
        <v>10.3</v>
      </c>
      <c r="D80" s="318" t="s">
        <v>332</v>
      </c>
    </row>
    <row r="81" spans="1:4" x14ac:dyDescent="0.2">
      <c r="A81" s="313">
        <v>6</v>
      </c>
      <c r="B81" s="316">
        <v>79</v>
      </c>
      <c r="C81" s="316">
        <v>10.3</v>
      </c>
      <c r="D81" s="318" t="s">
        <v>332</v>
      </c>
    </row>
    <row r="82" spans="1:4" x14ac:dyDescent="0.2">
      <c r="A82" s="313">
        <v>7</v>
      </c>
      <c r="B82" s="316">
        <v>114.99</v>
      </c>
      <c r="C82" s="316">
        <v>15</v>
      </c>
      <c r="D82" s="318" t="s">
        <v>473</v>
      </c>
    </row>
    <row r="83" spans="1:4" x14ac:dyDescent="0.2">
      <c r="A83" s="313">
        <v>8</v>
      </c>
      <c r="B83" s="316">
        <v>400</v>
      </c>
      <c r="C83" s="316"/>
      <c r="D83" s="318" t="s">
        <v>186</v>
      </c>
    </row>
    <row r="84" spans="1:4" x14ac:dyDescent="0.2">
      <c r="A84" s="313">
        <v>9</v>
      </c>
      <c r="B84" s="316">
        <v>86.96</v>
      </c>
      <c r="C84" s="316">
        <v>13.04</v>
      </c>
      <c r="D84" s="318" t="s">
        <v>474</v>
      </c>
    </row>
    <row r="85" spans="1:4" x14ac:dyDescent="0.2">
      <c r="A85" s="313">
        <v>10</v>
      </c>
      <c r="B85" s="316">
        <v>7522.57</v>
      </c>
      <c r="C85" s="316">
        <v>559.16</v>
      </c>
      <c r="D85" s="318" t="s">
        <v>9</v>
      </c>
    </row>
    <row r="86" spans="1:4" x14ac:dyDescent="0.2">
      <c r="A86" s="313">
        <v>11</v>
      </c>
      <c r="B86" s="316">
        <v>6000</v>
      </c>
      <c r="C86" s="316"/>
      <c r="D86" s="318" t="s">
        <v>435</v>
      </c>
    </row>
    <row r="87" spans="1:4" x14ac:dyDescent="0.2">
      <c r="A87" s="313">
        <v>12</v>
      </c>
      <c r="B87" s="316">
        <v>28014</v>
      </c>
      <c r="C87" s="316">
        <v>3654</v>
      </c>
      <c r="D87" s="318" t="s">
        <v>6</v>
      </c>
    </row>
    <row r="88" spans="1:4" ht="16" thickBot="1" x14ac:dyDescent="0.25">
      <c r="A88" s="256"/>
      <c r="B88" s="108">
        <f>SUM(B76:B87)</f>
        <v>44910.39</v>
      </c>
      <c r="C88" s="108">
        <f>SUM(C76:C87)</f>
        <v>4261.8</v>
      </c>
      <c r="D88" s="547"/>
    </row>
    <row r="89" spans="1:4" ht="16" thickBot="1" x14ac:dyDescent="0.25"/>
    <row r="90" spans="1:4" ht="20" thickBot="1" x14ac:dyDescent="0.3">
      <c r="A90" s="107" t="s">
        <v>205</v>
      </c>
      <c r="B90" s="789"/>
      <c r="C90" s="790"/>
    </row>
    <row r="91" spans="1:4" ht="20" thickBot="1" x14ac:dyDescent="0.3">
      <c r="A91" s="195" t="s">
        <v>76</v>
      </c>
      <c r="B91" s="202">
        <v>45665</v>
      </c>
      <c r="C91" s="791"/>
      <c r="D91" s="792"/>
    </row>
    <row r="92" spans="1:4" ht="16" thickBot="1" x14ac:dyDescent="0.25">
      <c r="A92" s="195" t="s">
        <v>280</v>
      </c>
      <c r="B92" s="195" t="s">
        <v>117</v>
      </c>
      <c r="C92" s="195" t="s">
        <v>208</v>
      </c>
      <c r="D92" s="195" t="s">
        <v>206</v>
      </c>
    </row>
    <row r="93" spans="1:4" x14ac:dyDescent="0.2">
      <c r="A93" s="314">
        <v>1</v>
      </c>
      <c r="B93" s="315">
        <v>800</v>
      </c>
      <c r="C93" s="315"/>
      <c r="D93" s="317" t="s">
        <v>186</v>
      </c>
    </row>
    <row r="94" spans="1:4" ht="16" thickBot="1" x14ac:dyDescent="0.25">
      <c r="A94" s="256"/>
      <c r="B94" s="108">
        <f>SUM(B93:B93)</f>
        <v>800</v>
      </c>
      <c r="C94" s="108">
        <f>SUM(C93:C93)</f>
        <v>0</v>
      </c>
      <c r="D94" s="547"/>
    </row>
    <row r="95" spans="1:4" ht="16" thickBot="1" x14ac:dyDescent="0.25"/>
    <row r="96" spans="1:4" ht="20" thickBot="1" x14ac:dyDescent="0.3">
      <c r="A96" s="107" t="s">
        <v>205</v>
      </c>
      <c r="B96" s="789"/>
      <c r="C96" s="790"/>
    </row>
    <row r="97" spans="1:4" ht="20" thickBot="1" x14ac:dyDescent="0.3">
      <c r="A97" s="195" t="s">
        <v>76</v>
      </c>
      <c r="B97" s="202">
        <v>45666</v>
      </c>
      <c r="C97" s="791"/>
      <c r="D97" s="792"/>
    </row>
    <row r="98" spans="1:4" ht="16" thickBot="1" x14ac:dyDescent="0.25">
      <c r="A98" s="195" t="s">
        <v>280</v>
      </c>
      <c r="B98" s="195" t="s">
        <v>117</v>
      </c>
      <c r="C98" s="195" t="s">
        <v>208</v>
      </c>
      <c r="D98" s="195" t="s">
        <v>206</v>
      </c>
    </row>
    <row r="99" spans="1:4" x14ac:dyDescent="0.2">
      <c r="A99" s="314">
        <v>1</v>
      </c>
      <c r="B99" s="315">
        <v>999.22</v>
      </c>
      <c r="C99" s="315"/>
      <c r="D99" s="317" t="s">
        <v>186</v>
      </c>
    </row>
    <row r="100" spans="1:4" x14ac:dyDescent="0.2">
      <c r="A100" s="313">
        <v>2</v>
      </c>
      <c r="B100" s="316">
        <v>79</v>
      </c>
      <c r="C100" s="316">
        <v>10.3</v>
      </c>
      <c r="D100" s="318" t="s">
        <v>332</v>
      </c>
    </row>
    <row r="101" spans="1:4" x14ac:dyDescent="0.2">
      <c r="A101" s="313">
        <v>3</v>
      </c>
      <c r="B101" s="316">
        <v>79</v>
      </c>
      <c r="C101" s="316">
        <v>10.3</v>
      </c>
      <c r="D101" s="318" t="s">
        <v>332</v>
      </c>
    </row>
    <row r="102" spans="1:4" x14ac:dyDescent="0.2">
      <c r="A102" s="313">
        <v>4</v>
      </c>
      <c r="B102" s="316">
        <v>25</v>
      </c>
      <c r="C102" s="316"/>
      <c r="D102" s="318" t="s">
        <v>499</v>
      </c>
    </row>
    <row r="103" spans="1:4" x14ac:dyDescent="0.2">
      <c r="A103" s="313">
        <v>5</v>
      </c>
      <c r="B103" s="316">
        <v>27.99</v>
      </c>
      <c r="C103" s="316">
        <v>3.65</v>
      </c>
      <c r="D103" s="318" t="s">
        <v>279</v>
      </c>
    </row>
    <row r="104" spans="1:4" x14ac:dyDescent="0.2">
      <c r="A104" s="313">
        <v>6</v>
      </c>
      <c r="B104" s="316">
        <v>94.99</v>
      </c>
      <c r="C104" s="316"/>
      <c r="D104" s="318" t="s">
        <v>279</v>
      </c>
    </row>
    <row r="105" spans="1:4" x14ac:dyDescent="0.2">
      <c r="A105" s="313">
        <v>7</v>
      </c>
      <c r="B105" s="316">
        <v>299.89999999999998</v>
      </c>
      <c r="C105" s="316"/>
      <c r="D105" s="318" t="s">
        <v>14</v>
      </c>
    </row>
    <row r="106" spans="1:4" x14ac:dyDescent="0.2">
      <c r="A106" s="313">
        <v>8</v>
      </c>
      <c r="B106" s="316">
        <v>6691.45</v>
      </c>
      <c r="C106" s="316">
        <v>623.95000000000005</v>
      </c>
      <c r="D106" s="318" t="s">
        <v>9</v>
      </c>
    </row>
    <row r="107" spans="1:4" x14ac:dyDescent="0.2">
      <c r="A107" s="313">
        <v>9</v>
      </c>
      <c r="B107" s="316">
        <v>7587.25</v>
      </c>
      <c r="C107" s="316">
        <v>989.64</v>
      </c>
      <c r="D107" s="318" t="s">
        <v>343</v>
      </c>
    </row>
    <row r="108" spans="1:4" x14ac:dyDescent="0.2">
      <c r="A108" s="313">
        <v>10</v>
      </c>
      <c r="B108" s="316">
        <v>4241</v>
      </c>
      <c r="C108" s="316">
        <v>553.16999999999996</v>
      </c>
      <c r="D108" s="318" t="s">
        <v>500</v>
      </c>
    </row>
    <row r="109" spans="1:4" ht="16" thickBot="1" x14ac:dyDescent="0.25">
      <c r="A109" s="256"/>
      <c r="B109" s="108">
        <f>SUM(B99:B108)</f>
        <v>20124.8</v>
      </c>
      <c r="C109" s="108">
        <f>SUM(C99:C108)</f>
        <v>2191.0100000000002</v>
      </c>
      <c r="D109" s="547"/>
    </row>
    <row r="110" spans="1:4" ht="16" thickBot="1" x14ac:dyDescent="0.25"/>
    <row r="111" spans="1:4" ht="20" thickBot="1" x14ac:dyDescent="0.3">
      <c r="A111" s="107" t="s">
        <v>205</v>
      </c>
      <c r="B111" s="789"/>
      <c r="C111" s="790"/>
    </row>
    <row r="112" spans="1:4" ht="20" thickBot="1" x14ac:dyDescent="0.3">
      <c r="A112" s="195" t="s">
        <v>76</v>
      </c>
      <c r="B112" s="202">
        <v>45667</v>
      </c>
      <c r="C112" s="791"/>
      <c r="D112" s="792"/>
    </row>
    <row r="113" spans="1:4" ht="16" thickBot="1" x14ac:dyDescent="0.25">
      <c r="A113" s="195" t="s">
        <v>280</v>
      </c>
      <c r="B113" s="195" t="s">
        <v>117</v>
      </c>
      <c r="C113" s="195" t="s">
        <v>208</v>
      </c>
      <c r="D113" s="195" t="s">
        <v>206</v>
      </c>
    </row>
    <row r="114" spans="1:4" x14ac:dyDescent="0.2">
      <c r="A114" s="314">
        <v>1</v>
      </c>
      <c r="B114" s="315">
        <v>804.72</v>
      </c>
      <c r="C114" s="315"/>
      <c r="D114" s="317" t="s">
        <v>186</v>
      </c>
    </row>
    <row r="115" spans="1:4" ht="16" thickBot="1" x14ac:dyDescent="0.25">
      <c r="A115" s="256"/>
      <c r="B115" s="108">
        <f>SUM(B114:B114)</f>
        <v>804.72</v>
      </c>
      <c r="C115" s="108">
        <f>SUM(C114:C114)</f>
        <v>0</v>
      </c>
      <c r="D115" s="547"/>
    </row>
    <row r="116" spans="1:4" ht="16" thickBot="1" x14ac:dyDescent="0.25"/>
    <row r="117" spans="1:4" ht="20" thickBot="1" x14ac:dyDescent="0.3">
      <c r="A117" s="107" t="s">
        <v>205</v>
      </c>
      <c r="B117" s="789"/>
      <c r="C117" s="790"/>
    </row>
    <row r="118" spans="1:4" ht="20" thickBot="1" x14ac:dyDescent="0.3">
      <c r="A118" s="195" t="s">
        <v>76</v>
      </c>
      <c r="B118" s="202">
        <v>45668</v>
      </c>
      <c r="C118" s="791"/>
      <c r="D118" s="792"/>
    </row>
    <row r="119" spans="1:4" ht="16" thickBot="1" x14ac:dyDescent="0.25">
      <c r="A119" s="195" t="s">
        <v>280</v>
      </c>
      <c r="B119" s="195" t="s">
        <v>117</v>
      </c>
      <c r="C119" s="195" t="s">
        <v>208</v>
      </c>
      <c r="D119" s="195" t="s">
        <v>206</v>
      </c>
    </row>
    <row r="120" spans="1:4" x14ac:dyDescent="0.2">
      <c r="A120" s="314">
        <v>1</v>
      </c>
      <c r="B120" s="315">
        <v>728.14</v>
      </c>
      <c r="C120" s="315"/>
      <c r="D120" s="317" t="s">
        <v>186</v>
      </c>
    </row>
    <row r="121" spans="1:4" x14ac:dyDescent="0.2">
      <c r="A121" s="313">
        <v>2</v>
      </c>
      <c r="B121" s="316">
        <v>2650</v>
      </c>
      <c r="C121" s="316">
        <v>345.65</v>
      </c>
      <c r="D121" s="318" t="s">
        <v>521</v>
      </c>
    </row>
    <row r="122" spans="1:4" x14ac:dyDescent="0.2">
      <c r="A122" s="313">
        <v>3</v>
      </c>
      <c r="B122" s="316">
        <v>6700</v>
      </c>
      <c r="C122" s="316"/>
      <c r="D122" s="318" t="s">
        <v>12</v>
      </c>
    </row>
    <row r="123" spans="1:4" ht="16" thickBot="1" x14ac:dyDescent="0.25">
      <c r="A123" s="256"/>
      <c r="B123" s="108">
        <f>SUM(B120:B122)</f>
        <v>10078.14</v>
      </c>
      <c r="C123" s="108">
        <f>SUM(C120:C122)</f>
        <v>345.65</v>
      </c>
      <c r="D123" s="547"/>
    </row>
    <row r="124" spans="1:4" ht="16" thickBot="1" x14ac:dyDescent="0.25"/>
    <row r="125" spans="1:4" ht="20" thickBot="1" x14ac:dyDescent="0.3">
      <c r="A125" s="107" t="s">
        <v>205</v>
      </c>
      <c r="B125" s="789"/>
      <c r="C125" s="790"/>
    </row>
    <row r="126" spans="1:4" ht="20" thickBot="1" x14ac:dyDescent="0.3">
      <c r="A126" s="195" t="s">
        <v>76</v>
      </c>
      <c r="B126" s="202">
        <v>45669</v>
      </c>
      <c r="C126" s="791"/>
      <c r="D126" s="792"/>
    </row>
    <row r="127" spans="1:4" ht="16" thickBot="1" x14ac:dyDescent="0.25">
      <c r="A127" s="195" t="s">
        <v>280</v>
      </c>
      <c r="B127" s="195" t="s">
        <v>117</v>
      </c>
      <c r="C127" s="195" t="s">
        <v>208</v>
      </c>
      <c r="D127" s="195" t="s">
        <v>206</v>
      </c>
    </row>
    <row r="128" spans="1:4" x14ac:dyDescent="0.2">
      <c r="A128" s="314">
        <v>1</v>
      </c>
      <c r="B128" s="315">
        <v>1633</v>
      </c>
      <c r="C128" s="315"/>
      <c r="D128" s="317" t="s">
        <v>523</v>
      </c>
    </row>
    <row r="129" spans="1:4" x14ac:dyDescent="0.2">
      <c r="A129" s="313">
        <v>2</v>
      </c>
      <c r="B129" s="316">
        <v>19.989999999999998</v>
      </c>
      <c r="C129" s="316">
        <v>3</v>
      </c>
      <c r="D129" s="318" t="s">
        <v>9</v>
      </c>
    </row>
    <row r="130" spans="1:4" x14ac:dyDescent="0.2">
      <c r="A130" s="313">
        <v>3</v>
      </c>
      <c r="B130" s="316">
        <v>5010.59</v>
      </c>
      <c r="C130" s="316">
        <v>497.36</v>
      </c>
      <c r="D130" s="318" t="s">
        <v>9</v>
      </c>
    </row>
    <row r="131" spans="1:4" x14ac:dyDescent="0.2">
      <c r="A131" s="313">
        <v>4</v>
      </c>
      <c r="B131" s="316">
        <v>494.83</v>
      </c>
      <c r="C131" s="316">
        <v>1.96</v>
      </c>
      <c r="D131" s="318" t="s">
        <v>14</v>
      </c>
    </row>
    <row r="132" spans="1:4" ht="16" thickBot="1" x14ac:dyDescent="0.25">
      <c r="A132" s="256"/>
      <c r="B132" s="108">
        <f>SUM(B128:B131)</f>
        <v>7158.41</v>
      </c>
      <c r="C132" s="108">
        <f>SUM(C128:C131)</f>
        <v>502.32</v>
      </c>
      <c r="D132" s="547"/>
    </row>
    <row r="133" spans="1:4" ht="16" thickBot="1" x14ac:dyDescent="0.25"/>
    <row r="134" spans="1:4" ht="20" thickBot="1" x14ac:dyDescent="0.3">
      <c r="A134" s="107" t="s">
        <v>205</v>
      </c>
      <c r="B134" s="789"/>
      <c r="C134" s="790"/>
    </row>
    <row r="135" spans="1:4" ht="20" thickBot="1" x14ac:dyDescent="0.3">
      <c r="A135" s="195" t="s">
        <v>76</v>
      </c>
      <c r="B135" s="202">
        <v>45670</v>
      </c>
      <c r="C135" s="791"/>
      <c r="D135" s="792"/>
    </row>
    <row r="136" spans="1:4" ht="16" thickBot="1" x14ac:dyDescent="0.25">
      <c r="A136" s="195" t="s">
        <v>280</v>
      </c>
      <c r="B136" s="195" t="s">
        <v>117</v>
      </c>
      <c r="C136" s="195" t="s">
        <v>208</v>
      </c>
      <c r="D136" s="195" t="s">
        <v>206</v>
      </c>
    </row>
    <row r="137" spans="1:4" x14ac:dyDescent="0.2">
      <c r="A137" s="314">
        <v>1</v>
      </c>
      <c r="B137" s="315">
        <v>300</v>
      </c>
      <c r="C137" s="315"/>
      <c r="D137" s="317" t="s">
        <v>186</v>
      </c>
    </row>
    <row r="138" spans="1:4" x14ac:dyDescent="0.2">
      <c r="A138" s="313">
        <v>2</v>
      </c>
      <c r="B138" s="316">
        <v>672</v>
      </c>
      <c r="C138" s="316"/>
      <c r="D138" s="318" t="s">
        <v>17</v>
      </c>
    </row>
    <row r="139" spans="1:4" x14ac:dyDescent="0.2">
      <c r="A139" s="313">
        <v>3</v>
      </c>
      <c r="B139" s="316">
        <v>1110</v>
      </c>
      <c r="C139" s="316"/>
      <c r="D139" s="318" t="s">
        <v>9</v>
      </c>
    </row>
    <row r="140" spans="1:4" x14ac:dyDescent="0.2">
      <c r="A140" s="313">
        <v>4</v>
      </c>
      <c r="B140" s="316">
        <v>314.91000000000003</v>
      </c>
      <c r="C140" s="316"/>
      <c r="D140" s="318" t="s">
        <v>14</v>
      </c>
    </row>
    <row r="141" spans="1:4" x14ac:dyDescent="0.2">
      <c r="A141" s="313">
        <v>5</v>
      </c>
      <c r="B141" s="316">
        <v>5383.56</v>
      </c>
      <c r="C141" s="316">
        <v>493.46</v>
      </c>
      <c r="D141" s="318" t="s">
        <v>9</v>
      </c>
    </row>
    <row r="142" spans="1:4" x14ac:dyDescent="0.2">
      <c r="A142" s="313">
        <v>6</v>
      </c>
      <c r="B142" s="316">
        <v>870</v>
      </c>
      <c r="C142" s="316"/>
      <c r="D142" s="318" t="s">
        <v>396</v>
      </c>
    </row>
    <row r="143" spans="1:4" ht="16" thickBot="1" x14ac:dyDescent="0.25">
      <c r="A143" s="256"/>
      <c r="B143" s="108">
        <f>SUM(B137:B142)</f>
        <v>8650.4700000000012</v>
      </c>
      <c r="C143" s="108">
        <f>SUM(C137:C142)</f>
        <v>493.46</v>
      </c>
      <c r="D143" s="547"/>
    </row>
    <row r="144" spans="1:4" ht="16" thickBot="1" x14ac:dyDescent="0.25"/>
    <row r="145" spans="1:4" ht="20" thickBot="1" x14ac:dyDescent="0.3">
      <c r="A145" s="107" t="s">
        <v>205</v>
      </c>
      <c r="B145" s="789"/>
      <c r="C145" s="790"/>
    </row>
    <row r="146" spans="1:4" ht="20" thickBot="1" x14ac:dyDescent="0.3">
      <c r="A146" s="195" t="s">
        <v>76</v>
      </c>
      <c r="B146" s="202">
        <v>45671</v>
      </c>
      <c r="C146" s="791"/>
      <c r="D146" s="792"/>
    </row>
    <row r="147" spans="1:4" ht="16" thickBot="1" x14ac:dyDescent="0.25">
      <c r="A147" s="195" t="s">
        <v>280</v>
      </c>
      <c r="B147" s="195" t="s">
        <v>117</v>
      </c>
      <c r="C147" s="195" t="s">
        <v>208</v>
      </c>
      <c r="D147" s="195" t="s">
        <v>206</v>
      </c>
    </row>
    <row r="148" spans="1:4" x14ac:dyDescent="0.2">
      <c r="A148" s="314">
        <v>1</v>
      </c>
      <c r="B148" s="315">
        <v>300</v>
      </c>
      <c r="C148" s="315"/>
      <c r="D148" s="317" t="s">
        <v>528</v>
      </c>
    </row>
    <row r="149" spans="1:4" x14ac:dyDescent="0.2">
      <c r="A149" s="313">
        <v>2</v>
      </c>
      <c r="B149" s="316">
        <v>775.96</v>
      </c>
      <c r="C149" s="316"/>
      <c r="D149" s="318" t="s">
        <v>186</v>
      </c>
    </row>
    <row r="150" spans="1:4" x14ac:dyDescent="0.2">
      <c r="A150" s="313">
        <v>3</v>
      </c>
      <c r="B150" s="316">
        <v>79</v>
      </c>
      <c r="C150" s="316">
        <v>10.3</v>
      </c>
      <c r="D150" s="318" t="s">
        <v>332</v>
      </c>
    </row>
    <row r="151" spans="1:4" x14ac:dyDescent="0.2">
      <c r="A151" s="313">
        <v>4</v>
      </c>
      <c r="B151" s="316">
        <v>79</v>
      </c>
      <c r="C151" s="316">
        <v>10.3</v>
      </c>
      <c r="D151" s="318" t="s">
        <v>332</v>
      </c>
    </row>
    <row r="152" spans="1:4" x14ac:dyDescent="0.2">
      <c r="A152" s="313">
        <v>5</v>
      </c>
      <c r="B152" s="316">
        <v>137</v>
      </c>
      <c r="C152" s="316"/>
      <c r="D152" s="318" t="s">
        <v>536</v>
      </c>
    </row>
    <row r="153" spans="1:4" x14ac:dyDescent="0.2">
      <c r="A153" s="313">
        <v>6</v>
      </c>
      <c r="B153" s="316">
        <v>60</v>
      </c>
      <c r="C153" s="316"/>
      <c r="D153" s="318" t="s">
        <v>537</v>
      </c>
    </row>
    <row r="154" spans="1:4" x14ac:dyDescent="0.2">
      <c r="A154" s="313">
        <v>7</v>
      </c>
      <c r="B154" s="316">
        <v>244.93</v>
      </c>
      <c r="C154" s="316"/>
      <c r="D154" s="318" t="s">
        <v>14</v>
      </c>
    </row>
    <row r="155" spans="1:4" x14ac:dyDescent="0.2">
      <c r="A155" s="313">
        <v>8</v>
      </c>
      <c r="B155" s="316">
        <v>80.94</v>
      </c>
      <c r="C155" s="316">
        <v>10.56</v>
      </c>
      <c r="D155" s="318" t="s">
        <v>538</v>
      </c>
    </row>
    <row r="156" spans="1:4" x14ac:dyDescent="0.2">
      <c r="A156" s="313">
        <v>9</v>
      </c>
      <c r="B156" s="316">
        <v>6880.59</v>
      </c>
      <c r="C156" s="316">
        <v>451.76</v>
      </c>
      <c r="D156" s="318" t="s">
        <v>9</v>
      </c>
    </row>
    <row r="157" spans="1:4" x14ac:dyDescent="0.2">
      <c r="A157" s="313">
        <v>10</v>
      </c>
      <c r="B157" s="316">
        <v>7800</v>
      </c>
      <c r="C157" s="316"/>
      <c r="D157" s="318" t="s">
        <v>435</v>
      </c>
    </row>
    <row r="158" spans="1:4" x14ac:dyDescent="0.2">
      <c r="A158" s="313">
        <v>11</v>
      </c>
      <c r="B158" s="316">
        <v>11325</v>
      </c>
      <c r="C158" s="316"/>
      <c r="D158" s="318" t="s">
        <v>12</v>
      </c>
    </row>
    <row r="159" spans="1:4" ht="16" thickBot="1" x14ac:dyDescent="0.25">
      <c r="A159" s="256"/>
      <c r="B159" s="108">
        <f>SUM(B148:B158)</f>
        <v>27762.42</v>
      </c>
      <c r="C159" s="108">
        <f>SUM(C148:C158)</f>
        <v>482.92</v>
      </c>
      <c r="D159" s="547"/>
    </row>
    <row r="160" spans="1:4" ht="16" thickBot="1" x14ac:dyDescent="0.25"/>
    <row r="161" spans="1:4" ht="20" thickBot="1" x14ac:dyDescent="0.3">
      <c r="A161" s="107" t="s">
        <v>205</v>
      </c>
      <c r="B161" s="789"/>
      <c r="C161" s="790"/>
    </row>
    <row r="162" spans="1:4" ht="20" thickBot="1" x14ac:dyDescent="0.3">
      <c r="A162" s="195" t="s">
        <v>76</v>
      </c>
      <c r="B162" s="202">
        <v>45672</v>
      </c>
      <c r="C162" s="791"/>
      <c r="D162" s="792"/>
    </row>
    <row r="163" spans="1:4" ht="16" thickBot="1" x14ac:dyDescent="0.25">
      <c r="A163" s="195" t="s">
        <v>280</v>
      </c>
      <c r="B163" s="195" t="s">
        <v>117</v>
      </c>
      <c r="C163" s="195" t="s">
        <v>208</v>
      </c>
      <c r="D163" s="195" t="s">
        <v>206</v>
      </c>
    </row>
    <row r="164" spans="1:4" x14ac:dyDescent="0.2">
      <c r="A164" s="314">
        <v>1</v>
      </c>
      <c r="B164" s="315">
        <v>850.16</v>
      </c>
      <c r="C164" s="315"/>
      <c r="D164" s="317" t="s">
        <v>186</v>
      </c>
    </row>
    <row r="165" spans="1:4" x14ac:dyDescent="0.2">
      <c r="A165" s="190">
        <v>2</v>
      </c>
      <c r="B165" s="329">
        <v>13146.8</v>
      </c>
      <c r="C165" s="329">
        <v>1714.8</v>
      </c>
      <c r="D165" s="256" t="s">
        <v>6</v>
      </c>
    </row>
    <row r="166" spans="1:4" ht="16" thickBot="1" x14ac:dyDescent="0.25">
      <c r="A166" s="256"/>
      <c r="B166" s="108">
        <f>SUM(B164:B165)</f>
        <v>13996.96</v>
      </c>
      <c r="C166" s="108">
        <f>SUM(C164:C165)</f>
        <v>1714.8</v>
      </c>
      <c r="D166" s="547"/>
    </row>
    <row r="167" spans="1:4" ht="16" thickBot="1" x14ac:dyDescent="0.25"/>
    <row r="168" spans="1:4" ht="20" thickBot="1" x14ac:dyDescent="0.3">
      <c r="A168" s="107" t="s">
        <v>205</v>
      </c>
      <c r="B168" s="789"/>
      <c r="C168" s="790"/>
    </row>
    <row r="169" spans="1:4" ht="20" thickBot="1" x14ac:dyDescent="0.3">
      <c r="A169" s="195" t="s">
        <v>76</v>
      </c>
      <c r="B169" s="202">
        <v>45673</v>
      </c>
      <c r="C169" s="791"/>
      <c r="D169" s="792"/>
    </row>
    <row r="170" spans="1:4" ht="16" thickBot="1" x14ac:dyDescent="0.25">
      <c r="A170" s="195" t="s">
        <v>280</v>
      </c>
      <c r="B170" s="195" t="s">
        <v>117</v>
      </c>
      <c r="C170" s="195" t="s">
        <v>208</v>
      </c>
      <c r="D170" s="195" t="s">
        <v>206</v>
      </c>
    </row>
    <row r="171" spans="1:4" x14ac:dyDescent="0.2">
      <c r="A171" s="314">
        <v>1</v>
      </c>
      <c r="B171" s="315">
        <v>88</v>
      </c>
      <c r="C171" s="315">
        <v>11.48</v>
      </c>
      <c r="D171" s="317" t="s">
        <v>297</v>
      </c>
    </row>
    <row r="172" spans="1:4" x14ac:dyDescent="0.2">
      <c r="A172" s="313">
        <v>2</v>
      </c>
      <c r="B172" s="316">
        <v>314.91000000000003</v>
      </c>
      <c r="C172" s="316">
        <v>0</v>
      </c>
      <c r="D172" s="318" t="s">
        <v>14</v>
      </c>
    </row>
    <row r="173" spans="1:4" x14ac:dyDescent="0.2">
      <c r="A173" s="313">
        <v>3</v>
      </c>
      <c r="B173" s="316">
        <v>5978.5</v>
      </c>
      <c r="C173" s="316">
        <v>537.70000000000005</v>
      </c>
      <c r="D173" s="318" t="s">
        <v>9</v>
      </c>
    </row>
    <row r="174" spans="1:4" x14ac:dyDescent="0.2">
      <c r="A174" s="313">
        <v>4</v>
      </c>
      <c r="B174" s="316">
        <v>2529.08</v>
      </c>
      <c r="C174" s="316">
        <v>537.70000000000005</v>
      </c>
      <c r="D174" s="318" t="s">
        <v>343</v>
      </c>
    </row>
    <row r="175" spans="1:4" ht="16" thickBot="1" x14ac:dyDescent="0.25">
      <c r="A175" s="256"/>
      <c r="B175" s="108">
        <f>SUM(B171:B174)</f>
        <v>8910.49</v>
      </c>
      <c r="C175" s="108">
        <f>SUM(C171:C174)</f>
        <v>1086.8800000000001</v>
      </c>
      <c r="D175" s="547"/>
    </row>
    <row r="176" spans="1:4" ht="16" thickBot="1" x14ac:dyDescent="0.25"/>
    <row r="177" spans="1:4" ht="20" thickBot="1" x14ac:dyDescent="0.3">
      <c r="A177" s="107" t="s">
        <v>205</v>
      </c>
      <c r="B177" s="789"/>
      <c r="C177" s="790"/>
    </row>
    <row r="178" spans="1:4" ht="20" thickBot="1" x14ac:dyDescent="0.3">
      <c r="A178" s="195" t="s">
        <v>76</v>
      </c>
      <c r="B178" s="202">
        <v>45674</v>
      </c>
      <c r="C178" s="791"/>
      <c r="D178" s="792"/>
    </row>
    <row r="179" spans="1:4" ht="16" thickBot="1" x14ac:dyDescent="0.25">
      <c r="A179" s="195" t="s">
        <v>280</v>
      </c>
      <c r="B179" s="195" t="s">
        <v>117</v>
      </c>
      <c r="C179" s="195" t="s">
        <v>208</v>
      </c>
      <c r="D179" s="195" t="s">
        <v>206</v>
      </c>
    </row>
    <row r="180" spans="1:4" x14ac:dyDescent="0.2">
      <c r="A180" s="314">
        <v>1</v>
      </c>
      <c r="B180" s="315">
        <v>800</v>
      </c>
      <c r="C180" s="315"/>
      <c r="D180" s="317" t="s">
        <v>186</v>
      </c>
    </row>
    <row r="181" spans="1:4" ht="16" thickBot="1" x14ac:dyDescent="0.25">
      <c r="A181" s="256"/>
      <c r="B181" s="108">
        <f>SUM(B180:B180)</f>
        <v>800</v>
      </c>
      <c r="C181" s="108">
        <f>SUM(C180:C180)</f>
        <v>0</v>
      </c>
      <c r="D181" s="547"/>
    </row>
    <row r="182" spans="1:4" ht="16" thickBot="1" x14ac:dyDescent="0.25"/>
    <row r="183" spans="1:4" ht="20" thickBot="1" x14ac:dyDescent="0.3">
      <c r="A183" s="107" t="s">
        <v>205</v>
      </c>
      <c r="B183" s="789"/>
      <c r="C183" s="790"/>
    </row>
    <row r="184" spans="1:4" ht="20" thickBot="1" x14ac:dyDescent="0.3">
      <c r="A184" s="195" t="s">
        <v>76</v>
      </c>
      <c r="B184" s="202">
        <v>45675</v>
      </c>
      <c r="C184" s="791"/>
      <c r="D184" s="792"/>
    </row>
    <row r="185" spans="1:4" ht="16" thickBot="1" x14ac:dyDescent="0.25">
      <c r="A185" s="195" t="s">
        <v>280</v>
      </c>
      <c r="B185" s="195" t="s">
        <v>117</v>
      </c>
      <c r="C185" s="195" t="s">
        <v>208</v>
      </c>
      <c r="D185" s="195" t="s">
        <v>206</v>
      </c>
    </row>
    <row r="186" spans="1:4" x14ac:dyDescent="0.2">
      <c r="A186" s="314">
        <v>1</v>
      </c>
      <c r="B186" s="315">
        <v>1500</v>
      </c>
      <c r="C186" s="315"/>
      <c r="D186" s="317" t="s">
        <v>3</v>
      </c>
    </row>
    <row r="187" spans="1:4" x14ac:dyDescent="0.2">
      <c r="A187" s="313">
        <v>2</v>
      </c>
      <c r="B187" s="316">
        <v>349.9</v>
      </c>
      <c r="C187" s="316"/>
      <c r="D187" s="318" t="s">
        <v>14</v>
      </c>
    </row>
    <row r="188" spans="1:4" x14ac:dyDescent="0.2">
      <c r="A188" s="313">
        <v>3</v>
      </c>
      <c r="B188" s="316">
        <v>6462.58</v>
      </c>
      <c r="C188" s="316">
        <v>632.66</v>
      </c>
      <c r="D188" s="318" t="s">
        <v>9</v>
      </c>
    </row>
    <row r="189" spans="1:4" x14ac:dyDescent="0.2">
      <c r="A189" s="313">
        <v>4</v>
      </c>
      <c r="B189" s="316">
        <v>25.9</v>
      </c>
      <c r="C189" s="316"/>
      <c r="D189" s="318" t="s">
        <v>334</v>
      </c>
    </row>
    <row r="190" spans="1:4" x14ac:dyDescent="0.2">
      <c r="A190" s="313">
        <v>5</v>
      </c>
      <c r="B190" s="316">
        <v>520</v>
      </c>
      <c r="C190" s="316">
        <f>B190*15%</f>
        <v>78</v>
      </c>
      <c r="D190" s="318" t="s">
        <v>500</v>
      </c>
    </row>
    <row r="191" spans="1:4" ht="16" thickBot="1" x14ac:dyDescent="0.25">
      <c r="A191" s="256"/>
      <c r="B191" s="108">
        <f>SUM(B186:B190)</f>
        <v>8858.3799999999992</v>
      </c>
      <c r="C191" s="108">
        <f>SUM(C186:C190)</f>
        <v>710.66</v>
      </c>
      <c r="D191" s="547"/>
    </row>
    <row r="192" spans="1:4" ht="16" thickBot="1" x14ac:dyDescent="0.25"/>
    <row r="193" spans="1:4" ht="20" thickBot="1" x14ac:dyDescent="0.3">
      <c r="A193" s="107" t="s">
        <v>205</v>
      </c>
      <c r="B193" s="789"/>
      <c r="C193" s="790"/>
    </row>
    <row r="194" spans="1:4" ht="20" thickBot="1" x14ac:dyDescent="0.3">
      <c r="A194" s="195" t="s">
        <v>76</v>
      </c>
      <c r="B194" s="202">
        <v>45677</v>
      </c>
      <c r="C194" s="791"/>
      <c r="D194" s="792"/>
    </row>
    <row r="195" spans="1:4" ht="16" thickBot="1" x14ac:dyDescent="0.25">
      <c r="A195" s="195" t="s">
        <v>280</v>
      </c>
      <c r="B195" s="195" t="s">
        <v>117</v>
      </c>
      <c r="C195" s="195" t="s">
        <v>208</v>
      </c>
      <c r="D195" s="195" t="s">
        <v>206</v>
      </c>
    </row>
    <row r="196" spans="1:4" x14ac:dyDescent="0.2">
      <c r="A196" s="314">
        <v>1</v>
      </c>
      <c r="B196" s="315">
        <v>901.06</v>
      </c>
      <c r="C196" s="315"/>
      <c r="D196" s="317" t="s">
        <v>186</v>
      </c>
    </row>
    <row r="197" spans="1:4" x14ac:dyDescent="0.2">
      <c r="A197" s="313">
        <v>2</v>
      </c>
      <c r="B197" s="316">
        <v>600</v>
      </c>
      <c r="C197" s="316"/>
      <c r="D197" s="318" t="s">
        <v>186</v>
      </c>
    </row>
    <row r="198" spans="1:4" x14ac:dyDescent="0.2">
      <c r="A198" s="313">
        <v>3</v>
      </c>
      <c r="B198" s="316">
        <v>139.96</v>
      </c>
      <c r="C198" s="316"/>
      <c r="D198" s="318" t="s">
        <v>14</v>
      </c>
    </row>
    <row r="199" spans="1:4" x14ac:dyDescent="0.2">
      <c r="A199" s="313">
        <v>4</v>
      </c>
      <c r="B199" s="316">
        <v>4667.6400000000003</v>
      </c>
      <c r="C199" s="316">
        <v>405.27</v>
      </c>
      <c r="D199" s="318" t="s">
        <v>9</v>
      </c>
    </row>
    <row r="200" spans="1:4" x14ac:dyDescent="0.2">
      <c r="A200" s="313">
        <v>5</v>
      </c>
      <c r="B200" s="316">
        <v>826</v>
      </c>
      <c r="C200" s="316"/>
      <c r="D200" s="318" t="s">
        <v>396</v>
      </c>
    </row>
    <row r="201" spans="1:4" x14ac:dyDescent="0.2">
      <c r="A201" s="313">
        <v>6</v>
      </c>
      <c r="B201" s="316">
        <v>180</v>
      </c>
      <c r="C201" s="316"/>
      <c r="D201" s="318" t="s">
        <v>334</v>
      </c>
    </row>
    <row r="202" spans="1:4" x14ac:dyDescent="0.2">
      <c r="A202" s="313">
        <v>7</v>
      </c>
      <c r="B202" s="316">
        <v>6700</v>
      </c>
      <c r="C202" s="316"/>
      <c r="D202" s="318" t="s">
        <v>12</v>
      </c>
    </row>
    <row r="203" spans="1:4" ht="16" thickBot="1" x14ac:dyDescent="0.25">
      <c r="A203" s="256"/>
      <c r="B203" s="108">
        <f>SUM(B196:B202)</f>
        <v>14014.66</v>
      </c>
      <c r="C203" s="108">
        <f>SUM(C196:C202)</f>
        <v>405.27</v>
      </c>
      <c r="D203" s="547"/>
    </row>
    <row r="204" spans="1:4" ht="16" thickBot="1" x14ac:dyDescent="0.25"/>
    <row r="205" spans="1:4" ht="20" thickBot="1" x14ac:dyDescent="0.3">
      <c r="A205" s="107" t="s">
        <v>205</v>
      </c>
      <c r="B205" s="789"/>
      <c r="C205" s="790"/>
    </row>
    <row r="206" spans="1:4" ht="20" thickBot="1" x14ac:dyDescent="0.3">
      <c r="A206" s="195" t="s">
        <v>76</v>
      </c>
      <c r="B206" s="202">
        <v>45678</v>
      </c>
      <c r="C206" s="791"/>
      <c r="D206" s="792"/>
    </row>
    <row r="207" spans="1:4" ht="16" thickBot="1" x14ac:dyDescent="0.25">
      <c r="A207" s="195" t="s">
        <v>280</v>
      </c>
      <c r="B207" s="195" t="s">
        <v>117</v>
      </c>
      <c r="C207" s="195" t="s">
        <v>208</v>
      </c>
      <c r="D207" s="195" t="s">
        <v>206</v>
      </c>
    </row>
    <row r="208" spans="1:4" x14ac:dyDescent="0.2">
      <c r="A208" s="314">
        <v>1</v>
      </c>
      <c r="B208" s="315">
        <v>1119.53</v>
      </c>
      <c r="C208" s="315"/>
      <c r="D208" s="317" t="s">
        <v>186</v>
      </c>
    </row>
    <row r="209" spans="1:4" x14ac:dyDescent="0.2">
      <c r="A209" s="313">
        <v>2</v>
      </c>
      <c r="B209" s="316">
        <v>79</v>
      </c>
      <c r="C209" s="316">
        <v>10.3</v>
      </c>
      <c r="D209" s="318" t="s">
        <v>332</v>
      </c>
    </row>
    <row r="210" spans="1:4" x14ac:dyDescent="0.2">
      <c r="A210" s="313">
        <v>3</v>
      </c>
      <c r="B210" s="316">
        <v>79</v>
      </c>
      <c r="C210" s="316">
        <v>10.3</v>
      </c>
      <c r="D210" s="318" t="s">
        <v>332</v>
      </c>
    </row>
    <row r="211" spans="1:4" x14ac:dyDescent="0.2">
      <c r="A211" s="313">
        <v>4</v>
      </c>
      <c r="B211" s="316">
        <v>3997.68</v>
      </c>
      <c r="C211" s="316">
        <v>599.66</v>
      </c>
      <c r="D211" s="318" t="s">
        <v>9</v>
      </c>
    </row>
    <row r="212" spans="1:4" x14ac:dyDescent="0.2">
      <c r="A212" s="313">
        <v>5</v>
      </c>
      <c r="B212" s="316">
        <v>24276.5</v>
      </c>
      <c r="C212" s="316">
        <v>3166.5</v>
      </c>
      <c r="D212" s="318" t="s">
        <v>6</v>
      </c>
    </row>
    <row r="213" spans="1:4" ht="16" thickBot="1" x14ac:dyDescent="0.25">
      <c r="A213" s="256"/>
      <c r="B213" s="108">
        <f>SUM(B208:B212)</f>
        <v>29551.71</v>
      </c>
      <c r="C213" s="108">
        <f>SUM(C208:C212)</f>
        <v>3786.76</v>
      </c>
      <c r="D213" s="547"/>
    </row>
    <row r="214" spans="1:4" ht="16" thickBot="1" x14ac:dyDescent="0.25"/>
    <row r="215" spans="1:4" ht="20" thickBot="1" x14ac:dyDescent="0.3">
      <c r="A215" s="107" t="s">
        <v>205</v>
      </c>
      <c r="B215" s="789"/>
      <c r="C215" s="790"/>
    </row>
    <row r="216" spans="1:4" ht="20" thickBot="1" x14ac:dyDescent="0.3">
      <c r="A216" s="195" t="s">
        <v>76</v>
      </c>
      <c r="B216" s="202">
        <v>45679</v>
      </c>
      <c r="C216" s="791"/>
      <c r="D216" s="792"/>
    </row>
    <row r="217" spans="1:4" ht="16" thickBot="1" x14ac:dyDescent="0.25">
      <c r="A217" s="195" t="s">
        <v>280</v>
      </c>
      <c r="B217" s="195" t="s">
        <v>117</v>
      </c>
      <c r="C217" s="195" t="s">
        <v>208</v>
      </c>
      <c r="D217" s="195" t="s">
        <v>206</v>
      </c>
    </row>
    <row r="218" spans="1:4" x14ac:dyDescent="0.2">
      <c r="A218" s="314">
        <v>1</v>
      </c>
      <c r="B218" s="315">
        <v>800</v>
      </c>
      <c r="C218" s="315"/>
      <c r="D218" s="317" t="s">
        <v>186</v>
      </c>
    </row>
    <row r="219" spans="1:4" x14ac:dyDescent="0.2">
      <c r="A219" s="313">
        <v>2</v>
      </c>
      <c r="B219" s="316">
        <v>476.75</v>
      </c>
      <c r="C219" s="316">
        <v>62.18</v>
      </c>
      <c r="D219" s="318" t="s">
        <v>592</v>
      </c>
    </row>
    <row r="220" spans="1:4" x14ac:dyDescent="0.2">
      <c r="A220" s="313">
        <v>3</v>
      </c>
      <c r="B220" s="316">
        <v>1153.3</v>
      </c>
      <c r="C220" s="316">
        <v>150.43</v>
      </c>
      <c r="D220" s="318" t="s">
        <v>11</v>
      </c>
    </row>
    <row r="221" spans="1:4" ht="16" thickBot="1" x14ac:dyDescent="0.25">
      <c r="A221" s="256"/>
      <c r="B221" s="108">
        <f>SUM(B218:B220)</f>
        <v>2430.0500000000002</v>
      </c>
      <c r="C221" s="108">
        <f>SUM(C218:C220)</f>
        <v>212.61</v>
      </c>
      <c r="D221" s="547"/>
    </row>
    <row r="222" spans="1:4" ht="16" thickBot="1" x14ac:dyDescent="0.25"/>
    <row r="223" spans="1:4" ht="20" thickBot="1" x14ac:dyDescent="0.3">
      <c r="A223" s="107" t="s">
        <v>205</v>
      </c>
      <c r="B223" s="789"/>
      <c r="C223" s="790"/>
    </row>
    <row r="224" spans="1:4" ht="20" thickBot="1" x14ac:dyDescent="0.3">
      <c r="A224" s="195" t="s">
        <v>76</v>
      </c>
      <c r="B224" s="202">
        <v>45680</v>
      </c>
      <c r="C224" s="791"/>
      <c r="D224" s="792"/>
    </row>
    <row r="225" spans="1:4" ht="16" thickBot="1" x14ac:dyDescent="0.25">
      <c r="A225" s="195" t="s">
        <v>280</v>
      </c>
      <c r="B225" s="195" t="s">
        <v>117</v>
      </c>
      <c r="C225" s="195" t="s">
        <v>208</v>
      </c>
      <c r="D225" s="195" t="s">
        <v>206</v>
      </c>
    </row>
    <row r="226" spans="1:4" x14ac:dyDescent="0.2">
      <c r="A226" s="314">
        <v>1</v>
      </c>
      <c r="B226" s="315">
        <v>800</v>
      </c>
      <c r="C226" s="315"/>
      <c r="D226" s="317" t="s">
        <v>186</v>
      </c>
    </row>
    <row r="227" spans="1:4" x14ac:dyDescent="0.2">
      <c r="A227" s="313">
        <v>2</v>
      </c>
      <c r="B227" s="316">
        <v>94.99</v>
      </c>
      <c r="C227" s="316"/>
      <c r="D227" s="318" t="s">
        <v>279</v>
      </c>
    </row>
    <row r="228" spans="1:4" x14ac:dyDescent="0.2">
      <c r="A228" s="313">
        <v>3</v>
      </c>
      <c r="B228" s="316">
        <v>180</v>
      </c>
      <c r="C228" s="316"/>
      <c r="D228" s="318" t="s">
        <v>334</v>
      </c>
    </row>
    <row r="229" spans="1:4" x14ac:dyDescent="0.2">
      <c r="A229" s="313">
        <v>4</v>
      </c>
      <c r="B229" s="316">
        <v>349.9</v>
      </c>
      <c r="C229" s="316"/>
      <c r="D229" s="318" t="s">
        <v>14</v>
      </c>
    </row>
    <row r="230" spans="1:4" x14ac:dyDescent="0.2">
      <c r="A230" s="313">
        <v>5</v>
      </c>
      <c r="B230" s="316">
        <v>6275.5</v>
      </c>
      <c r="C230" s="316">
        <v>554.79999999999995</v>
      </c>
      <c r="D230" s="318" t="s">
        <v>9</v>
      </c>
    </row>
    <row r="231" spans="1:4" x14ac:dyDescent="0.2">
      <c r="A231" s="313">
        <v>6</v>
      </c>
      <c r="B231" s="316">
        <v>9739.66</v>
      </c>
      <c r="C231" s="316">
        <v>1270.3900000000001</v>
      </c>
      <c r="D231" s="318" t="s">
        <v>311</v>
      </c>
    </row>
    <row r="232" spans="1:4" x14ac:dyDescent="0.2">
      <c r="A232" s="313">
        <v>7</v>
      </c>
      <c r="B232" s="316">
        <v>9970</v>
      </c>
      <c r="C232" s="316"/>
      <c r="D232" s="318" t="s">
        <v>12</v>
      </c>
    </row>
    <row r="233" spans="1:4" ht="16" thickBot="1" x14ac:dyDescent="0.25">
      <c r="A233" s="256"/>
      <c r="B233" s="108">
        <f>SUM(B226:B232)</f>
        <v>27410.05</v>
      </c>
      <c r="C233" s="108">
        <f>SUM(C226:C232)</f>
        <v>1825.19</v>
      </c>
      <c r="D233" s="547"/>
    </row>
    <row r="234" spans="1:4" ht="16" thickBot="1" x14ac:dyDescent="0.25"/>
    <row r="235" spans="1:4" ht="20" thickBot="1" x14ac:dyDescent="0.3">
      <c r="A235" s="107" t="s">
        <v>205</v>
      </c>
      <c r="B235" s="789"/>
      <c r="C235" s="790"/>
    </row>
    <row r="236" spans="1:4" ht="20" thickBot="1" x14ac:dyDescent="0.3">
      <c r="A236" s="195" t="s">
        <v>76</v>
      </c>
      <c r="B236" s="202">
        <v>45681</v>
      </c>
      <c r="C236" s="791"/>
      <c r="D236" s="792"/>
    </row>
    <row r="237" spans="1:4" ht="16" thickBot="1" x14ac:dyDescent="0.25">
      <c r="A237" s="195" t="s">
        <v>280</v>
      </c>
      <c r="B237" s="195" t="s">
        <v>117</v>
      </c>
      <c r="C237" s="195" t="s">
        <v>208</v>
      </c>
      <c r="D237" s="195" t="s">
        <v>206</v>
      </c>
    </row>
    <row r="238" spans="1:4" x14ac:dyDescent="0.2">
      <c r="A238" s="314">
        <v>1</v>
      </c>
      <c r="B238" s="315">
        <v>800</v>
      </c>
      <c r="C238" s="315"/>
      <c r="D238" s="317" t="s">
        <v>186</v>
      </c>
    </row>
    <row r="239" spans="1:4" x14ac:dyDescent="0.2">
      <c r="A239" s="313">
        <v>2</v>
      </c>
      <c r="B239" s="316">
        <v>1087.95</v>
      </c>
      <c r="C239" s="316"/>
      <c r="D239" s="318" t="s">
        <v>186</v>
      </c>
    </row>
    <row r="240" spans="1:4" x14ac:dyDescent="0.2">
      <c r="A240" s="313">
        <v>3</v>
      </c>
      <c r="B240" s="316">
        <v>98.28</v>
      </c>
      <c r="C240" s="316">
        <v>12.82</v>
      </c>
      <c r="D240" s="318" t="s">
        <v>592</v>
      </c>
    </row>
    <row r="241" spans="1:4" x14ac:dyDescent="0.2">
      <c r="A241" s="313">
        <v>4</v>
      </c>
      <c r="B241" s="316">
        <v>65.52</v>
      </c>
      <c r="C241" s="316">
        <v>8.5500000000000007</v>
      </c>
      <c r="D241" s="318" t="s">
        <v>592</v>
      </c>
    </row>
    <row r="242" spans="1:4" x14ac:dyDescent="0.2">
      <c r="A242" s="313">
        <v>5</v>
      </c>
      <c r="B242" s="316">
        <v>6090</v>
      </c>
      <c r="C242" s="316"/>
      <c r="D242" s="318" t="s">
        <v>12</v>
      </c>
    </row>
    <row r="243" spans="1:4" ht="16" thickBot="1" x14ac:dyDescent="0.25">
      <c r="A243" s="256"/>
      <c r="B243" s="108">
        <f>SUM(B238:B242)</f>
        <v>8141.75</v>
      </c>
      <c r="C243" s="108">
        <f>SUM(C238:C242)</f>
        <v>21.37</v>
      </c>
      <c r="D243" s="547"/>
    </row>
    <row r="244" spans="1:4" ht="16" thickBot="1" x14ac:dyDescent="0.25"/>
    <row r="245" spans="1:4" ht="20" thickBot="1" x14ac:dyDescent="0.3">
      <c r="A245" s="107" t="s">
        <v>205</v>
      </c>
      <c r="B245" s="789"/>
      <c r="C245" s="790"/>
    </row>
    <row r="246" spans="1:4" ht="20" thickBot="1" x14ac:dyDescent="0.3">
      <c r="A246" s="195" t="s">
        <v>76</v>
      </c>
      <c r="B246" s="202">
        <v>45682</v>
      </c>
      <c r="C246" s="791"/>
      <c r="D246" s="792"/>
    </row>
    <row r="247" spans="1:4" ht="16" thickBot="1" x14ac:dyDescent="0.25">
      <c r="A247" s="195" t="s">
        <v>280</v>
      </c>
      <c r="B247" s="195" t="s">
        <v>117</v>
      </c>
      <c r="C247" s="195" t="s">
        <v>208</v>
      </c>
      <c r="D247" s="195" t="s">
        <v>206</v>
      </c>
    </row>
    <row r="248" spans="1:4" x14ac:dyDescent="0.2">
      <c r="A248" s="314">
        <v>1</v>
      </c>
      <c r="B248" s="315">
        <v>155.4</v>
      </c>
      <c r="C248" s="315">
        <v>20.27</v>
      </c>
      <c r="D248" s="317" t="s">
        <v>607</v>
      </c>
    </row>
    <row r="249" spans="1:4" x14ac:dyDescent="0.2">
      <c r="A249" s="314">
        <v>2</v>
      </c>
      <c r="B249" s="320">
        <v>83.4</v>
      </c>
      <c r="C249" s="320">
        <v>10.88</v>
      </c>
      <c r="D249" s="317" t="s">
        <v>606</v>
      </c>
    </row>
    <row r="250" spans="1:4" x14ac:dyDescent="0.2">
      <c r="A250" s="313">
        <v>3</v>
      </c>
      <c r="B250" s="316">
        <v>2400</v>
      </c>
      <c r="C250" s="316"/>
      <c r="D250" s="318" t="s">
        <v>435</v>
      </c>
    </row>
    <row r="251" spans="1:4" ht="16" thickBot="1" x14ac:dyDescent="0.25">
      <c r="A251" s="256"/>
      <c r="B251" s="108">
        <f>SUM(B248:B250)</f>
        <v>2638.8</v>
      </c>
      <c r="C251" s="108">
        <f>SUM(C248:C250)</f>
        <v>31.15</v>
      </c>
      <c r="D251" s="547"/>
    </row>
    <row r="252" spans="1:4" ht="16" thickBot="1" x14ac:dyDescent="0.25"/>
    <row r="253" spans="1:4" ht="20" thickBot="1" x14ac:dyDescent="0.3">
      <c r="A253" s="107" t="s">
        <v>205</v>
      </c>
      <c r="B253" s="789"/>
      <c r="C253" s="790"/>
    </row>
    <row r="254" spans="1:4" ht="20" thickBot="1" x14ac:dyDescent="0.3">
      <c r="A254" s="195" t="s">
        <v>76</v>
      </c>
      <c r="B254" s="202">
        <v>45683</v>
      </c>
      <c r="C254" s="791"/>
      <c r="D254" s="792"/>
    </row>
    <row r="255" spans="1:4" ht="16" thickBot="1" x14ac:dyDescent="0.25">
      <c r="A255" s="195" t="s">
        <v>280</v>
      </c>
      <c r="B255" s="195" t="s">
        <v>117</v>
      </c>
      <c r="C255" s="195" t="s">
        <v>208</v>
      </c>
      <c r="D255" s="195" t="s">
        <v>206</v>
      </c>
    </row>
    <row r="256" spans="1:4" x14ac:dyDescent="0.2">
      <c r="A256" s="314">
        <v>1</v>
      </c>
      <c r="B256" s="315">
        <v>98</v>
      </c>
      <c r="C256" s="315"/>
      <c r="D256" s="317" t="s">
        <v>426</v>
      </c>
    </row>
    <row r="257" spans="1:4" x14ac:dyDescent="0.2">
      <c r="A257" s="313">
        <v>2</v>
      </c>
      <c r="B257" s="316">
        <v>6123.48</v>
      </c>
      <c r="C257" s="316">
        <v>546.85</v>
      </c>
      <c r="D257" s="318" t="s">
        <v>9</v>
      </c>
    </row>
    <row r="258" spans="1:4" ht="16" thickBot="1" x14ac:dyDescent="0.25">
      <c r="A258" s="256"/>
      <c r="B258" s="108">
        <f>SUM(B256:B257)</f>
        <v>6221.48</v>
      </c>
      <c r="C258" s="108">
        <f>SUM(C256:C257)</f>
        <v>546.85</v>
      </c>
      <c r="D258" s="547"/>
    </row>
    <row r="259" spans="1:4" ht="16" thickBot="1" x14ac:dyDescent="0.25"/>
    <row r="260" spans="1:4" ht="20" thickBot="1" x14ac:dyDescent="0.3">
      <c r="A260" s="107" t="s">
        <v>205</v>
      </c>
      <c r="B260" s="789"/>
      <c r="C260" s="790"/>
    </row>
    <row r="261" spans="1:4" ht="20" thickBot="1" x14ac:dyDescent="0.3">
      <c r="A261" s="195" t="s">
        <v>76</v>
      </c>
      <c r="B261" s="202">
        <v>45684</v>
      </c>
      <c r="C261" s="791"/>
      <c r="D261" s="792"/>
    </row>
    <row r="262" spans="1:4" ht="16" thickBot="1" x14ac:dyDescent="0.25">
      <c r="A262" s="195" t="s">
        <v>280</v>
      </c>
      <c r="B262" s="195" t="s">
        <v>117</v>
      </c>
      <c r="C262" s="195" t="s">
        <v>208</v>
      </c>
      <c r="D262" s="195" t="s">
        <v>206</v>
      </c>
    </row>
    <row r="263" spans="1:4" x14ac:dyDescent="0.2">
      <c r="A263" s="314">
        <v>1</v>
      </c>
      <c r="B263" s="315">
        <v>60</v>
      </c>
      <c r="C263" s="315"/>
      <c r="D263" s="317" t="s">
        <v>377</v>
      </c>
    </row>
    <row r="264" spans="1:4" x14ac:dyDescent="0.2">
      <c r="A264" s="313">
        <v>2</v>
      </c>
      <c r="B264" s="316">
        <v>800</v>
      </c>
      <c r="C264" s="316"/>
      <c r="D264" s="318" t="s">
        <v>186</v>
      </c>
    </row>
    <row r="265" spans="1:4" x14ac:dyDescent="0.2">
      <c r="A265" s="313">
        <v>3</v>
      </c>
      <c r="B265" s="316">
        <v>240</v>
      </c>
      <c r="C265" s="316"/>
      <c r="D265" s="318" t="s">
        <v>618</v>
      </c>
    </row>
    <row r="266" spans="1:4" x14ac:dyDescent="0.2">
      <c r="A266" s="313">
        <v>4</v>
      </c>
      <c r="B266" s="316">
        <v>5463.58</v>
      </c>
      <c r="C266" s="316">
        <v>490.76</v>
      </c>
      <c r="D266" s="318" t="s">
        <v>9</v>
      </c>
    </row>
    <row r="267" spans="1:4" ht="16" thickBot="1" x14ac:dyDescent="0.25">
      <c r="A267" s="256"/>
      <c r="B267" s="108">
        <f>SUM(B263:B266)</f>
        <v>6563.58</v>
      </c>
      <c r="C267" s="108">
        <f>SUM(C263:C266)</f>
        <v>490.76</v>
      </c>
      <c r="D267" s="547"/>
    </row>
    <row r="268" spans="1:4" ht="16" thickBot="1" x14ac:dyDescent="0.25"/>
    <row r="269" spans="1:4" ht="20" thickBot="1" x14ac:dyDescent="0.3">
      <c r="A269" s="107" t="s">
        <v>205</v>
      </c>
      <c r="B269" s="789"/>
      <c r="C269" s="790"/>
    </row>
    <row r="270" spans="1:4" ht="20" thickBot="1" x14ac:dyDescent="0.3">
      <c r="A270" s="195" t="s">
        <v>76</v>
      </c>
      <c r="B270" s="202">
        <v>45685</v>
      </c>
      <c r="C270" s="791"/>
      <c r="D270" s="792"/>
    </row>
    <row r="271" spans="1:4" ht="16" thickBot="1" x14ac:dyDescent="0.25">
      <c r="A271" s="195" t="s">
        <v>280</v>
      </c>
      <c r="B271" s="195" t="s">
        <v>117</v>
      </c>
      <c r="C271" s="195" t="s">
        <v>208</v>
      </c>
      <c r="D271" s="195" t="s">
        <v>206</v>
      </c>
    </row>
    <row r="272" spans="1:4" x14ac:dyDescent="0.2">
      <c r="A272" s="314">
        <v>1</v>
      </c>
      <c r="B272" s="315">
        <v>1560</v>
      </c>
      <c r="C272" s="315"/>
      <c r="D272" s="317" t="s">
        <v>625</v>
      </c>
    </row>
    <row r="273" spans="1:4" x14ac:dyDescent="0.2">
      <c r="A273" s="313">
        <v>2</v>
      </c>
      <c r="B273" s="316">
        <v>845.04</v>
      </c>
      <c r="C273" s="316"/>
      <c r="D273" s="318" t="s">
        <v>186</v>
      </c>
    </row>
    <row r="274" spans="1:4" x14ac:dyDescent="0.2">
      <c r="A274" s="313">
        <v>3</v>
      </c>
      <c r="B274" s="316">
        <v>79</v>
      </c>
      <c r="C274" s="316">
        <v>10.3</v>
      </c>
      <c r="D274" s="318" t="s">
        <v>332</v>
      </c>
    </row>
    <row r="275" spans="1:4" x14ac:dyDescent="0.2">
      <c r="A275" s="313">
        <v>4</v>
      </c>
      <c r="B275" s="316">
        <v>79</v>
      </c>
      <c r="C275" s="316">
        <v>10.3</v>
      </c>
      <c r="D275" s="318" t="s">
        <v>332</v>
      </c>
    </row>
    <row r="276" spans="1:4" x14ac:dyDescent="0.2">
      <c r="A276" s="313">
        <v>5</v>
      </c>
      <c r="B276" s="316">
        <v>302.99</v>
      </c>
      <c r="C276" s="316">
        <v>39.520000000000003</v>
      </c>
      <c r="D276" s="318" t="s">
        <v>297</v>
      </c>
    </row>
    <row r="277" spans="1:4" x14ac:dyDescent="0.2">
      <c r="A277" s="313">
        <v>6</v>
      </c>
      <c r="B277" s="316">
        <v>39.99</v>
      </c>
      <c r="C277" s="316">
        <v>6</v>
      </c>
      <c r="D277" s="318" t="s">
        <v>9</v>
      </c>
    </row>
    <row r="278" spans="1:4" x14ac:dyDescent="0.2">
      <c r="A278" s="313">
        <v>7</v>
      </c>
      <c r="B278" s="316">
        <v>5752.52</v>
      </c>
      <c r="C278" s="316">
        <v>553.15</v>
      </c>
      <c r="D278" s="318" t="s">
        <v>9</v>
      </c>
    </row>
    <row r="279" spans="1:4" x14ac:dyDescent="0.2">
      <c r="A279" s="313">
        <v>8</v>
      </c>
      <c r="B279" s="316">
        <v>464</v>
      </c>
      <c r="C279" s="316"/>
      <c r="D279" s="318" t="s">
        <v>396</v>
      </c>
    </row>
    <row r="280" spans="1:4" x14ac:dyDescent="0.2">
      <c r="A280" s="313">
        <v>9</v>
      </c>
      <c r="B280" s="316">
        <v>244.93</v>
      </c>
      <c r="C280" s="316"/>
      <c r="D280" s="318" t="s">
        <v>14</v>
      </c>
    </row>
    <row r="281" spans="1:4" x14ac:dyDescent="0.2">
      <c r="A281" s="313">
        <v>10</v>
      </c>
      <c r="B281" s="316">
        <v>12186.33</v>
      </c>
      <c r="C281" s="316">
        <v>1589.53</v>
      </c>
      <c r="D281" s="318" t="s">
        <v>6</v>
      </c>
    </row>
    <row r="282" spans="1:4" ht="16" thickBot="1" x14ac:dyDescent="0.25">
      <c r="A282" s="256"/>
      <c r="B282" s="108">
        <f>SUM(B272:B281)</f>
        <v>21553.800000000003</v>
      </c>
      <c r="C282" s="108">
        <f>SUM(C272:C281)</f>
        <v>2208.8000000000002</v>
      </c>
      <c r="D282" s="547"/>
    </row>
    <row r="283" spans="1:4" ht="16" thickBot="1" x14ac:dyDescent="0.25"/>
    <row r="284" spans="1:4" ht="20" thickBot="1" x14ac:dyDescent="0.3">
      <c r="A284" s="107" t="s">
        <v>205</v>
      </c>
      <c r="B284" s="789"/>
      <c r="C284" s="790"/>
    </row>
    <row r="285" spans="1:4" ht="20" thickBot="1" x14ac:dyDescent="0.3">
      <c r="A285" s="195" t="s">
        <v>76</v>
      </c>
      <c r="B285" s="202">
        <v>45686</v>
      </c>
      <c r="C285" s="791"/>
      <c r="D285" s="792"/>
    </row>
    <row r="286" spans="1:4" ht="16" thickBot="1" x14ac:dyDescent="0.25">
      <c r="A286" s="195" t="s">
        <v>280</v>
      </c>
      <c r="B286" s="195" t="s">
        <v>117</v>
      </c>
      <c r="C286" s="195" t="s">
        <v>208</v>
      </c>
      <c r="D286" s="195" t="s">
        <v>206</v>
      </c>
    </row>
    <row r="287" spans="1:4" x14ac:dyDescent="0.2">
      <c r="A287" s="314">
        <v>1</v>
      </c>
      <c r="B287" s="315">
        <v>800.16</v>
      </c>
      <c r="C287" s="315"/>
      <c r="D287" s="317" t="s">
        <v>186</v>
      </c>
    </row>
    <row r="288" spans="1:4" ht="16" thickBot="1" x14ac:dyDescent="0.25">
      <c r="A288" s="256"/>
      <c r="B288" s="108">
        <f>SUM(B287:B287)</f>
        <v>800.16</v>
      </c>
      <c r="C288" s="108">
        <f>SUM(C287:C287)</f>
        <v>0</v>
      </c>
      <c r="D288" s="547"/>
    </row>
    <row r="289" spans="1:4" ht="16" thickBot="1" x14ac:dyDescent="0.25"/>
    <row r="290" spans="1:4" ht="20" thickBot="1" x14ac:dyDescent="0.3">
      <c r="A290" s="107" t="s">
        <v>205</v>
      </c>
      <c r="B290" s="789"/>
      <c r="C290" s="790"/>
    </row>
    <row r="291" spans="1:4" ht="20" thickBot="1" x14ac:dyDescent="0.3">
      <c r="A291" s="195" t="s">
        <v>76</v>
      </c>
      <c r="B291" s="202">
        <v>45687</v>
      </c>
      <c r="C291" s="791"/>
      <c r="D291" s="792"/>
    </row>
    <row r="292" spans="1:4" ht="16" thickBot="1" x14ac:dyDescent="0.25">
      <c r="A292" s="195" t="s">
        <v>280</v>
      </c>
      <c r="B292" s="195" t="s">
        <v>117</v>
      </c>
      <c r="C292" s="195" t="s">
        <v>208</v>
      </c>
      <c r="D292" s="195" t="s">
        <v>206</v>
      </c>
    </row>
    <row r="293" spans="1:4" x14ac:dyDescent="0.2">
      <c r="A293" s="314">
        <v>1</v>
      </c>
      <c r="B293" s="315">
        <v>800</v>
      </c>
      <c r="C293" s="315"/>
      <c r="D293" s="317" t="s">
        <v>186</v>
      </c>
    </row>
    <row r="294" spans="1:4" x14ac:dyDescent="0.2">
      <c r="A294" s="313">
        <v>2</v>
      </c>
      <c r="B294" s="316">
        <v>244.93</v>
      </c>
      <c r="C294" s="316"/>
      <c r="D294" s="318" t="s">
        <v>14</v>
      </c>
    </row>
    <row r="295" spans="1:4" x14ac:dyDescent="0.2">
      <c r="A295" s="313">
        <v>3</v>
      </c>
      <c r="B295" s="316">
        <v>204</v>
      </c>
      <c r="C295" s="316">
        <v>26.61</v>
      </c>
      <c r="D295" s="318" t="s">
        <v>637</v>
      </c>
    </row>
    <row r="296" spans="1:4" x14ac:dyDescent="0.2">
      <c r="A296" s="313">
        <v>4</v>
      </c>
      <c r="B296" s="316">
        <v>6857.43</v>
      </c>
      <c r="C296" s="316">
        <v>627.24</v>
      </c>
      <c r="D296" s="318" t="s">
        <v>9</v>
      </c>
    </row>
    <row r="297" spans="1:4" x14ac:dyDescent="0.2">
      <c r="A297" s="313">
        <v>5</v>
      </c>
      <c r="B297" s="316">
        <v>7157.54</v>
      </c>
      <c r="C297" s="316">
        <v>933.59</v>
      </c>
      <c r="D297" s="318" t="s">
        <v>311</v>
      </c>
    </row>
    <row r="298" spans="1:4" ht="16" thickBot="1" x14ac:dyDescent="0.25">
      <c r="A298" s="256"/>
      <c r="B298" s="108">
        <f>SUM(B293:B297)</f>
        <v>15263.900000000001</v>
      </c>
      <c r="C298" s="108">
        <f>SUM(C293:C297)</f>
        <v>1587.44</v>
      </c>
      <c r="D298" s="547"/>
    </row>
    <row r="299" spans="1:4" ht="16" thickBot="1" x14ac:dyDescent="0.25"/>
    <row r="300" spans="1:4" ht="20" thickBot="1" x14ac:dyDescent="0.3">
      <c r="A300" s="107" t="s">
        <v>205</v>
      </c>
      <c r="B300" s="789"/>
      <c r="C300" s="790"/>
    </row>
    <row r="301" spans="1:4" ht="20" thickBot="1" x14ac:dyDescent="0.3">
      <c r="A301" s="195" t="s">
        <v>76</v>
      </c>
      <c r="B301" s="202">
        <v>45688</v>
      </c>
      <c r="C301" s="791"/>
      <c r="D301" s="792"/>
    </row>
    <row r="302" spans="1:4" ht="16" thickBot="1" x14ac:dyDescent="0.25">
      <c r="A302" s="195" t="s">
        <v>280</v>
      </c>
      <c r="B302" s="195" t="s">
        <v>117</v>
      </c>
      <c r="C302" s="195" t="s">
        <v>208</v>
      </c>
      <c r="D302" s="195" t="s">
        <v>206</v>
      </c>
    </row>
    <row r="303" spans="1:4" x14ac:dyDescent="0.2">
      <c r="A303" s="314">
        <v>1</v>
      </c>
      <c r="B303" s="315">
        <v>743.79</v>
      </c>
      <c r="C303" s="315"/>
      <c r="D303" s="317" t="s">
        <v>186</v>
      </c>
    </row>
    <row r="304" spans="1:4" x14ac:dyDescent="0.2">
      <c r="A304" s="313">
        <v>2</v>
      </c>
      <c r="B304" s="316">
        <v>1500</v>
      </c>
      <c r="C304" s="316"/>
      <c r="D304" s="318" t="s">
        <v>3</v>
      </c>
    </row>
    <row r="305" spans="1:4" x14ac:dyDescent="0.2">
      <c r="A305" s="313">
        <v>3</v>
      </c>
      <c r="B305" s="316">
        <v>30</v>
      </c>
      <c r="C305" s="316"/>
      <c r="D305" s="318" t="s">
        <v>615</v>
      </c>
    </row>
    <row r="306" spans="1:4" x14ac:dyDescent="0.2">
      <c r="A306" s="313">
        <v>4</v>
      </c>
      <c r="B306" s="316">
        <v>252</v>
      </c>
      <c r="C306" s="316">
        <v>32.869999999999997</v>
      </c>
      <c r="D306" s="318" t="s">
        <v>637</v>
      </c>
    </row>
    <row r="307" spans="1:4" x14ac:dyDescent="0.2">
      <c r="A307" s="313">
        <v>5</v>
      </c>
      <c r="B307" s="316">
        <v>6000</v>
      </c>
      <c r="C307" s="316"/>
      <c r="D307" s="318" t="s">
        <v>435</v>
      </c>
    </row>
    <row r="308" spans="1:4" ht="16" thickBot="1" x14ac:dyDescent="0.25">
      <c r="A308" s="256"/>
      <c r="B308" s="108">
        <f>SUM(B303:B307)</f>
        <v>8525.7900000000009</v>
      </c>
      <c r="C308" s="108">
        <f>SUM(C303:C307)</f>
        <v>32.869999999999997</v>
      </c>
      <c r="D308" s="547"/>
    </row>
    <row r="309" spans="1:4" ht="16" thickBot="1" x14ac:dyDescent="0.25"/>
    <row r="310" spans="1:4" ht="20" thickBot="1" x14ac:dyDescent="0.3">
      <c r="A310" s="107" t="s">
        <v>205</v>
      </c>
      <c r="B310" s="789"/>
      <c r="C310" s="790"/>
    </row>
    <row r="311" spans="1:4" ht="20" thickBot="1" x14ac:dyDescent="0.3">
      <c r="A311" s="195" t="s">
        <v>76</v>
      </c>
      <c r="B311" s="202">
        <v>45689</v>
      </c>
      <c r="C311" s="791"/>
      <c r="D311" s="792"/>
    </row>
    <row r="312" spans="1:4" ht="16" thickBot="1" x14ac:dyDescent="0.25">
      <c r="A312" s="195" t="s">
        <v>280</v>
      </c>
      <c r="B312" s="195" t="s">
        <v>117</v>
      </c>
      <c r="C312" s="195" t="s">
        <v>208</v>
      </c>
      <c r="D312" s="195" t="s">
        <v>206</v>
      </c>
    </row>
    <row r="313" spans="1:4" x14ac:dyDescent="0.2">
      <c r="A313" s="314">
        <v>1</v>
      </c>
      <c r="B313" s="315">
        <v>800.16</v>
      </c>
      <c r="C313" s="315"/>
      <c r="D313" s="317" t="s">
        <v>186</v>
      </c>
    </row>
    <row r="314" spans="1:4" x14ac:dyDescent="0.2">
      <c r="A314" s="313">
        <v>2</v>
      </c>
      <c r="B314" s="316">
        <v>242.34</v>
      </c>
      <c r="C314" s="316">
        <v>2.4</v>
      </c>
      <c r="D314" s="318" t="s">
        <v>279</v>
      </c>
    </row>
    <row r="315" spans="1:4" x14ac:dyDescent="0.2">
      <c r="A315" s="313">
        <v>3</v>
      </c>
      <c r="B315" s="316">
        <v>6232.66</v>
      </c>
      <c r="C315" s="316">
        <v>563.51</v>
      </c>
      <c r="D315" s="318" t="s">
        <v>9</v>
      </c>
    </row>
    <row r="316" spans="1:4" x14ac:dyDescent="0.2">
      <c r="A316" s="313">
        <v>4</v>
      </c>
      <c r="B316" s="316">
        <v>6900</v>
      </c>
      <c r="C316" s="316"/>
      <c r="D316" s="318" t="s">
        <v>12</v>
      </c>
    </row>
    <row r="317" spans="1:4" ht="16" thickBot="1" x14ac:dyDescent="0.25">
      <c r="A317" s="256"/>
      <c r="B317" s="108">
        <f>SUM(B313:B316)</f>
        <v>14175.16</v>
      </c>
      <c r="C317" s="108">
        <f>SUM(C313:C316)</f>
        <v>565.91</v>
      </c>
      <c r="D317" s="547"/>
    </row>
    <row r="318" spans="1:4" ht="16" thickBot="1" x14ac:dyDescent="0.25"/>
    <row r="319" spans="1:4" ht="20" thickBot="1" x14ac:dyDescent="0.3">
      <c r="A319" s="107" t="s">
        <v>205</v>
      </c>
      <c r="B319" s="789"/>
      <c r="C319" s="790"/>
    </row>
    <row r="320" spans="1:4" ht="20" thickBot="1" x14ac:dyDescent="0.3">
      <c r="A320" s="195" t="s">
        <v>76</v>
      </c>
      <c r="B320" s="202">
        <v>45691</v>
      </c>
      <c r="C320" s="791"/>
      <c r="D320" s="792"/>
    </row>
    <row r="321" spans="1:4" ht="16" thickBot="1" x14ac:dyDescent="0.25">
      <c r="A321" s="195" t="s">
        <v>280</v>
      </c>
      <c r="B321" s="195" t="s">
        <v>117</v>
      </c>
      <c r="C321" s="195" t="s">
        <v>208</v>
      </c>
      <c r="D321" s="195" t="s">
        <v>206</v>
      </c>
    </row>
    <row r="322" spans="1:4" x14ac:dyDescent="0.2">
      <c r="A322" s="314">
        <v>1</v>
      </c>
      <c r="B322" s="315">
        <v>890</v>
      </c>
      <c r="C322" s="315"/>
      <c r="D322" s="317" t="s">
        <v>663</v>
      </c>
    </row>
    <row r="323" spans="1:4" x14ac:dyDescent="0.2">
      <c r="A323" s="313">
        <v>2</v>
      </c>
      <c r="B323" s="316">
        <v>312</v>
      </c>
      <c r="C323" s="316"/>
      <c r="D323" s="318" t="s">
        <v>537</v>
      </c>
    </row>
    <row r="324" spans="1:4" x14ac:dyDescent="0.2">
      <c r="A324" s="313">
        <v>3</v>
      </c>
      <c r="B324" s="316">
        <v>720</v>
      </c>
      <c r="C324" s="316"/>
      <c r="D324" s="318" t="s">
        <v>396</v>
      </c>
    </row>
    <row r="325" spans="1:4" x14ac:dyDescent="0.2">
      <c r="A325" s="313">
        <v>4</v>
      </c>
      <c r="B325" s="316">
        <v>1667.37</v>
      </c>
      <c r="C325" s="316">
        <v>217.48</v>
      </c>
      <c r="D325" s="318" t="s">
        <v>279</v>
      </c>
    </row>
    <row r="326" spans="1:4" x14ac:dyDescent="0.2">
      <c r="A326" s="313">
        <v>5</v>
      </c>
      <c r="B326" s="316">
        <v>6436.48</v>
      </c>
      <c r="C326" s="316">
        <v>640.9</v>
      </c>
      <c r="D326" s="318" t="s">
        <v>9</v>
      </c>
    </row>
    <row r="327" spans="1:4" ht="16" thickBot="1" x14ac:dyDescent="0.25">
      <c r="A327" s="256"/>
      <c r="B327" s="108">
        <f>SUM(B322:B326)</f>
        <v>10025.849999999999</v>
      </c>
      <c r="C327" s="108">
        <f>SUM(C322:C326)</f>
        <v>858.38</v>
      </c>
      <c r="D327" s="547"/>
    </row>
    <row r="328" spans="1:4" ht="16" thickBot="1" x14ac:dyDescent="0.25"/>
    <row r="329" spans="1:4" ht="20" thickBot="1" x14ac:dyDescent="0.3">
      <c r="A329" s="107" t="s">
        <v>205</v>
      </c>
      <c r="B329" s="789"/>
      <c r="C329" s="790"/>
    </row>
    <row r="330" spans="1:4" ht="20" thickBot="1" x14ac:dyDescent="0.3">
      <c r="A330" s="195" t="s">
        <v>76</v>
      </c>
      <c r="B330" s="202">
        <v>45692</v>
      </c>
      <c r="C330" s="791"/>
      <c r="D330" s="792"/>
    </row>
    <row r="331" spans="1:4" ht="16" thickBot="1" x14ac:dyDescent="0.25">
      <c r="A331" s="195" t="s">
        <v>280</v>
      </c>
      <c r="B331" s="195" t="s">
        <v>117</v>
      </c>
      <c r="C331" s="195" t="s">
        <v>208</v>
      </c>
      <c r="D331" s="195" t="s">
        <v>206</v>
      </c>
    </row>
    <row r="332" spans="1:4" x14ac:dyDescent="0.2">
      <c r="A332" s="314">
        <v>1</v>
      </c>
      <c r="B332" s="315">
        <v>800</v>
      </c>
      <c r="C332" s="315"/>
      <c r="D332" s="317" t="s">
        <v>186</v>
      </c>
    </row>
    <row r="333" spans="1:4" x14ac:dyDescent="0.2">
      <c r="A333" s="313">
        <v>2</v>
      </c>
      <c r="B333" s="316">
        <v>79</v>
      </c>
      <c r="C333" s="316">
        <v>10.3</v>
      </c>
      <c r="D333" s="318" t="s">
        <v>332</v>
      </c>
    </row>
    <row r="334" spans="1:4" x14ac:dyDescent="0.2">
      <c r="A334" s="313">
        <v>3</v>
      </c>
      <c r="B334" s="316">
        <v>79</v>
      </c>
      <c r="C334" s="316">
        <v>10.3</v>
      </c>
      <c r="D334" s="318" t="s">
        <v>332</v>
      </c>
    </row>
    <row r="335" spans="1:4" x14ac:dyDescent="0.2">
      <c r="A335" s="313">
        <v>4</v>
      </c>
      <c r="B335" s="316">
        <v>250</v>
      </c>
      <c r="C335" s="316"/>
      <c r="D335" s="318" t="s">
        <v>670</v>
      </c>
    </row>
    <row r="336" spans="1:4" x14ac:dyDescent="0.2">
      <c r="A336" s="313">
        <v>5</v>
      </c>
      <c r="B336" s="316">
        <v>39.99</v>
      </c>
      <c r="C336" s="316">
        <v>6</v>
      </c>
      <c r="D336" s="318" t="s">
        <v>9</v>
      </c>
    </row>
    <row r="337" spans="1:4" x14ac:dyDescent="0.2">
      <c r="A337" s="313">
        <v>6</v>
      </c>
      <c r="B337" s="316">
        <v>349.9</v>
      </c>
      <c r="C337" s="316"/>
      <c r="D337" s="318" t="s">
        <v>14</v>
      </c>
    </row>
    <row r="338" spans="1:4" x14ac:dyDescent="0.2">
      <c r="A338" s="313">
        <v>7</v>
      </c>
      <c r="B338" s="316">
        <v>6851.51</v>
      </c>
      <c r="C338" s="316">
        <v>641.20000000000005</v>
      </c>
      <c r="D338" s="318" t="s">
        <v>9</v>
      </c>
    </row>
    <row r="339" spans="1:4" x14ac:dyDescent="0.2">
      <c r="A339" s="313">
        <v>8</v>
      </c>
      <c r="B339" s="316">
        <v>184</v>
      </c>
      <c r="C339" s="316">
        <v>10.56</v>
      </c>
      <c r="D339" s="318" t="s">
        <v>334</v>
      </c>
    </row>
    <row r="340" spans="1:4" ht="16" thickBot="1" x14ac:dyDescent="0.25">
      <c r="A340" s="256"/>
      <c r="B340" s="108">
        <f>SUM(B332:B339)</f>
        <v>8633.4</v>
      </c>
      <c r="C340" s="108">
        <f>SUM(C332:C339)</f>
        <v>678.36</v>
      </c>
      <c r="D340" s="547"/>
    </row>
    <row r="341" spans="1:4" ht="16" thickBot="1" x14ac:dyDescent="0.25"/>
    <row r="342" spans="1:4" ht="20" thickBot="1" x14ac:dyDescent="0.3">
      <c r="A342" s="107" t="s">
        <v>205</v>
      </c>
      <c r="B342" s="789"/>
      <c r="C342" s="790"/>
    </row>
    <row r="343" spans="1:4" ht="20" thickBot="1" x14ac:dyDescent="0.3">
      <c r="A343" s="195" t="s">
        <v>76</v>
      </c>
      <c r="B343" s="202">
        <v>45693</v>
      </c>
      <c r="C343" s="791"/>
      <c r="D343" s="792"/>
    </row>
    <row r="344" spans="1:4" ht="16" thickBot="1" x14ac:dyDescent="0.25">
      <c r="A344" s="195" t="s">
        <v>280</v>
      </c>
      <c r="B344" s="195" t="s">
        <v>117</v>
      </c>
      <c r="C344" s="195" t="s">
        <v>208</v>
      </c>
      <c r="D344" s="195" t="s">
        <v>206</v>
      </c>
    </row>
    <row r="345" spans="1:4" ht="16" thickBot="1" x14ac:dyDescent="0.25">
      <c r="A345" s="243">
        <v>1</v>
      </c>
      <c r="B345" s="561">
        <v>800</v>
      </c>
      <c r="C345" s="561"/>
      <c r="D345" s="243" t="s">
        <v>186</v>
      </c>
    </row>
    <row r="346" spans="1:4" x14ac:dyDescent="0.2">
      <c r="A346" s="314">
        <v>2</v>
      </c>
      <c r="B346" s="315">
        <v>24863</v>
      </c>
      <c r="C346" s="315">
        <v>3243</v>
      </c>
      <c r="D346" s="317" t="s">
        <v>6</v>
      </c>
    </row>
    <row r="347" spans="1:4" ht="16" thickBot="1" x14ac:dyDescent="0.25">
      <c r="A347" s="256"/>
      <c r="B347" s="108">
        <f>SUM(B345:B346)</f>
        <v>25663</v>
      </c>
      <c r="C347" s="108">
        <f>SUM(C346:C346)</f>
        <v>3243</v>
      </c>
      <c r="D347" s="547"/>
    </row>
    <row r="348" spans="1:4" ht="16" thickBot="1" x14ac:dyDescent="0.25"/>
    <row r="349" spans="1:4" ht="20" thickBot="1" x14ac:dyDescent="0.3">
      <c r="A349" s="107" t="s">
        <v>205</v>
      </c>
      <c r="B349" s="789"/>
      <c r="C349" s="790"/>
    </row>
    <row r="350" spans="1:4" ht="20" thickBot="1" x14ac:dyDescent="0.3">
      <c r="A350" s="195" t="s">
        <v>76</v>
      </c>
      <c r="B350" s="202">
        <v>45694</v>
      </c>
      <c r="C350" s="791"/>
      <c r="D350" s="792"/>
    </row>
    <row r="351" spans="1:4" ht="16" thickBot="1" x14ac:dyDescent="0.25">
      <c r="A351" s="195" t="s">
        <v>280</v>
      </c>
      <c r="B351" s="195" t="s">
        <v>117</v>
      </c>
      <c r="C351" s="195" t="s">
        <v>208</v>
      </c>
      <c r="D351" s="195" t="s">
        <v>206</v>
      </c>
    </row>
    <row r="352" spans="1:4" x14ac:dyDescent="0.2">
      <c r="A352" s="314">
        <v>1</v>
      </c>
      <c r="B352" s="315">
        <v>800</v>
      </c>
      <c r="C352" s="315"/>
      <c r="D352" s="317" t="s">
        <v>186</v>
      </c>
    </row>
    <row r="353" spans="1:4" x14ac:dyDescent="0.2">
      <c r="A353" s="313">
        <v>2</v>
      </c>
      <c r="B353" s="316">
        <v>439.98</v>
      </c>
      <c r="C353" s="316">
        <v>57.39</v>
      </c>
      <c r="D353" s="318" t="s">
        <v>297</v>
      </c>
    </row>
    <row r="354" spans="1:4" x14ac:dyDescent="0.2">
      <c r="A354" s="313">
        <v>3</v>
      </c>
      <c r="B354" s="316">
        <v>1200</v>
      </c>
      <c r="C354" s="316">
        <v>156.52000000000001</v>
      </c>
      <c r="D354" s="318" t="s">
        <v>17</v>
      </c>
    </row>
    <row r="355" spans="1:4" x14ac:dyDescent="0.2">
      <c r="A355" s="313">
        <v>4</v>
      </c>
      <c r="B355" s="316">
        <v>587.76</v>
      </c>
      <c r="C355" s="316">
        <v>50.58</v>
      </c>
      <c r="D355" s="318" t="s">
        <v>279</v>
      </c>
    </row>
    <row r="356" spans="1:4" x14ac:dyDescent="0.2">
      <c r="A356" s="313">
        <v>5</v>
      </c>
      <c r="B356" s="316">
        <v>279.92</v>
      </c>
      <c r="C356" s="316"/>
      <c r="D356" s="318" t="s">
        <v>14</v>
      </c>
    </row>
    <row r="357" spans="1:4" x14ac:dyDescent="0.2">
      <c r="A357" s="313">
        <v>6</v>
      </c>
      <c r="B357" s="316">
        <v>24.99</v>
      </c>
      <c r="C357" s="316">
        <v>3.75</v>
      </c>
      <c r="D357" s="318" t="s">
        <v>9</v>
      </c>
    </row>
    <row r="358" spans="1:4" x14ac:dyDescent="0.2">
      <c r="A358" s="313">
        <v>7</v>
      </c>
      <c r="B358" s="316">
        <v>6671.62</v>
      </c>
      <c r="C358" s="316">
        <v>386.21</v>
      </c>
      <c r="D358" s="318" t="s">
        <v>9</v>
      </c>
    </row>
    <row r="359" spans="1:4" x14ac:dyDescent="0.2">
      <c r="A359" s="313">
        <v>8</v>
      </c>
      <c r="B359" s="316">
        <v>509.8</v>
      </c>
      <c r="C359" s="316">
        <v>66.5</v>
      </c>
      <c r="D359" s="318" t="s">
        <v>11</v>
      </c>
    </row>
    <row r="360" spans="1:4" x14ac:dyDescent="0.2">
      <c r="A360" s="313">
        <v>9</v>
      </c>
      <c r="B360" s="316">
        <v>7157.54</v>
      </c>
      <c r="C360" s="316">
        <v>933.59</v>
      </c>
      <c r="D360" s="318" t="s">
        <v>311</v>
      </c>
    </row>
    <row r="361" spans="1:4" ht="16" thickBot="1" x14ac:dyDescent="0.25">
      <c r="A361" s="256"/>
      <c r="B361" s="108">
        <f>SUM(B352:B360)</f>
        <v>17671.61</v>
      </c>
      <c r="C361" s="108">
        <f>SUM(C352:C360)</f>
        <v>1654.54</v>
      </c>
      <c r="D361" s="547"/>
    </row>
    <row r="362" spans="1:4" ht="16" thickBot="1" x14ac:dyDescent="0.25"/>
    <row r="363" spans="1:4" ht="20" thickBot="1" x14ac:dyDescent="0.3">
      <c r="A363" s="107" t="s">
        <v>205</v>
      </c>
      <c r="B363" s="789"/>
      <c r="C363" s="790"/>
    </row>
    <row r="364" spans="1:4" ht="20" thickBot="1" x14ac:dyDescent="0.3">
      <c r="A364" s="195" t="s">
        <v>76</v>
      </c>
      <c r="B364" s="202">
        <v>45695</v>
      </c>
      <c r="C364" s="791"/>
      <c r="D364" s="792"/>
    </row>
    <row r="365" spans="1:4" ht="16" thickBot="1" x14ac:dyDescent="0.25">
      <c r="A365" s="195" t="s">
        <v>280</v>
      </c>
      <c r="B365" s="195" t="s">
        <v>117</v>
      </c>
      <c r="C365" s="195" t="s">
        <v>208</v>
      </c>
      <c r="D365" s="195" t="s">
        <v>206</v>
      </c>
    </row>
    <row r="366" spans="1:4" x14ac:dyDescent="0.2">
      <c r="A366" s="314">
        <v>1</v>
      </c>
      <c r="B366" s="315">
        <v>800</v>
      </c>
      <c r="C366" s="315"/>
      <c r="D366" s="317" t="s">
        <v>186</v>
      </c>
    </row>
    <row r="367" spans="1:4" x14ac:dyDescent="0.2">
      <c r="A367" s="313">
        <v>2</v>
      </c>
      <c r="B367" s="316">
        <v>6000</v>
      </c>
      <c r="C367" s="316"/>
      <c r="D367" s="318" t="s">
        <v>435</v>
      </c>
    </row>
    <row r="368" spans="1:4" ht="16" thickBot="1" x14ac:dyDescent="0.25">
      <c r="A368" s="256"/>
      <c r="B368" s="108">
        <f>SUM(B366:B367)</f>
        <v>6800</v>
      </c>
      <c r="C368" s="108">
        <f>SUM(C366:C367)</f>
        <v>0</v>
      </c>
      <c r="D368" s="547"/>
    </row>
    <row r="369" spans="1:4" ht="16" thickBot="1" x14ac:dyDescent="0.25"/>
    <row r="370" spans="1:4" ht="20" thickBot="1" x14ac:dyDescent="0.3">
      <c r="A370" s="107" t="s">
        <v>205</v>
      </c>
      <c r="B370" s="789"/>
      <c r="C370" s="790"/>
    </row>
    <row r="371" spans="1:4" ht="20" thickBot="1" x14ac:dyDescent="0.3">
      <c r="A371" s="195" t="s">
        <v>76</v>
      </c>
      <c r="B371" s="202">
        <v>45696</v>
      </c>
      <c r="C371" s="791"/>
      <c r="D371" s="792"/>
    </row>
    <row r="372" spans="1:4" ht="16" thickBot="1" x14ac:dyDescent="0.25">
      <c r="A372" s="195" t="s">
        <v>280</v>
      </c>
      <c r="B372" s="195" t="s">
        <v>117</v>
      </c>
      <c r="C372" s="195" t="s">
        <v>208</v>
      </c>
      <c r="D372" s="195" t="s">
        <v>206</v>
      </c>
    </row>
    <row r="373" spans="1:4" x14ac:dyDescent="0.2">
      <c r="A373" s="314">
        <v>1</v>
      </c>
      <c r="B373" s="315">
        <v>872.7</v>
      </c>
      <c r="C373" s="315">
        <v>113.84</v>
      </c>
      <c r="D373" s="317" t="s">
        <v>637</v>
      </c>
    </row>
    <row r="374" spans="1:4" x14ac:dyDescent="0.2">
      <c r="A374" s="313">
        <v>2</v>
      </c>
      <c r="B374" s="316">
        <v>18755</v>
      </c>
      <c r="C374" s="316"/>
      <c r="D374" s="318" t="s">
        <v>12</v>
      </c>
    </row>
    <row r="375" spans="1:4" ht="16" thickBot="1" x14ac:dyDescent="0.25">
      <c r="A375" s="256"/>
      <c r="B375" s="108">
        <f>SUM(B373:B374)</f>
        <v>19627.7</v>
      </c>
      <c r="C375" s="108">
        <f>SUM(C373:C374)</f>
        <v>113.84</v>
      </c>
      <c r="D375" s="547"/>
    </row>
    <row r="376" spans="1:4" ht="16" thickBot="1" x14ac:dyDescent="0.25"/>
    <row r="377" spans="1:4" ht="20" thickBot="1" x14ac:dyDescent="0.3">
      <c r="A377" s="107" t="s">
        <v>205</v>
      </c>
      <c r="B377" s="789"/>
      <c r="C377" s="790"/>
    </row>
    <row r="378" spans="1:4" ht="20" thickBot="1" x14ac:dyDescent="0.3">
      <c r="A378" s="195" t="s">
        <v>76</v>
      </c>
      <c r="B378" s="202">
        <v>45697</v>
      </c>
      <c r="C378" s="791"/>
      <c r="D378" s="792"/>
    </row>
    <row r="379" spans="1:4" ht="16" thickBot="1" x14ac:dyDescent="0.25">
      <c r="A379" s="195" t="s">
        <v>280</v>
      </c>
      <c r="B379" s="195" t="s">
        <v>117</v>
      </c>
      <c r="C379" s="195" t="s">
        <v>208</v>
      </c>
      <c r="D379" s="195" t="s">
        <v>206</v>
      </c>
    </row>
    <row r="380" spans="1:4" x14ac:dyDescent="0.2">
      <c r="A380" s="314">
        <v>1</v>
      </c>
      <c r="B380" s="315">
        <v>1500</v>
      </c>
      <c r="C380" s="315"/>
      <c r="D380" s="317" t="s">
        <v>3</v>
      </c>
    </row>
    <row r="381" spans="1:4" x14ac:dyDescent="0.2">
      <c r="A381" s="314">
        <v>2</v>
      </c>
      <c r="B381" s="320">
        <v>314.91000000000003</v>
      </c>
      <c r="C381" s="320"/>
      <c r="D381" s="317" t="s">
        <v>14</v>
      </c>
    </row>
    <row r="382" spans="1:4" x14ac:dyDescent="0.2">
      <c r="A382" s="313">
        <v>3</v>
      </c>
      <c r="B382" s="316">
        <v>7082.37</v>
      </c>
      <c r="C382" s="316">
        <v>638.79</v>
      </c>
      <c r="D382" s="318" t="s">
        <v>9</v>
      </c>
    </row>
    <row r="383" spans="1:4" ht="16" thickBot="1" x14ac:dyDescent="0.25">
      <c r="A383" s="256"/>
      <c r="B383" s="108">
        <f>SUM(B380:B382)</f>
        <v>8897.2800000000007</v>
      </c>
      <c r="C383" s="108">
        <f>SUM(C380:C382)</f>
        <v>638.79</v>
      </c>
      <c r="D383" s="547"/>
    </row>
    <row r="384" spans="1:4" ht="16" thickBot="1" x14ac:dyDescent="0.25"/>
    <row r="385" spans="1:4" ht="20" thickBot="1" x14ac:dyDescent="0.3">
      <c r="A385" s="107" t="s">
        <v>205</v>
      </c>
      <c r="B385" s="789"/>
      <c r="C385" s="790"/>
    </row>
    <row r="386" spans="1:4" ht="20" thickBot="1" x14ac:dyDescent="0.3">
      <c r="A386" s="195" t="s">
        <v>76</v>
      </c>
      <c r="B386" s="202">
        <v>45698</v>
      </c>
      <c r="C386" s="791"/>
      <c r="D386" s="792"/>
    </row>
    <row r="387" spans="1:4" ht="16" thickBot="1" x14ac:dyDescent="0.25">
      <c r="A387" s="195" t="s">
        <v>280</v>
      </c>
      <c r="B387" s="195" t="s">
        <v>117</v>
      </c>
      <c r="C387" s="195" t="s">
        <v>208</v>
      </c>
      <c r="D387" s="195" t="s">
        <v>206</v>
      </c>
    </row>
    <row r="388" spans="1:4" x14ac:dyDescent="0.2">
      <c r="A388" s="314">
        <v>1</v>
      </c>
      <c r="B388" s="315">
        <v>1627.15</v>
      </c>
      <c r="C388" s="315"/>
      <c r="D388" s="317" t="s">
        <v>186</v>
      </c>
    </row>
    <row r="389" spans="1:4" x14ac:dyDescent="0.2">
      <c r="A389" s="313">
        <v>2</v>
      </c>
      <c r="B389" s="316">
        <v>775.29</v>
      </c>
      <c r="C389" s="316"/>
      <c r="D389" s="318" t="s">
        <v>186</v>
      </c>
    </row>
    <row r="390" spans="1:4" x14ac:dyDescent="0.2">
      <c r="A390" s="313">
        <v>3</v>
      </c>
      <c r="B390" s="316">
        <v>517.98</v>
      </c>
      <c r="C390" s="316">
        <v>67.56</v>
      </c>
      <c r="D390" s="318" t="s">
        <v>297</v>
      </c>
    </row>
    <row r="391" spans="1:4" x14ac:dyDescent="0.2">
      <c r="A391" s="313">
        <v>4</v>
      </c>
      <c r="B391" s="316">
        <v>5966.55</v>
      </c>
      <c r="C391" s="316">
        <v>475.61</v>
      </c>
      <c r="D391" s="318" t="s">
        <v>9</v>
      </c>
    </row>
    <row r="392" spans="1:4" x14ac:dyDescent="0.2">
      <c r="A392" s="313">
        <v>5</v>
      </c>
      <c r="B392" s="316">
        <v>349.9</v>
      </c>
      <c r="C392" s="316"/>
      <c r="D392" s="318" t="s">
        <v>14</v>
      </c>
    </row>
    <row r="393" spans="1:4" x14ac:dyDescent="0.2">
      <c r="A393" s="313">
        <v>6</v>
      </c>
      <c r="B393" s="316">
        <v>806.19</v>
      </c>
      <c r="C393" s="316">
        <v>94.07</v>
      </c>
      <c r="D393" s="318" t="s">
        <v>279</v>
      </c>
    </row>
    <row r="394" spans="1:4" ht="16" thickBot="1" x14ac:dyDescent="0.25">
      <c r="A394" s="256"/>
      <c r="B394" s="108">
        <f>SUM(B388:B393)</f>
        <v>10043.060000000001</v>
      </c>
      <c r="C394" s="108">
        <f>SUM(C388:C393)</f>
        <v>637.24</v>
      </c>
      <c r="D394" s="547"/>
    </row>
    <row r="395" spans="1:4" ht="16" thickBot="1" x14ac:dyDescent="0.25"/>
    <row r="396" spans="1:4" ht="20" thickBot="1" x14ac:dyDescent="0.3">
      <c r="A396" s="107" t="s">
        <v>205</v>
      </c>
      <c r="B396" s="789"/>
      <c r="C396" s="790"/>
    </row>
    <row r="397" spans="1:4" ht="20" thickBot="1" x14ac:dyDescent="0.3">
      <c r="A397" s="195" t="s">
        <v>76</v>
      </c>
      <c r="B397" s="202">
        <v>45699</v>
      </c>
      <c r="C397" s="791"/>
      <c r="D397" s="792"/>
    </row>
    <row r="398" spans="1:4" ht="16" thickBot="1" x14ac:dyDescent="0.25">
      <c r="A398" s="195" t="s">
        <v>280</v>
      </c>
      <c r="B398" s="195" t="s">
        <v>117</v>
      </c>
      <c r="C398" s="195" t="s">
        <v>208</v>
      </c>
      <c r="D398" s="195" t="s">
        <v>206</v>
      </c>
    </row>
    <row r="399" spans="1:4" x14ac:dyDescent="0.2">
      <c r="A399" s="314">
        <v>1</v>
      </c>
      <c r="B399" s="315">
        <v>662.99</v>
      </c>
      <c r="C399" s="315"/>
      <c r="D399" s="317" t="s">
        <v>186</v>
      </c>
    </row>
    <row r="400" spans="1:4" x14ac:dyDescent="0.2">
      <c r="A400" s="313">
        <v>2</v>
      </c>
      <c r="B400" s="316">
        <v>1077.28</v>
      </c>
      <c r="C400" s="316"/>
      <c r="D400" s="318" t="s">
        <v>186</v>
      </c>
    </row>
    <row r="401" spans="1:4" x14ac:dyDescent="0.2">
      <c r="A401" s="313">
        <v>3</v>
      </c>
      <c r="B401" s="316">
        <v>79</v>
      </c>
      <c r="C401" s="316">
        <v>10.3</v>
      </c>
      <c r="D401" s="318" t="s">
        <v>332</v>
      </c>
    </row>
    <row r="402" spans="1:4" x14ac:dyDescent="0.2">
      <c r="A402" s="313">
        <v>4</v>
      </c>
      <c r="B402" s="316">
        <v>79</v>
      </c>
      <c r="C402" s="316">
        <v>10.3</v>
      </c>
      <c r="D402" s="318" t="s">
        <v>332</v>
      </c>
    </row>
    <row r="403" spans="1:4" x14ac:dyDescent="0.2">
      <c r="A403" s="313">
        <v>5</v>
      </c>
      <c r="B403" s="316">
        <v>650</v>
      </c>
      <c r="C403" s="316"/>
      <c r="D403" s="318" t="s">
        <v>670</v>
      </c>
    </row>
    <row r="404" spans="1:4" x14ac:dyDescent="0.2">
      <c r="A404" s="313">
        <v>6</v>
      </c>
      <c r="B404" s="316">
        <v>90</v>
      </c>
      <c r="C404" s="316"/>
      <c r="D404" s="318" t="s">
        <v>334</v>
      </c>
    </row>
    <row r="405" spans="1:4" x14ac:dyDescent="0.2">
      <c r="A405" s="313">
        <v>7</v>
      </c>
      <c r="B405" s="316">
        <v>549</v>
      </c>
      <c r="C405" s="316">
        <v>71.599999999999994</v>
      </c>
      <c r="D405" s="318" t="s">
        <v>11</v>
      </c>
    </row>
    <row r="406" spans="1:4" x14ac:dyDescent="0.2">
      <c r="A406" s="313">
        <v>8</v>
      </c>
      <c r="B406" s="316">
        <v>575</v>
      </c>
      <c r="C406" s="316">
        <v>75</v>
      </c>
      <c r="D406" s="318" t="s">
        <v>8</v>
      </c>
    </row>
    <row r="407" spans="1:4" x14ac:dyDescent="0.2">
      <c r="A407" s="313">
        <v>9</v>
      </c>
      <c r="B407" s="316">
        <v>449.89</v>
      </c>
      <c r="C407" s="316">
        <v>13.04</v>
      </c>
      <c r="D407" s="318" t="s">
        <v>14</v>
      </c>
    </row>
    <row r="408" spans="1:4" x14ac:dyDescent="0.2">
      <c r="A408" s="313">
        <v>10</v>
      </c>
      <c r="B408" s="316">
        <v>8105.45</v>
      </c>
      <c r="C408" s="316">
        <v>613.14</v>
      </c>
      <c r="D408" s="318" t="s">
        <v>9</v>
      </c>
    </row>
    <row r="409" spans="1:4" ht="16" thickBot="1" x14ac:dyDescent="0.25">
      <c r="A409" s="256"/>
      <c r="B409" s="108">
        <f>SUM(B399:B408)</f>
        <v>12317.61</v>
      </c>
      <c r="C409" s="108">
        <f>SUM(C399:C408)</f>
        <v>793.38</v>
      </c>
      <c r="D409" s="547"/>
    </row>
    <row r="410" spans="1:4" ht="16" thickBot="1" x14ac:dyDescent="0.25"/>
    <row r="411" spans="1:4" ht="20" thickBot="1" x14ac:dyDescent="0.3">
      <c r="A411" s="107" t="s">
        <v>205</v>
      </c>
      <c r="B411" s="789"/>
      <c r="C411" s="790"/>
    </row>
    <row r="412" spans="1:4" ht="20" thickBot="1" x14ac:dyDescent="0.3">
      <c r="A412" s="195" t="s">
        <v>76</v>
      </c>
      <c r="B412" s="202">
        <v>45700</v>
      </c>
      <c r="C412" s="791"/>
      <c r="D412" s="792"/>
    </row>
    <row r="413" spans="1:4" ht="16" thickBot="1" x14ac:dyDescent="0.25">
      <c r="A413" s="195" t="s">
        <v>280</v>
      </c>
      <c r="B413" s="195" t="s">
        <v>117</v>
      </c>
      <c r="C413" s="195" t="s">
        <v>208</v>
      </c>
      <c r="D413" s="195" t="s">
        <v>206</v>
      </c>
    </row>
    <row r="414" spans="1:4" x14ac:dyDescent="0.2">
      <c r="A414" s="314">
        <v>1</v>
      </c>
      <c r="B414" s="315">
        <v>800</v>
      </c>
      <c r="C414" s="315"/>
      <c r="D414" s="317" t="s">
        <v>186</v>
      </c>
    </row>
    <row r="415" spans="1:4" x14ac:dyDescent="0.2">
      <c r="A415" s="314">
        <v>2</v>
      </c>
      <c r="B415" s="320">
        <v>2280.61</v>
      </c>
      <c r="C415" s="320">
        <v>342.11</v>
      </c>
      <c r="D415" s="317" t="s">
        <v>694</v>
      </c>
    </row>
    <row r="416" spans="1:4" x14ac:dyDescent="0.2">
      <c r="A416" s="313">
        <v>3</v>
      </c>
      <c r="B416" s="316">
        <v>1510</v>
      </c>
      <c r="C416" s="316"/>
      <c r="D416" s="318" t="s">
        <v>695</v>
      </c>
    </row>
    <row r="417" spans="1:4" ht="16" thickBot="1" x14ac:dyDescent="0.25">
      <c r="A417" s="256"/>
      <c r="B417" s="108">
        <f>SUM(B414:B416)</f>
        <v>4590.6100000000006</v>
      </c>
      <c r="C417" s="108">
        <f>SUM(C414:C416)</f>
        <v>342.11</v>
      </c>
      <c r="D417" s="547"/>
    </row>
    <row r="418" spans="1:4" ht="16" thickBot="1" x14ac:dyDescent="0.25"/>
    <row r="419" spans="1:4" ht="20" thickBot="1" x14ac:dyDescent="0.3">
      <c r="A419" s="107" t="s">
        <v>205</v>
      </c>
      <c r="B419" s="789"/>
      <c r="C419" s="790"/>
    </row>
    <row r="420" spans="1:4" ht="20" thickBot="1" x14ac:dyDescent="0.3">
      <c r="A420" s="195" t="s">
        <v>76</v>
      </c>
      <c r="B420" s="202">
        <v>45701</v>
      </c>
      <c r="C420" s="791"/>
      <c r="D420" s="792"/>
    </row>
    <row r="421" spans="1:4" ht="16" thickBot="1" x14ac:dyDescent="0.25">
      <c r="A421" s="195" t="s">
        <v>280</v>
      </c>
      <c r="B421" s="195" t="s">
        <v>117</v>
      </c>
      <c r="C421" s="195" t="s">
        <v>208</v>
      </c>
      <c r="D421" s="195" t="s">
        <v>206</v>
      </c>
    </row>
    <row r="422" spans="1:4" x14ac:dyDescent="0.2">
      <c r="A422" s="314">
        <v>1</v>
      </c>
      <c r="B422" s="315">
        <v>800</v>
      </c>
      <c r="C422" s="315"/>
      <c r="D422" s="317" t="s">
        <v>186</v>
      </c>
    </row>
    <row r="423" spans="1:4" x14ac:dyDescent="0.2">
      <c r="A423" s="313">
        <v>2</v>
      </c>
      <c r="B423" s="316">
        <v>395.96</v>
      </c>
      <c r="C423" s="316"/>
      <c r="D423" s="318" t="s">
        <v>9</v>
      </c>
    </row>
    <row r="424" spans="1:4" x14ac:dyDescent="0.2">
      <c r="A424" s="313">
        <v>3</v>
      </c>
      <c r="B424" s="316">
        <v>756.18</v>
      </c>
      <c r="C424" s="316">
        <v>62.12</v>
      </c>
      <c r="D424" s="318" t="s">
        <v>14</v>
      </c>
    </row>
    <row r="425" spans="1:4" x14ac:dyDescent="0.2">
      <c r="A425" s="313">
        <v>4</v>
      </c>
      <c r="B425" s="316">
        <v>7187.63</v>
      </c>
      <c r="C425" s="316">
        <v>586.46</v>
      </c>
      <c r="D425" s="318" t="s">
        <v>9</v>
      </c>
    </row>
    <row r="426" spans="1:4" x14ac:dyDescent="0.2">
      <c r="A426" s="313">
        <v>5</v>
      </c>
      <c r="B426" s="316">
        <v>7157.54</v>
      </c>
      <c r="C426" s="316">
        <v>933.59</v>
      </c>
      <c r="D426" s="318" t="s">
        <v>311</v>
      </c>
    </row>
    <row r="427" spans="1:4" x14ac:dyDescent="0.2">
      <c r="A427" s="313">
        <v>6</v>
      </c>
      <c r="B427" s="316">
        <v>1840</v>
      </c>
      <c r="C427" s="316">
        <v>240</v>
      </c>
      <c r="D427" s="318" t="s">
        <v>6</v>
      </c>
    </row>
    <row r="428" spans="1:4" ht="16" thickBot="1" x14ac:dyDescent="0.25">
      <c r="A428" s="256"/>
      <c r="B428" s="108">
        <f>SUM(B422:B427)</f>
        <v>18137.310000000001</v>
      </c>
      <c r="C428" s="108">
        <f>SUM(C422:C427)</f>
        <v>1822.17</v>
      </c>
      <c r="D428" s="547"/>
    </row>
    <row r="429" spans="1:4" ht="16" thickBot="1" x14ac:dyDescent="0.25"/>
    <row r="430" spans="1:4" ht="20" thickBot="1" x14ac:dyDescent="0.3">
      <c r="A430" s="107" t="s">
        <v>205</v>
      </c>
      <c r="B430" s="789"/>
      <c r="C430" s="790"/>
    </row>
    <row r="431" spans="1:4" ht="20" thickBot="1" x14ac:dyDescent="0.3">
      <c r="A431" s="195" t="s">
        <v>76</v>
      </c>
      <c r="B431" s="202">
        <v>45702</v>
      </c>
      <c r="C431" s="791"/>
      <c r="D431" s="792"/>
    </row>
    <row r="432" spans="1:4" ht="16" thickBot="1" x14ac:dyDescent="0.25">
      <c r="A432" s="195" t="s">
        <v>280</v>
      </c>
      <c r="B432" s="195" t="s">
        <v>117</v>
      </c>
      <c r="C432" s="195" t="s">
        <v>208</v>
      </c>
      <c r="D432" s="195" t="s">
        <v>206</v>
      </c>
    </row>
    <row r="433" spans="1:4" x14ac:dyDescent="0.2">
      <c r="A433" s="314">
        <v>1</v>
      </c>
      <c r="B433" s="315">
        <v>800</v>
      </c>
      <c r="C433" s="315"/>
      <c r="D433" s="317" t="s">
        <v>186</v>
      </c>
    </row>
    <row r="434" spans="1:4" x14ac:dyDescent="0.2">
      <c r="A434" s="313">
        <v>2</v>
      </c>
      <c r="B434" s="316">
        <v>800</v>
      </c>
      <c r="C434" s="316"/>
      <c r="D434" s="318" t="s">
        <v>186</v>
      </c>
    </row>
    <row r="435" spans="1:4" x14ac:dyDescent="0.2">
      <c r="A435" s="313">
        <v>3</v>
      </c>
      <c r="B435" s="316">
        <v>70</v>
      </c>
      <c r="C435" s="316">
        <v>9.1300000000000008</v>
      </c>
      <c r="D435" s="318" t="s">
        <v>710</v>
      </c>
    </row>
    <row r="436" spans="1:4" x14ac:dyDescent="0.2">
      <c r="A436" s="313">
        <v>4</v>
      </c>
      <c r="B436" s="316">
        <v>679.8</v>
      </c>
      <c r="C436" s="316">
        <v>88.67</v>
      </c>
      <c r="D436" s="318" t="s">
        <v>11</v>
      </c>
    </row>
    <row r="437" spans="1:4" x14ac:dyDescent="0.2">
      <c r="A437" s="313">
        <v>5</v>
      </c>
      <c r="B437" s="316">
        <v>828.39</v>
      </c>
      <c r="C437" s="316">
        <v>108.05</v>
      </c>
      <c r="D437" s="318" t="s">
        <v>279</v>
      </c>
    </row>
    <row r="438" spans="1:4" ht="16" thickBot="1" x14ac:dyDescent="0.25">
      <c r="A438" s="256"/>
      <c r="B438" s="108">
        <f>SUM(B433:B437)</f>
        <v>3178.19</v>
      </c>
      <c r="C438" s="108">
        <f>SUM(C433:C437)</f>
        <v>205.85</v>
      </c>
      <c r="D438" s="547"/>
    </row>
    <row r="439" spans="1:4" ht="16" thickBot="1" x14ac:dyDescent="0.25"/>
    <row r="440" spans="1:4" ht="20" thickBot="1" x14ac:dyDescent="0.3">
      <c r="A440" s="107" t="s">
        <v>205</v>
      </c>
      <c r="B440" s="789"/>
      <c r="C440" s="790"/>
    </row>
    <row r="441" spans="1:4" ht="20" thickBot="1" x14ac:dyDescent="0.3">
      <c r="A441" s="195" t="s">
        <v>76</v>
      </c>
      <c r="B441" s="202">
        <v>45703</v>
      </c>
      <c r="C441" s="791"/>
      <c r="D441" s="792"/>
    </row>
    <row r="442" spans="1:4" ht="16" thickBot="1" x14ac:dyDescent="0.25">
      <c r="A442" s="195" t="s">
        <v>280</v>
      </c>
      <c r="B442" s="195" t="s">
        <v>117</v>
      </c>
      <c r="C442" s="195" t="s">
        <v>208</v>
      </c>
      <c r="D442" s="195" t="s">
        <v>206</v>
      </c>
    </row>
    <row r="443" spans="1:4" x14ac:dyDescent="0.2">
      <c r="A443" s="314">
        <v>1</v>
      </c>
      <c r="B443" s="315">
        <v>800</v>
      </c>
      <c r="C443" s="315"/>
      <c r="D443" s="317" t="s">
        <v>186</v>
      </c>
    </row>
    <row r="444" spans="1:4" x14ac:dyDescent="0.2">
      <c r="A444" s="313">
        <v>2</v>
      </c>
      <c r="B444" s="316">
        <v>8739.4599999999991</v>
      </c>
      <c r="C444" s="316">
        <v>501.76</v>
      </c>
      <c r="D444" s="318" t="s">
        <v>9</v>
      </c>
    </row>
    <row r="445" spans="1:4" ht="16" thickBot="1" x14ac:dyDescent="0.25">
      <c r="A445" s="256"/>
      <c r="B445" s="108">
        <f>SUM(B443:B444)</f>
        <v>9539.4599999999991</v>
      </c>
      <c r="C445" s="108">
        <f>SUM(C443:C444)</f>
        <v>501.76</v>
      </c>
      <c r="D445" s="547"/>
    </row>
    <row r="446" spans="1:4" ht="16" thickBot="1" x14ac:dyDescent="0.25"/>
    <row r="447" spans="1:4" ht="20" thickBot="1" x14ac:dyDescent="0.3">
      <c r="A447" s="107" t="s">
        <v>205</v>
      </c>
      <c r="B447" s="789"/>
      <c r="C447" s="790"/>
    </row>
    <row r="448" spans="1:4" ht="20" thickBot="1" x14ac:dyDescent="0.3">
      <c r="A448" s="195" t="s">
        <v>76</v>
      </c>
      <c r="B448" s="202">
        <v>45704</v>
      </c>
      <c r="C448" s="791"/>
      <c r="D448" s="792"/>
    </row>
    <row r="449" spans="1:4" ht="16" thickBot="1" x14ac:dyDescent="0.25">
      <c r="A449" s="195" t="s">
        <v>280</v>
      </c>
      <c r="B449" s="195" t="s">
        <v>117</v>
      </c>
      <c r="C449" s="195" t="s">
        <v>208</v>
      </c>
      <c r="D449" s="195" t="s">
        <v>206</v>
      </c>
    </row>
    <row r="450" spans="1:4" x14ac:dyDescent="0.2">
      <c r="A450" s="314">
        <v>1</v>
      </c>
      <c r="B450" s="315">
        <v>1124.4000000000001</v>
      </c>
      <c r="C450" s="315"/>
      <c r="D450" s="317" t="s">
        <v>186</v>
      </c>
    </row>
    <row r="451" spans="1:4" x14ac:dyDescent="0.2">
      <c r="A451" s="313">
        <v>2</v>
      </c>
      <c r="B451" s="316">
        <v>25</v>
      </c>
      <c r="C451" s="316"/>
      <c r="D451" s="318" t="s">
        <v>332</v>
      </c>
    </row>
    <row r="452" spans="1:4" x14ac:dyDescent="0.2">
      <c r="A452" s="313">
        <v>3</v>
      </c>
      <c r="B452" s="316">
        <v>79</v>
      </c>
      <c r="C452" s="316">
        <v>10.3</v>
      </c>
      <c r="D452" s="318" t="s">
        <v>332</v>
      </c>
    </row>
    <row r="453" spans="1:4" x14ac:dyDescent="0.2">
      <c r="A453" s="313">
        <v>4</v>
      </c>
      <c r="B453" s="316">
        <v>1500</v>
      </c>
      <c r="C453" s="316"/>
      <c r="D453" s="318" t="s">
        <v>3</v>
      </c>
    </row>
    <row r="454" spans="1:4" x14ac:dyDescent="0.2">
      <c r="A454" s="313">
        <v>5</v>
      </c>
      <c r="B454" s="316">
        <v>97.98</v>
      </c>
      <c r="C454" s="316">
        <v>12.78</v>
      </c>
      <c r="D454" s="318" t="s">
        <v>279</v>
      </c>
    </row>
    <row r="455" spans="1:4" x14ac:dyDescent="0.2">
      <c r="A455" s="313">
        <v>6</v>
      </c>
      <c r="B455" s="316">
        <v>189.94</v>
      </c>
      <c r="C455" s="316"/>
      <c r="D455" s="318" t="s">
        <v>14</v>
      </c>
    </row>
    <row r="456" spans="1:4" ht="16" thickBot="1" x14ac:dyDescent="0.25">
      <c r="A456" s="256"/>
      <c r="B456" s="108">
        <f>SUM(B450:B455)</f>
        <v>3016.32</v>
      </c>
      <c r="C456" s="108">
        <f>SUM(C450:C455)</f>
        <v>23.08</v>
      </c>
      <c r="D456" s="547"/>
    </row>
    <row r="457" spans="1:4" ht="16" thickBot="1" x14ac:dyDescent="0.25"/>
    <row r="458" spans="1:4" ht="20" thickBot="1" x14ac:dyDescent="0.3">
      <c r="A458" s="107" t="s">
        <v>205</v>
      </c>
      <c r="B458" s="789"/>
      <c r="C458" s="790"/>
    </row>
    <row r="459" spans="1:4" ht="20" thickBot="1" x14ac:dyDescent="0.3">
      <c r="A459" s="195" t="s">
        <v>76</v>
      </c>
      <c r="B459" s="202">
        <v>45705</v>
      </c>
      <c r="C459" s="791"/>
      <c r="D459" s="792"/>
    </row>
    <row r="460" spans="1:4" ht="16" thickBot="1" x14ac:dyDescent="0.25">
      <c r="A460" s="195" t="s">
        <v>280</v>
      </c>
      <c r="B460" s="195" t="s">
        <v>117</v>
      </c>
      <c r="C460" s="195" t="s">
        <v>208</v>
      </c>
      <c r="D460" s="195" t="s">
        <v>206</v>
      </c>
    </row>
    <row r="461" spans="1:4" x14ac:dyDescent="0.2">
      <c r="A461" s="314">
        <v>1</v>
      </c>
      <c r="B461" s="315">
        <v>800</v>
      </c>
      <c r="C461" s="315"/>
      <c r="D461" s="317" t="s">
        <v>186</v>
      </c>
    </row>
    <row r="462" spans="1:4" x14ac:dyDescent="0.2">
      <c r="A462" s="313">
        <v>2</v>
      </c>
      <c r="B462" s="316">
        <v>950.63</v>
      </c>
      <c r="C462" s="316"/>
      <c r="D462" s="318" t="s">
        <v>528</v>
      </c>
    </row>
    <row r="463" spans="1:4" x14ac:dyDescent="0.2">
      <c r="A463" s="313">
        <v>3</v>
      </c>
      <c r="B463" s="316">
        <v>256</v>
      </c>
      <c r="C463" s="316">
        <v>33.39</v>
      </c>
      <c r="D463" s="318" t="s">
        <v>731</v>
      </c>
    </row>
    <row r="464" spans="1:4" x14ac:dyDescent="0.2">
      <c r="A464" s="313">
        <v>4</v>
      </c>
      <c r="B464" s="316">
        <v>13.99</v>
      </c>
      <c r="C464" s="316">
        <v>1.82</v>
      </c>
      <c r="D464" s="318" t="s">
        <v>279</v>
      </c>
    </row>
    <row r="465" spans="1:4" x14ac:dyDescent="0.2">
      <c r="A465" s="313">
        <v>5</v>
      </c>
      <c r="B465" s="316">
        <v>90</v>
      </c>
      <c r="C465" s="316"/>
      <c r="D465" s="318" t="s">
        <v>334</v>
      </c>
    </row>
    <row r="466" spans="1:4" x14ac:dyDescent="0.2">
      <c r="A466" s="313">
        <v>6</v>
      </c>
      <c r="B466" s="316">
        <v>610</v>
      </c>
      <c r="C466" s="316"/>
      <c r="D466" s="318" t="s">
        <v>396</v>
      </c>
    </row>
    <row r="467" spans="1:4" x14ac:dyDescent="0.2">
      <c r="A467" s="313">
        <v>7</v>
      </c>
      <c r="B467" s="316">
        <v>600.99</v>
      </c>
      <c r="C467" s="316">
        <v>32.75</v>
      </c>
      <c r="D467" s="318" t="s">
        <v>14</v>
      </c>
    </row>
    <row r="468" spans="1:4" x14ac:dyDescent="0.2">
      <c r="A468" s="313">
        <v>8</v>
      </c>
      <c r="B468" s="316">
        <v>8418.52</v>
      </c>
      <c r="C468" s="316">
        <v>552.26</v>
      </c>
      <c r="D468" s="318" t="s">
        <v>9</v>
      </c>
    </row>
    <row r="469" spans="1:4" ht="16" thickBot="1" x14ac:dyDescent="0.25">
      <c r="A469" s="256"/>
      <c r="B469" s="108">
        <f>SUM(B461:B468)</f>
        <v>11740.130000000001</v>
      </c>
      <c r="C469" s="108">
        <f>SUM(C461:C468)</f>
        <v>620.22</v>
      </c>
      <c r="D469" s="547"/>
    </row>
    <row r="470" spans="1:4" ht="16" thickBot="1" x14ac:dyDescent="0.25"/>
    <row r="471" spans="1:4" ht="20" thickBot="1" x14ac:dyDescent="0.3">
      <c r="A471" s="107" t="s">
        <v>205</v>
      </c>
      <c r="B471" s="789"/>
      <c r="C471" s="790"/>
    </row>
    <row r="472" spans="1:4" ht="20" thickBot="1" x14ac:dyDescent="0.3">
      <c r="A472" s="195" t="s">
        <v>76</v>
      </c>
      <c r="B472" s="202">
        <v>45706</v>
      </c>
      <c r="C472" s="791"/>
      <c r="D472" s="792"/>
    </row>
    <row r="473" spans="1:4" ht="16" thickBot="1" x14ac:dyDescent="0.25">
      <c r="A473" s="195" t="s">
        <v>280</v>
      </c>
      <c r="B473" s="195" t="s">
        <v>117</v>
      </c>
      <c r="C473" s="195" t="s">
        <v>208</v>
      </c>
      <c r="D473" s="195" t="s">
        <v>206</v>
      </c>
    </row>
    <row r="474" spans="1:4" x14ac:dyDescent="0.2">
      <c r="A474" s="314">
        <v>1</v>
      </c>
      <c r="B474" s="315">
        <v>205.96</v>
      </c>
      <c r="C474" s="315"/>
      <c r="D474" s="317" t="s">
        <v>411</v>
      </c>
    </row>
    <row r="475" spans="1:4" ht="16" thickBot="1" x14ac:dyDescent="0.25">
      <c r="A475" s="256"/>
      <c r="B475" s="108">
        <f>SUM(B474:B474)</f>
        <v>205.96</v>
      </c>
      <c r="C475" s="108">
        <f>SUM(C474:C474)</f>
        <v>0</v>
      </c>
      <c r="D475" s="547"/>
    </row>
    <row r="476" spans="1:4" ht="16" thickBot="1" x14ac:dyDescent="0.25"/>
    <row r="477" spans="1:4" ht="20" thickBot="1" x14ac:dyDescent="0.3">
      <c r="A477" s="107" t="s">
        <v>205</v>
      </c>
      <c r="B477" s="789"/>
      <c r="C477" s="790"/>
    </row>
    <row r="478" spans="1:4" ht="20" thickBot="1" x14ac:dyDescent="0.3">
      <c r="A478" s="195" t="s">
        <v>76</v>
      </c>
      <c r="B478" s="202">
        <v>45707</v>
      </c>
      <c r="C478" s="791"/>
      <c r="D478" s="792"/>
    </row>
    <row r="479" spans="1:4" ht="16" thickBot="1" x14ac:dyDescent="0.25">
      <c r="A479" s="195" t="s">
        <v>280</v>
      </c>
      <c r="B479" s="195" t="s">
        <v>117</v>
      </c>
      <c r="C479" s="195" t="s">
        <v>208</v>
      </c>
      <c r="D479" s="195" t="s">
        <v>206</v>
      </c>
    </row>
    <row r="480" spans="1:4" x14ac:dyDescent="0.2">
      <c r="A480" s="314">
        <v>1</v>
      </c>
      <c r="B480" s="315">
        <v>29</v>
      </c>
      <c r="C480" s="315"/>
      <c r="D480" s="317" t="s">
        <v>615</v>
      </c>
    </row>
    <row r="481" spans="1:4" x14ac:dyDescent="0.2">
      <c r="A481" s="313">
        <v>2</v>
      </c>
      <c r="B481" s="316">
        <v>700</v>
      </c>
      <c r="C481" s="316"/>
      <c r="D481" s="318" t="s">
        <v>186</v>
      </c>
    </row>
    <row r="482" spans="1:4" x14ac:dyDescent="0.2">
      <c r="A482" s="313">
        <v>3</v>
      </c>
      <c r="B482" s="316">
        <v>17.5</v>
      </c>
      <c r="C482" s="316">
        <v>2.62</v>
      </c>
      <c r="D482" s="318" t="s">
        <v>9</v>
      </c>
    </row>
    <row r="483" spans="1:4" x14ac:dyDescent="0.2">
      <c r="A483" s="313">
        <v>4</v>
      </c>
      <c r="B483" s="316">
        <v>279.92</v>
      </c>
      <c r="C483" s="316"/>
      <c r="D483" s="318" t="s">
        <v>14</v>
      </c>
    </row>
    <row r="484" spans="1:4" x14ac:dyDescent="0.2">
      <c r="A484" s="313">
        <v>5</v>
      </c>
      <c r="B484" s="316">
        <v>6789.56</v>
      </c>
      <c r="C484" s="316">
        <v>539.79999999999995</v>
      </c>
      <c r="D484" s="318" t="s">
        <v>9</v>
      </c>
    </row>
    <row r="485" spans="1:4" x14ac:dyDescent="0.2">
      <c r="A485" s="313">
        <v>6</v>
      </c>
      <c r="B485" s="316">
        <v>26460.13</v>
      </c>
      <c r="C485" s="316">
        <v>3451.33</v>
      </c>
      <c r="D485" s="318" t="s">
        <v>6</v>
      </c>
    </row>
    <row r="486" spans="1:4" x14ac:dyDescent="0.2">
      <c r="A486" s="313">
        <v>7</v>
      </c>
      <c r="B486" s="316">
        <v>764.8</v>
      </c>
      <c r="C486" s="316">
        <v>99.75</v>
      </c>
      <c r="D486" s="318" t="s">
        <v>740</v>
      </c>
    </row>
    <row r="487" spans="1:4" ht="16" thickBot="1" x14ac:dyDescent="0.25">
      <c r="A487" s="256"/>
      <c r="B487" s="108">
        <f>SUM(B480:B486)</f>
        <v>35040.910000000003</v>
      </c>
      <c r="C487" s="108">
        <f>SUM(C480:C486)</f>
        <v>4093.5</v>
      </c>
      <c r="D487" s="547"/>
    </row>
    <row r="488" spans="1:4" ht="16" thickBot="1" x14ac:dyDescent="0.25"/>
    <row r="489" spans="1:4" ht="20" thickBot="1" x14ac:dyDescent="0.3">
      <c r="A489" s="107" t="s">
        <v>205</v>
      </c>
      <c r="B489" s="789"/>
      <c r="C489" s="790"/>
    </row>
    <row r="490" spans="1:4" ht="20" thickBot="1" x14ac:dyDescent="0.3">
      <c r="A490" s="195" t="s">
        <v>76</v>
      </c>
      <c r="B490" s="202">
        <v>45708</v>
      </c>
      <c r="C490" s="791"/>
      <c r="D490" s="792"/>
    </row>
    <row r="491" spans="1:4" ht="16" thickBot="1" x14ac:dyDescent="0.25">
      <c r="A491" s="195" t="s">
        <v>280</v>
      </c>
      <c r="B491" s="195" t="s">
        <v>117</v>
      </c>
      <c r="C491" s="195" t="s">
        <v>208</v>
      </c>
      <c r="D491" s="195" t="s">
        <v>206</v>
      </c>
    </row>
    <row r="492" spans="1:4" x14ac:dyDescent="0.2">
      <c r="A492" s="314">
        <v>1</v>
      </c>
      <c r="B492" s="315">
        <v>948.3</v>
      </c>
      <c r="C492" s="315"/>
      <c r="D492" s="317" t="s">
        <v>186</v>
      </c>
    </row>
    <row r="493" spans="1:4" x14ac:dyDescent="0.2">
      <c r="A493" s="313">
        <v>2</v>
      </c>
      <c r="B493" s="316">
        <v>79</v>
      </c>
      <c r="C493" s="316">
        <v>10.3</v>
      </c>
      <c r="D493" s="318" t="s">
        <v>332</v>
      </c>
    </row>
    <row r="494" spans="1:4" x14ac:dyDescent="0.2">
      <c r="A494" s="313">
        <v>3</v>
      </c>
      <c r="B494" s="316">
        <v>79</v>
      </c>
      <c r="C494" s="316">
        <v>10.3</v>
      </c>
      <c r="D494" s="318" t="s">
        <v>332</v>
      </c>
    </row>
    <row r="495" spans="1:4" x14ac:dyDescent="0.2">
      <c r="A495" s="313">
        <v>4</v>
      </c>
      <c r="B495" s="316">
        <v>388</v>
      </c>
      <c r="C495" s="316">
        <f>B495*15%</f>
        <v>58.199999999999996</v>
      </c>
      <c r="D495" s="318" t="s">
        <v>748</v>
      </c>
    </row>
    <row r="496" spans="1:4" x14ac:dyDescent="0.2">
      <c r="A496" s="313">
        <v>5</v>
      </c>
      <c r="B496" s="316">
        <v>102.94</v>
      </c>
      <c r="C496" s="316">
        <v>13.43</v>
      </c>
      <c r="D496" s="318" t="s">
        <v>279</v>
      </c>
    </row>
    <row r="497" spans="1:4" x14ac:dyDescent="0.2">
      <c r="A497" s="313">
        <v>6</v>
      </c>
      <c r="B497" s="316">
        <v>44.99</v>
      </c>
      <c r="C497" s="316">
        <v>5.87</v>
      </c>
      <c r="D497" s="318" t="s">
        <v>279</v>
      </c>
    </row>
    <row r="498" spans="1:4" x14ac:dyDescent="0.2">
      <c r="A498" s="313">
        <v>7</v>
      </c>
      <c r="B498" s="316">
        <v>1500</v>
      </c>
      <c r="C498" s="316"/>
      <c r="D498" s="318" t="s">
        <v>3</v>
      </c>
    </row>
    <row r="499" spans="1:4" x14ac:dyDescent="0.2">
      <c r="A499" s="313">
        <v>8</v>
      </c>
      <c r="B499" s="316">
        <v>69.98</v>
      </c>
      <c r="C499" s="316"/>
      <c r="D499" s="318" t="s">
        <v>14</v>
      </c>
    </row>
    <row r="500" spans="1:4" x14ac:dyDescent="0.2">
      <c r="A500" s="313">
        <v>9</v>
      </c>
      <c r="B500" s="316">
        <v>960.25</v>
      </c>
      <c r="C500" s="316">
        <v>125.25</v>
      </c>
      <c r="D500" s="318" t="s">
        <v>750</v>
      </c>
    </row>
    <row r="501" spans="1:4" x14ac:dyDescent="0.2">
      <c r="A501" s="313">
        <v>10</v>
      </c>
      <c r="B501" s="316">
        <v>4771.7</v>
      </c>
      <c r="C501" s="316">
        <v>622.4</v>
      </c>
      <c r="D501" s="318" t="s">
        <v>750</v>
      </c>
    </row>
    <row r="502" spans="1:4" ht="16" thickBot="1" x14ac:dyDescent="0.25">
      <c r="A502" s="256"/>
      <c r="B502" s="108">
        <f>SUM(B492:B501)</f>
        <v>8944.16</v>
      </c>
      <c r="C502" s="108">
        <f>SUM(C492:C501)</f>
        <v>845.75</v>
      </c>
      <c r="D502" s="547"/>
    </row>
    <row r="503" spans="1:4" ht="16" thickBot="1" x14ac:dyDescent="0.25"/>
    <row r="504" spans="1:4" ht="20" thickBot="1" x14ac:dyDescent="0.3">
      <c r="A504" s="107" t="s">
        <v>205</v>
      </c>
      <c r="B504" s="789"/>
      <c r="C504" s="790"/>
    </row>
    <row r="505" spans="1:4" ht="20" thickBot="1" x14ac:dyDescent="0.3">
      <c r="A505" s="195" t="s">
        <v>76</v>
      </c>
      <c r="B505" s="202">
        <v>45709</v>
      </c>
      <c r="C505" s="791"/>
      <c r="D505" s="792"/>
    </row>
    <row r="506" spans="1:4" ht="16" thickBot="1" x14ac:dyDescent="0.25">
      <c r="A506" s="195" t="s">
        <v>280</v>
      </c>
      <c r="B506" s="195" t="s">
        <v>117</v>
      </c>
      <c r="C506" s="195" t="s">
        <v>208</v>
      </c>
      <c r="D506" s="195" t="s">
        <v>206</v>
      </c>
    </row>
    <row r="507" spans="1:4" x14ac:dyDescent="0.2">
      <c r="A507" s="314">
        <v>1</v>
      </c>
      <c r="B507" s="315">
        <v>800</v>
      </c>
      <c r="C507" s="315"/>
      <c r="D507" s="317" t="s">
        <v>186</v>
      </c>
    </row>
    <row r="508" spans="1:4" x14ac:dyDescent="0.2">
      <c r="A508" s="314">
        <v>2</v>
      </c>
      <c r="B508" s="320">
        <v>184.99</v>
      </c>
      <c r="C508" s="320">
        <v>24.13</v>
      </c>
      <c r="D508" s="317" t="s">
        <v>411</v>
      </c>
    </row>
    <row r="509" spans="1:4" x14ac:dyDescent="0.2">
      <c r="A509" s="313">
        <v>3</v>
      </c>
      <c r="B509" s="316">
        <v>6900</v>
      </c>
      <c r="C509" s="316"/>
      <c r="D509" s="318" t="s">
        <v>12</v>
      </c>
    </row>
    <row r="510" spans="1:4" ht="16" thickBot="1" x14ac:dyDescent="0.25">
      <c r="A510" s="256"/>
      <c r="B510" s="108">
        <f>SUM(B507:B509)</f>
        <v>7884.99</v>
      </c>
      <c r="C510" s="108">
        <f>SUM(C507:C509)</f>
        <v>24.13</v>
      </c>
      <c r="D510" s="547"/>
    </row>
    <row r="511" spans="1:4" ht="16" thickBot="1" x14ac:dyDescent="0.25"/>
    <row r="512" spans="1:4" ht="20" thickBot="1" x14ac:dyDescent="0.3">
      <c r="A512" s="107" t="s">
        <v>205</v>
      </c>
      <c r="B512" s="789"/>
      <c r="C512" s="790"/>
    </row>
    <row r="513" spans="1:4" ht="20" thickBot="1" x14ac:dyDescent="0.3">
      <c r="A513" s="195" t="s">
        <v>76</v>
      </c>
      <c r="B513" s="202">
        <v>45710</v>
      </c>
      <c r="C513" s="791"/>
      <c r="D513" s="792"/>
    </row>
    <row r="514" spans="1:4" ht="16" thickBot="1" x14ac:dyDescent="0.25">
      <c r="A514" s="195" t="s">
        <v>280</v>
      </c>
      <c r="B514" s="195" t="s">
        <v>117</v>
      </c>
      <c r="C514" s="195" t="s">
        <v>208</v>
      </c>
      <c r="D514" s="195" t="s">
        <v>206</v>
      </c>
    </row>
    <row r="515" spans="1:4" x14ac:dyDescent="0.2">
      <c r="A515" s="314">
        <v>1</v>
      </c>
      <c r="B515" s="315">
        <v>800</v>
      </c>
      <c r="C515" s="315"/>
      <c r="D515" s="317" t="s">
        <v>186</v>
      </c>
    </row>
    <row r="516" spans="1:4" ht="16" thickBot="1" x14ac:dyDescent="0.25">
      <c r="A516" s="256"/>
      <c r="B516" s="108">
        <f>SUM(B515:B515)</f>
        <v>800</v>
      </c>
      <c r="C516" s="108">
        <f>SUM(C515:C515)</f>
        <v>0</v>
      </c>
      <c r="D516" s="547"/>
    </row>
    <row r="517" spans="1:4" ht="16" thickBot="1" x14ac:dyDescent="0.25"/>
    <row r="518" spans="1:4" ht="20" thickBot="1" x14ac:dyDescent="0.3">
      <c r="A518" s="107" t="s">
        <v>205</v>
      </c>
      <c r="B518" s="789"/>
      <c r="C518" s="790"/>
    </row>
    <row r="519" spans="1:4" ht="20" thickBot="1" x14ac:dyDescent="0.3">
      <c r="A519" s="195" t="s">
        <v>76</v>
      </c>
      <c r="B519" s="202">
        <v>45711</v>
      </c>
      <c r="C519" s="791"/>
      <c r="D519" s="792"/>
    </row>
    <row r="520" spans="1:4" ht="16" thickBot="1" x14ac:dyDescent="0.25">
      <c r="A520" s="195" t="s">
        <v>280</v>
      </c>
      <c r="B520" s="195" t="s">
        <v>117</v>
      </c>
      <c r="C520" s="195" t="s">
        <v>208</v>
      </c>
      <c r="D520" s="195" t="s">
        <v>206</v>
      </c>
    </row>
    <row r="521" spans="1:4" x14ac:dyDescent="0.2">
      <c r="A521" s="314">
        <v>1</v>
      </c>
      <c r="B521" s="315">
        <v>239.95</v>
      </c>
      <c r="C521" s="315"/>
      <c r="D521" s="317" t="s">
        <v>411</v>
      </c>
    </row>
    <row r="522" spans="1:4" x14ac:dyDescent="0.2">
      <c r="A522" s="313">
        <v>2</v>
      </c>
      <c r="B522" s="316">
        <v>1557.98</v>
      </c>
      <c r="C522" s="316"/>
      <c r="D522" s="318" t="s">
        <v>411</v>
      </c>
    </row>
    <row r="523" spans="1:4" x14ac:dyDescent="0.2">
      <c r="A523" s="313">
        <v>3</v>
      </c>
      <c r="B523" s="316">
        <v>295.94</v>
      </c>
      <c r="C523" s="316"/>
      <c r="D523" s="318" t="s">
        <v>279</v>
      </c>
    </row>
    <row r="524" spans="1:4" x14ac:dyDescent="0.2">
      <c r="A524" s="313">
        <v>4</v>
      </c>
      <c r="B524" s="316">
        <v>279.92</v>
      </c>
      <c r="C524" s="316"/>
      <c r="D524" s="318" t="s">
        <v>14</v>
      </c>
    </row>
    <row r="525" spans="1:4" x14ac:dyDescent="0.2">
      <c r="A525" s="313">
        <v>5</v>
      </c>
      <c r="B525" s="316">
        <v>7087.48</v>
      </c>
      <c r="C525" s="316">
        <v>514.75</v>
      </c>
      <c r="D525" s="318" t="s">
        <v>9</v>
      </c>
    </row>
    <row r="526" spans="1:4" ht="16" thickBot="1" x14ac:dyDescent="0.25">
      <c r="A526" s="256"/>
      <c r="B526" s="108">
        <f>SUM(B521:B525)</f>
        <v>9461.27</v>
      </c>
      <c r="C526" s="108">
        <f>SUM(C521:C525)</f>
        <v>514.75</v>
      </c>
      <c r="D526" s="547"/>
    </row>
    <row r="527" spans="1:4" ht="16" thickBot="1" x14ac:dyDescent="0.25"/>
    <row r="528" spans="1:4" ht="20" thickBot="1" x14ac:dyDescent="0.3">
      <c r="A528" s="107" t="s">
        <v>205</v>
      </c>
      <c r="B528" s="789"/>
      <c r="C528" s="790"/>
    </row>
    <row r="529" spans="1:4" ht="20" thickBot="1" x14ac:dyDescent="0.3">
      <c r="A529" s="195" t="s">
        <v>76</v>
      </c>
      <c r="B529" s="202">
        <v>45712</v>
      </c>
      <c r="C529" s="791"/>
      <c r="D529" s="792"/>
    </row>
    <row r="530" spans="1:4" ht="16" thickBot="1" x14ac:dyDescent="0.25">
      <c r="A530" s="195" t="s">
        <v>280</v>
      </c>
      <c r="B530" s="195" t="s">
        <v>117</v>
      </c>
      <c r="C530" s="195" t="s">
        <v>208</v>
      </c>
      <c r="D530" s="195" t="s">
        <v>206</v>
      </c>
    </row>
    <row r="531" spans="1:4" x14ac:dyDescent="0.2">
      <c r="A531" s="314">
        <v>1</v>
      </c>
      <c r="B531" s="315">
        <v>532.05999999999995</v>
      </c>
      <c r="C531" s="315"/>
      <c r="D531" s="317" t="s">
        <v>186</v>
      </c>
    </row>
    <row r="532" spans="1:4" x14ac:dyDescent="0.2">
      <c r="A532" s="314">
        <v>2</v>
      </c>
      <c r="B532" s="320">
        <v>639.88</v>
      </c>
      <c r="C532" s="320">
        <v>31.4</v>
      </c>
      <c r="D532" s="317" t="s">
        <v>14</v>
      </c>
    </row>
    <row r="533" spans="1:4" x14ac:dyDescent="0.2">
      <c r="A533" s="313">
        <v>3</v>
      </c>
      <c r="B533" s="316">
        <v>9052.4699999999993</v>
      </c>
      <c r="C533" s="316">
        <v>596.35</v>
      </c>
      <c r="D533" s="318" t="s">
        <v>9</v>
      </c>
    </row>
    <row r="534" spans="1:4" ht="16" thickBot="1" x14ac:dyDescent="0.25">
      <c r="A534" s="256"/>
      <c r="B534" s="108">
        <f>SUM(B531:B533)</f>
        <v>10224.41</v>
      </c>
      <c r="C534" s="108">
        <f>SUM(C531:C533)</f>
        <v>627.75</v>
      </c>
      <c r="D534" s="547"/>
    </row>
    <row r="535" spans="1:4" ht="16" thickBot="1" x14ac:dyDescent="0.25"/>
    <row r="536" spans="1:4" ht="20" thickBot="1" x14ac:dyDescent="0.3">
      <c r="A536" s="107" t="s">
        <v>205</v>
      </c>
      <c r="B536" s="789"/>
      <c r="C536" s="790"/>
    </row>
    <row r="537" spans="1:4" ht="20" thickBot="1" x14ac:dyDescent="0.3">
      <c r="A537" s="195" t="s">
        <v>76</v>
      </c>
      <c r="B537" s="202">
        <v>45713</v>
      </c>
      <c r="C537" s="791"/>
      <c r="D537" s="792"/>
    </row>
    <row r="538" spans="1:4" ht="16" thickBot="1" x14ac:dyDescent="0.25">
      <c r="A538" s="195" t="s">
        <v>280</v>
      </c>
      <c r="B538" s="195" t="s">
        <v>117</v>
      </c>
      <c r="C538" s="195" t="s">
        <v>208</v>
      </c>
      <c r="D538" s="195" t="s">
        <v>206</v>
      </c>
    </row>
    <row r="539" spans="1:4" x14ac:dyDescent="0.2">
      <c r="A539" s="314">
        <v>1</v>
      </c>
      <c r="B539" s="315">
        <v>260</v>
      </c>
      <c r="C539" s="315"/>
      <c r="D539" s="317" t="s">
        <v>763</v>
      </c>
    </row>
    <row r="540" spans="1:4" x14ac:dyDescent="0.2">
      <c r="A540" s="314">
        <v>2</v>
      </c>
      <c r="B540" s="320">
        <v>50</v>
      </c>
      <c r="C540" s="320"/>
      <c r="D540" s="317" t="s">
        <v>334</v>
      </c>
    </row>
    <row r="541" spans="1:4" x14ac:dyDescent="0.2">
      <c r="A541" s="313">
        <v>3</v>
      </c>
      <c r="B541" s="316">
        <v>7880.6</v>
      </c>
      <c r="C541" s="316">
        <v>470.67</v>
      </c>
      <c r="D541" s="318" t="s">
        <v>9</v>
      </c>
    </row>
    <row r="542" spans="1:4" x14ac:dyDescent="0.2">
      <c r="A542" s="168">
        <v>4</v>
      </c>
      <c r="B542" s="3">
        <v>862.5</v>
      </c>
      <c r="C542" s="3">
        <v>112.5</v>
      </c>
      <c r="D542" s="3" t="s">
        <v>764</v>
      </c>
    </row>
    <row r="543" spans="1:4" ht="16" thickBot="1" x14ac:dyDescent="0.25">
      <c r="A543" s="256"/>
      <c r="B543" s="108">
        <f>SUM(B539:B542)</f>
        <v>9053.1</v>
      </c>
      <c r="C543" s="108">
        <f>SUM(C539:C541)</f>
        <v>470.67</v>
      </c>
      <c r="D543" s="547"/>
    </row>
    <row r="544" spans="1:4" ht="16" thickBot="1" x14ac:dyDescent="0.25"/>
    <row r="545" spans="1:4" ht="20" thickBot="1" x14ac:dyDescent="0.3">
      <c r="A545" s="107" t="s">
        <v>205</v>
      </c>
      <c r="B545" s="789"/>
      <c r="C545" s="790"/>
    </row>
    <row r="546" spans="1:4" ht="20" thickBot="1" x14ac:dyDescent="0.3">
      <c r="A546" s="195" t="s">
        <v>76</v>
      </c>
      <c r="B546" s="202">
        <v>45714</v>
      </c>
      <c r="C546" s="791"/>
      <c r="D546" s="792"/>
    </row>
    <row r="547" spans="1:4" ht="16" thickBot="1" x14ac:dyDescent="0.25">
      <c r="A547" s="195" t="s">
        <v>280</v>
      </c>
      <c r="B547" s="195" t="s">
        <v>117</v>
      </c>
      <c r="C547" s="195" t="s">
        <v>208</v>
      </c>
      <c r="D547" s="195" t="s">
        <v>206</v>
      </c>
    </row>
    <row r="548" spans="1:4" x14ac:dyDescent="0.2">
      <c r="A548" s="314">
        <v>1</v>
      </c>
      <c r="B548" s="315">
        <v>800</v>
      </c>
      <c r="C548" s="315"/>
      <c r="D548" s="317" t="s">
        <v>186</v>
      </c>
    </row>
    <row r="549" spans="1:4" x14ac:dyDescent="0.2">
      <c r="A549" s="313">
        <v>2</v>
      </c>
      <c r="B549" s="316">
        <v>119.99</v>
      </c>
      <c r="C549" s="316">
        <v>18</v>
      </c>
      <c r="D549" s="318" t="s">
        <v>9</v>
      </c>
    </row>
    <row r="550" spans="1:4" x14ac:dyDescent="0.2">
      <c r="A550" s="313">
        <v>3</v>
      </c>
      <c r="B550" s="316">
        <v>43.99</v>
      </c>
      <c r="C550" s="316">
        <v>6.6</v>
      </c>
      <c r="D550" s="318" t="s">
        <v>9</v>
      </c>
    </row>
    <row r="551" spans="1:4" x14ac:dyDescent="0.2">
      <c r="A551" s="313">
        <v>4</v>
      </c>
      <c r="B551" s="316">
        <v>1200</v>
      </c>
      <c r="C551" s="316">
        <v>156.52000000000001</v>
      </c>
      <c r="D551" s="318" t="s">
        <v>17</v>
      </c>
    </row>
    <row r="552" spans="1:4" x14ac:dyDescent="0.2">
      <c r="A552" s="313">
        <v>5</v>
      </c>
      <c r="B552" s="316">
        <v>160</v>
      </c>
      <c r="C552" s="316"/>
      <c r="D552" s="318" t="s">
        <v>770</v>
      </c>
    </row>
    <row r="553" spans="1:4" x14ac:dyDescent="0.2">
      <c r="A553" s="313">
        <v>6</v>
      </c>
      <c r="B553" s="316">
        <v>180</v>
      </c>
      <c r="C553" s="316"/>
      <c r="D553" s="318" t="s">
        <v>334</v>
      </c>
    </row>
    <row r="554" spans="1:4" x14ac:dyDescent="0.2">
      <c r="A554" s="313">
        <v>7</v>
      </c>
      <c r="B554" s="316">
        <v>450</v>
      </c>
      <c r="C554" s="316"/>
      <c r="D554" s="318" t="s">
        <v>771</v>
      </c>
    </row>
    <row r="555" spans="1:4" x14ac:dyDescent="0.2">
      <c r="A555" s="313">
        <v>8</v>
      </c>
      <c r="B555" s="316">
        <v>10521.58</v>
      </c>
      <c r="C555" s="316">
        <v>1372.38</v>
      </c>
      <c r="D555" s="318" t="s">
        <v>6</v>
      </c>
    </row>
    <row r="556" spans="1:4" ht="16" thickBot="1" x14ac:dyDescent="0.25">
      <c r="A556" s="256"/>
      <c r="B556" s="108">
        <f>SUM(B548:B555)</f>
        <v>13475.56</v>
      </c>
      <c r="C556" s="108">
        <f>SUM(C548:C555)</f>
        <v>1553.5</v>
      </c>
      <c r="D556" s="547"/>
    </row>
    <row r="557" spans="1:4" ht="16" thickBot="1" x14ac:dyDescent="0.25"/>
    <row r="558" spans="1:4" ht="20" thickBot="1" x14ac:dyDescent="0.3">
      <c r="A558" s="107" t="s">
        <v>205</v>
      </c>
      <c r="B558" s="789"/>
      <c r="C558" s="790"/>
    </row>
    <row r="559" spans="1:4" ht="20" thickBot="1" x14ac:dyDescent="0.3">
      <c r="A559" s="195" t="s">
        <v>76</v>
      </c>
      <c r="B559" s="202">
        <v>45715</v>
      </c>
      <c r="C559" s="791"/>
      <c r="D559" s="792"/>
    </row>
    <row r="560" spans="1:4" ht="16" thickBot="1" x14ac:dyDescent="0.25">
      <c r="A560" s="195" t="s">
        <v>280</v>
      </c>
      <c r="B560" s="195" t="s">
        <v>117</v>
      </c>
      <c r="C560" s="195" t="s">
        <v>208</v>
      </c>
      <c r="D560" s="195" t="s">
        <v>206</v>
      </c>
    </row>
    <row r="561" spans="1:4" x14ac:dyDescent="0.2">
      <c r="A561" s="314">
        <v>1</v>
      </c>
      <c r="B561" s="315">
        <v>1021.61</v>
      </c>
      <c r="C561" s="315"/>
      <c r="D561" s="317" t="s">
        <v>186</v>
      </c>
    </row>
    <row r="562" spans="1:4" x14ac:dyDescent="0.2">
      <c r="A562" s="313">
        <v>2</v>
      </c>
      <c r="B562" s="316">
        <v>688.5</v>
      </c>
      <c r="C562" s="316"/>
      <c r="D562" s="318" t="s">
        <v>186</v>
      </c>
    </row>
    <row r="563" spans="1:4" x14ac:dyDescent="0.2">
      <c r="A563" s="313">
        <v>3</v>
      </c>
      <c r="B563" s="316">
        <v>119.99</v>
      </c>
      <c r="C563" s="316"/>
      <c r="D563" s="318" t="s">
        <v>411</v>
      </c>
    </row>
    <row r="564" spans="1:4" x14ac:dyDescent="0.2">
      <c r="A564" s="313">
        <v>4</v>
      </c>
      <c r="B564" s="316">
        <v>79</v>
      </c>
      <c r="C564" s="316">
        <v>10.3</v>
      </c>
      <c r="D564" s="318" t="s">
        <v>493</v>
      </c>
    </row>
    <row r="565" spans="1:4" x14ac:dyDescent="0.2">
      <c r="A565" s="313">
        <v>5</v>
      </c>
      <c r="B565" s="316">
        <v>79</v>
      </c>
      <c r="C565" s="316">
        <v>10.3</v>
      </c>
      <c r="D565" s="318" t="s">
        <v>493</v>
      </c>
    </row>
    <row r="566" spans="1:4" x14ac:dyDescent="0.2">
      <c r="A566" s="313">
        <v>6</v>
      </c>
      <c r="B566" s="316">
        <v>370</v>
      </c>
      <c r="C566" s="316"/>
      <c r="D566" s="318" t="s">
        <v>396</v>
      </c>
    </row>
    <row r="567" spans="1:4" x14ac:dyDescent="0.2">
      <c r="A567" s="313">
        <v>7</v>
      </c>
      <c r="B567" s="316">
        <v>575</v>
      </c>
      <c r="C567" s="316">
        <v>75</v>
      </c>
      <c r="D567" s="318" t="s">
        <v>777</v>
      </c>
    </row>
    <row r="568" spans="1:4" x14ac:dyDescent="0.2">
      <c r="A568" s="313">
        <v>8</v>
      </c>
      <c r="B568" s="316">
        <v>53.98</v>
      </c>
      <c r="C568" s="316">
        <v>7.04</v>
      </c>
      <c r="D568" s="318" t="s">
        <v>279</v>
      </c>
    </row>
    <row r="569" spans="1:4" x14ac:dyDescent="0.2">
      <c r="A569" s="313">
        <v>9</v>
      </c>
      <c r="B569" s="316">
        <v>359.91</v>
      </c>
      <c r="C569" s="316"/>
      <c r="D569" s="318" t="s">
        <v>14</v>
      </c>
    </row>
    <row r="570" spans="1:4" x14ac:dyDescent="0.2">
      <c r="A570" s="313">
        <v>10</v>
      </c>
      <c r="B570" s="316">
        <v>2588.9</v>
      </c>
      <c r="C570" s="316">
        <v>337.69</v>
      </c>
      <c r="D570" s="318" t="s">
        <v>11</v>
      </c>
    </row>
    <row r="571" spans="1:4" x14ac:dyDescent="0.2">
      <c r="A571" s="313">
        <v>11</v>
      </c>
      <c r="B571" s="316">
        <v>8827.49</v>
      </c>
      <c r="C571" s="316">
        <v>627.54999999999995</v>
      </c>
      <c r="D571" s="318" t="s">
        <v>9</v>
      </c>
    </row>
    <row r="572" spans="1:4" x14ac:dyDescent="0.2">
      <c r="A572" s="313">
        <v>12</v>
      </c>
      <c r="B572" s="316">
        <v>7157.54</v>
      </c>
      <c r="C572" s="316">
        <v>933.59</v>
      </c>
      <c r="D572" s="318" t="s">
        <v>778</v>
      </c>
    </row>
    <row r="573" spans="1:4" ht="16" thickBot="1" x14ac:dyDescent="0.25">
      <c r="A573" s="256"/>
      <c r="B573" s="108">
        <f>SUM(B561:B572)</f>
        <v>21920.920000000002</v>
      </c>
      <c r="C573" s="108">
        <f>SUM(C561:C572)</f>
        <v>2001.4699999999998</v>
      </c>
      <c r="D573" s="547"/>
    </row>
    <row r="574" spans="1:4" ht="16" thickBot="1" x14ac:dyDescent="0.25"/>
    <row r="575" spans="1:4" ht="20" thickBot="1" x14ac:dyDescent="0.3">
      <c r="A575" s="107" t="s">
        <v>205</v>
      </c>
      <c r="B575" s="789"/>
      <c r="C575" s="790"/>
    </row>
    <row r="576" spans="1:4" ht="20" thickBot="1" x14ac:dyDescent="0.3">
      <c r="A576" s="195" t="s">
        <v>76</v>
      </c>
      <c r="B576" s="202">
        <v>45716</v>
      </c>
      <c r="C576" s="791"/>
      <c r="D576" s="792"/>
    </row>
    <row r="577" spans="1:4" ht="16" thickBot="1" x14ac:dyDescent="0.25">
      <c r="A577" s="195" t="s">
        <v>280</v>
      </c>
      <c r="B577" s="195" t="s">
        <v>117</v>
      </c>
      <c r="C577" s="195" t="s">
        <v>208</v>
      </c>
      <c r="D577" s="195" t="s">
        <v>206</v>
      </c>
    </row>
    <row r="578" spans="1:4" x14ac:dyDescent="0.2">
      <c r="A578" s="314">
        <v>1</v>
      </c>
      <c r="B578" s="315">
        <v>800</v>
      </c>
      <c r="C578" s="315"/>
      <c r="D578" s="317" t="s">
        <v>186</v>
      </c>
    </row>
    <row r="579" spans="1:4" x14ac:dyDescent="0.2">
      <c r="A579" s="314">
        <v>2</v>
      </c>
      <c r="B579" s="320">
        <v>4797.6899999999996</v>
      </c>
      <c r="C579" s="320">
        <v>625.79</v>
      </c>
      <c r="D579" s="317" t="s">
        <v>764</v>
      </c>
    </row>
    <row r="580" spans="1:4" ht="16" thickBot="1" x14ac:dyDescent="0.25">
      <c r="A580" s="256"/>
      <c r="B580" s="108">
        <f>SUM(B578:B579)</f>
        <v>5597.69</v>
      </c>
      <c r="C580" s="108">
        <f>SUM(C578:C579)</f>
        <v>625.79</v>
      </c>
      <c r="D580" s="547"/>
    </row>
    <row r="581" spans="1:4" ht="16" thickBot="1" x14ac:dyDescent="0.25"/>
    <row r="582" spans="1:4" ht="20" thickBot="1" x14ac:dyDescent="0.3">
      <c r="A582" s="195" t="s">
        <v>76</v>
      </c>
      <c r="B582" s="202">
        <v>45717</v>
      </c>
      <c r="C582" s="791"/>
      <c r="D582" s="792"/>
    </row>
    <row r="583" spans="1:4" ht="16" thickBot="1" x14ac:dyDescent="0.25">
      <c r="A583" s="195" t="s">
        <v>280</v>
      </c>
      <c r="B583" s="195" t="s">
        <v>117</v>
      </c>
      <c r="C583" s="195" t="s">
        <v>208</v>
      </c>
      <c r="D583" s="195" t="s">
        <v>206</v>
      </c>
    </row>
    <row r="584" spans="1:4" x14ac:dyDescent="0.2">
      <c r="A584" s="314">
        <v>1</v>
      </c>
      <c r="B584" s="315">
        <v>1500</v>
      </c>
      <c r="C584" s="315"/>
      <c r="D584" s="317" t="s">
        <v>3</v>
      </c>
    </row>
    <row r="585" spans="1:4" x14ac:dyDescent="0.2">
      <c r="A585" s="314">
        <v>2</v>
      </c>
      <c r="B585" s="320">
        <v>279.93</v>
      </c>
      <c r="C585" s="320"/>
      <c r="D585" s="317" t="s">
        <v>14</v>
      </c>
    </row>
    <row r="586" spans="1:4" x14ac:dyDescent="0.2">
      <c r="A586" s="313">
        <v>3</v>
      </c>
      <c r="B586" s="316">
        <v>8599.61</v>
      </c>
      <c r="C586" s="316">
        <v>566.36</v>
      </c>
      <c r="D586" s="318" t="s">
        <v>9</v>
      </c>
    </row>
    <row r="587" spans="1:4" ht="16" thickBot="1" x14ac:dyDescent="0.25">
      <c r="A587" s="256"/>
      <c r="B587" s="108">
        <f>SUM(B584:B586)</f>
        <v>10379.540000000001</v>
      </c>
      <c r="C587" s="108">
        <f>SUM(C584:C586)</f>
        <v>566.36</v>
      </c>
      <c r="D587" s="547"/>
    </row>
    <row r="588" spans="1:4" ht="16" thickBot="1" x14ac:dyDescent="0.25"/>
    <row r="589" spans="1:4" ht="20" thickBot="1" x14ac:dyDescent="0.3">
      <c r="A589" s="107" t="s">
        <v>205</v>
      </c>
      <c r="B589" s="789"/>
      <c r="C589" s="790"/>
    </row>
    <row r="590" spans="1:4" ht="20" thickBot="1" x14ac:dyDescent="0.3">
      <c r="A590" s="195" t="s">
        <v>76</v>
      </c>
      <c r="B590" s="202">
        <v>45719</v>
      </c>
      <c r="C590" s="791"/>
      <c r="D590" s="792"/>
    </row>
    <row r="591" spans="1:4" ht="16" thickBot="1" x14ac:dyDescent="0.25">
      <c r="A591" s="195" t="s">
        <v>280</v>
      </c>
      <c r="B591" s="195" t="s">
        <v>117</v>
      </c>
      <c r="C591" s="195" t="s">
        <v>208</v>
      </c>
      <c r="D591" s="195" t="s">
        <v>206</v>
      </c>
    </row>
    <row r="592" spans="1:4" x14ac:dyDescent="0.2">
      <c r="A592" s="314">
        <v>1</v>
      </c>
      <c r="B592" s="315">
        <v>800</v>
      </c>
      <c r="C592" s="315"/>
      <c r="D592" s="317" t="s">
        <v>186</v>
      </c>
    </row>
    <row r="593" spans="1:4" x14ac:dyDescent="0.2">
      <c r="A593" s="313">
        <v>2</v>
      </c>
      <c r="B593" s="316">
        <v>154</v>
      </c>
      <c r="C593" s="316">
        <v>20.09</v>
      </c>
      <c r="D593" s="318" t="s">
        <v>297</v>
      </c>
    </row>
    <row r="594" spans="1:4" x14ac:dyDescent="0.2">
      <c r="A594" s="313">
        <v>3</v>
      </c>
      <c r="B594" s="316">
        <v>39.99</v>
      </c>
      <c r="C594" s="316">
        <v>5.22</v>
      </c>
      <c r="D594" s="318" t="s">
        <v>297</v>
      </c>
    </row>
    <row r="595" spans="1:4" x14ac:dyDescent="0.2">
      <c r="A595" s="313">
        <v>4</v>
      </c>
      <c r="B595" s="316">
        <v>101</v>
      </c>
      <c r="C595" s="316"/>
      <c r="D595" s="318" t="s">
        <v>795</v>
      </c>
    </row>
    <row r="596" spans="1:4" x14ac:dyDescent="0.2">
      <c r="A596" s="313">
        <v>5</v>
      </c>
      <c r="B596" s="316">
        <v>260</v>
      </c>
      <c r="C596" s="316"/>
      <c r="D596" s="318" t="s">
        <v>396</v>
      </c>
    </row>
    <row r="597" spans="1:4" x14ac:dyDescent="0.2">
      <c r="A597" s="313">
        <v>6</v>
      </c>
      <c r="B597" s="316">
        <v>6507.63</v>
      </c>
      <c r="C597" s="316">
        <v>494.51</v>
      </c>
      <c r="D597" s="318" t="s">
        <v>9</v>
      </c>
    </row>
    <row r="598" spans="1:4" ht="16" thickBot="1" x14ac:dyDescent="0.25">
      <c r="A598" s="256"/>
      <c r="B598" s="108">
        <f>SUM(B592:B597)</f>
        <v>7862.62</v>
      </c>
      <c r="C598" s="108">
        <f>SUM(C592:C597)</f>
        <v>519.81999999999994</v>
      </c>
      <c r="D598" s="547"/>
    </row>
    <row r="599" spans="1:4" ht="16" thickBot="1" x14ac:dyDescent="0.25"/>
    <row r="600" spans="1:4" ht="20" thickBot="1" x14ac:dyDescent="0.3">
      <c r="A600" s="107" t="s">
        <v>205</v>
      </c>
      <c r="B600" s="789"/>
      <c r="C600" s="790"/>
    </row>
    <row r="601" spans="1:4" ht="20" thickBot="1" x14ac:dyDescent="0.3">
      <c r="A601" s="195" t="s">
        <v>76</v>
      </c>
      <c r="B601" s="202">
        <v>45720</v>
      </c>
      <c r="C601" s="791"/>
      <c r="D601" s="792"/>
    </row>
    <row r="602" spans="1:4" ht="16" thickBot="1" x14ac:dyDescent="0.25">
      <c r="A602" s="195" t="s">
        <v>280</v>
      </c>
      <c r="B602" s="195" t="s">
        <v>117</v>
      </c>
      <c r="C602" s="195" t="s">
        <v>208</v>
      </c>
      <c r="D602" s="195" t="s">
        <v>206</v>
      </c>
    </row>
    <row r="603" spans="1:4" x14ac:dyDescent="0.2">
      <c r="A603" s="314">
        <v>1</v>
      </c>
      <c r="B603" s="315">
        <v>1090.25</v>
      </c>
      <c r="C603" s="315"/>
      <c r="D603" s="317" t="s">
        <v>186</v>
      </c>
    </row>
    <row r="604" spans="1:4" x14ac:dyDescent="0.2">
      <c r="A604" s="314">
        <v>2</v>
      </c>
      <c r="B604" s="320">
        <v>81</v>
      </c>
      <c r="C604" s="320">
        <v>10.57</v>
      </c>
      <c r="D604" s="317" t="s">
        <v>332</v>
      </c>
    </row>
    <row r="605" spans="1:4" x14ac:dyDescent="0.2">
      <c r="A605" s="314">
        <v>3</v>
      </c>
      <c r="B605" s="320">
        <v>81</v>
      </c>
      <c r="C605" s="320">
        <v>10.57</v>
      </c>
      <c r="D605" s="317" t="s">
        <v>332</v>
      </c>
    </row>
    <row r="606" spans="1:4" x14ac:dyDescent="0.2">
      <c r="A606" s="313">
        <v>4</v>
      </c>
      <c r="B606" s="316">
        <v>85</v>
      </c>
      <c r="C606" s="316"/>
      <c r="D606" s="318" t="s">
        <v>499</v>
      </c>
    </row>
    <row r="607" spans="1:4" x14ac:dyDescent="0.2">
      <c r="A607" s="313">
        <v>5</v>
      </c>
      <c r="B607" s="316">
        <v>133</v>
      </c>
      <c r="C607" s="316"/>
      <c r="D607" s="318" t="s">
        <v>377</v>
      </c>
    </row>
    <row r="608" spans="1:4" x14ac:dyDescent="0.2">
      <c r="A608" s="313">
        <v>6</v>
      </c>
      <c r="B608" s="316">
        <v>573</v>
      </c>
      <c r="C608" s="316">
        <v>74.739999999999995</v>
      </c>
      <c r="D608" s="318" t="s">
        <v>637</v>
      </c>
    </row>
    <row r="609" spans="1:4" x14ac:dyDescent="0.2">
      <c r="A609" s="313">
        <v>7</v>
      </c>
      <c r="B609" s="316">
        <v>319.92</v>
      </c>
      <c r="C609" s="316"/>
      <c r="D609" s="318" t="s">
        <v>14</v>
      </c>
    </row>
    <row r="610" spans="1:4" x14ac:dyDescent="0.2">
      <c r="A610" s="313">
        <v>8</v>
      </c>
      <c r="B610" s="316">
        <v>7318.55</v>
      </c>
      <c r="C610" s="316">
        <v>499.46</v>
      </c>
      <c r="D610" s="318" t="s">
        <v>9</v>
      </c>
    </row>
    <row r="611" spans="1:4" x14ac:dyDescent="0.2">
      <c r="A611" s="313">
        <v>9</v>
      </c>
      <c r="B611" s="316">
        <v>5681</v>
      </c>
      <c r="C611" s="316">
        <v>741</v>
      </c>
      <c r="D611" s="318" t="s">
        <v>6</v>
      </c>
    </row>
    <row r="612" spans="1:4" ht="16" thickBot="1" x14ac:dyDescent="0.25">
      <c r="A612" s="256"/>
      <c r="B612" s="108">
        <f>SUM(B603:B611)</f>
        <v>15362.720000000001</v>
      </c>
      <c r="C612" s="108">
        <f>SUM(C603:C611)</f>
        <v>1336.34</v>
      </c>
      <c r="D612" s="547"/>
    </row>
    <row r="613" spans="1:4" ht="16" thickBot="1" x14ac:dyDescent="0.25"/>
    <row r="614" spans="1:4" ht="20" thickBot="1" x14ac:dyDescent="0.3">
      <c r="A614" s="195" t="s">
        <v>76</v>
      </c>
      <c r="B614" s="202">
        <v>45721</v>
      </c>
      <c r="C614" s="791"/>
      <c r="D614" s="792"/>
    </row>
    <row r="615" spans="1:4" ht="16" thickBot="1" x14ac:dyDescent="0.25">
      <c r="A615" s="195" t="s">
        <v>280</v>
      </c>
      <c r="B615" s="195" t="s">
        <v>117</v>
      </c>
      <c r="C615" s="195" t="s">
        <v>208</v>
      </c>
      <c r="D615" s="195" t="s">
        <v>206</v>
      </c>
    </row>
    <row r="616" spans="1:4" x14ac:dyDescent="0.2">
      <c r="A616" s="314">
        <v>1</v>
      </c>
      <c r="B616" s="315">
        <v>800</v>
      </c>
      <c r="C616" s="315"/>
      <c r="D616" s="317" t="s">
        <v>186</v>
      </c>
    </row>
    <row r="617" spans="1:4" ht="16" thickBot="1" x14ac:dyDescent="0.25">
      <c r="A617" s="256"/>
      <c r="B617" s="108">
        <f>SUM(B616:B616)</f>
        <v>800</v>
      </c>
      <c r="C617" s="108">
        <f>SUM(C616:C616)</f>
        <v>0</v>
      </c>
      <c r="D617" s="547"/>
    </row>
    <row r="618" spans="1:4" ht="16" thickBot="1" x14ac:dyDescent="0.25"/>
    <row r="619" spans="1:4" ht="20" thickBot="1" x14ac:dyDescent="0.3">
      <c r="A619" s="107" t="s">
        <v>205</v>
      </c>
      <c r="B619" s="789"/>
      <c r="C619" s="790"/>
    </row>
    <row r="620" spans="1:4" ht="20" thickBot="1" x14ac:dyDescent="0.3">
      <c r="A620" s="195" t="s">
        <v>76</v>
      </c>
      <c r="B620" s="202">
        <v>45722</v>
      </c>
      <c r="C620" s="791"/>
      <c r="D620" s="792"/>
    </row>
    <row r="621" spans="1:4" ht="16" thickBot="1" x14ac:dyDescent="0.25">
      <c r="A621" s="195" t="s">
        <v>280</v>
      </c>
      <c r="B621" s="195" t="s">
        <v>117</v>
      </c>
      <c r="C621" s="195" t="s">
        <v>208</v>
      </c>
      <c r="D621" s="195" t="s">
        <v>206</v>
      </c>
    </row>
    <row r="622" spans="1:4" x14ac:dyDescent="0.2">
      <c r="A622" s="314">
        <v>1</v>
      </c>
      <c r="B622" s="315">
        <v>379.25</v>
      </c>
      <c r="C622" s="315"/>
      <c r="D622" s="317" t="s">
        <v>411</v>
      </c>
    </row>
    <row r="623" spans="1:4" x14ac:dyDescent="0.2">
      <c r="A623" s="313">
        <v>2</v>
      </c>
      <c r="B623" s="316">
        <v>800</v>
      </c>
      <c r="C623" s="316"/>
      <c r="D623" s="318" t="s">
        <v>186</v>
      </c>
    </row>
    <row r="624" spans="1:4" x14ac:dyDescent="0.2">
      <c r="A624" s="313">
        <v>3</v>
      </c>
      <c r="B624" s="316">
        <v>319.92</v>
      </c>
      <c r="C624" s="316"/>
      <c r="D624" s="318" t="s">
        <v>14</v>
      </c>
    </row>
    <row r="625" spans="1:4" x14ac:dyDescent="0.2">
      <c r="A625" s="313">
        <v>4</v>
      </c>
      <c r="B625" s="316">
        <v>7386.52</v>
      </c>
      <c r="C625" s="316">
        <v>514.16</v>
      </c>
      <c r="D625" s="318" t="s">
        <v>9</v>
      </c>
    </row>
    <row r="626" spans="1:4" x14ac:dyDescent="0.2">
      <c r="A626" s="313">
        <v>5</v>
      </c>
      <c r="B626" s="316">
        <v>4358.5</v>
      </c>
      <c r="C626" s="316">
        <v>568.5</v>
      </c>
      <c r="D626" s="318" t="s">
        <v>6</v>
      </c>
    </row>
    <row r="627" spans="1:4" ht="16" thickBot="1" x14ac:dyDescent="0.25">
      <c r="A627" s="256"/>
      <c r="B627" s="108">
        <f>SUM(B622:B626)</f>
        <v>13244.19</v>
      </c>
      <c r="C627" s="108">
        <f>SUM(C622:C626)</f>
        <v>1082.6599999999999</v>
      </c>
      <c r="D627" s="547"/>
    </row>
    <row r="628" spans="1:4" ht="16" thickBot="1" x14ac:dyDescent="0.25"/>
    <row r="629" spans="1:4" ht="20" thickBot="1" x14ac:dyDescent="0.3">
      <c r="A629" s="107" t="s">
        <v>205</v>
      </c>
      <c r="B629" s="789"/>
      <c r="C629" s="790"/>
    </row>
    <row r="630" spans="1:4" ht="20" thickBot="1" x14ac:dyDescent="0.3">
      <c r="A630" s="195" t="s">
        <v>76</v>
      </c>
      <c r="B630" s="202">
        <v>45723</v>
      </c>
      <c r="C630" s="791"/>
      <c r="D630" s="792"/>
    </row>
    <row r="631" spans="1:4" ht="16" thickBot="1" x14ac:dyDescent="0.25">
      <c r="A631" s="195" t="s">
        <v>280</v>
      </c>
      <c r="B631" s="195" t="s">
        <v>117</v>
      </c>
      <c r="C631" s="195" t="s">
        <v>208</v>
      </c>
      <c r="D631" s="195" t="s">
        <v>206</v>
      </c>
    </row>
    <row r="632" spans="1:4" x14ac:dyDescent="0.2">
      <c r="A632" s="314">
        <v>1</v>
      </c>
      <c r="B632" s="315">
        <v>800.08</v>
      </c>
      <c r="C632" s="315"/>
      <c r="D632" s="317" t="s">
        <v>186</v>
      </c>
    </row>
    <row r="633" spans="1:4" x14ac:dyDescent="0.2">
      <c r="A633" s="314">
        <v>2</v>
      </c>
      <c r="B633" s="320">
        <v>165.98</v>
      </c>
      <c r="C633" s="320"/>
      <c r="D633" s="317" t="s">
        <v>411</v>
      </c>
    </row>
    <row r="634" spans="1:4" x14ac:dyDescent="0.2">
      <c r="A634" s="314">
        <v>3</v>
      </c>
      <c r="B634" s="320">
        <v>200.87</v>
      </c>
      <c r="C634" s="320">
        <v>26.2</v>
      </c>
      <c r="D634" s="317" t="s">
        <v>821</v>
      </c>
    </row>
    <row r="635" spans="1:4" x14ac:dyDescent="0.2">
      <c r="A635" s="313">
        <v>4</v>
      </c>
      <c r="B635" s="316">
        <v>240</v>
      </c>
      <c r="C635" s="316"/>
      <c r="D635" s="318" t="s">
        <v>396</v>
      </c>
    </row>
    <row r="636" spans="1:4" x14ac:dyDescent="0.2">
      <c r="A636" s="313">
        <v>5</v>
      </c>
      <c r="B636" s="316">
        <v>76</v>
      </c>
      <c r="C636" s="316">
        <v>9.91</v>
      </c>
      <c r="D636" s="318" t="s">
        <v>710</v>
      </c>
    </row>
    <row r="637" spans="1:4" x14ac:dyDescent="0.2">
      <c r="A637" s="313">
        <v>6</v>
      </c>
      <c r="B637" s="316">
        <v>344.1</v>
      </c>
      <c r="C637" s="316">
        <v>32.840000000000003</v>
      </c>
      <c r="D637" s="318" t="s">
        <v>637</v>
      </c>
    </row>
    <row r="638" spans="1:4" x14ac:dyDescent="0.2">
      <c r="A638" s="313">
        <v>7</v>
      </c>
      <c r="B638" s="316">
        <f>12470+6140</f>
        <v>18610</v>
      </c>
      <c r="C638" s="316"/>
      <c r="D638" s="318" t="s">
        <v>12</v>
      </c>
    </row>
    <row r="639" spans="1:4" ht="16" thickBot="1" x14ac:dyDescent="0.25">
      <c r="A639" s="256"/>
      <c r="B639" s="108">
        <f>SUM(B632:B638)</f>
        <v>20437.03</v>
      </c>
      <c r="C639" s="108">
        <f>SUM(C632:C638)</f>
        <v>68.95</v>
      </c>
      <c r="D639" s="547"/>
    </row>
    <row r="640" spans="1:4" ht="16" thickBot="1" x14ac:dyDescent="0.25"/>
    <row r="641" spans="1:4" ht="20" thickBot="1" x14ac:dyDescent="0.3">
      <c r="A641" s="107" t="s">
        <v>205</v>
      </c>
      <c r="B641" s="789"/>
      <c r="C641" s="790"/>
    </row>
    <row r="642" spans="1:4" ht="20" thickBot="1" x14ac:dyDescent="0.3">
      <c r="A642" s="195" t="s">
        <v>76</v>
      </c>
      <c r="B642" s="202">
        <v>45724</v>
      </c>
      <c r="C642" s="791"/>
      <c r="D642" s="792"/>
    </row>
    <row r="643" spans="1:4" ht="16" thickBot="1" x14ac:dyDescent="0.25">
      <c r="A643" s="195" t="s">
        <v>280</v>
      </c>
      <c r="B643" s="195" t="s">
        <v>117</v>
      </c>
      <c r="C643" s="195" t="s">
        <v>208</v>
      </c>
      <c r="D643" s="195" t="s">
        <v>206</v>
      </c>
    </row>
    <row r="644" spans="1:4" x14ac:dyDescent="0.2">
      <c r="A644" s="314">
        <v>1</v>
      </c>
      <c r="B644" s="315">
        <v>700</v>
      </c>
      <c r="C644" s="315"/>
      <c r="D644" s="317" t="s">
        <v>186</v>
      </c>
    </row>
    <row r="645" spans="1:4" x14ac:dyDescent="0.2">
      <c r="A645" s="313">
        <v>2</v>
      </c>
      <c r="B645" s="316">
        <v>3258.8</v>
      </c>
      <c r="C645" s="316">
        <v>425.07</v>
      </c>
      <c r="D645" s="318" t="s">
        <v>11</v>
      </c>
    </row>
    <row r="646" spans="1:4" x14ac:dyDescent="0.2">
      <c r="A646" s="313">
        <v>3</v>
      </c>
      <c r="B646" s="316">
        <v>163.96</v>
      </c>
      <c r="C646" s="316"/>
      <c r="D646" s="318" t="s">
        <v>14</v>
      </c>
    </row>
    <row r="647" spans="1:4" x14ac:dyDescent="0.2">
      <c r="A647" s="313">
        <v>4</v>
      </c>
      <c r="B647" s="316">
        <v>3311.83</v>
      </c>
      <c r="C647" s="316">
        <v>242.54</v>
      </c>
      <c r="D647" s="318" t="s">
        <v>9</v>
      </c>
    </row>
    <row r="648" spans="1:4" ht="16" thickBot="1" x14ac:dyDescent="0.25">
      <c r="A648" s="256"/>
      <c r="B648" s="108">
        <f>SUM(B644:B647)</f>
        <v>7434.59</v>
      </c>
      <c r="C648" s="108">
        <f>SUM(C644:C647)</f>
        <v>667.61</v>
      </c>
      <c r="D648" s="547"/>
    </row>
    <row r="649" spans="1:4" ht="16" thickBot="1" x14ac:dyDescent="0.25"/>
    <row r="650" spans="1:4" ht="20" thickBot="1" x14ac:dyDescent="0.3">
      <c r="A650" s="107" t="s">
        <v>205</v>
      </c>
      <c r="B650" s="789"/>
      <c r="C650" s="790"/>
    </row>
    <row r="651" spans="1:4" ht="20" thickBot="1" x14ac:dyDescent="0.3">
      <c r="A651" s="195" t="s">
        <v>76</v>
      </c>
      <c r="B651" s="202">
        <v>45725</v>
      </c>
      <c r="C651" s="791"/>
      <c r="D651" s="792"/>
    </row>
    <row r="652" spans="1:4" ht="16" thickBot="1" x14ac:dyDescent="0.25">
      <c r="A652" s="195" t="s">
        <v>280</v>
      </c>
      <c r="B652" s="195" t="s">
        <v>117</v>
      </c>
      <c r="C652" s="195" t="s">
        <v>208</v>
      </c>
      <c r="D652" s="195" t="s">
        <v>206</v>
      </c>
    </row>
    <row r="653" spans="1:4" x14ac:dyDescent="0.2">
      <c r="A653" s="314">
        <v>1</v>
      </c>
      <c r="B653" s="315">
        <v>800</v>
      </c>
      <c r="C653" s="315"/>
      <c r="D653" s="317" t="s">
        <v>186</v>
      </c>
    </row>
    <row r="654" spans="1:4" x14ac:dyDescent="0.2">
      <c r="A654" s="314">
        <v>2</v>
      </c>
      <c r="B654" s="320">
        <v>319.92</v>
      </c>
      <c r="C654" s="320"/>
      <c r="D654" s="317" t="s">
        <v>14</v>
      </c>
    </row>
    <row r="655" spans="1:4" x14ac:dyDescent="0.2">
      <c r="A655" s="314">
        <v>3</v>
      </c>
      <c r="B655" s="320">
        <v>302.3</v>
      </c>
      <c r="C655" s="320">
        <v>39.43</v>
      </c>
      <c r="D655" s="317" t="s">
        <v>279</v>
      </c>
    </row>
    <row r="656" spans="1:4" x14ac:dyDescent="0.2">
      <c r="A656" s="313">
        <v>4</v>
      </c>
      <c r="B656" s="316">
        <v>768.4</v>
      </c>
      <c r="C656" s="316">
        <v>87.84</v>
      </c>
      <c r="D656" s="318" t="s">
        <v>279</v>
      </c>
    </row>
    <row r="657" spans="1:4" x14ac:dyDescent="0.2">
      <c r="A657" s="313">
        <v>5</v>
      </c>
      <c r="B657" s="316">
        <v>8701.5300000000007</v>
      </c>
      <c r="C657" s="316">
        <v>641.65</v>
      </c>
      <c r="D657" s="318" t="s">
        <v>9</v>
      </c>
    </row>
    <row r="658" spans="1:4" ht="16" thickBot="1" x14ac:dyDescent="0.25">
      <c r="A658" s="256"/>
      <c r="B658" s="108">
        <f>SUM(B653:B657)</f>
        <v>10892.150000000001</v>
      </c>
      <c r="C658" s="108">
        <f>SUM(C653:C657)</f>
        <v>768.92</v>
      </c>
      <c r="D658" s="547"/>
    </row>
    <row r="659" spans="1:4" ht="16" thickBot="1" x14ac:dyDescent="0.25"/>
    <row r="660" spans="1:4" ht="20" thickBot="1" x14ac:dyDescent="0.3">
      <c r="A660" s="107" t="s">
        <v>205</v>
      </c>
      <c r="B660" s="789"/>
      <c r="C660" s="790"/>
    </row>
    <row r="661" spans="1:4" ht="20" thickBot="1" x14ac:dyDescent="0.3">
      <c r="A661" s="195" t="s">
        <v>76</v>
      </c>
      <c r="B661" s="202">
        <v>45726</v>
      </c>
      <c r="C661" s="791"/>
      <c r="D661" s="792"/>
    </row>
    <row r="662" spans="1:4" ht="16" thickBot="1" x14ac:dyDescent="0.25">
      <c r="A662" s="195" t="s">
        <v>280</v>
      </c>
      <c r="B662" s="195" t="s">
        <v>117</v>
      </c>
      <c r="C662" s="195" t="s">
        <v>208</v>
      </c>
      <c r="D662" s="195" t="s">
        <v>206</v>
      </c>
    </row>
    <row r="663" spans="1:4" x14ac:dyDescent="0.2">
      <c r="A663" s="314">
        <v>1</v>
      </c>
      <c r="B663" s="315">
        <v>800</v>
      </c>
      <c r="C663" s="315"/>
      <c r="D663" s="317" t="s">
        <v>186</v>
      </c>
    </row>
    <row r="664" spans="1:4" x14ac:dyDescent="0.2">
      <c r="A664" s="314">
        <v>2</v>
      </c>
      <c r="B664" s="320">
        <v>1549</v>
      </c>
      <c r="C664" s="320"/>
      <c r="D664" s="317" t="s">
        <v>625</v>
      </c>
    </row>
    <row r="665" spans="1:4" x14ac:dyDescent="0.2">
      <c r="A665" s="314">
        <v>3</v>
      </c>
      <c r="B665" s="320">
        <v>180</v>
      </c>
      <c r="C665" s="320"/>
      <c r="D665" s="317" t="s">
        <v>334</v>
      </c>
    </row>
    <row r="666" spans="1:4" x14ac:dyDescent="0.2">
      <c r="A666" s="313">
        <v>4</v>
      </c>
      <c r="B666" s="316">
        <v>1200</v>
      </c>
      <c r="C666" s="316">
        <v>156.62</v>
      </c>
      <c r="D666" s="318" t="s">
        <v>17</v>
      </c>
    </row>
    <row r="667" spans="1:4" x14ac:dyDescent="0.2">
      <c r="A667" s="313">
        <v>5</v>
      </c>
      <c r="B667" s="316">
        <v>404.91</v>
      </c>
      <c r="C667" s="316"/>
      <c r="D667" s="318" t="s">
        <v>14</v>
      </c>
    </row>
    <row r="668" spans="1:4" x14ac:dyDescent="0.2">
      <c r="A668" s="313">
        <v>6</v>
      </c>
      <c r="B668" s="316">
        <v>7112.6</v>
      </c>
      <c r="C668" s="316">
        <v>503.51</v>
      </c>
      <c r="D668" s="318" t="s">
        <v>9</v>
      </c>
    </row>
    <row r="669" spans="1:4" ht="16" thickBot="1" x14ac:dyDescent="0.25">
      <c r="A669" s="256"/>
      <c r="B669" s="108">
        <f>SUM(B663:B668)</f>
        <v>11246.51</v>
      </c>
      <c r="C669" s="108">
        <f>SUM(C663:C668)</f>
        <v>660.13</v>
      </c>
      <c r="D669" s="547"/>
    </row>
    <row r="670" spans="1:4" ht="16" thickBot="1" x14ac:dyDescent="0.25"/>
    <row r="671" spans="1:4" ht="20" thickBot="1" x14ac:dyDescent="0.3">
      <c r="A671" s="107" t="s">
        <v>205</v>
      </c>
      <c r="B671" s="789"/>
      <c r="C671" s="790"/>
    </row>
    <row r="672" spans="1:4" ht="20" thickBot="1" x14ac:dyDescent="0.3">
      <c r="A672" s="195" t="s">
        <v>76</v>
      </c>
      <c r="B672" s="202">
        <v>45727</v>
      </c>
      <c r="C672" s="791"/>
      <c r="D672" s="792"/>
    </row>
    <row r="673" spans="1:4" ht="16" thickBot="1" x14ac:dyDescent="0.25">
      <c r="A673" s="195" t="s">
        <v>280</v>
      </c>
      <c r="B673" s="195" t="s">
        <v>117</v>
      </c>
      <c r="C673" s="195" t="s">
        <v>208</v>
      </c>
      <c r="D673" s="195" t="s">
        <v>206</v>
      </c>
    </row>
    <row r="674" spans="1:4" x14ac:dyDescent="0.2">
      <c r="A674" s="314">
        <v>1</v>
      </c>
      <c r="B674" s="315">
        <v>583.24</v>
      </c>
      <c r="C674" s="315"/>
      <c r="D674" s="317" t="s">
        <v>186</v>
      </c>
    </row>
    <row r="675" spans="1:4" x14ac:dyDescent="0.2">
      <c r="A675" s="314">
        <v>2</v>
      </c>
      <c r="B675" s="320">
        <v>81</v>
      </c>
      <c r="C675" s="320">
        <v>10.57</v>
      </c>
      <c r="D675" s="317" t="s">
        <v>332</v>
      </c>
    </row>
    <row r="676" spans="1:4" x14ac:dyDescent="0.2">
      <c r="A676" s="314">
        <v>3</v>
      </c>
      <c r="B676" s="320">
        <v>81</v>
      </c>
      <c r="C676" s="320">
        <v>10.57</v>
      </c>
      <c r="D676" s="317" t="s">
        <v>332</v>
      </c>
    </row>
    <row r="677" spans="1:4" x14ac:dyDescent="0.2">
      <c r="A677" s="313">
        <v>4</v>
      </c>
      <c r="B677" s="316">
        <v>359.92</v>
      </c>
      <c r="C677" s="316"/>
      <c r="D677" s="318" t="s">
        <v>14</v>
      </c>
    </row>
    <row r="678" spans="1:4" x14ac:dyDescent="0.2">
      <c r="A678" s="313">
        <v>5</v>
      </c>
      <c r="B678" s="316">
        <v>6523.64</v>
      </c>
      <c r="C678" s="316">
        <v>433.92</v>
      </c>
      <c r="D678" s="318" t="s">
        <v>9</v>
      </c>
    </row>
    <row r="679" spans="1:4" x14ac:dyDescent="0.2">
      <c r="A679" s="313">
        <v>6</v>
      </c>
      <c r="B679" s="316">
        <v>4771.7</v>
      </c>
      <c r="C679" s="316">
        <v>622.4</v>
      </c>
      <c r="D679" s="318" t="s">
        <v>311</v>
      </c>
    </row>
    <row r="680" spans="1:4" x14ac:dyDescent="0.2">
      <c r="A680" s="313">
        <v>7</v>
      </c>
      <c r="B680" s="316">
        <v>19333.8</v>
      </c>
      <c r="C680" s="316">
        <v>2521.8000000000002</v>
      </c>
      <c r="D680" s="318" t="s">
        <v>6</v>
      </c>
    </row>
    <row r="681" spans="1:4" ht="16" thickBot="1" x14ac:dyDescent="0.25">
      <c r="A681" s="256"/>
      <c r="B681" s="108">
        <f>SUM(B674:B680)</f>
        <v>31734.3</v>
      </c>
      <c r="C681" s="108">
        <f>SUM(C674:C680)</f>
        <v>3599.26</v>
      </c>
      <c r="D681" s="547"/>
    </row>
    <row r="682" spans="1:4" ht="16" thickBot="1" x14ac:dyDescent="0.25"/>
    <row r="683" spans="1:4" ht="20" thickBot="1" x14ac:dyDescent="0.3">
      <c r="A683" s="107" t="s">
        <v>205</v>
      </c>
      <c r="B683" s="789"/>
      <c r="C683" s="790"/>
    </row>
    <row r="684" spans="1:4" ht="20" thickBot="1" x14ac:dyDescent="0.3">
      <c r="A684" s="195" t="s">
        <v>76</v>
      </c>
      <c r="B684" s="202">
        <v>45728</v>
      </c>
      <c r="C684" s="791"/>
      <c r="D684" s="792"/>
    </row>
    <row r="685" spans="1:4" ht="16" thickBot="1" x14ac:dyDescent="0.25">
      <c r="A685" s="195" t="s">
        <v>280</v>
      </c>
      <c r="B685" s="195" t="s">
        <v>117</v>
      </c>
      <c r="C685" s="195" t="s">
        <v>208</v>
      </c>
      <c r="D685" s="195" t="s">
        <v>206</v>
      </c>
    </row>
    <row r="686" spans="1:4" x14ac:dyDescent="0.2">
      <c r="A686" s="314">
        <v>1</v>
      </c>
      <c r="B686" s="315">
        <v>800</v>
      </c>
      <c r="C686" s="315"/>
      <c r="D686" s="317" t="s">
        <v>186</v>
      </c>
    </row>
    <row r="687" spans="1:4" x14ac:dyDescent="0.2">
      <c r="A687" s="314">
        <v>2</v>
      </c>
      <c r="B687" s="320">
        <v>600</v>
      </c>
      <c r="C687" s="320"/>
      <c r="D687" s="317" t="s">
        <v>186</v>
      </c>
    </row>
    <row r="688" spans="1:4" ht="16" thickBot="1" x14ac:dyDescent="0.25">
      <c r="A688" s="256"/>
      <c r="B688" s="108">
        <f>SUM(B686:B687)</f>
        <v>1400</v>
      </c>
      <c r="C688" s="108">
        <f>SUM(C686:C687)</f>
        <v>0</v>
      </c>
      <c r="D688" s="547"/>
    </row>
    <row r="689" spans="1:4" ht="16" thickBot="1" x14ac:dyDescent="0.25"/>
    <row r="690" spans="1:4" ht="20" thickBot="1" x14ac:dyDescent="0.3">
      <c r="A690" s="107" t="s">
        <v>205</v>
      </c>
      <c r="B690" s="789"/>
      <c r="C690" s="790"/>
    </row>
    <row r="691" spans="1:4" ht="20" thickBot="1" x14ac:dyDescent="0.3">
      <c r="A691" s="195" t="s">
        <v>76</v>
      </c>
      <c r="B691" s="202">
        <v>45729</v>
      </c>
      <c r="C691" s="791"/>
      <c r="D691" s="792"/>
    </row>
    <row r="692" spans="1:4" ht="16" thickBot="1" x14ac:dyDescent="0.25">
      <c r="A692" s="195" t="s">
        <v>280</v>
      </c>
      <c r="B692" s="195" t="s">
        <v>117</v>
      </c>
      <c r="C692" s="195" t="s">
        <v>208</v>
      </c>
      <c r="D692" s="195" t="s">
        <v>206</v>
      </c>
    </row>
    <row r="693" spans="1:4" x14ac:dyDescent="0.2">
      <c r="A693" s="314">
        <v>1</v>
      </c>
      <c r="B693" s="315">
        <v>144.99</v>
      </c>
      <c r="C693" s="315">
        <v>21.75</v>
      </c>
      <c r="D693" s="317" t="s">
        <v>9</v>
      </c>
    </row>
    <row r="694" spans="1:4" x14ac:dyDescent="0.2">
      <c r="A694" s="314">
        <v>2</v>
      </c>
      <c r="B694" s="320">
        <v>224.95</v>
      </c>
      <c r="C694" s="320"/>
      <c r="D694" s="317" t="s">
        <v>14</v>
      </c>
    </row>
    <row r="695" spans="1:4" x14ac:dyDescent="0.2">
      <c r="A695" s="314">
        <v>3</v>
      </c>
      <c r="B695" s="320">
        <v>6290.62</v>
      </c>
      <c r="C695" s="320">
        <v>395.96</v>
      </c>
      <c r="D695" s="317" t="s">
        <v>9</v>
      </c>
    </row>
    <row r="696" spans="1:4" ht="16" thickBot="1" x14ac:dyDescent="0.25">
      <c r="A696" s="256"/>
      <c r="B696" s="108">
        <f>SUM(B693:B695)</f>
        <v>6660.5599999999995</v>
      </c>
      <c r="C696" s="108">
        <f>SUM(C693:C695)</f>
        <v>417.71</v>
      </c>
      <c r="D696" s="547"/>
    </row>
    <row r="697" spans="1:4" ht="16" thickBot="1" x14ac:dyDescent="0.25"/>
    <row r="698" spans="1:4" ht="20" thickBot="1" x14ac:dyDescent="0.3">
      <c r="A698" s="107" t="s">
        <v>205</v>
      </c>
      <c r="B698" s="789"/>
      <c r="C698" s="790"/>
    </row>
    <row r="699" spans="1:4" ht="20" thickBot="1" x14ac:dyDescent="0.3">
      <c r="A699" s="195" t="s">
        <v>76</v>
      </c>
      <c r="B699" s="202">
        <v>45730</v>
      </c>
      <c r="C699" s="791"/>
      <c r="D699" s="792"/>
    </row>
    <row r="700" spans="1:4" ht="16" thickBot="1" x14ac:dyDescent="0.25">
      <c r="A700" s="195" t="s">
        <v>280</v>
      </c>
      <c r="B700" s="195" t="s">
        <v>117</v>
      </c>
      <c r="C700" s="195" t="s">
        <v>208</v>
      </c>
      <c r="D700" s="195" t="s">
        <v>206</v>
      </c>
    </row>
    <row r="701" spans="1:4" x14ac:dyDescent="0.2">
      <c r="A701" s="314">
        <v>1</v>
      </c>
      <c r="B701" s="315">
        <v>500</v>
      </c>
      <c r="C701" s="315"/>
      <c r="D701" s="317" t="s">
        <v>186</v>
      </c>
    </row>
    <row r="702" spans="1:4" ht="16" thickBot="1" x14ac:dyDescent="0.25">
      <c r="A702" s="256"/>
      <c r="B702" s="108">
        <f>SUM(B701:B701)</f>
        <v>500</v>
      </c>
      <c r="C702" s="108">
        <f>SUM(C701:C701)</f>
        <v>0</v>
      </c>
      <c r="D702" s="547"/>
    </row>
    <row r="703" spans="1:4" ht="16" thickBot="1" x14ac:dyDescent="0.25"/>
    <row r="704" spans="1:4" ht="20" thickBot="1" x14ac:dyDescent="0.3">
      <c r="A704" s="107" t="s">
        <v>205</v>
      </c>
      <c r="B704" s="789"/>
      <c r="C704" s="790"/>
    </row>
    <row r="705" spans="1:4" ht="20" thickBot="1" x14ac:dyDescent="0.3">
      <c r="A705" s="195" t="s">
        <v>76</v>
      </c>
      <c r="B705" s="202">
        <v>45731</v>
      </c>
      <c r="C705" s="791"/>
      <c r="D705" s="792"/>
    </row>
    <row r="706" spans="1:4" ht="16" thickBot="1" x14ac:dyDescent="0.25">
      <c r="A706" s="195" t="s">
        <v>280</v>
      </c>
      <c r="B706" s="195" t="s">
        <v>117</v>
      </c>
      <c r="C706" s="195" t="s">
        <v>208</v>
      </c>
      <c r="D706" s="195" t="s">
        <v>206</v>
      </c>
    </row>
    <row r="707" spans="1:4" x14ac:dyDescent="0.2">
      <c r="A707" s="314">
        <v>1</v>
      </c>
      <c r="B707" s="315">
        <v>1500</v>
      </c>
      <c r="C707" s="315"/>
      <c r="D707" s="317" t="s">
        <v>3</v>
      </c>
    </row>
    <row r="708" spans="1:4" x14ac:dyDescent="0.2">
      <c r="A708" s="314">
        <v>2</v>
      </c>
      <c r="B708" s="320">
        <v>359.92</v>
      </c>
      <c r="C708" s="320"/>
      <c r="D708" s="317" t="s">
        <v>14</v>
      </c>
    </row>
    <row r="709" spans="1:4" x14ac:dyDescent="0.2">
      <c r="A709" s="314">
        <v>3</v>
      </c>
      <c r="B709" s="320">
        <v>7462.66</v>
      </c>
      <c r="C709" s="320">
        <v>360.72</v>
      </c>
      <c r="D709" s="317" t="s">
        <v>9</v>
      </c>
    </row>
    <row r="710" spans="1:4" x14ac:dyDescent="0.2">
      <c r="A710" s="313">
        <v>4</v>
      </c>
      <c r="B710" s="316">
        <v>17855</v>
      </c>
      <c r="C710" s="316"/>
      <c r="D710" s="318" t="s">
        <v>12</v>
      </c>
    </row>
    <row r="711" spans="1:4" ht="16" thickBot="1" x14ac:dyDescent="0.25">
      <c r="A711" s="256"/>
      <c r="B711" s="108">
        <f>SUM(B707:B710)</f>
        <v>27177.58</v>
      </c>
      <c r="C711" s="108">
        <f>SUM(C707:C710)</f>
        <v>360.72</v>
      </c>
      <c r="D711" s="547"/>
    </row>
    <row r="712" spans="1:4" ht="16" thickBot="1" x14ac:dyDescent="0.25"/>
    <row r="713" spans="1:4" ht="20" thickBot="1" x14ac:dyDescent="0.3">
      <c r="A713" s="107" t="s">
        <v>205</v>
      </c>
      <c r="B713" s="789"/>
      <c r="C713" s="790"/>
    </row>
    <row r="714" spans="1:4" ht="20" thickBot="1" x14ac:dyDescent="0.3">
      <c r="A714" s="195" t="s">
        <v>76</v>
      </c>
      <c r="B714" s="202">
        <v>45732</v>
      </c>
      <c r="C714" s="791"/>
      <c r="D714" s="792"/>
    </row>
    <row r="715" spans="1:4" ht="16" thickBot="1" x14ac:dyDescent="0.25">
      <c r="A715" s="195" t="s">
        <v>280</v>
      </c>
      <c r="B715" s="195" t="s">
        <v>117</v>
      </c>
      <c r="C715" s="195" t="s">
        <v>208</v>
      </c>
      <c r="D715" s="195" t="s">
        <v>206</v>
      </c>
    </row>
    <row r="716" spans="1:4" x14ac:dyDescent="0.2">
      <c r="A716" s="314">
        <v>1</v>
      </c>
      <c r="B716" s="315">
        <v>85.98</v>
      </c>
      <c r="C716" s="315"/>
      <c r="D716" s="317" t="s">
        <v>411</v>
      </c>
    </row>
    <row r="717" spans="1:4" x14ac:dyDescent="0.2">
      <c r="A717" s="314">
        <v>2</v>
      </c>
      <c r="B717" s="320">
        <v>109</v>
      </c>
      <c r="C717" s="320"/>
      <c r="D717" s="317" t="s">
        <v>411</v>
      </c>
    </row>
    <row r="718" spans="1:4" x14ac:dyDescent="0.2">
      <c r="A718" s="314">
        <v>3</v>
      </c>
      <c r="B718" s="320">
        <v>1116</v>
      </c>
      <c r="C718" s="320"/>
      <c r="D718" s="317" t="s">
        <v>763</v>
      </c>
    </row>
    <row r="719" spans="1:4" ht="16" thickBot="1" x14ac:dyDescent="0.25">
      <c r="A719" s="256"/>
      <c r="B719" s="108">
        <f>SUM(B716:B718)</f>
        <v>1310.98</v>
      </c>
      <c r="C719" s="108">
        <f>SUM(C716:C718)</f>
        <v>0</v>
      </c>
      <c r="D719" s="547"/>
    </row>
    <row r="720" spans="1:4" ht="16" thickBot="1" x14ac:dyDescent="0.25"/>
    <row r="721" spans="1:4" ht="20" thickBot="1" x14ac:dyDescent="0.3">
      <c r="A721" s="107" t="s">
        <v>205</v>
      </c>
      <c r="B721" s="789"/>
      <c r="C721" s="790"/>
    </row>
    <row r="722" spans="1:4" ht="20" thickBot="1" x14ac:dyDescent="0.3">
      <c r="A722" s="195" t="s">
        <v>76</v>
      </c>
      <c r="B722" s="202">
        <v>45733</v>
      </c>
      <c r="C722" s="791"/>
      <c r="D722" s="792"/>
    </row>
    <row r="723" spans="1:4" ht="16" thickBot="1" x14ac:dyDescent="0.25">
      <c r="A723" s="195" t="s">
        <v>280</v>
      </c>
      <c r="B723" s="195" t="s">
        <v>117</v>
      </c>
      <c r="C723" s="195" t="s">
        <v>208</v>
      </c>
      <c r="D723" s="195" t="s">
        <v>206</v>
      </c>
    </row>
    <row r="724" spans="1:4" x14ac:dyDescent="0.2">
      <c r="A724" s="314">
        <v>1</v>
      </c>
      <c r="B724" s="315">
        <v>800</v>
      </c>
      <c r="C724" s="315"/>
      <c r="D724" s="317" t="s">
        <v>186</v>
      </c>
    </row>
    <row r="725" spans="1:4" x14ac:dyDescent="0.2">
      <c r="A725" s="313">
        <v>2</v>
      </c>
      <c r="B725" s="316">
        <v>700</v>
      </c>
      <c r="C725" s="316"/>
      <c r="D725" s="318" t="s">
        <v>186</v>
      </c>
    </row>
    <row r="726" spans="1:4" x14ac:dyDescent="0.2">
      <c r="A726" s="313">
        <v>3</v>
      </c>
      <c r="B726" s="316">
        <v>505</v>
      </c>
      <c r="C726" s="316"/>
      <c r="D726" s="318" t="s">
        <v>763</v>
      </c>
    </row>
    <row r="727" spans="1:4" x14ac:dyDescent="0.2">
      <c r="A727" s="313">
        <v>4</v>
      </c>
      <c r="B727" s="316">
        <v>105.98</v>
      </c>
      <c r="C727" s="316"/>
      <c r="D727" s="318" t="s">
        <v>411</v>
      </c>
    </row>
    <row r="728" spans="1:4" x14ac:dyDescent="0.2">
      <c r="A728" s="313">
        <v>5</v>
      </c>
      <c r="B728" s="316">
        <v>700</v>
      </c>
      <c r="C728" s="316"/>
      <c r="D728" s="318" t="s">
        <v>499</v>
      </c>
    </row>
    <row r="729" spans="1:4" x14ac:dyDescent="0.2">
      <c r="A729" s="313">
        <v>6</v>
      </c>
      <c r="B729" s="316">
        <v>241.12</v>
      </c>
      <c r="C729" s="316">
        <v>31.45</v>
      </c>
      <c r="D729" s="318" t="s">
        <v>279</v>
      </c>
    </row>
    <row r="730" spans="1:4" x14ac:dyDescent="0.2">
      <c r="A730" s="313">
        <v>7</v>
      </c>
      <c r="B730" s="316">
        <v>778</v>
      </c>
      <c r="C730" s="316">
        <v>101.48</v>
      </c>
      <c r="D730" s="318" t="s">
        <v>11</v>
      </c>
    </row>
    <row r="731" spans="1:4" x14ac:dyDescent="0.2">
      <c r="A731" s="313">
        <v>8</v>
      </c>
      <c r="B731" s="316">
        <v>359.92</v>
      </c>
      <c r="C731" s="316"/>
      <c r="D731" s="318" t="s">
        <v>14</v>
      </c>
    </row>
    <row r="732" spans="1:4" x14ac:dyDescent="0.2">
      <c r="A732" s="313">
        <v>9</v>
      </c>
      <c r="B732" s="316">
        <v>573</v>
      </c>
      <c r="C732" s="316">
        <v>74.739999999999995</v>
      </c>
      <c r="D732" s="318" t="s">
        <v>637</v>
      </c>
    </row>
    <row r="733" spans="1:4" x14ac:dyDescent="0.2">
      <c r="A733" s="313">
        <v>10</v>
      </c>
      <c r="B733" s="316">
        <v>8474.49</v>
      </c>
      <c r="C733" s="316">
        <v>611.5</v>
      </c>
      <c r="D733" s="318" t="s">
        <v>9</v>
      </c>
    </row>
    <row r="734" spans="1:4" x14ac:dyDescent="0.2">
      <c r="A734" s="313">
        <v>11</v>
      </c>
      <c r="B734" s="316">
        <v>759</v>
      </c>
      <c r="C734" s="316"/>
      <c r="D734" s="318" t="s">
        <v>396</v>
      </c>
    </row>
    <row r="735" spans="1:4" x14ac:dyDescent="0.2">
      <c r="A735" s="313">
        <v>12</v>
      </c>
      <c r="B735" s="316">
        <v>1517.45</v>
      </c>
      <c r="C735" s="316">
        <v>197.93</v>
      </c>
      <c r="D735" s="318" t="s">
        <v>343</v>
      </c>
    </row>
    <row r="736" spans="1:4" x14ac:dyDescent="0.2">
      <c r="A736" s="313">
        <v>13</v>
      </c>
      <c r="B736" s="316">
        <v>18571.13</v>
      </c>
      <c r="C736" s="316">
        <v>2422.33</v>
      </c>
      <c r="D736" s="318" t="s">
        <v>6</v>
      </c>
    </row>
    <row r="737" spans="1:4" ht="16" thickBot="1" x14ac:dyDescent="0.25">
      <c r="A737" s="256"/>
      <c r="B737" s="108">
        <f>SUM(B724:B736)</f>
        <v>34085.089999999997</v>
      </c>
      <c r="C737" s="108">
        <f>SUM(C724:C736)</f>
        <v>3439.4300000000003</v>
      </c>
      <c r="D737" s="547"/>
    </row>
    <row r="738" spans="1:4" ht="16" thickBot="1" x14ac:dyDescent="0.25"/>
    <row r="739" spans="1:4" ht="20" thickBot="1" x14ac:dyDescent="0.3">
      <c r="A739" s="107" t="s">
        <v>205</v>
      </c>
      <c r="B739" s="789"/>
      <c r="C739" s="790"/>
    </row>
    <row r="740" spans="1:4" ht="20" thickBot="1" x14ac:dyDescent="0.3">
      <c r="A740" s="195" t="s">
        <v>76</v>
      </c>
      <c r="B740" s="202">
        <v>45734</v>
      </c>
      <c r="C740" s="791"/>
      <c r="D740" s="792"/>
    </row>
    <row r="741" spans="1:4" ht="16" thickBot="1" x14ac:dyDescent="0.25">
      <c r="A741" s="195" t="s">
        <v>280</v>
      </c>
      <c r="B741" s="195" t="s">
        <v>117</v>
      </c>
      <c r="C741" s="195" t="s">
        <v>208</v>
      </c>
      <c r="D741" s="195" t="s">
        <v>206</v>
      </c>
    </row>
    <row r="742" spans="1:4" x14ac:dyDescent="0.2">
      <c r="A742" s="314">
        <v>1</v>
      </c>
      <c r="B742" s="315">
        <v>1138.3699999999999</v>
      </c>
      <c r="C742" s="315"/>
      <c r="D742" s="317" t="s">
        <v>186</v>
      </c>
    </row>
    <row r="743" spans="1:4" x14ac:dyDescent="0.2">
      <c r="A743" s="313">
        <v>2</v>
      </c>
      <c r="B743" s="316">
        <v>81</v>
      </c>
      <c r="C743" s="316">
        <v>10.57</v>
      </c>
      <c r="D743" s="318" t="s">
        <v>332</v>
      </c>
    </row>
    <row r="744" spans="1:4" x14ac:dyDescent="0.2">
      <c r="A744" s="313">
        <v>3</v>
      </c>
      <c r="B744" s="316">
        <v>81</v>
      </c>
      <c r="C744" s="316">
        <v>10.57</v>
      </c>
      <c r="D744" s="318" t="s">
        <v>332</v>
      </c>
    </row>
    <row r="745" spans="1:4" x14ac:dyDescent="0.2">
      <c r="A745" s="313">
        <v>4</v>
      </c>
      <c r="B745" s="316">
        <v>133</v>
      </c>
      <c r="C745" s="316"/>
      <c r="D745" s="318" t="s">
        <v>377</v>
      </c>
    </row>
    <row r="746" spans="1:4" x14ac:dyDescent="0.2">
      <c r="A746" s="313">
        <v>5</v>
      </c>
      <c r="B746" s="316">
        <v>314.93</v>
      </c>
      <c r="C746" s="316"/>
      <c r="D746" s="318" t="s">
        <v>14</v>
      </c>
    </row>
    <row r="747" spans="1:4" x14ac:dyDescent="0.2">
      <c r="A747" s="313">
        <v>6</v>
      </c>
      <c r="B747" s="316">
        <v>7198.61</v>
      </c>
      <c r="C747" s="316">
        <v>492.56</v>
      </c>
      <c r="D747" s="318" t="s">
        <v>9</v>
      </c>
    </row>
    <row r="748" spans="1:4" x14ac:dyDescent="0.2">
      <c r="A748" s="313">
        <v>7</v>
      </c>
      <c r="B748" s="316">
        <v>819.4</v>
      </c>
      <c r="C748" s="316">
        <v>106.89</v>
      </c>
      <c r="D748" s="318" t="s">
        <v>637</v>
      </c>
    </row>
    <row r="749" spans="1:4" ht="16" thickBot="1" x14ac:dyDescent="0.25">
      <c r="A749" s="256"/>
      <c r="B749" s="108">
        <f>SUM(B742:B748)</f>
        <v>9766.31</v>
      </c>
      <c r="C749" s="108">
        <f>SUM(C742:C748)</f>
        <v>620.59</v>
      </c>
      <c r="D749" s="547"/>
    </row>
    <row r="750" spans="1:4" ht="16" thickBot="1" x14ac:dyDescent="0.25"/>
    <row r="751" spans="1:4" ht="20" thickBot="1" x14ac:dyDescent="0.3">
      <c r="A751" s="107" t="s">
        <v>205</v>
      </c>
      <c r="B751" s="789"/>
      <c r="C751" s="790"/>
    </row>
    <row r="752" spans="1:4" ht="20" thickBot="1" x14ac:dyDescent="0.3">
      <c r="A752" s="195" t="s">
        <v>76</v>
      </c>
      <c r="B752" s="202">
        <v>45735</v>
      </c>
      <c r="C752" s="791"/>
      <c r="D752" s="792"/>
    </row>
    <row r="753" spans="1:4" ht="16" thickBot="1" x14ac:dyDescent="0.25">
      <c r="A753" s="195" t="s">
        <v>280</v>
      </c>
      <c r="B753" s="195" t="s">
        <v>117</v>
      </c>
      <c r="C753" s="195" t="s">
        <v>208</v>
      </c>
      <c r="D753" s="195" t="s">
        <v>206</v>
      </c>
    </row>
    <row r="754" spans="1:4" x14ac:dyDescent="0.2">
      <c r="A754" s="314">
        <v>1</v>
      </c>
      <c r="B754" s="315">
        <v>800</v>
      </c>
      <c r="C754" s="315"/>
      <c r="D754" s="317" t="s">
        <v>186</v>
      </c>
    </row>
    <row r="755" spans="1:4" ht="16" thickBot="1" x14ac:dyDescent="0.25">
      <c r="A755" s="256"/>
      <c r="B755" s="108">
        <f>SUM(B754:B754)</f>
        <v>800</v>
      </c>
      <c r="C755" s="108">
        <f>SUM(C754:C754)</f>
        <v>0</v>
      </c>
      <c r="D755" s="547"/>
    </row>
    <row r="756" spans="1:4" ht="16" thickBot="1" x14ac:dyDescent="0.25"/>
    <row r="757" spans="1:4" ht="20" thickBot="1" x14ac:dyDescent="0.3">
      <c r="A757" s="107" t="s">
        <v>205</v>
      </c>
      <c r="B757" s="789"/>
      <c r="C757" s="790"/>
    </row>
    <row r="758" spans="1:4" ht="20" thickBot="1" x14ac:dyDescent="0.3">
      <c r="A758" s="195" t="s">
        <v>76</v>
      </c>
      <c r="B758" s="202">
        <v>45736</v>
      </c>
      <c r="C758" s="791"/>
      <c r="D758" s="792"/>
    </row>
    <row r="759" spans="1:4" ht="16" thickBot="1" x14ac:dyDescent="0.25">
      <c r="A759" s="195" t="s">
        <v>280</v>
      </c>
      <c r="B759" s="195" t="s">
        <v>117</v>
      </c>
      <c r="C759" s="195" t="s">
        <v>208</v>
      </c>
      <c r="D759" s="195" t="s">
        <v>206</v>
      </c>
    </row>
    <row r="760" spans="1:4" x14ac:dyDescent="0.2">
      <c r="A760" s="314">
        <v>1</v>
      </c>
      <c r="B760" s="315">
        <v>800</v>
      </c>
      <c r="C760" s="315"/>
      <c r="D760" s="317" t="s">
        <v>186</v>
      </c>
    </row>
    <row r="761" spans="1:4" x14ac:dyDescent="0.2">
      <c r="A761" s="314">
        <v>2</v>
      </c>
      <c r="B761" s="320">
        <v>4906.7299999999996</v>
      </c>
      <c r="C761" s="320">
        <v>312.72000000000003</v>
      </c>
      <c r="D761" s="317" t="s">
        <v>9</v>
      </c>
    </row>
    <row r="762" spans="1:4" x14ac:dyDescent="0.2">
      <c r="A762" s="314">
        <v>3</v>
      </c>
      <c r="B762" s="320">
        <v>7157.54</v>
      </c>
      <c r="C762" s="320">
        <v>933.59</v>
      </c>
      <c r="D762" s="317" t="s">
        <v>311</v>
      </c>
    </row>
    <row r="763" spans="1:4" ht="16" thickBot="1" x14ac:dyDescent="0.25">
      <c r="A763" s="256"/>
      <c r="B763" s="108">
        <f>SUM(B760:B762)</f>
        <v>12864.27</v>
      </c>
      <c r="C763" s="108">
        <f>SUM(C760:C762)</f>
        <v>1246.31</v>
      </c>
      <c r="D763" s="547"/>
    </row>
    <row r="764" spans="1:4" ht="16" thickBot="1" x14ac:dyDescent="0.25"/>
    <row r="765" spans="1:4" ht="20" thickBot="1" x14ac:dyDescent="0.3">
      <c r="A765" s="107" t="s">
        <v>205</v>
      </c>
      <c r="B765" s="789"/>
      <c r="C765" s="790"/>
    </row>
    <row r="766" spans="1:4" ht="20" thickBot="1" x14ac:dyDescent="0.3">
      <c r="A766" s="195" t="s">
        <v>76</v>
      </c>
      <c r="B766" s="202">
        <v>45737</v>
      </c>
      <c r="C766" s="791"/>
      <c r="D766" s="792"/>
    </row>
    <row r="767" spans="1:4" ht="16" thickBot="1" x14ac:dyDescent="0.25">
      <c r="A767" s="195" t="s">
        <v>280</v>
      </c>
      <c r="B767" s="195" t="s">
        <v>117</v>
      </c>
      <c r="C767" s="195" t="s">
        <v>208</v>
      </c>
      <c r="D767" s="195" t="s">
        <v>206</v>
      </c>
    </row>
    <row r="768" spans="1:4" x14ac:dyDescent="0.2">
      <c r="A768" s="314">
        <v>1</v>
      </c>
      <c r="B768" s="315">
        <v>800</v>
      </c>
      <c r="C768" s="315"/>
      <c r="D768" s="317" t="s">
        <v>186</v>
      </c>
    </row>
    <row r="769" spans="1:4" ht="16" thickBot="1" x14ac:dyDescent="0.25">
      <c r="A769" s="256"/>
      <c r="B769" s="108">
        <f>SUM(B768:B768)</f>
        <v>800</v>
      </c>
      <c r="C769" s="108">
        <f>SUM(C768:C768)</f>
        <v>0</v>
      </c>
      <c r="D769" s="547"/>
    </row>
    <row r="770" spans="1:4" ht="16" thickBot="1" x14ac:dyDescent="0.25"/>
    <row r="771" spans="1:4" ht="20" thickBot="1" x14ac:dyDescent="0.3">
      <c r="A771" s="107" t="s">
        <v>205</v>
      </c>
      <c r="B771" s="789"/>
      <c r="C771" s="790"/>
    </row>
    <row r="772" spans="1:4" ht="20" thickBot="1" x14ac:dyDescent="0.3">
      <c r="A772" s="195" t="s">
        <v>76</v>
      </c>
      <c r="B772" s="202">
        <v>45739</v>
      </c>
      <c r="C772" s="791"/>
      <c r="D772" s="792"/>
    </row>
    <row r="773" spans="1:4" ht="16" thickBot="1" x14ac:dyDescent="0.25">
      <c r="A773" s="195" t="s">
        <v>280</v>
      </c>
      <c r="B773" s="195" t="s">
        <v>117</v>
      </c>
      <c r="C773" s="195" t="s">
        <v>208</v>
      </c>
      <c r="D773" s="195" t="s">
        <v>206</v>
      </c>
    </row>
    <row r="774" spans="1:4" x14ac:dyDescent="0.2">
      <c r="A774" s="314">
        <v>1</v>
      </c>
      <c r="B774" s="315">
        <v>404.91</v>
      </c>
      <c r="C774" s="315"/>
      <c r="D774" s="317" t="s">
        <v>14</v>
      </c>
    </row>
    <row r="775" spans="1:4" x14ac:dyDescent="0.2">
      <c r="A775" s="314">
        <v>2</v>
      </c>
      <c r="B775" s="320">
        <v>249.95</v>
      </c>
      <c r="C775" s="320">
        <v>32.6</v>
      </c>
      <c r="D775" s="317" t="s">
        <v>14</v>
      </c>
    </row>
    <row r="776" spans="1:4" x14ac:dyDescent="0.2">
      <c r="A776" s="314">
        <v>3</v>
      </c>
      <c r="B776" s="320">
        <v>9647.24</v>
      </c>
      <c r="C776" s="320">
        <v>639.85</v>
      </c>
      <c r="D776" s="317" t="s">
        <v>9</v>
      </c>
    </row>
    <row r="777" spans="1:4" ht="16" thickBot="1" x14ac:dyDescent="0.25">
      <c r="A777" s="256"/>
      <c r="B777" s="108">
        <f>SUM(B774:B776)</f>
        <v>10302.1</v>
      </c>
      <c r="C777" s="108">
        <f>SUM(C774:C776)</f>
        <v>672.45</v>
      </c>
      <c r="D777" s="547"/>
    </row>
    <row r="778" spans="1:4" ht="16" thickBot="1" x14ac:dyDescent="0.25"/>
    <row r="779" spans="1:4" ht="20" thickBot="1" x14ac:dyDescent="0.3">
      <c r="A779" s="107" t="s">
        <v>205</v>
      </c>
      <c r="B779" s="789"/>
      <c r="C779" s="790"/>
    </row>
    <row r="780" spans="1:4" ht="20" thickBot="1" x14ac:dyDescent="0.3">
      <c r="A780" s="195" t="s">
        <v>76</v>
      </c>
      <c r="B780" s="202">
        <v>45740</v>
      </c>
      <c r="C780" s="791"/>
      <c r="D780" s="792"/>
    </row>
    <row r="781" spans="1:4" ht="16" thickBot="1" x14ac:dyDescent="0.25">
      <c r="A781" s="195" t="s">
        <v>280</v>
      </c>
      <c r="B781" s="195" t="s">
        <v>117</v>
      </c>
      <c r="C781" s="195" t="s">
        <v>208</v>
      </c>
      <c r="D781" s="195" t="s">
        <v>206</v>
      </c>
    </row>
    <row r="782" spans="1:4" x14ac:dyDescent="0.2">
      <c r="A782" s="314">
        <v>1</v>
      </c>
      <c r="B782" s="315">
        <v>91.99</v>
      </c>
      <c r="C782" s="315"/>
      <c r="D782" s="317" t="s">
        <v>411</v>
      </c>
    </row>
    <row r="783" spans="1:4" x14ac:dyDescent="0.2">
      <c r="A783" s="313">
        <v>2</v>
      </c>
      <c r="B783" s="316">
        <v>301.13</v>
      </c>
      <c r="C783" s="316">
        <v>39.28</v>
      </c>
      <c r="D783" s="318" t="s">
        <v>279</v>
      </c>
    </row>
    <row r="784" spans="1:4" x14ac:dyDescent="0.2">
      <c r="A784" s="313">
        <v>3</v>
      </c>
      <c r="B784" s="316">
        <v>404.91</v>
      </c>
      <c r="C784" s="316"/>
      <c r="D784" s="318" t="s">
        <v>14</v>
      </c>
    </row>
    <row r="785" spans="1:4" x14ac:dyDescent="0.2">
      <c r="A785" s="313">
        <v>4</v>
      </c>
      <c r="B785" s="316">
        <v>7646.45</v>
      </c>
      <c r="C785" s="316">
        <v>503.82</v>
      </c>
      <c r="D785" s="318" t="s">
        <v>9</v>
      </c>
    </row>
    <row r="786" spans="1:4" x14ac:dyDescent="0.2">
      <c r="A786" s="313">
        <v>5</v>
      </c>
      <c r="B786" s="316">
        <v>16974</v>
      </c>
      <c r="C786" s="316">
        <v>2214</v>
      </c>
      <c r="D786" s="318" t="s">
        <v>6</v>
      </c>
    </row>
    <row r="787" spans="1:4" ht="16" thickBot="1" x14ac:dyDescent="0.25">
      <c r="A787" s="256"/>
      <c r="B787" s="108">
        <f>SUM(B782:B786)</f>
        <v>25418.48</v>
      </c>
      <c r="C787" s="108">
        <f>SUM(C782:C786)</f>
        <v>2757.1</v>
      </c>
      <c r="D787" s="547"/>
    </row>
    <row r="788" spans="1:4" ht="16" thickBot="1" x14ac:dyDescent="0.25"/>
    <row r="789" spans="1:4" ht="20" thickBot="1" x14ac:dyDescent="0.3">
      <c r="A789" s="107" t="s">
        <v>205</v>
      </c>
      <c r="B789" s="789"/>
      <c r="C789" s="790"/>
    </row>
    <row r="790" spans="1:4" ht="20" thickBot="1" x14ac:dyDescent="0.3">
      <c r="A790" s="195" t="s">
        <v>76</v>
      </c>
      <c r="B790" s="202">
        <v>45741</v>
      </c>
      <c r="C790" s="791"/>
      <c r="D790" s="792"/>
    </row>
    <row r="791" spans="1:4" ht="16" thickBot="1" x14ac:dyDescent="0.25">
      <c r="A791" s="195" t="s">
        <v>280</v>
      </c>
      <c r="B791" s="195" t="s">
        <v>117</v>
      </c>
      <c r="C791" s="195" t="s">
        <v>208</v>
      </c>
      <c r="D791" s="195" t="s">
        <v>206</v>
      </c>
    </row>
    <row r="792" spans="1:4" x14ac:dyDescent="0.2">
      <c r="A792" s="314">
        <v>1</v>
      </c>
      <c r="B792" s="315">
        <v>1299.6099999999999</v>
      </c>
      <c r="C792" s="315"/>
      <c r="D792" s="317" t="s">
        <v>186</v>
      </c>
    </row>
    <row r="793" spans="1:4" x14ac:dyDescent="0.2">
      <c r="A793" s="313">
        <v>2</v>
      </c>
      <c r="B793" s="316">
        <v>50</v>
      </c>
      <c r="C793" s="316"/>
      <c r="D793" s="318" t="s">
        <v>377</v>
      </c>
    </row>
    <row r="794" spans="1:4" x14ac:dyDescent="0.2">
      <c r="A794" s="313">
        <v>3</v>
      </c>
      <c r="B794" s="316">
        <v>180</v>
      </c>
      <c r="C794" s="316"/>
      <c r="D794" s="318" t="s">
        <v>334</v>
      </c>
    </row>
    <row r="795" spans="1:4" x14ac:dyDescent="0.2">
      <c r="A795" s="313">
        <v>4</v>
      </c>
      <c r="B795" s="316">
        <v>76</v>
      </c>
      <c r="C795" s="316"/>
      <c r="D795" s="318" t="s">
        <v>334</v>
      </c>
    </row>
    <row r="796" spans="1:4" x14ac:dyDescent="0.2">
      <c r="A796" s="313">
        <v>5</v>
      </c>
      <c r="B796" s="316">
        <v>98</v>
      </c>
      <c r="C796" s="316"/>
      <c r="D796" s="318" t="s">
        <v>411</v>
      </c>
    </row>
    <row r="797" spans="1:4" x14ac:dyDescent="0.2">
      <c r="A797" s="313">
        <v>6</v>
      </c>
      <c r="B797" s="316">
        <v>500</v>
      </c>
      <c r="C797" s="316"/>
      <c r="D797" s="318" t="s">
        <v>186</v>
      </c>
    </row>
    <row r="798" spans="1:4" x14ac:dyDescent="0.2">
      <c r="A798" s="313">
        <v>7</v>
      </c>
      <c r="B798" s="316">
        <v>81</v>
      </c>
      <c r="C798" s="316">
        <v>10.57</v>
      </c>
      <c r="D798" s="318" t="s">
        <v>332</v>
      </c>
    </row>
    <row r="799" spans="1:4" x14ac:dyDescent="0.2">
      <c r="A799" s="313">
        <v>8</v>
      </c>
      <c r="B799" s="316">
        <v>81</v>
      </c>
      <c r="C799" s="316">
        <v>10.57</v>
      </c>
      <c r="D799" s="318" t="s">
        <v>332</v>
      </c>
    </row>
    <row r="800" spans="1:4" x14ac:dyDescent="0.2">
      <c r="A800" s="313">
        <v>9</v>
      </c>
      <c r="B800" s="316">
        <v>480</v>
      </c>
      <c r="C800" s="316"/>
      <c r="D800" s="318" t="s">
        <v>396</v>
      </c>
    </row>
    <row r="801" spans="1:4" x14ac:dyDescent="0.2">
      <c r="A801" s="313">
        <v>10</v>
      </c>
      <c r="B801" s="316">
        <v>575</v>
      </c>
      <c r="C801" s="316">
        <v>75</v>
      </c>
      <c r="D801" s="318" t="s">
        <v>777</v>
      </c>
    </row>
    <row r="802" spans="1:4" x14ac:dyDescent="0.2">
      <c r="A802" s="313">
        <v>11</v>
      </c>
      <c r="B802" s="316">
        <v>600</v>
      </c>
      <c r="C802" s="316">
        <v>78.260000000000005</v>
      </c>
      <c r="D802" s="318" t="s">
        <v>17</v>
      </c>
    </row>
    <row r="803" spans="1:4" x14ac:dyDescent="0.2">
      <c r="A803" s="313">
        <v>12</v>
      </c>
      <c r="B803" s="316">
        <v>404.91</v>
      </c>
      <c r="C803" s="316"/>
      <c r="D803" s="318" t="s">
        <v>14</v>
      </c>
    </row>
    <row r="804" spans="1:4" x14ac:dyDescent="0.2">
      <c r="A804" s="313">
        <v>13</v>
      </c>
      <c r="B804" s="316">
        <v>1327.8</v>
      </c>
      <c r="C804" s="316">
        <v>173.19</v>
      </c>
      <c r="D804" s="318" t="s">
        <v>11</v>
      </c>
    </row>
    <row r="805" spans="1:4" x14ac:dyDescent="0.2">
      <c r="A805" s="313">
        <v>14</v>
      </c>
      <c r="B805" s="316">
        <v>8418.33</v>
      </c>
      <c r="C805" s="316">
        <v>593.04999999999995</v>
      </c>
      <c r="D805" s="318" t="s">
        <v>9</v>
      </c>
    </row>
    <row r="806" spans="1:4" ht="16" thickBot="1" x14ac:dyDescent="0.25">
      <c r="A806" s="256"/>
      <c r="B806" s="108">
        <f>SUM(B792:B805)</f>
        <v>14171.65</v>
      </c>
      <c r="C806" s="108">
        <f>SUM(C792:C805)</f>
        <v>940.64</v>
      </c>
      <c r="D806" s="547"/>
    </row>
    <row r="807" spans="1:4" ht="16" thickBot="1" x14ac:dyDescent="0.25"/>
    <row r="808" spans="1:4" ht="20" thickBot="1" x14ac:dyDescent="0.3">
      <c r="A808" s="107" t="s">
        <v>205</v>
      </c>
      <c r="B808" s="789"/>
      <c r="C808" s="790"/>
    </row>
    <row r="809" spans="1:4" ht="20" thickBot="1" x14ac:dyDescent="0.3">
      <c r="A809" s="195" t="s">
        <v>76</v>
      </c>
      <c r="B809" s="202">
        <v>45742</v>
      </c>
      <c r="C809" s="791"/>
      <c r="D809" s="792"/>
    </row>
    <row r="810" spans="1:4" ht="16" thickBot="1" x14ac:dyDescent="0.25">
      <c r="A810" s="195" t="s">
        <v>280</v>
      </c>
      <c r="B810" s="195" t="s">
        <v>117</v>
      </c>
      <c r="C810" s="195" t="s">
        <v>208</v>
      </c>
      <c r="D810" s="195" t="s">
        <v>206</v>
      </c>
    </row>
    <row r="811" spans="1:4" x14ac:dyDescent="0.2">
      <c r="A811" s="314">
        <v>1</v>
      </c>
      <c r="B811" s="315">
        <v>800</v>
      </c>
      <c r="C811" s="315"/>
      <c r="D811" s="317" t="s">
        <v>186</v>
      </c>
    </row>
    <row r="812" spans="1:4" ht="16" thickBot="1" x14ac:dyDescent="0.25">
      <c r="A812" s="256"/>
      <c r="B812" s="108">
        <f>SUM(B811:B811)</f>
        <v>800</v>
      </c>
      <c r="C812" s="108">
        <f>SUM(C811:C811)</f>
        <v>0</v>
      </c>
      <c r="D812" s="547"/>
    </row>
    <row r="813" spans="1:4" ht="16" thickBot="1" x14ac:dyDescent="0.25"/>
    <row r="814" spans="1:4" ht="20" thickBot="1" x14ac:dyDescent="0.3">
      <c r="A814" s="107" t="s">
        <v>205</v>
      </c>
      <c r="B814" s="789"/>
      <c r="C814" s="790"/>
    </row>
    <row r="815" spans="1:4" ht="20" thickBot="1" x14ac:dyDescent="0.3">
      <c r="A815" s="195" t="s">
        <v>76</v>
      </c>
      <c r="B815" s="202">
        <v>45743</v>
      </c>
      <c r="C815" s="791"/>
      <c r="D815" s="792"/>
    </row>
    <row r="816" spans="1:4" ht="16" thickBot="1" x14ac:dyDescent="0.25">
      <c r="A816" s="195" t="s">
        <v>280</v>
      </c>
      <c r="B816" s="195" t="s">
        <v>117</v>
      </c>
      <c r="C816" s="195" t="s">
        <v>208</v>
      </c>
      <c r="D816" s="195" t="s">
        <v>206</v>
      </c>
    </row>
    <row r="817" spans="1:4" x14ac:dyDescent="0.2">
      <c r="A817" s="314">
        <v>1</v>
      </c>
      <c r="B817" s="315">
        <v>850</v>
      </c>
      <c r="C817" s="315"/>
      <c r="D817" s="317" t="s">
        <v>663</v>
      </c>
    </row>
    <row r="818" spans="1:4" x14ac:dyDescent="0.2">
      <c r="A818" s="313">
        <v>2</v>
      </c>
      <c r="B818" s="316">
        <v>404.91</v>
      </c>
      <c r="C818" s="316"/>
      <c r="D818" s="318" t="s">
        <v>14</v>
      </c>
    </row>
    <row r="819" spans="1:4" x14ac:dyDescent="0.2">
      <c r="A819" s="313">
        <v>3</v>
      </c>
      <c r="B819" s="316">
        <v>7935.61</v>
      </c>
      <c r="C819" s="316">
        <v>490.92</v>
      </c>
      <c r="D819" s="318" t="s">
        <v>9</v>
      </c>
    </row>
    <row r="820" spans="1:4" x14ac:dyDescent="0.2">
      <c r="A820" s="313">
        <v>4</v>
      </c>
      <c r="B820" s="316">
        <v>7157.54</v>
      </c>
      <c r="C820" s="316">
        <v>933.59</v>
      </c>
      <c r="D820" s="318" t="s">
        <v>778</v>
      </c>
    </row>
    <row r="821" spans="1:4" ht="16" thickBot="1" x14ac:dyDescent="0.25">
      <c r="A821" s="256"/>
      <c r="B821" s="108">
        <f>SUM(B817:B820)</f>
        <v>16348.060000000001</v>
      </c>
      <c r="C821" s="108">
        <f>SUM(C817:C820)</f>
        <v>1424.51</v>
      </c>
      <c r="D821" s="547"/>
    </row>
    <row r="822" spans="1:4" ht="16" thickBot="1" x14ac:dyDescent="0.25"/>
    <row r="823" spans="1:4" ht="20" thickBot="1" x14ac:dyDescent="0.3">
      <c r="A823" s="107" t="s">
        <v>205</v>
      </c>
      <c r="B823" s="789"/>
      <c r="C823" s="790"/>
    </row>
    <row r="824" spans="1:4" ht="20" thickBot="1" x14ac:dyDescent="0.3">
      <c r="A824" s="195" t="s">
        <v>76</v>
      </c>
      <c r="B824" s="202">
        <v>45744</v>
      </c>
      <c r="C824" s="791"/>
      <c r="D824" s="792"/>
    </row>
    <row r="825" spans="1:4" ht="16" thickBot="1" x14ac:dyDescent="0.25">
      <c r="A825" s="195" t="s">
        <v>280</v>
      </c>
      <c r="B825" s="195" t="s">
        <v>117</v>
      </c>
      <c r="C825" s="195" t="s">
        <v>208</v>
      </c>
      <c r="D825" s="195" t="s">
        <v>206</v>
      </c>
    </row>
    <row r="826" spans="1:4" x14ac:dyDescent="0.2">
      <c r="A826" s="314">
        <v>1</v>
      </c>
      <c r="B826" s="315">
        <v>800</v>
      </c>
      <c r="C826" s="315"/>
      <c r="D826" s="317" t="s">
        <v>186</v>
      </c>
    </row>
    <row r="827" spans="1:4" x14ac:dyDescent="0.2">
      <c r="A827" s="313">
        <v>2</v>
      </c>
      <c r="B827" s="316">
        <v>360</v>
      </c>
      <c r="C827" s="316">
        <v>46.96</v>
      </c>
      <c r="D827" s="318" t="s">
        <v>637</v>
      </c>
    </row>
    <row r="828" spans="1:4" x14ac:dyDescent="0.2">
      <c r="A828" s="313">
        <v>3</v>
      </c>
      <c r="B828" s="316">
        <v>4358.5</v>
      </c>
      <c r="C828" s="316">
        <v>568.5</v>
      </c>
      <c r="D828" s="318" t="s">
        <v>6</v>
      </c>
    </row>
    <row r="829" spans="1:4" ht="16" thickBot="1" x14ac:dyDescent="0.25">
      <c r="A829" s="256"/>
      <c r="B829" s="108">
        <f>SUM(B826:B828)</f>
        <v>5518.5</v>
      </c>
      <c r="C829" s="108">
        <f>SUM(C826:C828)</f>
        <v>615.46</v>
      </c>
      <c r="D829" s="547"/>
    </row>
    <row r="830" spans="1:4" ht="16" thickBot="1" x14ac:dyDescent="0.25"/>
    <row r="831" spans="1:4" ht="20" thickBot="1" x14ac:dyDescent="0.3">
      <c r="A831" s="107" t="s">
        <v>205</v>
      </c>
      <c r="B831" s="789"/>
      <c r="C831" s="790"/>
    </row>
    <row r="832" spans="1:4" ht="20" thickBot="1" x14ac:dyDescent="0.3">
      <c r="A832" s="195" t="s">
        <v>76</v>
      </c>
      <c r="B832" s="202">
        <v>45745</v>
      </c>
      <c r="C832" s="791"/>
      <c r="D832" s="792"/>
    </row>
    <row r="833" spans="1:4" ht="16" thickBot="1" x14ac:dyDescent="0.25">
      <c r="A833" s="195" t="s">
        <v>280</v>
      </c>
      <c r="B833" s="195" t="s">
        <v>117</v>
      </c>
      <c r="C833" s="195" t="s">
        <v>208</v>
      </c>
      <c r="D833" s="195" t="s">
        <v>206</v>
      </c>
    </row>
    <row r="834" spans="1:4" x14ac:dyDescent="0.2">
      <c r="A834" s="314">
        <v>1</v>
      </c>
      <c r="B834" s="315">
        <v>1500</v>
      </c>
      <c r="C834" s="315"/>
      <c r="D834" s="317" t="s">
        <v>3</v>
      </c>
    </row>
    <row r="835" spans="1:4" x14ac:dyDescent="0.2">
      <c r="A835" s="313">
        <v>2</v>
      </c>
      <c r="B835" s="316">
        <v>449.9</v>
      </c>
      <c r="C835" s="316"/>
      <c r="D835" s="318" t="s">
        <v>14</v>
      </c>
    </row>
    <row r="836" spans="1:4" x14ac:dyDescent="0.2">
      <c r="A836" s="313">
        <v>3</v>
      </c>
      <c r="B836" s="316">
        <v>10379.52</v>
      </c>
      <c r="C836" s="316">
        <v>718.44</v>
      </c>
      <c r="D836" s="318" t="s">
        <v>9</v>
      </c>
    </row>
    <row r="837" spans="1:4" x14ac:dyDescent="0.2">
      <c r="A837" s="313">
        <v>4</v>
      </c>
      <c r="B837" s="316">
        <v>16235</v>
      </c>
      <c r="C837" s="316"/>
      <c r="D837" s="318" t="s">
        <v>12</v>
      </c>
    </row>
    <row r="838" spans="1:4" ht="16" thickBot="1" x14ac:dyDescent="0.25">
      <c r="A838" s="256"/>
      <c r="B838" s="108">
        <f>SUM(B834:B837)</f>
        <v>28564.42</v>
      </c>
      <c r="C838" s="108">
        <f>SUM(C834:C837)</f>
        <v>718.44</v>
      </c>
      <c r="D838" s="547"/>
    </row>
    <row r="839" spans="1:4" ht="16" thickBot="1" x14ac:dyDescent="0.25"/>
    <row r="840" spans="1:4" ht="20" thickBot="1" x14ac:dyDescent="0.3">
      <c r="A840" s="107" t="s">
        <v>205</v>
      </c>
      <c r="B840" s="789"/>
      <c r="C840" s="790"/>
    </row>
    <row r="841" spans="1:4" ht="20" thickBot="1" x14ac:dyDescent="0.3">
      <c r="A841" s="195" t="s">
        <v>76</v>
      </c>
      <c r="B841" s="202">
        <v>45746</v>
      </c>
      <c r="C841" s="791"/>
      <c r="D841" s="792"/>
    </row>
    <row r="842" spans="1:4" ht="16" thickBot="1" x14ac:dyDescent="0.25">
      <c r="A842" s="195" t="s">
        <v>280</v>
      </c>
      <c r="B842" s="195" t="s">
        <v>117</v>
      </c>
      <c r="C842" s="195" t="s">
        <v>208</v>
      </c>
      <c r="D842" s="195" t="s">
        <v>206</v>
      </c>
    </row>
    <row r="843" spans="1:4" x14ac:dyDescent="0.2">
      <c r="A843" s="314">
        <v>1</v>
      </c>
      <c r="B843" s="315">
        <v>184.98</v>
      </c>
      <c r="C843" s="315">
        <v>27.75</v>
      </c>
      <c r="D843" s="317" t="s">
        <v>9</v>
      </c>
    </row>
    <row r="844" spans="1:4" ht="16" thickBot="1" x14ac:dyDescent="0.25">
      <c r="A844" s="256"/>
      <c r="B844" s="108">
        <f>SUM(B843:B843)</f>
        <v>184.98</v>
      </c>
      <c r="C844" s="108">
        <f>SUM(C843:C843)</f>
        <v>27.75</v>
      </c>
      <c r="D844" s="547"/>
    </row>
    <row r="845" spans="1:4" ht="16" thickBot="1" x14ac:dyDescent="0.25"/>
    <row r="846" spans="1:4" ht="20" thickBot="1" x14ac:dyDescent="0.3">
      <c r="A846" s="107" t="s">
        <v>205</v>
      </c>
      <c r="B846" s="789"/>
      <c r="C846" s="790"/>
    </row>
    <row r="847" spans="1:4" ht="20" thickBot="1" x14ac:dyDescent="0.3">
      <c r="A847" s="195" t="s">
        <v>76</v>
      </c>
      <c r="B847" s="202">
        <v>45747</v>
      </c>
      <c r="C847" s="791"/>
      <c r="D847" s="792"/>
    </row>
    <row r="848" spans="1:4" ht="16" thickBot="1" x14ac:dyDescent="0.25">
      <c r="A848" s="195" t="s">
        <v>280</v>
      </c>
      <c r="B848" s="195" t="s">
        <v>117</v>
      </c>
      <c r="C848" s="195" t="s">
        <v>208</v>
      </c>
      <c r="D848" s="195" t="s">
        <v>206</v>
      </c>
    </row>
    <row r="849" spans="1:4" x14ac:dyDescent="0.2">
      <c r="A849" s="314">
        <v>1</v>
      </c>
      <c r="B849" s="315">
        <v>697.58</v>
      </c>
      <c r="C849" s="315"/>
      <c r="D849" s="317" t="s">
        <v>186</v>
      </c>
    </row>
    <row r="850" spans="1:4" x14ac:dyDescent="0.2">
      <c r="A850" s="313">
        <v>2</v>
      </c>
      <c r="B850" s="316">
        <v>50</v>
      </c>
      <c r="C850" s="316"/>
      <c r="D850" s="318" t="s">
        <v>924</v>
      </c>
    </row>
    <row r="851" spans="1:4" x14ac:dyDescent="0.2">
      <c r="A851" s="313">
        <v>3</v>
      </c>
      <c r="B851" s="316">
        <v>85</v>
      </c>
      <c r="C851" s="316"/>
      <c r="D851" s="318" t="s">
        <v>499</v>
      </c>
    </row>
    <row r="852" spans="1:4" x14ac:dyDescent="0.2">
      <c r="A852" s="313">
        <v>4</v>
      </c>
      <c r="B852" s="316">
        <v>413.91</v>
      </c>
      <c r="C852" s="316">
        <v>1.82</v>
      </c>
      <c r="D852" s="318" t="s">
        <v>14</v>
      </c>
    </row>
    <row r="853" spans="1:4" x14ac:dyDescent="0.2">
      <c r="A853" s="313">
        <v>5</v>
      </c>
      <c r="B853" s="316">
        <v>9033.42</v>
      </c>
      <c r="C853" s="316">
        <v>594.54999999999995</v>
      </c>
      <c r="D853" s="318" t="s">
        <v>9</v>
      </c>
    </row>
    <row r="854" spans="1:4" x14ac:dyDescent="0.2">
      <c r="A854" s="313">
        <v>6</v>
      </c>
      <c r="B854" s="316">
        <v>870</v>
      </c>
      <c r="C854" s="316"/>
      <c r="D854" s="318" t="s">
        <v>396</v>
      </c>
    </row>
    <row r="855" spans="1:4" x14ac:dyDescent="0.2">
      <c r="A855" s="313">
        <v>7</v>
      </c>
      <c r="B855" s="316">
        <v>3708.75</v>
      </c>
      <c r="C855" s="316">
        <v>483.75</v>
      </c>
      <c r="D855" s="318" t="s">
        <v>6</v>
      </c>
    </row>
    <row r="856" spans="1:4" ht="16" thickBot="1" x14ac:dyDescent="0.25">
      <c r="A856" s="256"/>
      <c r="B856" s="108">
        <f>SUM(B849:B855)</f>
        <v>14858.66</v>
      </c>
      <c r="C856" s="108">
        <f>SUM(C849:C855)</f>
        <v>1080.1199999999999</v>
      </c>
      <c r="D856" s="547"/>
    </row>
    <row r="857" spans="1:4" ht="16" thickBot="1" x14ac:dyDescent="0.25"/>
    <row r="858" spans="1:4" ht="20" thickBot="1" x14ac:dyDescent="0.3">
      <c r="A858" s="107" t="s">
        <v>205</v>
      </c>
      <c r="B858" s="789"/>
      <c r="C858" s="790"/>
    </row>
    <row r="859" spans="1:4" ht="20" thickBot="1" x14ac:dyDescent="0.3">
      <c r="A859" s="195" t="s">
        <v>76</v>
      </c>
      <c r="B859" s="202">
        <v>45748</v>
      </c>
      <c r="C859" s="791"/>
      <c r="D859" s="792"/>
    </row>
    <row r="860" spans="1:4" ht="16" thickBot="1" x14ac:dyDescent="0.25">
      <c r="A860" s="195" t="s">
        <v>280</v>
      </c>
      <c r="B860" s="195" t="s">
        <v>117</v>
      </c>
      <c r="C860" s="195" t="s">
        <v>208</v>
      </c>
      <c r="D860" s="195" t="s">
        <v>206</v>
      </c>
    </row>
    <row r="861" spans="1:4" x14ac:dyDescent="0.2">
      <c r="A861" s="314">
        <v>1</v>
      </c>
      <c r="B861" s="315">
        <v>468.46</v>
      </c>
      <c r="C861" s="315"/>
      <c r="D861" s="317" t="s">
        <v>186</v>
      </c>
    </row>
    <row r="862" spans="1:4" x14ac:dyDescent="0.2">
      <c r="A862" s="313">
        <v>2</v>
      </c>
      <c r="B862" s="316">
        <v>81</v>
      </c>
      <c r="C862" s="316">
        <v>10.57</v>
      </c>
      <c r="D862" s="318" t="s">
        <v>332</v>
      </c>
    </row>
    <row r="863" spans="1:4" x14ac:dyDescent="0.2">
      <c r="A863" s="313">
        <v>3</v>
      </c>
      <c r="B863" s="316">
        <v>81</v>
      </c>
      <c r="C863" s="316">
        <v>10.57</v>
      </c>
      <c r="D863" s="318" t="s">
        <v>332</v>
      </c>
    </row>
    <row r="864" spans="1:4" x14ac:dyDescent="0.2">
      <c r="A864" s="313">
        <v>4</v>
      </c>
      <c r="B864" s="316">
        <v>32.99</v>
      </c>
      <c r="C864" s="316">
        <v>4.3</v>
      </c>
      <c r="D864" s="318" t="s">
        <v>279</v>
      </c>
    </row>
    <row r="865" spans="1:4" x14ac:dyDescent="0.2">
      <c r="A865" s="313">
        <v>5</v>
      </c>
      <c r="B865" s="316">
        <v>49.99</v>
      </c>
      <c r="C865" s="316"/>
      <c r="D865" s="318" t="s">
        <v>14</v>
      </c>
    </row>
    <row r="866" spans="1:4" x14ac:dyDescent="0.2">
      <c r="A866" s="313">
        <v>6</v>
      </c>
      <c r="B866" s="316">
        <v>335.92</v>
      </c>
      <c r="C866" s="316">
        <v>4.6900000000000004</v>
      </c>
      <c r="D866" s="318" t="s">
        <v>14</v>
      </c>
    </row>
    <row r="867" spans="1:4" x14ac:dyDescent="0.2">
      <c r="A867" s="313">
        <v>7</v>
      </c>
      <c r="B867" s="316">
        <v>16.899999999999999</v>
      </c>
      <c r="C867" s="316"/>
      <c r="D867" s="318" t="s">
        <v>334</v>
      </c>
    </row>
    <row r="868" spans="1:4" x14ac:dyDescent="0.2">
      <c r="A868" s="313">
        <v>8</v>
      </c>
      <c r="B868" s="316">
        <v>7268.62</v>
      </c>
      <c r="C868" s="316">
        <v>486.57</v>
      </c>
      <c r="D868" s="318" t="s">
        <v>9</v>
      </c>
    </row>
    <row r="869" spans="1:4" x14ac:dyDescent="0.2">
      <c r="A869" s="313">
        <v>9</v>
      </c>
      <c r="B869" s="316">
        <v>1713.5</v>
      </c>
      <c r="C869" s="316">
        <v>223.5</v>
      </c>
      <c r="D869" s="318" t="s">
        <v>6</v>
      </c>
    </row>
    <row r="870" spans="1:4" ht="16" thickBot="1" x14ac:dyDescent="0.25">
      <c r="A870" s="256"/>
      <c r="B870" s="108">
        <f>SUM(B861:B869)</f>
        <v>10048.380000000001</v>
      </c>
      <c r="C870" s="108">
        <f>SUM(C861:C869)</f>
        <v>740.2</v>
      </c>
      <c r="D870" s="547"/>
    </row>
    <row r="871" spans="1:4" ht="16" thickBot="1" x14ac:dyDescent="0.25"/>
    <row r="872" spans="1:4" ht="20" thickBot="1" x14ac:dyDescent="0.3">
      <c r="A872" s="107" t="s">
        <v>205</v>
      </c>
      <c r="B872" s="789"/>
      <c r="C872" s="790"/>
    </row>
    <row r="873" spans="1:4" ht="20" thickBot="1" x14ac:dyDescent="0.3">
      <c r="A873" s="195" t="s">
        <v>76</v>
      </c>
      <c r="B873" s="202">
        <v>45749</v>
      </c>
      <c r="C873" s="791"/>
      <c r="D873" s="792"/>
    </row>
    <row r="874" spans="1:4" ht="16" thickBot="1" x14ac:dyDescent="0.25">
      <c r="A874" s="195" t="s">
        <v>280</v>
      </c>
      <c r="B874" s="195" t="s">
        <v>117</v>
      </c>
      <c r="C874" s="195" t="s">
        <v>208</v>
      </c>
      <c r="D874" s="195" t="s">
        <v>206</v>
      </c>
    </row>
    <row r="875" spans="1:4" x14ac:dyDescent="0.2">
      <c r="A875" s="314">
        <v>1</v>
      </c>
      <c r="B875" s="315">
        <v>800</v>
      </c>
      <c r="C875" s="315"/>
      <c r="D875" s="317" t="s">
        <v>186</v>
      </c>
    </row>
    <row r="876" spans="1:4" ht="16" thickBot="1" x14ac:dyDescent="0.25">
      <c r="A876" s="256"/>
      <c r="B876" s="108">
        <f>SUM(B875:B875)</f>
        <v>800</v>
      </c>
      <c r="C876" s="108">
        <f>SUM(C875:C875)</f>
        <v>0</v>
      </c>
      <c r="D876" s="547"/>
    </row>
    <row r="877" spans="1:4" ht="16" thickBot="1" x14ac:dyDescent="0.25"/>
    <row r="878" spans="1:4" ht="20" thickBot="1" x14ac:dyDescent="0.3">
      <c r="A878" s="107" t="s">
        <v>205</v>
      </c>
      <c r="B878" s="789"/>
      <c r="C878" s="790"/>
    </row>
    <row r="879" spans="1:4" ht="20" thickBot="1" x14ac:dyDescent="0.3">
      <c r="A879" s="195" t="s">
        <v>76</v>
      </c>
      <c r="B879" s="202">
        <v>45750</v>
      </c>
      <c r="C879" s="791"/>
      <c r="D879" s="792"/>
    </row>
    <row r="880" spans="1:4" ht="16" thickBot="1" x14ac:dyDescent="0.25">
      <c r="A880" s="195" t="s">
        <v>280</v>
      </c>
      <c r="B880" s="195" t="s">
        <v>117</v>
      </c>
      <c r="C880" s="195" t="s">
        <v>208</v>
      </c>
      <c r="D880" s="195" t="s">
        <v>206</v>
      </c>
    </row>
    <row r="881" spans="1:4" x14ac:dyDescent="0.2">
      <c r="A881" s="314">
        <v>1</v>
      </c>
      <c r="B881" s="315">
        <v>800</v>
      </c>
      <c r="C881" s="315"/>
      <c r="D881" s="317" t="s">
        <v>186</v>
      </c>
    </row>
    <row r="882" spans="1:4" x14ac:dyDescent="0.2">
      <c r="A882" s="313">
        <v>2</v>
      </c>
      <c r="B882" s="316">
        <v>800</v>
      </c>
      <c r="C882" s="316"/>
      <c r="D882" s="318" t="s">
        <v>3</v>
      </c>
    </row>
    <row r="883" spans="1:4" x14ac:dyDescent="0.2">
      <c r="A883" s="313">
        <v>3</v>
      </c>
      <c r="B883" s="316">
        <v>91.98</v>
      </c>
      <c r="C883" s="316">
        <v>12</v>
      </c>
      <c r="D883" s="318" t="s">
        <v>279</v>
      </c>
    </row>
    <row r="884" spans="1:4" x14ac:dyDescent="0.2">
      <c r="A884" s="313">
        <v>4</v>
      </c>
      <c r="B884" s="316">
        <v>82.27</v>
      </c>
      <c r="C884" s="316">
        <v>10.73</v>
      </c>
      <c r="D884" s="318" t="s">
        <v>279</v>
      </c>
    </row>
    <row r="885" spans="1:4" x14ac:dyDescent="0.2">
      <c r="A885" s="313">
        <v>5</v>
      </c>
      <c r="B885" s="316">
        <v>449.91</v>
      </c>
      <c r="C885" s="316"/>
      <c r="D885" s="318" t="s">
        <v>14</v>
      </c>
    </row>
    <row r="886" spans="1:4" x14ac:dyDescent="0.2">
      <c r="A886" s="313">
        <v>6</v>
      </c>
      <c r="B886" s="316">
        <v>7157.54</v>
      </c>
      <c r="C886" s="316">
        <v>933.59</v>
      </c>
      <c r="D886" s="318" t="s">
        <v>311</v>
      </c>
    </row>
    <row r="887" spans="1:4" x14ac:dyDescent="0.2">
      <c r="A887" s="313">
        <v>7</v>
      </c>
      <c r="B887" s="316">
        <v>16537</v>
      </c>
      <c r="C887" s="316">
        <v>2157</v>
      </c>
      <c r="D887" s="318" t="s">
        <v>6</v>
      </c>
    </row>
    <row r="888" spans="1:4" ht="16" thickBot="1" x14ac:dyDescent="0.25">
      <c r="A888" s="256"/>
      <c r="B888" s="108">
        <f>SUM(B881:B887)</f>
        <v>25918.7</v>
      </c>
      <c r="C888" s="108">
        <f>SUM(C881:C887)</f>
        <v>3113.32</v>
      </c>
      <c r="D888" s="547"/>
    </row>
    <row r="889" spans="1:4" ht="16" thickBot="1" x14ac:dyDescent="0.25"/>
    <row r="890" spans="1:4" ht="20" thickBot="1" x14ac:dyDescent="0.3">
      <c r="A890" s="107" t="s">
        <v>205</v>
      </c>
      <c r="B890" s="789"/>
      <c r="C890" s="790"/>
    </row>
    <row r="891" spans="1:4" ht="20" thickBot="1" x14ac:dyDescent="0.3">
      <c r="A891" s="195" t="s">
        <v>76</v>
      </c>
      <c r="B891" s="202">
        <v>45751</v>
      </c>
      <c r="C891" s="791"/>
      <c r="D891" s="792"/>
    </row>
    <row r="892" spans="1:4" ht="16" thickBot="1" x14ac:dyDescent="0.25">
      <c r="A892" s="195" t="s">
        <v>280</v>
      </c>
      <c r="B892" s="195" t="s">
        <v>117</v>
      </c>
      <c r="C892" s="195" t="s">
        <v>208</v>
      </c>
      <c r="D892" s="195" t="s">
        <v>206</v>
      </c>
    </row>
    <row r="893" spans="1:4" x14ac:dyDescent="0.2">
      <c r="A893" s="314">
        <v>1</v>
      </c>
      <c r="B893" s="315">
        <v>800</v>
      </c>
      <c r="C893" s="315"/>
      <c r="D893" s="317" t="s">
        <v>186</v>
      </c>
    </row>
    <row r="894" spans="1:4" x14ac:dyDescent="0.2">
      <c r="A894" s="313">
        <v>2</v>
      </c>
      <c r="B894" s="316">
        <v>588</v>
      </c>
      <c r="C894" s="316">
        <v>76.7</v>
      </c>
      <c r="D894" s="318" t="s">
        <v>949</v>
      </c>
    </row>
    <row r="895" spans="1:4" x14ac:dyDescent="0.2">
      <c r="A895" s="313">
        <v>3</v>
      </c>
      <c r="B895" s="316">
        <v>407.24</v>
      </c>
      <c r="C895" s="316">
        <v>53.12</v>
      </c>
      <c r="D895" s="318" t="s">
        <v>279</v>
      </c>
    </row>
    <row r="896" spans="1:4" x14ac:dyDescent="0.2">
      <c r="A896" s="313">
        <v>4</v>
      </c>
      <c r="B896" s="316">
        <v>305</v>
      </c>
      <c r="C896" s="316"/>
      <c r="D896" s="318" t="s">
        <v>536</v>
      </c>
    </row>
    <row r="897" spans="1:4" x14ac:dyDescent="0.2">
      <c r="A897" s="313">
        <v>5</v>
      </c>
      <c r="B897" s="316">
        <v>406.32</v>
      </c>
      <c r="C897" s="316">
        <v>53.02</v>
      </c>
      <c r="D897" s="318" t="s">
        <v>426</v>
      </c>
    </row>
    <row r="898" spans="1:4" x14ac:dyDescent="0.2">
      <c r="A898" s="313">
        <v>6</v>
      </c>
      <c r="B898" s="316">
        <v>2154</v>
      </c>
      <c r="C898" s="316">
        <v>280.95999999999998</v>
      </c>
      <c r="D898" s="318" t="s">
        <v>637</v>
      </c>
    </row>
    <row r="899" spans="1:4" ht="16" thickBot="1" x14ac:dyDescent="0.25">
      <c r="A899" s="256"/>
      <c r="B899" s="108">
        <f>SUM(B893:B898)</f>
        <v>4660.5599999999995</v>
      </c>
      <c r="C899" s="108">
        <f>SUM(C893:C898)</f>
        <v>463.79999999999995</v>
      </c>
      <c r="D899" s="547"/>
    </row>
    <row r="900" spans="1:4" ht="16" thickBot="1" x14ac:dyDescent="0.25"/>
    <row r="901" spans="1:4" ht="20" thickBot="1" x14ac:dyDescent="0.3">
      <c r="A901" s="107" t="s">
        <v>205</v>
      </c>
      <c r="B901" s="789"/>
      <c r="C901" s="790"/>
    </row>
    <row r="902" spans="1:4" ht="20" thickBot="1" x14ac:dyDescent="0.3">
      <c r="A902" s="195" t="s">
        <v>76</v>
      </c>
      <c r="B902" s="202">
        <v>45752</v>
      </c>
      <c r="C902" s="791"/>
      <c r="D902" s="792"/>
    </row>
    <row r="903" spans="1:4" ht="16" thickBot="1" x14ac:dyDescent="0.25">
      <c r="A903" s="195" t="s">
        <v>280</v>
      </c>
      <c r="B903" s="195" t="s">
        <v>117</v>
      </c>
      <c r="C903" s="195" t="s">
        <v>208</v>
      </c>
      <c r="D903" s="195" t="s">
        <v>206</v>
      </c>
    </row>
    <row r="904" spans="1:4" x14ac:dyDescent="0.2">
      <c r="A904" s="314">
        <v>1</v>
      </c>
      <c r="B904" s="315">
        <v>192.98</v>
      </c>
      <c r="C904" s="315"/>
      <c r="D904" s="317" t="s">
        <v>426</v>
      </c>
    </row>
    <row r="905" spans="1:4" x14ac:dyDescent="0.2">
      <c r="A905" s="313">
        <v>2</v>
      </c>
      <c r="B905" s="316">
        <v>800</v>
      </c>
      <c r="C905" s="316"/>
      <c r="D905" s="318" t="s">
        <v>3</v>
      </c>
    </row>
    <row r="906" spans="1:4" ht="16" thickBot="1" x14ac:dyDescent="0.25">
      <c r="A906" s="256"/>
      <c r="B906" s="108">
        <f>SUM(B904:B905)</f>
        <v>992.98</v>
      </c>
      <c r="C906" s="108">
        <f>SUM(C904:C905)</f>
        <v>0</v>
      </c>
      <c r="D906" s="547"/>
    </row>
    <row r="907" spans="1:4" ht="16" thickBot="1" x14ac:dyDescent="0.25"/>
    <row r="908" spans="1:4" ht="20" thickBot="1" x14ac:dyDescent="0.3">
      <c r="A908" s="107" t="s">
        <v>205</v>
      </c>
      <c r="B908" s="789"/>
      <c r="C908" s="790"/>
    </row>
    <row r="909" spans="1:4" ht="20" thickBot="1" x14ac:dyDescent="0.3">
      <c r="A909" s="195" t="s">
        <v>76</v>
      </c>
      <c r="B909" s="202">
        <v>45753</v>
      </c>
      <c r="C909" s="791"/>
      <c r="D909" s="792"/>
    </row>
    <row r="910" spans="1:4" ht="16" thickBot="1" x14ac:dyDescent="0.25">
      <c r="A910" s="195" t="s">
        <v>280</v>
      </c>
      <c r="B910" s="195" t="s">
        <v>117</v>
      </c>
      <c r="C910" s="195" t="s">
        <v>208</v>
      </c>
      <c r="D910" s="195" t="s">
        <v>206</v>
      </c>
    </row>
    <row r="911" spans="1:4" x14ac:dyDescent="0.2">
      <c r="A911" s="314">
        <v>1</v>
      </c>
      <c r="B911" s="315">
        <v>850</v>
      </c>
      <c r="C911" s="315"/>
      <c r="D911" s="317" t="s">
        <v>186</v>
      </c>
    </row>
    <row r="912" spans="1:4" x14ac:dyDescent="0.2">
      <c r="A912" s="313">
        <v>2</v>
      </c>
      <c r="B912" s="316">
        <v>800</v>
      </c>
      <c r="C912" s="316"/>
      <c r="D912" s="318" t="s">
        <v>186</v>
      </c>
    </row>
    <row r="913" spans="1:4" x14ac:dyDescent="0.2">
      <c r="A913" s="313">
        <v>3</v>
      </c>
      <c r="B913" s="316">
        <v>220</v>
      </c>
      <c r="C913" s="316"/>
      <c r="D913" s="318" t="s">
        <v>763</v>
      </c>
    </row>
    <row r="914" spans="1:4" x14ac:dyDescent="0.2">
      <c r="A914" s="313">
        <v>4</v>
      </c>
      <c r="B914" s="316">
        <v>349.93</v>
      </c>
      <c r="C914" s="316"/>
      <c r="D914" s="318" t="s">
        <v>14</v>
      </c>
    </row>
    <row r="915" spans="1:4" x14ac:dyDescent="0.2">
      <c r="A915" s="313">
        <v>5</v>
      </c>
      <c r="B915" s="316">
        <v>3881.84</v>
      </c>
      <c r="C915" s="316">
        <v>204.58</v>
      </c>
      <c r="D915" s="318" t="s">
        <v>9</v>
      </c>
    </row>
    <row r="916" spans="1:4" ht="16" thickBot="1" x14ac:dyDescent="0.25">
      <c r="A916" s="256"/>
      <c r="B916" s="108">
        <f>SUM(B911:B915)</f>
        <v>6101.77</v>
      </c>
      <c r="C916" s="108">
        <f>SUM(C911:C915)</f>
        <v>204.58</v>
      </c>
      <c r="D916" s="547"/>
    </row>
    <row r="917" spans="1:4" ht="16" thickBot="1" x14ac:dyDescent="0.25"/>
    <row r="918" spans="1:4" ht="20" thickBot="1" x14ac:dyDescent="0.3">
      <c r="A918" s="107" t="s">
        <v>205</v>
      </c>
      <c r="B918" s="789"/>
      <c r="C918" s="790"/>
    </row>
    <row r="919" spans="1:4" ht="20" thickBot="1" x14ac:dyDescent="0.3">
      <c r="A919" s="195" t="s">
        <v>76</v>
      </c>
      <c r="B919" s="202">
        <v>45754</v>
      </c>
      <c r="C919" s="791"/>
      <c r="D919" s="792"/>
    </row>
    <row r="920" spans="1:4" ht="16" thickBot="1" x14ac:dyDescent="0.25">
      <c r="A920" s="195" t="s">
        <v>280</v>
      </c>
      <c r="B920" s="195" t="s">
        <v>117</v>
      </c>
      <c r="C920" s="195" t="s">
        <v>208</v>
      </c>
      <c r="D920" s="195" t="s">
        <v>206</v>
      </c>
    </row>
    <row r="921" spans="1:4" x14ac:dyDescent="0.2">
      <c r="A921" s="314">
        <v>1</v>
      </c>
      <c r="B921" s="315">
        <v>800</v>
      </c>
      <c r="C921" s="315"/>
      <c r="D921" s="317" t="s">
        <v>186</v>
      </c>
    </row>
    <row r="922" spans="1:4" x14ac:dyDescent="0.2">
      <c r="A922" s="313">
        <v>2</v>
      </c>
      <c r="B922" s="316">
        <v>60</v>
      </c>
      <c r="C922" s="316"/>
      <c r="D922" s="318" t="s">
        <v>377</v>
      </c>
    </row>
    <row r="923" spans="1:4" x14ac:dyDescent="0.2">
      <c r="A923" s="313">
        <v>3</v>
      </c>
      <c r="B923" s="316">
        <v>449.91</v>
      </c>
      <c r="C923" s="316"/>
      <c r="D923" s="318" t="s">
        <v>14</v>
      </c>
    </row>
    <row r="924" spans="1:4" x14ac:dyDescent="0.2">
      <c r="A924" s="313">
        <v>4</v>
      </c>
      <c r="B924" s="316">
        <v>7033.48</v>
      </c>
      <c r="C924" s="316">
        <v>758.34</v>
      </c>
      <c r="D924" s="318" t="s">
        <v>9</v>
      </c>
    </row>
    <row r="925" spans="1:4" x14ac:dyDescent="0.2">
      <c r="A925" s="313">
        <v>5</v>
      </c>
      <c r="B925" s="316">
        <v>480</v>
      </c>
      <c r="C925" s="316"/>
      <c r="D925" s="318" t="s">
        <v>396</v>
      </c>
    </row>
    <row r="926" spans="1:4" ht="16" thickBot="1" x14ac:dyDescent="0.25">
      <c r="A926" s="256"/>
      <c r="B926" s="108">
        <f>SUM(B921:B925)</f>
        <v>8823.39</v>
      </c>
      <c r="C926" s="108">
        <f>SUM(C921:C925)</f>
        <v>758.34</v>
      </c>
      <c r="D926" s="547"/>
    </row>
    <row r="927" spans="1:4" ht="16" thickBot="1" x14ac:dyDescent="0.25"/>
    <row r="928" spans="1:4" ht="20" thickBot="1" x14ac:dyDescent="0.3">
      <c r="A928" s="107" t="s">
        <v>205</v>
      </c>
      <c r="B928" s="789"/>
      <c r="C928" s="790"/>
    </row>
    <row r="929" spans="1:4" ht="20" thickBot="1" x14ac:dyDescent="0.3">
      <c r="A929" s="195" t="s">
        <v>76</v>
      </c>
      <c r="B929" s="202">
        <v>45755</v>
      </c>
      <c r="C929" s="791"/>
      <c r="D929" s="792"/>
    </row>
    <row r="930" spans="1:4" ht="16" thickBot="1" x14ac:dyDescent="0.25">
      <c r="A930" s="195" t="s">
        <v>280</v>
      </c>
      <c r="B930" s="195" t="s">
        <v>117</v>
      </c>
      <c r="C930" s="195" t="s">
        <v>208</v>
      </c>
      <c r="D930" s="195" t="s">
        <v>206</v>
      </c>
    </row>
    <row r="931" spans="1:4" x14ac:dyDescent="0.2">
      <c r="A931" s="314">
        <v>1</v>
      </c>
      <c r="B931" s="315">
        <v>495.89</v>
      </c>
      <c r="C931" s="315"/>
      <c r="D931" s="317" t="s">
        <v>186</v>
      </c>
    </row>
    <row r="932" spans="1:4" x14ac:dyDescent="0.2">
      <c r="A932" s="313">
        <v>2</v>
      </c>
      <c r="B932" s="316">
        <v>81</v>
      </c>
      <c r="C932" s="316">
        <v>10.57</v>
      </c>
      <c r="D932" s="318" t="s">
        <v>332</v>
      </c>
    </row>
    <row r="933" spans="1:4" x14ac:dyDescent="0.2">
      <c r="A933" s="313">
        <v>3</v>
      </c>
      <c r="B933" s="316">
        <v>81</v>
      </c>
      <c r="C933" s="316">
        <v>10.57</v>
      </c>
      <c r="D933" s="318" t="s">
        <v>332</v>
      </c>
    </row>
    <row r="934" spans="1:4" x14ac:dyDescent="0.2">
      <c r="A934" s="313">
        <v>4</v>
      </c>
      <c r="B934" s="316">
        <v>30</v>
      </c>
      <c r="C934" s="316"/>
      <c r="D934" s="318" t="s">
        <v>960</v>
      </c>
    </row>
    <row r="935" spans="1:4" x14ac:dyDescent="0.2">
      <c r="A935" s="313">
        <v>5</v>
      </c>
      <c r="B935" s="316">
        <v>77</v>
      </c>
      <c r="C935" s="316">
        <v>10.039999999999999</v>
      </c>
      <c r="D935" s="318" t="s">
        <v>297</v>
      </c>
    </row>
    <row r="936" spans="1:4" x14ac:dyDescent="0.2">
      <c r="A936" s="313">
        <v>6</v>
      </c>
      <c r="B936" s="316">
        <v>242.48</v>
      </c>
      <c r="C936" s="316">
        <v>0.34</v>
      </c>
      <c r="D936" s="318" t="s">
        <v>279</v>
      </c>
    </row>
    <row r="937" spans="1:4" x14ac:dyDescent="0.2">
      <c r="A937" s="313">
        <v>7</v>
      </c>
      <c r="B937" s="316">
        <v>264.17</v>
      </c>
      <c r="C937" s="316">
        <v>34.46</v>
      </c>
      <c r="D937" s="318" t="s">
        <v>411</v>
      </c>
    </row>
    <row r="938" spans="1:4" x14ac:dyDescent="0.2">
      <c r="A938" s="313">
        <v>8</v>
      </c>
      <c r="B938" s="316">
        <v>548.32000000000005</v>
      </c>
      <c r="C938" s="316">
        <v>71.52</v>
      </c>
      <c r="D938" s="318" t="s">
        <v>777</v>
      </c>
    </row>
    <row r="939" spans="1:4" x14ac:dyDescent="0.2">
      <c r="A939" s="313">
        <v>9</v>
      </c>
      <c r="B939" s="316">
        <v>7963.4</v>
      </c>
      <c r="C939" s="316">
        <v>842.19</v>
      </c>
      <c r="D939" s="318" t="s">
        <v>9</v>
      </c>
    </row>
    <row r="940" spans="1:4" x14ac:dyDescent="0.2">
      <c r="A940" s="313">
        <v>10</v>
      </c>
      <c r="B940" s="316">
        <v>75</v>
      </c>
      <c r="C940" s="316"/>
      <c r="D940" s="318" t="s">
        <v>334</v>
      </c>
    </row>
    <row r="941" spans="1:4" x14ac:dyDescent="0.2">
      <c r="A941" s="313">
        <v>11</v>
      </c>
      <c r="B941" s="316">
        <v>16547.13</v>
      </c>
      <c r="C941" s="316">
        <v>2158.33</v>
      </c>
      <c r="D941" s="318" t="s">
        <v>6</v>
      </c>
    </row>
    <row r="942" spans="1:4" ht="16" thickBot="1" x14ac:dyDescent="0.25">
      <c r="A942" s="256"/>
      <c r="B942" s="108">
        <f>SUM(B931:B941)</f>
        <v>26405.39</v>
      </c>
      <c r="C942" s="108">
        <f>SUM(C931:C941)</f>
        <v>3138.02</v>
      </c>
      <c r="D942" s="547"/>
    </row>
    <row r="943" spans="1:4" ht="16" thickBot="1" x14ac:dyDescent="0.25"/>
    <row r="944" spans="1:4" ht="20" thickBot="1" x14ac:dyDescent="0.3">
      <c r="A944" s="107" t="s">
        <v>205</v>
      </c>
      <c r="B944" s="789"/>
      <c r="C944" s="790"/>
    </row>
    <row r="945" spans="1:4" ht="20" thickBot="1" x14ac:dyDescent="0.3">
      <c r="A945" s="195" t="s">
        <v>76</v>
      </c>
      <c r="B945" s="202">
        <v>45756</v>
      </c>
      <c r="C945" s="791"/>
      <c r="D945" s="792"/>
    </row>
    <row r="946" spans="1:4" ht="16" thickBot="1" x14ac:dyDescent="0.25">
      <c r="A946" s="195" t="s">
        <v>280</v>
      </c>
      <c r="B946" s="195" t="s">
        <v>117</v>
      </c>
      <c r="C946" s="195" t="s">
        <v>208</v>
      </c>
      <c r="D946" s="195" t="s">
        <v>206</v>
      </c>
    </row>
    <row r="947" spans="1:4" x14ac:dyDescent="0.2">
      <c r="A947" s="314">
        <v>1</v>
      </c>
      <c r="B947" s="315">
        <v>800</v>
      </c>
      <c r="C947" s="315"/>
      <c r="D947" s="317" t="s">
        <v>186</v>
      </c>
    </row>
    <row r="948" spans="1:4" ht="16" thickBot="1" x14ac:dyDescent="0.25">
      <c r="A948" s="256"/>
      <c r="B948" s="108">
        <f>SUM(B947:B947)</f>
        <v>800</v>
      </c>
      <c r="C948" s="108">
        <f>SUM(C947:C947)</f>
        <v>0</v>
      </c>
      <c r="D948" s="547"/>
    </row>
    <row r="949" spans="1:4" ht="16" thickBot="1" x14ac:dyDescent="0.25"/>
    <row r="950" spans="1:4" ht="20" thickBot="1" x14ac:dyDescent="0.3">
      <c r="A950" s="107" t="s">
        <v>205</v>
      </c>
      <c r="B950" s="789"/>
      <c r="C950" s="790"/>
    </row>
    <row r="951" spans="1:4" ht="20" thickBot="1" x14ac:dyDescent="0.3">
      <c r="A951" s="195" t="s">
        <v>76</v>
      </c>
      <c r="B951" s="202">
        <v>45757</v>
      </c>
      <c r="C951" s="791"/>
      <c r="D951" s="792"/>
    </row>
    <row r="952" spans="1:4" ht="16" thickBot="1" x14ac:dyDescent="0.25">
      <c r="A952" s="195" t="s">
        <v>280</v>
      </c>
      <c r="B952" s="195" t="s">
        <v>117</v>
      </c>
      <c r="C952" s="195" t="s">
        <v>208</v>
      </c>
      <c r="D952" s="195" t="s">
        <v>206</v>
      </c>
    </row>
    <row r="953" spans="1:4" x14ac:dyDescent="0.2">
      <c r="A953" s="314">
        <v>1</v>
      </c>
      <c r="B953" s="315">
        <v>800</v>
      </c>
      <c r="C953" s="315"/>
      <c r="D953" s="317" t="s">
        <v>186</v>
      </c>
    </row>
    <row r="954" spans="1:4" x14ac:dyDescent="0.2">
      <c r="A954" s="313">
        <v>2</v>
      </c>
      <c r="B954" s="316">
        <v>1549</v>
      </c>
      <c r="C954" s="316"/>
      <c r="D954" s="318" t="s">
        <v>625</v>
      </c>
    </row>
    <row r="955" spans="1:4" x14ac:dyDescent="0.2">
      <c r="A955" s="313">
        <v>3</v>
      </c>
      <c r="B955" s="316">
        <v>451.12</v>
      </c>
      <c r="C955" s="316">
        <v>58.84</v>
      </c>
      <c r="D955" s="318" t="s">
        <v>279</v>
      </c>
    </row>
    <row r="956" spans="1:4" x14ac:dyDescent="0.2">
      <c r="A956" s="313">
        <v>4</v>
      </c>
      <c r="B956" s="316">
        <v>349.93</v>
      </c>
      <c r="C956" s="316"/>
      <c r="D956" s="318" t="s">
        <v>14</v>
      </c>
    </row>
    <row r="957" spans="1:4" x14ac:dyDescent="0.2">
      <c r="A957" s="313">
        <v>5</v>
      </c>
      <c r="B957" s="316">
        <v>6497.56</v>
      </c>
      <c r="C957" s="316">
        <v>430.02</v>
      </c>
      <c r="D957" s="318" t="s">
        <v>9</v>
      </c>
    </row>
    <row r="958" spans="1:4" x14ac:dyDescent="0.2">
      <c r="A958" s="313">
        <v>6</v>
      </c>
      <c r="B958" s="316">
        <v>7157.54</v>
      </c>
      <c r="C958" s="316">
        <v>933.59</v>
      </c>
      <c r="D958" s="318" t="s">
        <v>778</v>
      </c>
    </row>
    <row r="959" spans="1:4" x14ac:dyDescent="0.2">
      <c r="A959" s="313">
        <v>7</v>
      </c>
      <c r="B959" s="316">
        <v>520</v>
      </c>
      <c r="C959" s="316"/>
      <c r="D959" s="318" t="s">
        <v>771</v>
      </c>
    </row>
    <row r="960" spans="1:4" x14ac:dyDescent="0.2">
      <c r="A960" s="313">
        <v>8</v>
      </c>
      <c r="B960" s="316">
        <v>3312</v>
      </c>
      <c r="C960" s="316">
        <v>432</v>
      </c>
      <c r="D960" s="318" t="s">
        <v>6</v>
      </c>
    </row>
    <row r="961" spans="1:4" ht="16" thickBot="1" x14ac:dyDescent="0.25">
      <c r="A961" s="256"/>
      <c r="B961" s="108">
        <f>SUM(B953:B960)</f>
        <v>20637.150000000001</v>
      </c>
      <c r="C961" s="108">
        <f>SUM(C953:C960)</f>
        <v>1854.45</v>
      </c>
      <c r="D961" s="547"/>
    </row>
    <row r="962" spans="1:4" ht="16" thickBot="1" x14ac:dyDescent="0.25"/>
    <row r="963" spans="1:4" ht="20" thickBot="1" x14ac:dyDescent="0.3">
      <c r="A963" s="107" t="s">
        <v>205</v>
      </c>
      <c r="B963" s="789"/>
      <c r="C963" s="790"/>
    </row>
    <row r="964" spans="1:4" ht="20" thickBot="1" x14ac:dyDescent="0.3">
      <c r="A964" s="195" t="s">
        <v>76</v>
      </c>
      <c r="B964" s="202">
        <v>45758</v>
      </c>
      <c r="C964" s="791"/>
      <c r="D964" s="792"/>
    </row>
    <row r="965" spans="1:4" ht="16" thickBot="1" x14ac:dyDescent="0.25">
      <c r="A965" s="195" t="s">
        <v>280</v>
      </c>
      <c r="B965" s="195" t="s">
        <v>117</v>
      </c>
      <c r="C965" s="195" t="s">
        <v>208</v>
      </c>
      <c r="D965" s="195" t="s">
        <v>206</v>
      </c>
    </row>
    <row r="966" spans="1:4" x14ac:dyDescent="0.2">
      <c r="A966" s="314">
        <v>1</v>
      </c>
      <c r="B966" s="315">
        <v>800</v>
      </c>
      <c r="C966" s="315"/>
      <c r="D966" s="317" t="s">
        <v>186</v>
      </c>
    </row>
    <row r="967" spans="1:4" x14ac:dyDescent="0.2">
      <c r="A967" s="313">
        <v>2</v>
      </c>
      <c r="B967" s="316">
        <v>14820</v>
      </c>
      <c r="C967" s="316"/>
      <c r="D967" s="318" t="s">
        <v>12</v>
      </c>
    </row>
    <row r="968" spans="1:4" ht="16" thickBot="1" x14ac:dyDescent="0.25">
      <c r="A968" s="256"/>
      <c r="B968" s="108">
        <f>SUM(B966:B967)</f>
        <v>15620</v>
      </c>
      <c r="C968" s="108">
        <f>SUM(C966:C967)</f>
        <v>0</v>
      </c>
      <c r="D968" s="547"/>
    </row>
    <row r="969" spans="1:4" ht="16" thickBot="1" x14ac:dyDescent="0.25"/>
    <row r="970" spans="1:4" ht="20" thickBot="1" x14ac:dyDescent="0.3">
      <c r="A970" s="107" t="s">
        <v>205</v>
      </c>
      <c r="B970" s="789"/>
      <c r="C970" s="790"/>
    </row>
    <row r="971" spans="1:4" ht="20" thickBot="1" x14ac:dyDescent="0.3">
      <c r="A971" s="195" t="s">
        <v>76</v>
      </c>
      <c r="B971" s="202">
        <v>45759</v>
      </c>
      <c r="C971" s="791"/>
      <c r="D971" s="792"/>
    </row>
    <row r="972" spans="1:4" ht="16" thickBot="1" x14ac:dyDescent="0.25">
      <c r="A972" s="195" t="s">
        <v>280</v>
      </c>
      <c r="B972" s="195" t="s">
        <v>117</v>
      </c>
      <c r="C972" s="195" t="s">
        <v>208</v>
      </c>
      <c r="D972" s="195" t="s">
        <v>206</v>
      </c>
    </row>
    <row r="973" spans="1:4" x14ac:dyDescent="0.2">
      <c r="A973" s="314">
        <v>1</v>
      </c>
      <c r="B973" s="315">
        <v>194.97</v>
      </c>
      <c r="C973" s="315"/>
      <c r="D973" s="317" t="s">
        <v>279</v>
      </c>
    </row>
    <row r="974" spans="1:4" x14ac:dyDescent="0.2">
      <c r="A974" s="313">
        <v>2</v>
      </c>
      <c r="B974" s="316">
        <v>6747.53</v>
      </c>
      <c r="C974" s="316">
        <v>385.92</v>
      </c>
      <c r="D974" s="318" t="s">
        <v>9</v>
      </c>
    </row>
    <row r="975" spans="1:4" ht="16" thickBot="1" x14ac:dyDescent="0.25">
      <c r="A975" s="256"/>
      <c r="B975" s="108">
        <f>SUM(B973:B974)</f>
        <v>6942.5</v>
      </c>
      <c r="C975" s="108">
        <f>SUM(C973:C974)</f>
        <v>385.92</v>
      </c>
      <c r="D975" s="547"/>
    </row>
    <row r="976" spans="1:4" ht="16" thickBot="1" x14ac:dyDescent="0.25"/>
    <row r="977" spans="1:4" ht="20" thickBot="1" x14ac:dyDescent="0.3">
      <c r="A977" s="107"/>
      <c r="B977" s="789"/>
      <c r="C977" s="790"/>
    </row>
    <row r="978" spans="1:4" ht="20" thickBot="1" x14ac:dyDescent="0.3">
      <c r="A978" s="195" t="s">
        <v>76</v>
      </c>
      <c r="B978" s="202">
        <v>45760</v>
      </c>
      <c r="C978" s="791"/>
      <c r="D978" s="792"/>
    </row>
    <row r="979" spans="1:4" ht="16" thickBot="1" x14ac:dyDescent="0.25">
      <c r="A979" s="195" t="s">
        <v>280</v>
      </c>
      <c r="B979" s="195" t="s">
        <v>117</v>
      </c>
      <c r="C979" s="195" t="s">
        <v>208</v>
      </c>
      <c r="D979" s="195" t="s">
        <v>206</v>
      </c>
    </row>
    <row r="980" spans="1:4" x14ac:dyDescent="0.2">
      <c r="A980" s="314">
        <v>1</v>
      </c>
      <c r="B980" s="315">
        <v>79.5</v>
      </c>
      <c r="C980" s="315"/>
      <c r="D980" s="317" t="s">
        <v>377</v>
      </c>
    </row>
    <row r="981" spans="1:4" x14ac:dyDescent="0.2">
      <c r="A981" s="313">
        <v>2</v>
      </c>
      <c r="B981" s="316">
        <v>181</v>
      </c>
      <c r="C981" s="316"/>
      <c r="D981" s="318" t="s">
        <v>334</v>
      </c>
    </row>
    <row r="982" spans="1:4" ht="16" thickBot="1" x14ac:dyDescent="0.25">
      <c r="A982" s="256"/>
      <c r="B982" s="108">
        <f>SUM(B980:B981)</f>
        <v>260.5</v>
      </c>
      <c r="C982" s="108">
        <f>SUM(C980:C981)</f>
        <v>0</v>
      </c>
      <c r="D982" s="547"/>
    </row>
    <row r="983" spans="1:4" ht="16" thickBot="1" x14ac:dyDescent="0.25"/>
    <row r="984" spans="1:4" ht="20" thickBot="1" x14ac:dyDescent="0.3">
      <c r="A984" s="107" t="s">
        <v>205</v>
      </c>
      <c r="B984" s="789"/>
      <c r="C984" s="790"/>
    </row>
    <row r="985" spans="1:4" ht="20" thickBot="1" x14ac:dyDescent="0.3">
      <c r="A985" s="195" t="s">
        <v>76</v>
      </c>
      <c r="B985" s="202">
        <v>45761</v>
      </c>
      <c r="C985" s="791"/>
      <c r="D985" s="792"/>
    </row>
    <row r="986" spans="1:4" ht="16" thickBot="1" x14ac:dyDescent="0.25">
      <c r="A986" s="195" t="s">
        <v>280</v>
      </c>
      <c r="B986" s="195" t="s">
        <v>117</v>
      </c>
      <c r="C986" s="195" t="s">
        <v>208</v>
      </c>
      <c r="D986" s="195" t="s">
        <v>206</v>
      </c>
    </row>
    <row r="987" spans="1:4" x14ac:dyDescent="0.2">
      <c r="A987" s="314">
        <v>1</v>
      </c>
      <c r="B987" s="315">
        <v>752.42</v>
      </c>
      <c r="C987" s="315"/>
      <c r="D987" s="317" t="s">
        <v>186</v>
      </c>
    </row>
    <row r="988" spans="1:4" x14ac:dyDescent="0.2">
      <c r="A988" s="313">
        <v>2</v>
      </c>
      <c r="B988" s="316">
        <v>130</v>
      </c>
      <c r="C988" s="316"/>
      <c r="D988" s="318" t="s">
        <v>992</v>
      </c>
    </row>
    <row r="989" spans="1:4" x14ac:dyDescent="0.2">
      <c r="A989" s="313">
        <v>3</v>
      </c>
      <c r="B989" s="316">
        <v>666</v>
      </c>
      <c r="C989" s="316"/>
      <c r="D989" s="318" t="s">
        <v>396</v>
      </c>
    </row>
    <row r="990" spans="1:4" x14ac:dyDescent="0.2">
      <c r="A990" s="313">
        <v>4</v>
      </c>
      <c r="B990" s="316">
        <v>418.5</v>
      </c>
      <c r="C990" s="316"/>
      <c r="D990" s="318" t="s">
        <v>396</v>
      </c>
    </row>
    <row r="991" spans="1:4" x14ac:dyDescent="0.2">
      <c r="A991" s="313">
        <v>5</v>
      </c>
      <c r="B991" s="316">
        <v>90</v>
      </c>
      <c r="C991" s="316"/>
      <c r="D991" s="318" t="s">
        <v>334</v>
      </c>
    </row>
    <row r="992" spans="1:4" x14ac:dyDescent="0.2">
      <c r="A992" s="313">
        <v>6</v>
      </c>
      <c r="B992" s="316">
        <v>1005</v>
      </c>
      <c r="C992" s="316">
        <v>131.09</v>
      </c>
      <c r="D992" s="318" t="s">
        <v>11</v>
      </c>
    </row>
    <row r="993" spans="1:4" x14ac:dyDescent="0.2">
      <c r="A993" s="313">
        <v>7</v>
      </c>
      <c r="B993" s="316">
        <v>561.42999999999995</v>
      </c>
      <c r="C993" s="316"/>
      <c r="D993" s="318" t="s">
        <v>528</v>
      </c>
    </row>
    <row r="994" spans="1:4" x14ac:dyDescent="0.2">
      <c r="A994" s="313">
        <v>8</v>
      </c>
      <c r="B994" s="316">
        <v>479.85</v>
      </c>
      <c r="C994" s="316"/>
      <c r="D994" s="318" t="s">
        <v>14</v>
      </c>
    </row>
    <row r="995" spans="1:4" x14ac:dyDescent="0.2">
      <c r="A995" s="313">
        <v>9</v>
      </c>
      <c r="B995" s="316">
        <v>548.32000000000005</v>
      </c>
      <c r="C995" s="316">
        <v>71.52</v>
      </c>
      <c r="D995" s="318" t="s">
        <v>8</v>
      </c>
    </row>
    <row r="996" spans="1:4" x14ac:dyDescent="0.2">
      <c r="A996" s="313">
        <v>10</v>
      </c>
      <c r="B996" s="316">
        <v>7867.38</v>
      </c>
      <c r="C996" s="316">
        <v>539.04999999999995</v>
      </c>
      <c r="D996" s="318" t="s">
        <v>9</v>
      </c>
    </row>
    <row r="997" spans="1:4" x14ac:dyDescent="0.2">
      <c r="A997" s="313">
        <v>11</v>
      </c>
      <c r="B997" s="316">
        <v>528.49</v>
      </c>
      <c r="C997" s="316">
        <v>68.930000000000007</v>
      </c>
      <c r="D997" s="318" t="s">
        <v>343</v>
      </c>
    </row>
    <row r="998" spans="1:4" x14ac:dyDescent="0.2">
      <c r="A998" s="313">
        <v>12</v>
      </c>
      <c r="B998" s="316">
        <v>33752.5</v>
      </c>
      <c r="C998" s="316">
        <v>4402.5</v>
      </c>
      <c r="D998" s="318" t="s">
        <v>6</v>
      </c>
    </row>
    <row r="999" spans="1:4" ht="16" thickBot="1" x14ac:dyDescent="0.25">
      <c r="A999" s="256"/>
      <c r="B999" s="108">
        <f>SUM(B987:B998)</f>
        <v>46799.89</v>
      </c>
      <c r="C999" s="108">
        <f>SUM(C987:C998)</f>
        <v>5213.09</v>
      </c>
      <c r="D999" s="547"/>
    </row>
    <row r="1000" spans="1:4" ht="16" thickBot="1" x14ac:dyDescent="0.25"/>
    <row r="1001" spans="1:4" ht="20" thickBot="1" x14ac:dyDescent="0.3">
      <c r="A1001" s="107" t="s">
        <v>205</v>
      </c>
      <c r="B1001" s="789"/>
      <c r="C1001" s="790"/>
    </row>
    <row r="1002" spans="1:4" ht="20" thickBot="1" x14ac:dyDescent="0.3">
      <c r="A1002" s="195" t="s">
        <v>76</v>
      </c>
      <c r="B1002" s="202">
        <v>45762</v>
      </c>
      <c r="C1002" s="791"/>
      <c r="D1002" s="792"/>
    </row>
    <row r="1003" spans="1:4" ht="16" thickBot="1" x14ac:dyDescent="0.25">
      <c r="A1003" s="195" t="s">
        <v>280</v>
      </c>
      <c r="B1003" s="195" t="s">
        <v>117</v>
      </c>
      <c r="C1003" s="195" t="s">
        <v>208</v>
      </c>
      <c r="D1003" s="195" t="s">
        <v>206</v>
      </c>
    </row>
    <row r="1004" spans="1:4" x14ac:dyDescent="0.2">
      <c r="A1004" s="314">
        <v>1</v>
      </c>
      <c r="B1004" s="315">
        <v>800</v>
      </c>
      <c r="C1004" s="315"/>
      <c r="D1004" s="317" t="s">
        <v>186</v>
      </c>
    </row>
    <row r="1005" spans="1:4" x14ac:dyDescent="0.2">
      <c r="A1005" s="313">
        <v>2</v>
      </c>
      <c r="B1005" s="316">
        <v>81</v>
      </c>
      <c r="C1005" s="316">
        <v>10.57</v>
      </c>
      <c r="D1005" s="318" t="s">
        <v>332</v>
      </c>
    </row>
    <row r="1006" spans="1:4" x14ac:dyDescent="0.2">
      <c r="A1006" s="313">
        <v>3</v>
      </c>
      <c r="B1006" s="316">
        <v>81</v>
      </c>
      <c r="C1006" s="316">
        <v>10.57</v>
      </c>
      <c r="D1006" s="318" t="s">
        <v>332</v>
      </c>
    </row>
    <row r="1007" spans="1:4" x14ac:dyDescent="0.2">
      <c r="A1007" s="313">
        <v>4</v>
      </c>
      <c r="B1007" s="316">
        <v>449.91</v>
      </c>
      <c r="C1007" s="316"/>
      <c r="D1007" s="318" t="s">
        <v>14</v>
      </c>
    </row>
    <row r="1008" spans="1:4" x14ac:dyDescent="0.2">
      <c r="A1008" s="313">
        <v>5</v>
      </c>
      <c r="B1008" s="316">
        <v>119.98</v>
      </c>
      <c r="C1008" s="316">
        <v>15.65</v>
      </c>
      <c r="D1008" s="318" t="s">
        <v>538</v>
      </c>
    </row>
    <row r="1009" spans="1:4" x14ac:dyDescent="0.2">
      <c r="A1009" s="313">
        <v>6</v>
      </c>
      <c r="B1009" s="316">
        <v>9543.25</v>
      </c>
      <c r="C1009" s="316">
        <v>621.54999999999995</v>
      </c>
      <c r="D1009" s="318" t="s">
        <v>9</v>
      </c>
    </row>
    <row r="1010" spans="1:4" x14ac:dyDescent="0.2">
      <c r="A1010" s="313">
        <v>7</v>
      </c>
      <c r="B1010" s="316">
        <v>16.899999999999999</v>
      </c>
      <c r="C1010" s="316"/>
      <c r="D1010" s="318" t="s">
        <v>334</v>
      </c>
    </row>
    <row r="1011" spans="1:4" ht="16" thickBot="1" x14ac:dyDescent="0.25">
      <c r="A1011" s="256"/>
      <c r="B1011" s="108">
        <f>SUM(B1004:B1010)</f>
        <v>11092.039999999999</v>
      </c>
      <c r="C1011" s="108">
        <f>SUM(C1004:C1010)</f>
        <v>658.33999999999992</v>
      </c>
      <c r="D1011" s="547"/>
    </row>
    <row r="1012" spans="1:4" ht="16" thickBot="1" x14ac:dyDescent="0.25"/>
    <row r="1013" spans="1:4" ht="20" thickBot="1" x14ac:dyDescent="0.3">
      <c r="A1013" s="107" t="s">
        <v>205</v>
      </c>
      <c r="B1013" s="789"/>
      <c r="C1013" s="790"/>
    </row>
    <row r="1014" spans="1:4" ht="20" thickBot="1" x14ac:dyDescent="0.3">
      <c r="A1014" s="195" t="s">
        <v>76</v>
      </c>
      <c r="B1014" s="202">
        <v>45763</v>
      </c>
      <c r="C1014" s="791"/>
      <c r="D1014" s="792"/>
    </row>
    <row r="1015" spans="1:4" ht="16" thickBot="1" x14ac:dyDescent="0.25">
      <c r="A1015" s="195" t="s">
        <v>280</v>
      </c>
      <c r="B1015" s="195" t="s">
        <v>117</v>
      </c>
      <c r="C1015" s="195" t="s">
        <v>208</v>
      </c>
      <c r="D1015" s="195" t="s">
        <v>206</v>
      </c>
    </row>
    <row r="1016" spans="1:4" x14ac:dyDescent="0.2">
      <c r="A1016" s="314">
        <v>1</v>
      </c>
      <c r="B1016" s="315">
        <v>800</v>
      </c>
      <c r="C1016" s="315"/>
      <c r="D1016" s="317" t="s">
        <v>186</v>
      </c>
    </row>
    <row r="1017" spans="1:4" x14ac:dyDescent="0.2">
      <c r="A1017" s="313">
        <v>2</v>
      </c>
      <c r="B1017" s="316">
        <v>180</v>
      </c>
      <c r="C1017" s="316"/>
      <c r="D1017" s="318" t="s">
        <v>334</v>
      </c>
    </row>
    <row r="1018" spans="1:4" x14ac:dyDescent="0.2">
      <c r="A1018" s="313">
        <v>3</v>
      </c>
      <c r="B1018" s="316">
        <v>1500</v>
      </c>
      <c r="C1018" s="316"/>
      <c r="D1018" s="318" t="s">
        <v>3</v>
      </c>
    </row>
    <row r="1019" spans="1:4" x14ac:dyDescent="0.2">
      <c r="A1019" s="313">
        <v>4</v>
      </c>
      <c r="B1019" s="316">
        <v>299.94</v>
      </c>
      <c r="C1019" s="316"/>
      <c r="D1019" s="318" t="s">
        <v>14</v>
      </c>
    </row>
    <row r="1020" spans="1:4" x14ac:dyDescent="0.2">
      <c r="A1020" s="313">
        <v>5</v>
      </c>
      <c r="B1020" s="316">
        <v>299.94</v>
      </c>
      <c r="C1020" s="316"/>
      <c r="D1020" s="318" t="s">
        <v>14</v>
      </c>
    </row>
    <row r="1021" spans="1:4" x14ac:dyDescent="0.2">
      <c r="A1021" s="313">
        <v>6</v>
      </c>
      <c r="B1021" s="316">
        <v>149.97</v>
      </c>
      <c r="C1021" s="316"/>
      <c r="D1021" s="318" t="s">
        <v>14</v>
      </c>
    </row>
    <row r="1022" spans="1:4" x14ac:dyDescent="0.2">
      <c r="A1022" s="313">
        <v>7</v>
      </c>
      <c r="B1022" s="316">
        <v>2640</v>
      </c>
      <c r="C1022" s="316">
        <v>344.34</v>
      </c>
      <c r="D1022" s="318" t="s">
        <v>1005</v>
      </c>
    </row>
    <row r="1023" spans="1:4" x14ac:dyDescent="0.2">
      <c r="A1023" s="313">
        <v>8</v>
      </c>
      <c r="B1023" s="316">
        <v>13966.23</v>
      </c>
      <c r="C1023" s="316">
        <v>987.98</v>
      </c>
      <c r="D1023" s="318" t="s">
        <v>9</v>
      </c>
    </row>
    <row r="1024" spans="1:4" ht="16" thickBot="1" x14ac:dyDescent="0.25">
      <c r="A1024" s="256"/>
      <c r="B1024" s="108">
        <f>SUM(B1016:B1023)</f>
        <v>19836.080000000002</v>
      </c>
      <c r="C1024" s="108">
        <f>SUM(C1016:C1023)</f>
        <v>1332.32</v>
      </c>
      <c r="D1024" s="547"/>
    </row>
    <row r="1025" spans="1:4" ht="16" thickBot="1" x14ac:dyDescent="0.25"/>
    <row r="1026" spans="1:4" ht="20" thickBot="1" x14ac:dyDescent="0.3">
      <c r="A1026" s="107" t="s">
        <v>205</v>
      </c>
      <c r="B1026" s="789"/>
      <c r="C1026" s="790"/>
    </row>
    <row r="1027" spans="1:4" ht="20" thickBot="1" x14ac:dyDescent="0.3">
      <c r="A1027" s="195" t="s">
        <v>76</v>
      </c>
      <c r="B1027" s="202">
        <v>45764</v>
      </c>
      <c r="C1027" s="791"/>
      <c r="D1027" s="792"/>
    </row>
    <row r="1028" spans="1:4" ht="16" thickBot="1" x14ac:dyDescent="0.25">
      <c r="A1028" s="195" t="s">
        <v>280</v>
      </c>
      <c r="B1028" s="195" t="s">
        <v>117</v>
      </c>
      <c r="C1028" s="195" t="s">
        <v>208</v>
      </c>
      <c r="D1028" s="195" t="s">
        <v>206</v>
      </c>
    </row>
    <row r="1029" spans="1:4" x14ac:dyDescent="0.2">
      <c r="A1029" s="314">
        <v>1</v>
      </c>
      <c r="B1029" s="315">
        <v>2119.19</v>
      </c>
      <c r="C1029" s="315"/>
      <c r="D1029" s="317" t="s">
        <v>1012</v>
      </c>
    </row>
    <row r="1030" spans="1:4" x14ac:dyDescent="0.2">
      <c r="A1030" s="313">
        <v>2</v>
      </c>
      <c r="B1030" s="316">
        <v>600</v>
      </c>
      <c r="C1030" s="316"/>
      <c r="D1030" s="318" t="s">
        <v>528</v>
      </c>
    </row>
    <row r="1031" spans="1:4" x14ac:dyDescent="0.2">
      <c r="A1031" s="313">
        <v>3</v>
      </c>
      <c r="B1031" s="316">
        <v>81</v>
      </c>
      <c r="C1031" s="316">
        <v>10.57</v>
      </c>
      <c r="D1031" s="318" t="s">
        <v>332</v>
      </c>
    </row>
    <row r="1032" spans="1:4" x14ac:dyDescent="0.2">
      <c r="A1032" s="313">
        <v>4</v>
      </c>
      <c r="B1032" s="316">
        <v>81</v>
      </c>
      <c r="C1032" s="316">
        <v>10.57</v>
      </c>
      <c r="D1032" s="318" t="s">
        <v>332</v>
      </c>
    </row>
    <row r="1033" spans="1:4" x14ac:dyDescent="0.2">
      <c r="A1033" s="313">
        <v>5</v>
      </c>
      <c r="B1033" s="316">
        <v>44.99</v>
      </c>
      <c r="C1033" s="316">
        <v>6.75</v>
      </c>
      <c r="D1033" s="318" t="s">
        <v>9</v>
      </c>
    </row>
    <row r="1034" spans="1:4" x14ac:dyDescent="0.2">
      <c r="A1034" s="313">
        <v>6</v>
      </c>
      <c r="B1034" s="316">
        <v>6748.66</v>
      </c>
      <c r="C1034" s="316">
        <v>449.22</v>
      </c>
      <c r="D1034" s="318" t="s">
        <v>9</v>
      </c>
    </row>
    <row r="1035" spans="1:4" x14ac:dyDescent="0.2">
      <c r="A1035" s="313">
        <v>7</v>
      </c>
      <c r="B1035" s="316">
        <v>371.93</v>
      </c>
      <c r="C1035" s="316">
        <v>2.87</v>
      </c>
      <c r="D1035" s="318" t="s">
        <v>14</v>
      </c>
    </row>
    <row r="1036" spans="1:4" x14ac:dyDescent="0.2">
      <c r="A1036" s="313">
        <v>8</v>
      </c>
      <c r="B1036" s="316">
        <v>7157.54</v>
      </c>
      <c r="C1036" s="316">
        <v>933.59</v>
      </c>
      <c r="D1036" s="318" t="s">
        <v>778</v>
      </c>
    </row>
    <row r="1037" spans="1:4" ht="16" thickBot="1" x14ac:dyDescent="0.25">
      <c r="A1037" s="256"/>
      <c r="B1037" s="108">
        <f>SUM(B1029:B1036)</f>
        <v>17204.310000000001</v>
      </c>
      <c r="C1037" s="108">
        <f>SUM(C1029:C1036)</f>
        <v>1413.5700000000002</v>
      </c>
      <c r="D1037" s="547"/>
    </row>
    <row r="1038" spans="1:4" ht="16" thickBot="1" x14ac:dyDescent="0.25"/>
    <row r="1039" spans="1:4" ht="20" thickBot="1" x14ac:dyDescent="0.3">
      <c r="A1039" s="107" t="s">
        <v>205</v>
      </c>
      <c r="B1039" s="789"/>
      <c r="C1039" s="790"/>
    </row>
    <row r="1040" spans="1:4" ht="20" thickBot="1" x14ac:dyDescent="0.3">
      <c r="A1040" s="195" t="s">
        <v>76</v>
      </c>
      <c r="B1040" s="202">
        <v>45765</v>
      </c>
      <c r="C1040" s="791"/>
      <c r="D1040" s="792"/>
    </row>
    <row r="1041" spans="1:4" ht="16" thickBot="1" x14ac:dyDescent="0.25">
      <c r="A1041" s="195" t="s">
        <v>280</v>
      </c>
      <c r="B1041" s="195" t="s">
        <v>117</v>
      </c>
      <c r="C1041" s="195" t="s">
        <v>208</v>
      </c>
      <c r="D1041" s="195" t="s">
        <v>206</v>
      </c>
    </row>
    <row r="1042" spans="1:4" x14ac:dyDescent="0.2">
      <c r="A1042" s="314">
        <v>1</v>
      </c>
      <c r="B1042" s="315">
        <v>800</v>
      </c>
      <c r="C1042" s="315"/>
      <c r="D1042" s="317" t="s">
        <v>186</v>
      </c>
    </row>
    <row r="1043" spans="1:4" x14ac:dyDescent="0.2">
      <c r="A1043" s="313">
        <v>2</v>
      </c>
      <c r="B1043" s="316">
        <v>90</v>
      </c>
      <c r="C1043" s="316"/>
      <c r="D1043" s="318" t="s">
        <v>377</v>
      </c>
    </row>
    <row r="1044" spans="1:4" x14ac:dyDescent="0.2">
      <c r="A1044" s="313">
        <v>3</v>
      </c>
      <c r="B1044" s="316">
        <v>349.93</v>
      </c>
      <c r="C1044" s="316"/>
      <c r="D1044" s="318" t="s">
        <v>14</v>
      </c>
    </row>
    <row r="1045" spans="1:4" x14ac:dyDescent="0.2">
      <c r="A1045" s="313">
        <v>4</v>
      </c>
      <c r="B1045" s="316">
        <v>7423.58</v>
      </c>
      <c r="C1045" s="316">
        <v>550.46</v>
      </c>
      <c r="D1045" s="318" t="s">
        <v>9</v>
      </c>
    </row>
    <row r="1046" spans="1:4" ht="16" thickBot="1" x14ac:dyDescent="0.25">
      <c r="A1046" s="256"/>
      <c r="B1046" s="108">
        <f>SUM(B1042:B1045)</f>
        <v>8663.51</v>
      </c>
      <c r="C1046" s="108">
        <f>SUM(C1042:C1045)</f>
        <v>550.46</v>
      </c>
      <c r="D1046" s="547"/>
    </row>
    <row r="1047" spans="1:4" ht="16" thickBot="1" x14ac:dyDescent="0.25"/>
    <row r="1048" spans="1:4" ht="20" thickBot="1" x14ac:dyDescent="0.3">
      <c r="A1048" s="107" t="s">
        <v>205</v>
      </c>
      <c r="B1048" s="789"/>
      <c r="C1048" s="790"/>
    </row>
    <row r="1049" spans="1:4" ht="20" thickBot="1" x14ac:dyDescent="0.3">
      <c r="A1049" s="195" t="s">
        <v>76</v>
      </c>
      <c r="B1049" s="202">
        <v>45768</v>
      </c>
      <c r="C1049" s="791"/>
      <c r="D1049" s="792"/>
    </row>
    <row r="1050" spans="1:4" ht="16" thickBot="1" x14ac:dyDescent="0.25">
      <c r="A1050" s="195" t="s">
        <v>280</v>
      </c>
      <c r="B1050" s="195" t="s">
        <v>117</v>
      </c>
      <c r="C1050" s="195" t="s">
        <v>208</v>
      </c>
      <c r="D1050" s="195" t="s">
        <v>206</v>
      </c>
    </row>
    <row r="1051" spans="1:4" x14ac:dyDescent="0.2">
      <c r="A1051" s="314">
        <v>1</v>
      </c>
      <c r="B1051" s="315">
        <v>850</v>
      </c>
      <c r="C1051" s="315"/>
      <c r="D1051" s="317" t="s">
        <v>186</v>
      </c>
    </row>
    <row r="1052" spans="1:4" x14ac:dyDescent="0.2">
      <c r="A1052" s="313">
        <v>2</v>
      </c>
      <c r="B1052" s="316">
        <v>119.94</v>
      </c>
      <c r="C1052" s="316"/>
      <c r="D1052" s="318" t="s">
        <v>14</v>
      </c>
    </row>
    <row r="1053" spans="1:4" x14ac:dyDescent="0.2">
      <c r="A1053" s="313">
        <v>3</v>
      </c>
      <c r="B1053" s="316">
        <v>6414.68</v>
      </c>
      <c r="C1053" s="316">
        <v>351.57</v>
      </c>
      <c r="D1053" s="318" t="s">
        <v>9</v>
      </c>
    </row>
    <row r="1054" spans="1:4" ht="16" thickBot="1" x14ac:dyDescent="0.25">
      <c r="A1054" s="256"/>
      <c r="B1054" s="108">
        <f>SUM(B1051:B1053)</f>
        <v>7384.6200000000008</v>
      </c>
      <c r="C1054" s="108">
        <f>SUM(C1051:C1053)</f>
        <v>351.57</v>
      </c>
      <c r="D1054" s="547"/>
    </row>
    <row r="1055" spans="1:4" ht="16" thickBot="1" x14ac:dyDescent="0.25"/>
    <row r="1056" spans="1:4" ht="20" thickBot="1" x14ac:dyDescent="0.3">
      <c r="A1056" s="107" t="s">
        <v>205</v>
      </c>
      <c r="B1056" s="789"/>
      <c r="C1056" s="790"/>
    </row>
    <row r="1057" spans="1:4" ht="20" thickBot="1" x14ac:dyDescent="0.3">
      <c r="A1057" s="195" t="s">
        <v>76</v>
      </c>
      <c r="B1057" s="202">
        <v>45769</v>
      </c>
      <c r="C1057" s="791"/>
      <c r="D1057" s="792"/>
    </row>
    <row r="1058" spans="1:4" ht="16" thickBot="1" x14ac:dyDescent="0.25">
      <c r="A1058" s="195" t="s">
        <v>280</v>
      </c>
      <c r="B1058" s="195" t="s">
        <v>117</v>
      </c>
      <c r="C1058" s="195" t="s">
        <v>208</v>
      </c>
      <c r="D1058" s="195" t="s">
        <v>206</v>
      </c>
    </row>
    <row r="1059" spans="1:4" x14ac:dyDescent="0.2">
      <c r="A1059" s="314">
        <v>1</v>
      </c>
      <c r="B1059" s="315">
        <v>910</v>
      </c>
      <c r="C1059" s="315"/>
      <c r="D1059" s="317" t="s">
        <v>186</v>
      </c>
    </row>
    <row r="1060" spans="1:4" x14ac:dyDescent="0.2">
      <c r="A1060" s="313">
        <v>2</v>
      </c>
      <c r="B1060" s="316">
        <v>1000</v>
      </c>
      <c r="C1060" s="316"/>
      <c r="D1060" s="318" t="s">
        <v>186</v>
      </c>
    </row>
    <row r="1061" spans="1:4" x14ac:dyDescent="0.2">
      <c r="A1061" s="313">
        <v>3</v>
      </c>
      <c r="B1061" s="316">
        <v>81</v>
      </c>
      <c r="C1061" s="316">
        <v>10.57</v>
      </c>
      <c r="D1061" s="318" t="s">
        <v>332</v>
      </c>
    </row>
    <row r="1062" spans="1:4" x14ac:dyDescent="0.2">
      <c r="A1062" s="313">
        <v>4</v>
      </c>
      <c r="B1062" s="316">
        <v>81</v>
      </c>
      <c r="C1062" s="316">
        <v>10.57</v>
      </c>
      <c r="D1062" s="318" t="s">
        <v>332</v>
      </c>
    </row>
    <row r="1063" spans="1:4" x14ac:dyDescent="0.2">
      <c r="A1063" s="313">
        <v>5</v>
      </c>
      <c r="B1063" s="316">
        <v>128</v>
      </c>
      <c r="C1063" s="316"/>
      <c r="D1063" s="318" t="s">
        <v>426</v>
      </c>
    </row>
    <row r="1064" spans="1:4" x14ac:dyDescent="0.2">
      <c r="A1064" s="313">
        <v>6</v>
      </c>
      <c r="B1064" s="316">
        <v>164.99</v>
      </c>
      <c r="C1064" s="316">
        <v>21.52</v>
      </c>
      <c r="D1064" s="318" t="s">
        <v>297</v>
      </c>
    </row>
    <row r="1065" spans="1:4" x14ac:dyDescent="0.2">
      <c r="A1065" s="313">
        <v>7</v>
      </c>
      <c r="B1065" s="316">
        <v>5733.9</v>
      </c>
      <c r="C1065" s="316">
        <v>747.9</v>
      </c>
      <c r="D1065" s="318" t="s">
        <v>11</v>
      </c>
    </row>
    <row r="1066" spans="1:4" x14ac:dyDescent="0.2">
      <c r="A1066" s="313">
        <v>8</v>
      </c>
      <c r="B1066" s="316">
        <v>599.9</v>
      </c>
      <c r="C1066" s="316"/>
      <c r="D1066" s="318" t="s">
        <v>14</v>
      </c>
    </row>
    <row r="1067" spans="1:4" x14ac:dyDescent="0.2">
      <c r="A1067" s="313">
        <v>9</v>
      </c>
      <c r="B1067" s="316">
        <v>7924.45</v>
      </c>
      <c r="C1067" s="316">
        <v>494.52</v>
      </c>
      <c r="D1067" s="318" t="s">
        <v>9</v>
      </c>
    </row>
    <row r="1068" spans="1:4" x14ac:dyDescent="0.2">
      <c r="A1068" s="313">
        <v>10</v>
      </c>
      <c r="B1068" s="316">
        <v>21565</v>
      </c>
      <c r="C1068" s="316"/>
      <c r="D1068" s="318" t="s">
        <v>12</v>
      </c>
    </row>
    <row r="1069" spans="1:4" ht="16" thickBot="1" x14ac:dyDescent="0.25">
      <c r="A1069" s="256"/>
      <c r="B1069" s="108">
        <f>SUM(B1059:B1068)</f>
        <v>38188.239999999998</v>
      </c>
      <c r="C1069" s="108">
        <f>SUM(C1059:C1068)</f>
        <v>1285.08</v>
      </c>
      <c r="D1069" s="547"/>
    </row>
    <row r="1070" spans="1:4" ht="16" thickBot="1" x14ac:dyDescent="0.25"/>
    <row r="1071" spans="1:4" ht="20" thickBot="1" x14ac:dyDescent="0.3">
      <c r="A1071" s="107" t="s">
        <v>205</v>
      </c>
      <c r="B1071" s="789"/>
      <c r="C1071" s="790"/>
    </row>
    <row r="1072" spans="1:4" ht="20" thickBot="1" x14ac:dyDescent="0.3">
      <c r="A1072" s="195" t="s">
        <v>76</v>
      </c>
      <c r="B1072" s="202">
        <v>45770</v>
      </c>
      <c r="C1072" s="791"/>
      <c r="D1072" s="792"/>
    </row>
    <row r="1073" spans="1:4" ht="16" thickBot="1" x14ac:dyDescent="0.25">
      <c r="A1073" s="195" t="s">
        <v>280</v>
      </c>
      <c r="B1073" s="195" t="s">
        <v>117</v>
      </c>
      <c r="C1073" s="195" t="s">
        <v>208</v>
      </c>
      <c r="D1073" s="195" t="s">
        <v>206</v>
      </c>
    </row>
    <row r="1074" spans="1:4" x14ac:dyDescent="0.2">
      <c r="A1074" s="314">
        <v>1</v>
      </c>
      <c r="B1074" s="315">
        <v>800</v>
      </c>
      <c r="C1074" s="315"/>
      <c r="D1074" s="317" t="s">
        <v>186</v>
      </c>
    </row>
    <row r="1075" spans="1:4" ht="16" thickBot="1" x14ac:dyDescent="0.25">
      <c r="A1075" s="256"/>
      <c r="B1075" s="108">
        <f>SUM(B1074:B1074)</f>
        <v>800</v>
      </c>
      <c r="C1075" s="108">
        <f>SUM(C1074:C1074)</f>
        <v>0</v>
      </c>
      <c r="D1075" s="547"/>
    </row>
    <row r="1076" spans="1:4" ht="16" thickBot="1" x14ac:dyDescent="0.25"/>
    <row r="1077" spans="1:4" ht="20" thickBot="1" x14ac:dyDescent="0.3">
      <c r="A1077" s="107" t="s">
        <v>205</v>
      </c>
      <c r="B1077" s="789"/>
      <c r="C1077" s="790"/>
    </row>
    <row r="1078" spans="1:4" ht="20" thickBot="1" x14ac:dyDescent="0.3">
      <c r="A1078" s="195" t="s">
        <v>76</v>
      </c>
      <c r="B1078" s="202">
        <v>45771</v>
      </c>
      <c r="C1078" s="791"/>
      <c r="D1078" s="792"/>
    </row>
    <row r="1079" spans="1:4" ht="16" thickBot="1" x14ac:dyDescent="0.25">
      <c r="A1079" s="195" t="s">
        <v>280</v>
      </c>
      <c r="B1079" s="195" t="s">
        <v>117</v>
      </c>
      <c r="C1079" s="195" t="s">
        <v>208</v>
      </c>
      <c r="D1079" s="195" t="s">
        <v>206</v>
      </c>
    </row>
    <row r="1080" spans="1:4" x14ac:dyDescent="0.2">
      <c r="A1080" s="314">
        <v>1</v>
      </c>
      <c r="B1080" s="315">
        <v>800</v>
      </c>
      <c r="C1080" s="315"/>
      <c r="D1080" s="317" t="s">
        <v>186</v>
      </c>
    </row>
    <row r="1081" spans="1:4" x14ac:dyDescent="0.2">
      <c r="A1081" s="313">
        <v>2</v>
      </c>
      <c r="B1081" s="316">
        <v>479.92</v>
      </c>
      <c r="C1081" s="316"/>
      <c r="D1081" s="318" t="s">
        <v>14</v>
      </c>
    </row>
    <row r="1082" spans="1:4" x14ac:dyDescent="0.2">
      <c r="A1082" s="313">
        <v>3</v>
      </c>
      <c r="B1082" s="316">
        <v>129.25</v>
      </c>
      <c r="C1082" s="316">
        <v>7.34</v>
      </c>
      <c r="D1082" s="318" t="s">
        <v>14</v>
      </c>
    </row>
    <row r="1083" spans="1:4" x14ac:dyDescent="0.2">
      <c r="A1083" s="313">
        <v>4</v>
      </c>
      <c r="B1083" s="316">
        <v>7601.61</v>
      </c>
      <c r="C1083" s="316">
        <v>557.80999999999995</v>
      </c>
      <c r="D1083" s="318" t="s">
        <v>9</v>
      </c>
    </row>
    <row r="1084" spans="1:4" x14ac:dyDescent="0.2">
      <c r="A1084" s="313">
        <v>5</v>
      </c>
      <c r="B1084" s="316">
        <v>370</v>
      </c>
      <c r="C1084" s="316"/>
      <c r="D1084" s="318" t="s">
        <v>396</v>
      </c>
    </row>
    <row r="1085" spans="1:4" x14ac:dyDescent="0.2">
      <c r="A1085" s="313">
        <v>6</v>
      </c>
      <c r="B1085" s="316">
        <v>7157.54</v>
      </c>
      <c r="C1085" s="316">
        <v>933.59</v>
      </c>
      <c r="D1085" s="318" t="s">
        <v>311</v>
      </c>
    </row>
    <row r="1086" spans="1:4" ht="16" thickBot="1" x14ac:dyDescent="0.25">
      <c r="A1086" s="256"/>
      <c r="B1086" s="108">
        <f>SUM(B1080:B1085)</f>
        <v>16538.32</v>
      </c>
      <c r="C1086" s="108">
        <f>SUM(C1080:C1085)</f>
        <v>1498.74</v>
      </c>
      <c r="D1086" s="547"/>
    </row>
    <row r="1087" spans="1:4" ht="16" thickBot="1" x14ac:dyDescent="0.25"/>
    <row r="1088" spans="1:4" ht="20" thickBot="1" x14ac:dyDescent="0.3">
      <c r="A1088" s="107" t="s">
        <v>205</v>
      </c>
      <c r="B1088" s="789"/>
      <c r="C1088" s="790"/>
    </row>
    <row r="1089" spans="1:4" ht="20" thickBot="1" x14ac:dyDescent="0.3">
      <c r="A1089" s="195" t="s">
        <v>76</v>
      </c>
      <c r="B1089" s="202">
        <v>45772</v>
      </c>
      <c r="C1089" s="791"/>
      <c r="D1089" s="792"/>
    </row>
    <row r="1090" spans="1:4" ht="16" thickBot="1" x14ac:dyDescent="0.25">
      <c r="A1090" s="195" t="s">
        <v>280</v>
      </c>
      <c r="B1090" s="195" t="s">
        <v>117</v>
      </c>
      <c r="C1090" s="195" t="s">
        <v>208</v>
      </c>
      <c r="D1090" s="195" t="s">
        <v>206</v>
      </c>
    </row>
    <row r="1091" spans="1:4" x14ac:dyDescent="0.2">
      <c r="A1091" s="314">
        <v>1</v>
      </c>
      <c r="B1091" s="315">
        <v>806.95</v>
      </c>
      <c r="C1091" s="315"/>
      <c r="D1091" s="317" t="s">
        <v>186</v>
      </c>
    </row>
    <row r="1092" spans="1:4" ht="16" thickBot="1" x14ac:dyDescent="0.25">
      <c r="A1092" s="256"/>
      <c r="B1092" s="108">
        <f>SUM(B1091:B1091)</f>
        <v>806.95</v>
      </c>
      <c r="C1092" s="108">
        <f>SUM(C1091:C1091)</f>
        <v>0</v>
      </c>
      <c r="D1092" s="547"/>
    </row>
    <row r="1093" spans="1:4" ht="16" thickBot="1" x14ac:dyDescent="0.25"/>
    <row r="1094" spans="1:4" ht="20" thickBot="1" x14ac:dyDescent="0.3">
      <c r="A1094" s="107" t="s">
        <v>205</v>
      </c>
      <c r="B1094" s="789"/>
      <c r="C1094" s="790"/>
    </row>
    <row r="1095" spans="1:4" ht="20" thickBot="1" x14ac:dyDescent="0.3">
      <c r="A1095" s="195" t="s">
        <v>76</v>
      </c>
      <c r="B1095" s="202">
        <v>45773</v>
      </c>
      <c r="C1095" s="791"/>
      <c r="D1095" s="792"/>
    </row>
    <row r="1096" spans="1:4" ht="16" thickBot="1" x14ac:dyDescent="0.25">
      <c r="A1096" s="195" t="s">
        <v>280</v>
      </c>
      <c r="B1096" s="195" t="s">
        <v>117</v>
      </c>
      <c r="C1096" s="195" t="s">
        <v>208</v>
      </c>
      <c r="D1096" s="195" t="s">
        <v>206</v>
      </c>
    </row>
    <row r="1097" spans="1:4" x14ac:dyDescent="0.2">
      <c r="A1097" s="314">
        <v>1</v>
      </c>
      <c r="B1097" s="315">
        <v>1500</v>
      </c>
      <c r="C1097" s="315"/>
      <c r="D1097" s="317" t="s">
        <v>3</v>
      </c>
    </row>
    <row r="1098" spans="1:4" x14ac:dyDescent="0.2">
      <c r="A1098" s="313">
        <v>2</v>
      </c>
      <c r="B1098" s="316">
        <v>145</v>
      </c>
      <c r="C1098" s="316">
        <v>18.91</v>
      </c>
      <c r="D1098" s="318" t="s">
        <v>297</v>
      </c>
    </row>
    <row r="1099" spans="1:4" x14ac:dyDescent="0.2">
      <c r="A1099" s="313">
        <v>3</v>
      </c>
      <c r="B1099" s="316">
        <v>461.19</v>
      </c>
      <c r="C1099" s="316">
        <v>13.21</v>
      </c>
      <c r="D1099" s="318" t="s">
        <v>14</v>
      </c>
    </row>
    <row r="1100" spans="1:4" x14ac:dyDescent="0.2">
      <c r="A1100" s="313">
        <v>4</v>
      </c>
      <c r="B1100" s="316">
        <v>7333.42</v>
      </c>
      <c r="C1100" s="316">
        <v>498.26</v>
      </c>
      <c r="D1100" s="318" t="s">
        <v>9</v>
      </c>
    </row>
    <row r="1101" spans="1:4" x14ac:dyDescent="0.2">
      <c r="A1101" s="313">
        <v>5</v>
      </c>
      <c r="B1101" s="316">
        <v>21670</v>
      </c>
      <c r="C1101" s="316"/>
      <c r="D1101" s="318" t="s">
        <v>12</v>
      </c>
    </row>
    <row r="1102" spans="1:4" ht="16" thickBot="1" x14ac:dyDescent="0.25">
      <c r="A1102" s="256"/>
      <c r="B1102" s="108">
        <f>SUM(B1097:B1101)</f>
        <v>31109.61</v>
      </c>
      <c r="C1102" s="108">
        <f>SUM(C1097:C1101)</f>
        <v>530.38</v>
      </c>
      <c r="D1102" s="547"/>
    </row>
    <row r="1103" spans="1:4" ht="16" thickBot="1" x14ac:dyDescent="0.25"/>
    <row r="1104" spans="1:4" ht="20" thickBot="1" x14ac:dyDescent="0.3">
      <c r="A1104" s="107" t="s">
        <v>205</v>
      </c>
      <c r="B1104" s="789"/>
      <c r="C1104" s="790"/>
    </row>
    <row r="1105" spans="1:4" ht="20" thickBot="1" x14ac:dyDescent="0.3">
      <c r="A1105" s="195" t="s">
        <v>76</v>
      </c>
      <c r="B1105" s="202">
        <v>45775</v>
      </c>
      <c r="C1105" s="791"/>
      <c r="D1105" s="792"/>
    </row>
    <row r="1106" spans="1:4" ht="16" thickBot="1" x14ac:dyDescent="0.25">
      <c r="A1106" s="195" t="s">
        <v>280</v>
      </c>
      <c r="B1106" s="195" t="s">
        <v>117</v>
      </c>
      <c r="C1106" s="195" t="s">
        <v>208</v>
      </c>
      <c r="D1106" s="195" t="s">
        <v>206</v>
      </c>
    </row>
    <row r="1107" spans="1:4" x14ac:dyDescent="0.2">
      <c r="A1107" s="314">
        <v>1</v>
      </c>
      <c r="B1107" s="315">
        <v>673</v>
      </c>
      <c r="C1107" s="315"/>
      <c r="D1107" s="317" t="s">
        <v>186</v>
      </c>
    </row>
    <row r="1108" spans="1:4" x14ac:dyDescent="0.2">
      <c r="A1108" s="313">
        <v>2</v>
      </c>
      <c r="B1108" s="316">
        <v>106.99</v>
      </c>
      <c r="C1108" s="316">
        <v>13.96</v>
      </c>
      <c r="D1108" s="318" t="s">
        <v>297</v>
      </c>
    </row>
    <row r="1109" spans="1:4" x14ac:dyDescent="0.2">
      <c r="A1109" s="313">
        <v>3</v>
      </c>
      <c r="B1109" s="316">
        <v>480</v>
      </c>
      <c r="C1109" s="316"/>
      <c r="D1109" s="318" t="s">
        <v>396</v>
      </c>
    </row>
    <row r="1110" spans="1:4" x14ac:dyDescent="0.2">
      <c r="A1110" s="313">
        <v>4</v>
      </c>
      <c r="B1110" s="316">
        <v>1488.55</v>
      </c>
      <c r="C1110" s="316">
        <v>129.61000000000001</v>
      </c>
      <c r="D1110" s="318" t="s">
        <v>14</v>
      </c>
    </row>
    <row r="1111" spans="1:4" x14ac:dyDescent="0.2">
      <c r="A1111" s="313">
        <v>5</v>
      </c>
      <c r="B1111" s="316">
        <v>7530.6</v>
      </c>
      <c r="C1111" s="316">
        <v>495.26</v>
      </c>
      <c r="D1111" s="318" t="s">
        <v>9</v>
      </c>
    </row>
    <row r="1112" spans="1:4" ht="16" thickBot="1" x14ac:dyDescent="0.25">
      <c r="A1112" s="256"/>
      <c r="B1112" s="108">
        <f>SUM(B1107:B1111)</f>
        <v>10279.14</v>
      </c>
      <c r="C1112" s="108">
        <f>SUM(C1107:C1111)</f>
        <v>638.83000000000004</v>
      </c>
      <c r="D1112" s="547"/>
    </row>
    <row r="1113" spans="1:4" ht="16" thickBot="1" x14ac:dyDescent="0.25"/>
    <row r="1114" spans="1:4" ht="20" thickBot="1" x14ac:dyDescent="0.3">
      <c r="A1114" s="107" t="s">
        <v>205</v>
      </c>
      <c r="B1114" s="789"/>
      <c r="C1114" s="790"/>
    </row>
    <row r="1115" spans="1:4" ht="20" thickBot="1" x14ac:dyDescent="0.3">
      <c r="A1115" s="195" t="s">
        <v>76</v>
      </c>
      <c r="B1115" s="202">
        <v>45776</v>
      </c>
      <c r="C1115" s="791"/>
      <c r="D1115" s="792"/>
    </row>
    <row r="1116" spans="1:4" ht="16" thickBot="1" x14ac:dyDescent="0.25">
      <c r="A1116" s="195" t="s">
        <v>280</v>
      </c>
      <c r="B1116" s="195" t="s">
        <v>117</v>
      </c>
      <c r="C1116" s="195" t="s">
        <v>208</v>
      </c>
      <c r="D1116" s="195" t="s">
        <v>206</v>
      </c>
    </row>
    <row r="1117" spans="1:4" x14ac:dyDescent="0.2">
      <c r="A1117" s="314">
        <v>1</v>
      </c>
      <c r="B1117" s="315">
        <v>592.79999999999995</v>
      </c>
      <c r="C1117" s="315"/>
      <c r="D1117" s="317" t="s">
        <v>186</v>
      </c>
    </row>
    <row r="1118" spans="1:4" x14ac:dyDescent="0.2">
      <c r="A1118" s="313">
        <v>2</v>
      </c>
      <c r="B1118" s="316">
        <v>81</v>
      </c>
      <c r="C1118" s="316">
        <v>10.57</v>
      </c>
      <c r="D1118" s="318" t="s">
        <v>332</v>
      </c>
    </row>
    <row r="1119" spans="1:4" x14ac:dyDescent="0.2">
      <c r="A1119" s="313">
        <v>3</v>
      </c>
      <c r="B1119" s="316">
        <v>81</v>
      </c>
      <c r="C1119" s="316">
        <v>10.57</v>
      </c>
      <c r="D1119" s="318" t="s">
        <v>332</v>
      </c>
    </row>
    <row r="1120" spans="1:4" x14ac:dyDescent="0.2">
      <c r="A1120" s="313">
        <v>4</v>
      </c>
      <c r="B1120" s="316">
        <v>190.98</v>
      </c>
      <c r="C1120" s="316"/>
      <c r="D1120" s="318" t="s">
        <v>411</v>
      </c>
    </row>
    <row r="1121" spans="1:4" x14ac:dyDescent="0.2">
      <c r="A1121" s="313">
        <v>5</v>
      </c>
      <c r="B1121" s="316">
        <v>552</v>
      </c>
      <c r="C1121" s="316">
        <v>72</v>
      </c>
      <c r="D1121" s="318" t="s">
        <v>730</v>
      </c>
    </row>
    <row r="1122" spans="1:4" x14ac:dyDescent="0.2">
      <c r="A1122" s="313">
        <v>6</v>
      </c>
      <c r="B1122" s="316">
        <v>7367.59</v>
      </c>
      <c r="C1122" s="316">
        <v>450.71</v>
      </c>
      <c r="D1122" s="318" t="s">
        <v>9</v>
      </c>
    </row>
    <row r="1123" spans="1:4" x14ac:dyDescent="0.2">
      <c r="A1123" s="313">
        <v>7</v>
      </c>
      <c r="B1123" s="316">
        <v>20531.88</v>
      </c>
      <c r="C1123" s="316">
        <v>2678.08</v>
      </c>
      <c r="D1123" s="318" t="s">
        <v>6</v>
      </c>
    </row>
    <row r="1124" spans="1:4" ht="16" thickBot="1" x14ac:dyDescent="0.25">
      <c r="A1124" s="256"/>
      <c r="B1124" s="108">
        <f>SUM(B1117:B1123)</f>
        <v>29397.25</v>
      </c>
      <c r="C1124" s="108">
        <f>SUM(C1117:C1123)</f>
        <v>3221.93</v>
      </c>
      <c r="D1124" s="547"/>
    </row>
    <row r="1125" spans="1:4" ht="16" thickBot="1" x14ac:dyDescent="0.25"/>
    <row r="1126" spans="1:4" ht="20" thickBot="1" x14ac:dyDescent="0.3">
      <c r="A1126" s="107" t="s">
        <v>205</v>
      </c>
      <c r="B1126" s="789"/>
      <c r="C1126" s="790"/>
    </row>
    <row r="1127" spans="1:4" ht="20" thickBot="1" x14ac:dyDescent="0.3">
      <c r="A1127" s="195" t="s">
        <v>76</v>
      </c>
      <c r="B1127" s="202">
        <v>45777</v>
      </c>
      <c r="C1127" s="791"/>
      <c r="D1127" s="792"/>
    </row>
    <row r="1128" spans="1:4" ht="16" thickBot="1" x14ac:dyDescent="0.25">
      <c r="A1128" s="195" t="s">
        <v>280</v>
      </c>
      <c r="B1128" s="195" t="s">
        <v>117</v>
      </c>
      <c r="C1128" s="195" t="s">
        <v>208</v>
      </c>
      <c r="D1128" s="195" t="s">
        <v>206</v>
      </c>
    </row>
    <row r="1129" spans="1:4" x14ac:dyDescent="0.2">
      <c r="A1129" s="314">
        <v>1</v>
      </c>
      <c r="B1129" s="315">
        <v>800</v>
      </c>
      <c r="C1129" s="315"/>
      <c r="D1129" s="317" t="s">
        <v>186</v>
      </c>
    </row>
    <row r="1130" spans="1:4" ht="16" thickBot="1" x14ac:dyDescent="0.25">
      <c r="A1130" s="256"/>
      <c r="B1130" s="108">
        <f>SUM(B1129:B1129)</f>
        <v>800</v>
      </c>
      <c r="C1130" s="108">
        <f>SUM(C1129:C1129)</f>
        <v>0</v>
      </c>
      <c r="D1130" s="547"/>
    </row>
    <row r="1131" spans="1:4" ht="16" thickBot="1" x14ac:dyDescent="0.25"/>
    <row r="1132" spans="1:4" ht="20" thickBot="1" x14ac:dyDescent="0.3">
      <c r="A1132" s="107" t="s">
        <v>205</v>
      </c>
      <c r="B1132" s="789"/>
      <c r="C1132" s="790"/>
    </row>
    <row r="1133" spans="1:4" ht="20" thickBot="1" x14ac:dyDescent="0.3">
      <c r="A1133" s="195" t="s">
        <v>76</v>
      </c>
      <c r="B1133" s="202">
        <v>45778</v>
      </c>
      <c r="C1133" s="791"/>
      <c r="D1133" s="792"/>
    </row>
    <row r="1134" spans="1:4" ht="16" thickBot="1" x14ac:dyDescent="0.25">
      <c r="A1134" s="195" t="s">
        <v>280</v>
      </c>
      <c r="B1134" s="195" t="s">
        <v>117</v>
      </c>
      <c r="C1134" s="195" t="s">
        <v>208</v>
      </c>
      <c r="D1134" s="195" t="s">
        <v>206</v>
      </c>
    </row>
    <row r="1135" spans="1:4" x14ac:dyDescent="0.2">
      <c r="A1135" s="314">
        <v>1</v>
      </c>
      <c r="B1135" s="315">
        <v>800</v>
      </c>
      <c r="C1135" s="315"/>
      <c r="D1135" s="317" t="s">
        <v>186</v>
      </c>
    </row>
    <row r="1136" spans="1:4" x14ac:dyDescent="0.2">
      <c r="A1136" s="313">
        <v>2</v>
      </c>
      <c r="B1136" s="316">
        <v>1353.35</v>
      </c>
      <c r="C1136" s="316"/>
      <c r="D1136" s="318" t="s">
        <v>186</v>
      </c>
    </row>
    <row r="1137" spans="1:4" x14ac:dyDescent="0.2">
      <c r="A1137" s="313">
        <v>3</v>
      </c>
      <c r="B1137" s="316">
        <v>43.98</v>
      </c>
      <c r="C1137" s="316">
        <v>5.74</v>
      </c>
      <c r="D1137" s="318" t="s">
        <v>14</v>
      </c>
    </row>
    <row r="1138" spans="1:4" x14ac:dyDescent="0.2">
      <c r="A1138" s="313">
        <v>4</v>
      </c>
      <c r="B1138" s="316">
        <v>494.91</v>
      </c>
      <c r="C1138" s="316"/>
      <c r="D1138" s="318" t="s">
        <v>14</v>
      </c>
    </row>
    <row r="1139" spans="1:4" x14ac:dyDescent="0.2">
      <c r="A1139" s="313">
        <v>5</v>
      </c>
      <c r="B1139" s="316">
        <v>9784.4500000000007</v>
      </c>
      <c r="C1139" s="316">
        <v>630.1</v>
      </c>
      <c r="D1139" s="318" t="s">
        <v>9</v>
      </c>
    </row>
    <row r="1140" spans="1:4" x14ac:dyDescent="0.2">
      <c r="A1140" s="313">
        <v>6</v>
      </c>
      <c r="B1140" s="316">
        <v>7157.54</v>
      </c>
      <c r="C1140" s="316">
        <v>933.59</v>
      </c>
      <c r="D1140" s="318" t="s">
        <v>311</v>
      </c>
    </row>
    <row r="1141" spans="1:4" ht="16" thickBot="1" x14ac:dyDescent="0.25">
      <c r="A1141" s="256"/>
      <c r="B1141" s="108">
        <f>SUM(B1135:B1140)</f>
        <v>19634.23</v>
      </c>
      <c r="C1141" s="108">
        <f>SUM(C1135:C1140)</f>
        <v>1569.43</v>
      </c>
      <c r="D1141" s="547"/>
    </row>
    <row r="1142" spans="1:4" ht="16" thickBot="1" x14ac:dyDescent="0.25"/>
    <row r="1143" spans="1:4" ht="20" thickBot="1" x14ac:dyDescent="0.3">
      <c r="A1143" s="107" t="s">
        <v>205</v>
      </c>
      <c r="B1143" s="789"/>
      <c r="C1143" s="790"/>
    </row>
    <row r="1144" spans="1:4" ht="20" thickBot="1" x14ac:dyDescent="0.3">
      <c r="A1144" s="195" t="s">
        <v>76</v>
      </c>
      <c r="B1144" s="202">
        <v>45779</v>
      </c>
      <c r="C1144" s="791"/>
      <c r="D1144" s="792"/>
    </row>
    <row r="1145" spans="1:4" ht="16" thickBot="1" x14ac:dyDescent="0.25">
      <c r="A1145" s="195" t="s">
        <v>280</v>
      </c>
      <c r="B1145" s="195" t="s">
        <v>117</v>
      </c>
      <c r="C1145" s="195" t="s">
        <v>208</v>
      </c>
      <c r="D1145" s="195" t="s">
        <v>206</v>
      </c>
    </row>
    <row r="1146" spans="1:4" x14ac:dyDescent="0.2">
      <c r="A1146" s="314">
        <v>1</v>
      </c>
      <c r="B1146" s="315">
        <v>800</v>
      </c>
      <c r="C1146" s="315"/>
      <c r="D1146" s="317" t="s">
        <v>186</v>
      </c>
    </row>
    <row r="1147" spans="1:4" x14ac:dyDescent="0.2">
      <c r="A1147" s="313">
        <v>2</v>
      </c>
      <c r="B1147" s="316">
        <v>180</v>
      </c>
      <c r="C1147" s="316"/>
      <c r="D1147" s="318" t="s">
        <v>334</v>
      </c>
    </row>
    <row r="1148" spans="1:4" x14ac:dyDescent="0.2">
      <c r="A1148" s="313">
        <v>3</v>
      </c>
      <c r="B1148" s="316">
        <v>1500</v>
      </c>
      <c r="C1148" s="316"/>
      <c r="D1148" s="318" t="s">
        <v>3</v>
      </c>
    </row>
    <row r="1149" spans="1:4" x14ac:dyDescent="0.2">
      <c r="A1149" s="313">
        <v>4</v>
      </c>
      <c r="B1149" s="316">
        <v>274.95</v>
      </c>
      <c r="C1149" s="316"/>
      <c r="D1149" s="318" t="s">
        <v>14</v>
      </c>
    </row>
    <row r="1150" spans="1:4" x14ac:dyDescent="0.2">
      <c r="A1150" s="313">
        <v>5</v>
      </c>
      <c r="B1150" s="316">
        <v>6539.52</v>
      </c>
      <c r="C1150" s="316">
        <v>421.77</v>
      </c>
      <c r="D1150" s="318" t="s">
        <v>9</v>
      </c>
    </row>
    <row r="1151" spans="1:4" ht="16" thickBot="1" x14ac:dyDescent="0.25">
      <c r="A1151" s="256"/>
      <c r="B1151" s="108">
        <f>SUM(B1146:B1150)</f>
        <v>9294.4700000000012</v>
      </c>
      <c r="C1151" s="108">
        <f>SUM(C1146:C1150)</f>
        <v>421.77</v>
      </c>
      <c r="D1151" s="547"/>
    </row>
    <row r="1152" spans="1:4" ht="16" thickBot="1" x14ac:dyDescent="0.25"/>
    <row r="1153" spans="1:4" ht="20" thickBot="1" x14ac:dyDescent="0.3">
      <c r="A1153" s="107" t="s">
        <v>205</v>
      </c>
      <c r="B1153" s="789"/>
      <c r="C1153" s="790"/>
    </row>
    <row r="1154" spans="1:4" ht="20" thickBot="1" x14ac:dyDescent="0.3">
      <c r="A1154" s="195" t="s">
        <v>76</v>
      </c>
      <c r="B1154" s="202">
        <v>45780</v>
      </c>
      <c r="C1154" s="791"/>
      <c r="D1154" s="792"/>
    </row>
    <row r="1155" spans="1:4" ht="16" thickBot="1" x14ac:dyDescent="0.25">
      <c r="A1155" s="195" t="s">
        <v>280</v>
      </c>
      <c r="B1155" s="195" t="s">
        <v>117</v>
      </c>
      <c r="C1155" s="195" t="s">
        <v>208</v>
      </c>
      <c r="D1155" s="195" t="s">
        <v>206</v>
      </c>
    </row>
    <row r="1156" spans="1:4" x14ac:dyDescent="0.2">
      <c r="A1156" s="314">
        <v>1</v>
      </c>
      <c r="B1156" s="315">
        <v>7129.44</v>
      </c>
      <c r="C1156" s="315">
        <v>490.91</v>
      </c>
      <c r="D1156" s="317" t="s">
        <v>9</v>
      </c>
    </row>
    <row r="1157" spans="1:4" x14ac:dyDescent="0.2">
      <c r="A1157" s="313">
        <v>2</v>
      </c>
      <c r="B1157" s="316">
        <v>19450</v>
      </c>
      <c r="C1157" s="316"/>
      <c r="D1157" s="318" t="s">
        <v>12</v>
      </c>
    </row>
    <row r="1158" spans="1:4" ht="16" thickBot="1" x14ac:dyDescent="0.25">
      <c r="A1158" s="256"/>
      <c r="B1158" s="108">
        <f>SUM(B1156:B1157)</f>
        <v>26579.439999999999</v>
      </c>
      <c r="C1158" s="108">
        <f>SUM(C1156:C1157)</f>
        <v>490.91</v>
      </c>
      <c r="D1158" s="547"/>
    </row>
    <row r="1159" spans="1:4" ht="16" thickBot="1" x14ac:dyDescent="0.25"/>
    <row r="1160" spans="1:4" ht="20" thickBot="1" x14ac:dyDescent="0.3">
      <c r="A1160" s="107" t="s">
        <v>205</v>
      </c>
      <c r="B1160" s="789"/>
      <c r="C1160" s="790"/>
    </row>
    <row r="1161" spans="1:4" ht="20" thickBot="1" x14ac:dyDescent="0.3">
      <c r="A1161" s="195" t="s">
        <v>76</v>
      </c>
      <c r="B1161" s="202">
        <v>45781</v>
      </c>
      <c r="C1161" s="791"/>
      <c r="D1161" s="792"/>
    </row>
    <row r="1162" spans="1:4" ht="16" thickBot="1" x14ac:dyDescent="0.25">
      <c r="A1162" s="195" t="s">
        <v>280</v>
      </c>
      <c r="B1162" s="195" t="s">
        <v>117</v>
      </c>
      <c r="C1162" s="195" t="s">
        <v>208</v>
      </c>
      <c r="D1162" s="195" t="s">
        <v>206</v>
      </c>
    </row>
    <row r="1163" spans="1:4" x14ac:dyDescent="0.2">
      <c r="A1163" s="314">
        <v>1</v>
      </c>
      <c r="B1163" s="315">
        <v>54.99</v>
      </c>
      <c r="C1163" s="315">
        <v>7.18</v>
      </c>
      <c r="D1163" s="317" t="s">
        <v>538</v>
      </c>
    </row>
    <row r="1164" spans="1:4" ht="16" thickBot="1" x14ac:dyDescent="0.25">
      <c r="A1164" s="256"/>
      <c r="B1164" s="108">
        <f>SUM(B1163:B1163)</f>
        <v>54.99</v>
      </c>
      <c r="C1164" s="108">
        <f>SUM(C1163:C1163)</f>
        <v>7.18</v>
      </c>
      <c r="D1164" s="547"/>
    </row>
    <row r="1165" spans="1:4" ht="16" thickBot="1" x14ac:dyDescent="0.25"/>
    <row r="1166" spans="1:4" ht="20" thickBot="1" x14ac:dyDescent="0.3">
      <c r="A1166" s="107" t="s">
        <v>205</v>
      </c>
      <c r="B1166" s="789"/>
      <c r="C1166" s="790"/>
    </row>
    <row r="1167" spans="1:4" ht="20" thickBot="1" x14ac:dyDescent="0.3">
      <c r="A1167" s="195" t="s">
        <v>76</v>
      </c>
      <c r="B1167" s="202">
        <v>45782</v>
      </c>
      <c r="C1167" s="791"/>
      <c r="D1167" s="792"/>
    </row>
    <row r="1168" spans="1:4" ht="16" thickBot="1" x14ac:dyDescent="0.25">
      <c r="A1168" s="195" t="s">
        <v>280</v>
      </c>
      <c r="B1168" s="195" t="s">
        <v>117</v>
      </c>
      <c r="C1168" s="195" t="s">
        <v>208</v>
      </c>
      <c r="D1168" s="195" t="s">
        <v>206</v>
      </c>
    </row>
    <row r="1169" spans="1:4" x14ac:dyDescent="0.2">
      <c r="A1169" s="314">
        <v>1</v>
      </c>
      <c r="B1169" s="315">
        <v>357</v>
      </c>
      <c r="C1169" s="315"/>
      <c r="D1169" s="317" t="s">
        <v>377</v>
      </c>
    </row>
    <row r="1170" spans="1:4" x14ac:dyDescent="0.2">
      <c r="A1170" s="313">
        <v>2</v>
      </c>
      <c r="B1170" s="316">
        <v>1431.25</v>
      </c>
      <c r="C1170" s="316"/>
      <c r="D1170" s="318" t="s">
        <v>186</v>
      </c>
    </row>
    <row r="1171" spans="1:4" x14ac:dyDescent="0.2">
      <c r="A1171" s="313">
        <v>3</v>
      </c>
      <c r="B1171" s="316">
        <v>500</v>
      </c>
      <c r="C1171" s="316"/>
      <c r="D1171" s="318" t="s">
        <v>396</v>
      </c>
    </row>
    <row r="1172" spans="1:4" x14ac:dyDescent="0.2">
      <c r="A1172" s="313">
        <v>4</v>
      </c>
      <c r="B1172" s="316">
        <v>599.9</v>
      </c>
      <c r="C1172" s="316"/>
      <c r="D1172" s="318" t="s">
        <v>14</v>
      </c>
    </row>
    <row r="1173" spans="1:4" x14ac:dyDescent="0.2">
      <c r="A1173" s="313">
        <v>5</v>
      </c>
      <c r="B1173" s="316">
        <v>5255.72</v>
      </c>
      <c r="C1173" s="316">
        <v>353.52</v>
      </c>
      <c r="D1173" s="318" t="s">
        <v>9</v>
      </c>
    </row>
    <row r="1174" spans="1:4" x14ac:dyDescent="0.2">
      <c r="A1174" s="313">
        <v>6</v>
      </c>
      <c r="B1174" s="316">
        <v>5236.6099999999997</v>
      </c>
      <c r="C1174" s="316">
        <v>351.27</v>
      </c>
      <c r="D1174" s="318" t="s">
        <v>9</v>
      </c>
    </row>
    <row r="1175" spans="1:4" ht="16" thickBot="1" x14ac:dyDescent="0.25">
      <c r="A1175" s="256"/>
      <c r="B1175" s="108">
        <f>SUM(B1169:B1174)</f>
        <v>13380.48</v>
      </c>
      <c r="C1175" s="108">
        <f>SUM(C1169:C1174)</f>
        <v>704.79</v>
      </c>
      <c r="D1175" s="547"/>
    </row>
    <row r="1176" spans="1:4" ht="16" thickBot="1" x14ac:dyDescent="0.25"/>
    <row r="1177" spans="1:4" ht="20" thickBot="1" x14ac:dyDescent="0.3">
      <c r="A1177" s="107" t="s">
        <v>205</v>
      </c>
      <c r="B1177" s="789"/>
      <c r="C1177" s="790"/>
    </row>
    <row r="1178" spans="1:4" ht="20" thickBot="1" x14ac:dyDescent="0.3">
      <c r="A1178" s="195" t="s">
        <v>76</v>
      </c>
      <c r="B1178" s="202">
        <v>45783</v>
      </c>
      <c r="C1178" s="791"/>
      <c r="D1178" s="792"/>
    </row>
    <row r="1179" spans="1:4" ht="16" thickBot="1" x14ac:dyDescent="0.25">
      <c r="A1179" s="195" t="s">
        <v>280</v>
      </c>
      <c r="B1179" s="195" t="s">
        <v>117</v>
      </c>
      <c r="C1179" s="195" t="s">
        <v>208</v>
      </c>
      <c r="D1179" s="195" t="s">
        <v>206</v>
      </c>
    </row>
    <row r="1180" spans="1:4" x14ac:dyDescent="0.2">
      <c r="A1180" s="314">
        <v>1</v>
      </c>
      <c r="B1180" s="315">
        <v>800</v>
      </c>
      <c r="C1180" s="315"/>
      <c r="D1180" s="317" t="s">
        <v>186</v>
      </c>
    </row>
    <row r="1181" spans="1:4" x14ac:dyDescent="0.2">
      <c r="A1181" s="313">
        <v>2</v>
      </c>
      <c r="B1181" s="316">
        <v>81</v>
      </c>
      <c r="C1181" s="316">
        <v>10.57</v>
      </c>
      <c r="D1181" s="318" t="s">
        <v>332</v>
      </c>
    </row>
    <row r="1182" spans="1:4" x14ac:dyDescent="0.2">
      <c r="A1182" s="313">
        <v>3</v>
      </c>
      <c r="B1182" s="316">
        <v>81</v>
      </c>
      <c r="C1182" s="316">
        <v>10.57</v>
      </c>
      <c r="D1182" s="318" t="s">
        <v>332</v>
      </c>
    </row>
    <row r="1183" spans="1:4" x14ac:dyDescent="0.2">
      <c r="A1183" s="313">
        <v>4</v>
      </c>
      <c r="B1183" s="316">
        <v>561.20000000000005</v>
      </c>
      <c r="C1183" s="316"/>
      <c r="D1183" s="318" t="s">
        <v>186</v>
      </c>
    </row>
    <row r="1184" spans="1:4" x14ac:dyDescent="0.2">
      <c r="A1184" s="313">
        <v>5</v>
      </c>
      <c r="B1184" s="316">
        <v>3947.77</v>
      </c>
      <c r="C1184" s="316">
        <v>184.79</v>
      </c>
      <c r="D1184" s="318" t="s">
        <v>9</v>
      </c>
    </row>
    <row r="1185" spans="1:4" ht="16" thickBot="1" x14ac:dyDescent="0.25">
      <c r="A1185" s="256"/>
      <c r="B1185" s="108">
        <f>SUM(B1180:B1184)</f>
        <v>5470.97</v>
      </c>
      <c r="C1185" s="108">
        <f>SUM(C1180:C1184)</f>
        <v>205.93</v>
      </c>
      <c r="D1185" s="547"/>
    </row>
    <row r="1186" spans="1:4" ht="16" thickBot="1" x14ac:dyDescent="0.25"/>
    <row r="1187" spans="1:4" ht="20" thickBot="1" x14ac:dyDescent="0.3">
      <c r="A1187" s="107" t="s">
        <v>205</v>
      </c>
      <c r="B1187" s="789"/>
      <c r="C1187" s="790"/>
    </row>
    <row r="1188" spans="1:4" ht="20" thickBot="1" x14ac:dyDescent="0.3">
      <c r="A1188" s="195" t="s">
        <v>76</v>
      </c>
      <c r="B1188" s="202">
        <v>45784</v>
      </c>
      <c r="C1188" s="791"/>
      <c r="D1188" s="792"/>
    </row>
    <row r="1189" spans="1:4" ht="16" thickBot="1" x14ac:dyDescent="0.25">
      <c r="A1189" s="195" t="s">
        <v>280</v>
      </c>
      <c r="B1189" s="195" t="s">
        <v>117</v>
      </c>
      <c r="C1189" s="195" t="s">
        <v>208</v>
      </c>
      <c r="D1189" s="195" t="s">
        <v>206</v>
      </c>
    </row>
    <row r="1190" spans="1:4" x14ac:dyDescent="0.2">
      <c r="A1190" s="314">
        <v>1</v>
      </c>
      <c r="B1190" s="315">
        <v>800.08</v>
      </c>
      <c r="C1190" s="315"/>
      <c r="D1190" s="317" t="s">
        <v>186</v>
      </c>
    </row>
    <row r="1191" spans="1:4" ht="16" thickBot="1" x14ac:dyDescent="0.25">
      <c r="A1191" s="256"/>
      <c r="B1191" s="108">
        <f>SUM(B1190:B1190)</f>
        <v>800.08</v>
      </c>
      <c r="C1191" s="108">
        <f>SUM(C1190:C1190)</f>
        <v>0</v>
      </c>
      <c r="D1191" s="547"/>
    </row>
    <row r="1192" spans="1:4" ht="16" thickBot="1" x14ac:dyDescent="0.25"/>
    <row r="1193" spans="1:4" ht="20" thickBot="1" x14ac:dyDescent="0.3">
      <c r="A1193" s="107" t="s">
        <v>205</v>
      </c>
      <c r="B1193" s="789"/>
      <c r="C1193" s="790"/>
    </row>
    <row r="1194" spans="1:4" ht="20" thickBot="1" x14ac:dyDescent="0.3">
      <c r="A1194" s="195" t="s">
        <v>76</v>
      </c>
      <c r="B1194" s="202">
        <v>45785</v>
      </c>
      <c r="C1194" s="791"/>
      <c r="D1194" s="792"/>
    </row>
    <row r="1195" spans="1:4" ht="16" thickBot="1" x14ac:dyDescent="0.25">
      <c r="A1195" s="195" t="s">
        <v>280</v>
      </c>
      <c r="B1195" s="195" t="s">
        <v>117</v>
      </c>
      <c r="C1195" s="195" t="s">
        <v>208</v>
      </c>
      <c r="D1195" s="195" t="s">
        <v>206</v>
      </c>
    </row>
    <row r="1196" spans="1:4" x14ac:dyDescent="0.2">
      <c r="A1196" s="314">
        <v>1</v>
      </c>
      <c r="B1196" s="315">
        <v>700</v>
      </c>
      <c r="C1196" s="315"/>
      <c r="D1196" s="317" t="s">
        <v>3</v>
      </c>
    </row>
    <row r="1197" spans="1:4" x14ac:dyDescent="0.2">
      <c r="A1197" s="313">
        <v>2</v>
      </c>
      <c r="B1197" s="316">
        <v>500</v>
      </c>
      <c r="C1197" s="316"/>
      <c r="D1197" s="318" t="s">
        <v>186</v>
      </c>
    </row>
    <row r="1198" spans="1:4" x14ac:dyDescent="0.2">
      <c r="A1198" s="313">
        <v>3</v>
      </c>
      <c r="B1198" s="316">
        <v>667.86</v>
      </c>
      <c r="C1198" s="316">
        <v>8.86</v>
      </c>
      <c r="D1198" s="318" t="s">
        <v>14</v>
      </c>
    </row>
    <row r="1199" spans="1:4" x14ac:dyDescent="0.2">
      <c r="A1199" s="313">
        <v>4</v>
      </c>
      <c r="B1199" s="316">
        <v>6519.62</v>
      </c>
      <c r="C1199" s="316">
        <v>422.22</v>
      </c>
      <c r="D1199" s="318" t="s">
        <v>9</v>
      </c>
    </row>
    <row r="1200" spans="1:4" ht="16" thickBot="1" x14ac:dyDescent="0.25">
      <c r="A1200" s="256"/>
      <c r="B1200" s="108">
        <f>SUM(B1196:B1199)</f>
        <v>8387.48</v>
      </c>
      <c r="C1200" s="108">
        <f>SUM(C1196:C1199)</f>
        <v>431.08000000000004</v>
      </c>
      <c r="D1200" s="547"/>
    </row>
  </sheetData>
  <mergeCells count="242">
    <mergeCell ref="B1177:C1177"/>
    <mergeCell ref="C1178:D1178"/>
    <mergeCell ref="B1187:C1187"/>
    <mergeCell ref="C1188:D1188"/>
    <mergeCell ref="B1193:C1193"/>
    <mergeCell ref="C1194:D1194"/>
    <mergeCell ref="C879:D879"/>
    <mergeCell ref="B1071:C1071"/>
    <mergeCell ref="C1072:D1072"/>
    <mergeCell ref="B1013:C1013"/>
    <mergeCell ref="C945:D945"/>
    <mergeCell ref="B918:C918"/>
    <mergeCell ref="C919:D919"/>
    <mergeCell ref="B963:C963"/>
    <mergeCell ref="C964:D964"/>
    <mergeCell ref="B970:C970"/>
    <mergeCell ref="C971:D971"/>
    <mergeCell ref="B977:C977"/>
    <mergeCell ref="C978:D978"/>
    <mergeCell ref="B928:C928"/>
    <mergeCell ref="C929:D929"/>
    <mergeCell ref="C1014:D1014"/>
    <mergeCell ref="B890:C890"/>
    <mergeCell ref="C891:D891"/>
    <mergeCell ref="B901:C901"/>
    <mergeCell ref="C902:D902"/>
    <mergeCell ref="B908:C908"/>
    <mergeCell ref="C909:D909"/>
    <mergeCell ref="B944:C944"/>
    <mergeCell ref="C364:D364"/>
    <mergeCell ref="B370:C370"/>
    <mergeCell ref="C576:D576"/>
    <mergeCell ref="C780:D780"/>
    <mergeCell ref="C513:D513"/>
    <mergeCell ref="B545:C545"/>
    <mergeCell ref="C546:D546"/>
    <mergeCell ref="B757:C757"/>
    <mergeCell ref="C758:D758"/>
    <mergeCell ref="B698:C698"/>
    <mergeCell ref="C699:D699"/>
    <mergeCell ref="B704:C704"/>
    <mergeCell ref="C705:D705"/>
    <mergeCell ref="B713:C713"/>
    <mergeCell ref="C714:D714"/>
    <mergeCell ref="C691:D691"/>
    <mergeCell ref="C752:D752"/>
    <mergeCell ref="C519:D519"/>
    <mergeCell ref="C614:D614"/>
    <mergeCell ref="B619:C619"/>
    <mergeCell ref="C620:D620"/>
    <mergeCell ref="C448:D448"/>
    <mergeCell ref="B363:C363"/>
    <mergeCell ref="C371:D371"/>
    <mergeCell ref="B377:C377"/>
    <mergeCell ref="B385:C385"/>
    <mergeCell ref="B504:C504"/>
    <mergeCell ref="B489:C489"/>
    <mergeCell ref="B512:C512"/>
    <mergeCell ref="B477:C477"/>
    <mergeCell ref="C478:D478"/>
    <mergeCell ref="C590:D590"/>
    <mergeCell ref="C537:D537"/>
    <mergeCell ref="C459:D459"/>
    <mergeCell ref="C472:D472"/>
    <mergeCell ref="B878:C878"/>
    <mergeCell ref="B789:C789"/>
    <mergeCell ref="C790:D790"/>
    <mergeCell ref="B765:C765"/>
    <mergeCell ref="C766:D766"/>
    <mergeCell ref="B771:C771"/>
    <mergeCell ref="C772:D772"/>
    <mergeCell ref="C490:D490"/>
    <mergeCell ref="B683:C683"/>
    <mergeCell ref="C684:D684"/>
    <mergeCell ref="B690:C690"/>
    <mergeCell ref="B779:C779"/>
    <mergeCell ref="B739:C739"/>
    <mergeCell ref="C740:D740"/>
    <mergeCell ref="B660:C660"/>
    <mergeCell ref="C661:D661"/>
    <mergeCell ref="C601:D601"/>
    <mergeCell ref="B575:C575"/>
    <mergeCell ref="B671:C671"/>
    <mergeCell ref="B518:C518"/>
    <mergeCell ref="C582:D582"/>
    <mergeCell ref="B558:C558"/>
    <mergeCell ref="C559:D559"/>
    <mergeCell ref="C505:D505"/>
    <mergeCell ref="C224:D224"/>
    <mergeCell ref="B284:C284"/>
    <mergeCell ref="C285:D285"/>
    <mergeCell ref="B290:C290"/>
    <mergeCell ref="C291:D291"/>
    <mergeCell ref="B300:C300"/>
    <mergeCell ref="C301:D301"/>
    <mergeCell ref="C412:D412"/>
    <mergeCell ref="B260:C260"/>
    <mergeCell ref="C261:D261"/>
    <mergeCell ref="C254:D254"/>
    <mergeCell ref="B342:C342"/>
    <mergeCell ref="B235:C235"/>
    <mergeCell ref="C236:D236"/>
    <mergeCell ref="B245:C245"/>
    <mergeCell ref="C246:D246"/>
    <mergeCell ref="B253:C253"/>
    <mergeCell ref="B269:C269"/>
    <mergeCell ref="C270:D270"/>
    <mergeCell ref="B310:C310"/>
    <mergeCell ref="C311:D311"/>
    <mergeCell ref="C343:D343"/>
    <mergeCell ref="B329:C329"/>
    <mergeCell ref="B349:C349"/>
    <mergeCell ref="C126:D126"/>
    <mergeCell ref="B125:C125"/>
    <mergeCell ref="C330:D330"/>
    <mergeCell ref="B319:C319"/>
    <mergeCell ref="C320:D320"/>
    <mergeCell ref="B223:C223"/>
    <mergeCell ref="C112:D112"/>
    <mergeCell ref="B145:C145"/>
    <mergeCell ref="B117:C117"/>
    <mergeCell ref="B215:C215"/>
    <mergeCell ref="C194:D194"/>
    <mergeCell ref="C206:D206"/>
    <mergeCell ref="B205:C205"/>
    <mergeCell ref="C216:D216"/>
    <mergeCell ref="C146:D146"/>
    <mergeCell ref="B134:C134"/>
    <mergeCell ref="C135:D135"/>
    <mergeCell ref="B193:C193"/>
    <mergeCell ref="B161:C161"/>
    <mergeCell ref="C162:D162"/>
    <mergeCell ref="B177:C177"/>
    <mergeCell ref="C178:D178"/>
    <mergeCell ref="B183:C183"/>
    <mergeCell ref="C184:D184"/>
    <mergeCell ref="B168:C168"/>
    <mergeCell ref="C169:D169"/>
    <mergeCell ref="C118:D118"/>
    <mergeCell ref="B111:C111"/>
    <mergeCell ref="B96:C96"/>
    <mergeCell ref="C97:D97"/>
    <mergeCell ref="C91:D91"/>
    <mergeCell ref="C74:D74"/>
    <mergeCell ref="B1:C1"/>
    <mergeCell ref="C2:D2"/>
    <mergeCell ref="B90:C90"/>
    <mergeCell ref="B25:C25"/>
    <mergeCell ref="C26:D26"/>
    <mergeCell ref="B34:C34"/>
    <mergeCell ref="C35:D35"/>
    <mergeCell ref="B41:C41"/>
    <mergeCell ref="B59:C59"/>
    <mergeCell ref="C60:D60"/>
    <mergeCell ref="C42:D42"/>
    <mergeCell ref="B51:C51"/>
    <mergeCell ref="C52:D52"/>
    <mergeCell ref="B73:C73"/>
    <mergeCell ref="B18:C18"/>
    <mergeCell ref="C19:D19"/>
    <mergeCell ref="B751:C751"/>
    <mergeCell ref="C386:D386"/>
    <mergeCell ref="C350:D350"/>
    <mergeCell ref="B396:C396"/>
    <mergeCell ref="C397:D397"/>
    <mergeCell ref="B411:C411"/>
    <mergeCell ref="C378:D378"/>
    <mergeCell ref="B419:C419"/>
    <mergeCell ref="C420:D420"/>
    <mergeCell ref="B641:C641"/>
    <mergeCell ref="B430:C430"/>
    <mergeCell ref="C431:D431"/>
    <mergeCell ref="B440:C440"/>
    <mergeCell ref="C441:D441"/>
    <mergeCell ref="B447:C447"/>
    <mergeCell ref="B471:C471"/>
    <mergeCell ref="B458:C458"/>
    <mergeCell ref="B600:C600"/>
    <mergeCell ref="B528:C528"/>
    <mergeCell ref="C529:D529"/>
    <mergeCell ref="B536:C536"/>
    <mergeCell ref="B589:C589"/>
    <mergeCell ref="C630:D630"/>
    <mergeCell ref="B629:C629"/>
    <mergeCell ref="B808:C808"/>
    <mergeCell ref="C642:D642"/>
    <mergeCell ref="B650:C650"/>
    <mergeCell ref="C651:D651"/>
    <mergeCell ref="B721:C721"/>
    <mergeCell ref="C722:D722"/>
    <mergeCell ref="C672:D672"/>
    <mergeCell ref="C1002:D1002"/>
    <mergeCell ref="C1040:D1040"/>
    <mergeCell ref="B872:C872"/>
    <mergeCell ref="C873:D873"/>
    <mergeCell ref="B823:C823"/>
    <mergeCell ref="C824:D824"/>
    <mergeCell ref="B831:C831"/>
    <mergeCell ref="C832:D832"/>
    <mergeCell ref="B840:C840"/>
    <mergeCell ref="C841:D841"/>
    <mergeCell ref="C809:D809"/>
    <mergeCell ref="B858:C858"/>
    <mergeCell ref="C859:D859"/>
    <mergeCell ref="B846:C846"/>
    <mergeCell ref="C847:D847"/>
    <mergeCell ref="B814:C814"/>
    <mergeCell ref="C815:D815"/>
    <mergeCell ref="C1057:D1057"/>
    <mergeCell ref="B1048:C1048"/>
    <mergeCell ref="C1049:D1049"/>
    <mergeCell ref="B1026:C1026"/>
    <mergeCell ref="C1027:D1027"/>
    <mergeCell ref="B950:C950"/>
    <mergeCell ref="C951:D951"/>
    <mergeCell ref="B984:C984"/>
    <mergeCell ref="C985:D985"/>
    <mergeCell ref="B1001:C1001"/>
    <mergeCell ref="B1166:C1166"/>
    <mergeCell ref="C1167:D1167"/>
    <mergeCell ref="B1143:C1143"/>
    <mergeCell ref="C1144:D1144"/>
    <mergeCell ref="B1153:C1153"/>
    <mergeCell ref="C1154:D1154"/>
    <mergeCell ref="B1160:C1160"/>
    <mergeCell ref="C1161:D1161"/>
    <mergeCell ref="B1039:C1039"/>
    <mergeCell ref="B1126:C1126"/>
    <mergeCell ref="C1127:D1127"/>
    <mergeCell ref="B1077:C1077"/>
    <mergeCell ref="B1104:C1104"/>
    <mergeCell ref="C1105:D1105"/>
    <mergeCell ref="B1132:C1132"/>
    <mergeCell ref="C1133:D1133"/>
    <mergeCell ref="B1114:C1114"/>
    <mergeCell ref="C1115:D1115"/>
    <mergeCell ref="B1088:C1088"/>
    <mergeCell ref="C1089:D1089"/>
    <mergeCell ref="B1094:C1094"/>
    <mergeCell ref="C1095:D1095"/>
    <mergeCell ref="C1078:D1078"/>
    <mergeCell ref="B1056:C105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86"/>
  <sheetViews>
    <sheetView topLeftCell="U1" workbookViewId="0">
      <selection activeCell="Q23" sqref="Q23"/>
    </sheetView>
  </sheetViews>
  <sheetFormatPr baseColWidth="10" defaultColWidth="8.83203125" defaultRowHeight="19" x14ac:dyDescent="0.25"/>
  <cols>
    <col min="1" max="1" width="15" bestFit="1" customWidth="1"/>
    <col min="2" max="2" width="10.83203125" customWidth="1"/>
    <col min="3" max="3" width="15.83203125" bestFit="1" customWidth="1"/>
    <col min="4" max="4" width="12.5" style="109" customWidth="1"/>
    <col min="5" max="5" width="17.83203125" style="109" bestFit="1" customWidth="1"/>
    <col min="6" max="6" width="3.33203125" style="109" customWidth="1"/>
    <col min="7" max="7" width="15" bestFit="1" customWidth="1"/>
    <col min="8" max="8" width="10.6640625" customWidth="1"/>
    <col min="9" max="9" width="15.83203125" bestFit="1" customWidth="1"/>
    <col min="10" max="10" width="12.5" bestFit="1" customWidth="1"/>
    <col min="11" max="11" width="17.83203125" bestFit="1" customWidth="1"/>
    <col min="12" max="12" width="3.1640625" customWidth="1"/>
    <col min="13" max="13" width="15.33203125" bestFit="1" customWidth="1"/>
    <col min="14" max="14" width="10.6640625" customWidth="1"/>
    <col min="15" max="15" width="15.83203125" bestFit="1" customWidth="1"/>
    <col min="16" max="16" width="12.33203125" customWidth="1"/>
    <col min="17" max="17" width="17.83203125" bestFit="1" customWidth="1"/>
    <col min="18" max="18" width="2.5" customWidth="1"/>
    <col min="19" max="19" width="15.33203125" bestFit="1" customWidth="1"/>
    <col min="20" max="20" width="10.6640625" customWidth="1"/>
    <col min="21" max="21" width="15.83203125" bestFit="1" customWidth="1"/>
    <col min="22" max="22" width="12.33203125" customWidth="1"/>
    <col min="23" max="23" width="17.83203125" bestFit="1" customWidth="1"/>
    <col min="24" max="24" width="3.33203125" customWidth="1"/>
    <col min="25" max="25" width="15.33203125" bestFit="1" customWidth="1"/>
    <col min="26" max="26" width="10.6640625" customWidth="1"/>
    <col min="27" max="27" width="15.83203125" bestFit="1" customWidth="1"/>
    <col min="28" max="28" width="12.33203125" customWidth="1"/>
    <col min="29" max="29" width="17.83203125" bestFit="1" customWidth="1"/>
    <col min="30" max="30" width="2.83203125" customWidth="1"/>
    <col min="31" max="31" width="15.33203125" bestFit="1" customWidth="1"/>
    <col min="32" max="32" width="10.6640625" customWidth="1"/>
    <col min="33" max="33" width="15.83203125" bestFit="1" customWidth="1"/>
    <col min="34" max="34" width="12.33203125" customWidth="1"/>
    <col min="35" max="35" width="17.83203125" bestFit="1" customWidth="1"/>
    <col min="36" max="36" width="3.1640625" customWidth="1"/>
    <col min="37" max="37" width="15.33203125" bestFit="1" customWidth="1"/>
    <col min="38" max="38" width="10.6640625" customWidth="1"/>
    <col min="39" max="39" width="15.83203125" bestFit="1" customWidth="1"/>
    <col min="40" max="40" width="12.33203125" customWidth="1"/>
    <col min="41" max="41" width="17.83203125" bestFit="1" customWidth="1"/>
    <col min="42" max="42" width="3" customWidth="1"/>
    <col min="43" max="43" width="15.33203125" bestFit="1" customWidth="1"/>
    <col min="44" max="44" width="10.6640625" customWidth="1"/>
    <col min="45" max="45" width="15.83203125" bestFit="1" customWidth="1"/>
    <col min="46" max="46" width="12.33203125" customWidth="1"/>
    <col min="47" max="47" width="17.83203125" bestFit="1" customWidth="1"/>
    <col min="48" max="48" width="2.83203125" customWidth="1"/>
    <col min="49" max="49" width="15.33203125" bestFit="1" customWidth="1"/>
    <col min="50" max="50" width="10.6640625" bestFit="1" customWidth="1"/>
    <col min="51" max="51" width="15.83203125" bestFit="1" customWidth="1"/>
    <col min="52" max="52" width="12.33203125" bestFit="1" customWidth="1"/>
    <col min="53" max="53" width="17.83203125" bestFit="1" customWidth="1"/>
    <col min="54" max="54" width="3" customWidth="1"/>
    <col min="55" max="55" width="15.33203125" bestFit="1" customWidth="1"/>
    <col min="56" max="56" width="10.6640625" bestFit="1" customWidth="1"/>
    <col min="57" max="57" width="15.83203125" bestFit="1" customWidth="1"/>
    <col min="58" max="58" width="12.33203125" bestFit="1" customWidth="1"/>
    <col min="59" max="59" width="17.83203125" bestFit="1" customWidth="1"/>
    <col min="60" max="60" width="4.33203125" customWidth="1"/>
    <col min="61" max="61" width="15.33203125" bestFit="1" customWidth="1"/>
    <col min="62" max="62" width="10.6640625" bestFit="1" customWidth="1"/>
    <col min="63" max="63" width="15.83203125" bestFit="1" customWidth="1"/>
    <col min="64" max="64" width="12.5" customWidth="1"/>
    <col min="65" max="65" width="17.83203125" bestFit="1" customWidth="1"/>
    <col min="66" max="66" width="3.5" customWidth="1"/>
    <col min="67" max="67" width="15.33203125" bestFit="1" customWidth="1"/>
    <col min="68" max="68" width="10.6640625" bestFit="1" customWidth="1"/>
    <col min="69" max="69" width="15.83203125" bestFit="1" customWidth="1"/>
    <col min="70" max="70" width="12.5" bestFit="1" customWidth="1"/>
    <col min="71" max="71" width="17.5" customWidth="1"/>
  </cols>
  <sheetData>
    <row r="1" spans="1:71" ht="20" thickBot="1" x14ac:dyDescent="0.3">
      <c r="A1" s="319" t="s">
        <v>238</v>
      </c>
    </row>
    <row r="2" spans="1:71" ht="16" thickBot="1" x14ac:dyDescent="0.25">
      <c r="A2" s="793">
        <v>45658</v>
      </c>
      <c r="B2" s="794"/>
      <c r="C2" s="794"/>
      <c r="D2" s="794"/>
      <c r="E2" s="795"/>
      <c r="F2" s="230"/>
      <c r="G2" s="793">
        <v>45689</v>
      </c>
      <c r="H2" s="794"/>
      <c r="I2" s="794"/>
      <c r="J2" s="794"/>
      <c r="K2" s="795"/>
      <c r="L2" s="230"/>
      <c r="M2" s="793">
        <v>45717</v>
      </c>
      <c r="N2" s="794"/>
      <c r="O2" s="794"/>
      <c r="P2" s="794"/>
      <c r="Q2" s="794"/>
      <c r="R2" s="322"/>
      <c r="S2" s="793">
        <v>45748</v>
      </c>
      <c r="T2" s="794"/>
      <c r="U2" s="794"/>
      <c r="V2" s="794"/>
      <c r="W2" s="794"/>
      <c r="X2" s="230"/>
      <c r="Y2" s="793">
        <v>45778</v>
      </c>
      <c r="Z2" s="794"/>
      <c r="AA2" s="794"/>
      <c r="AB2" s="794"/>
      <c r="AC2" s="794"/>
      <c r="AD2" s="322"/>
      <c r="AE2" s="793">
        <v>45809</v>
      </c>
      <c r="AF2" s="794"/>
      <c r="AG2" s="794"/>
      <c r="AH2" s="794"/>
      <c r="AI2" s="794"/>
      <c r="AJ2" s="330"/>
      <c r="AK2" s="793">
        <v>45839</v>
      </c>
      <c r="AL2" s="794"/>
      <c r="AM2" s="794"/>
      <c r="AN2" s="794"/>
      <c r="AO2" s="794"/>
      <c r="AP2" s="231"/>
      <c r="AQ2" s="793">
        <v>45870</v>
      </c>
      <c r="AR2" s="794"/>
      <c r="AS2" s="794"/>
      <c r="AT2" s="794"/>
      <c r="AU2" s="794"/>
      <c r="AV2" s="322"/>
      <c r="AW2" s="793">
        <v>45901</v>
      </c>
      <c r="AX2" s="794"/>
      <c r="AY2" s="794"/>
      <c r="AZ2" s="794"/>
      <c r="BA2" s="795"/>
      <c r="BB2" s="322"/>
      <c r="BC2" s="793">
        <v>45931</v>
      </c>
      <c r="BD2" s="794"/>
      <c r="BE2" s="794"/>
      <c r="BF2" s="794"/>
      <c r="BG2" s="794"/>
      <c r="BH2" s="322"/>
      <c r="BI2" s="793">
        <v>45962</v>
      </c>
      <c r="BJ2" s="794"/>
      <c r="BK2" s="794"/>
      <c r="BL2" s="794"/>
      <c r="BM2" s="794"/>
      <c r="BN2" s="322"/>
      <c r="BO2" s="793">
        <v>45992</v>
      </c>
      <c r="BP2" s="794"/>
      <c r="BQ2" s="794"/>
      <c r="BR2" s="794"/>
      <c r="BS2" s="795"/>
    </row>
    <row r="3" spans="1:71" ht="20" thickBot="1" x14ac:dyDescent="0.3">
      <c r="A3" s="319" t="s">
        <v>76</v>
      </c>
      <c r="B3" s="319" t="s">
        <v>237</v>
      </c>
      <c r="C3" s="232" t="s">
        <v>335</v>
      </c>
      <c r="D3" s="328" t="s">
        <v>205</v>
      </c>
      <c r="E3" s="328" t="s">
        <v>336</v>
      </c>
      <c r="F3" s="327"/>
      <c r="G3" s="319" t="s">
        <v>76</v>
      </c>
      <c r="H3" s="319" t="s">
        <v>237</v>
      </c>
      <c r="I3" s="232" t="s">
        <v>335</v>
      </c>
      <c r="J3" s="328" t="s">
        <v>205</v>
      </c>
      <c r="K3" s="328" t="s">
        <v>336</v>
      </c>
      <c r="L3" s="232"/>
      <c r="M3" s="319" t="s">
        <v>76</v>
      </c>
      <c r="N3" s="319" t="s">
        <v>237</v>
      </c>
      <c r="O3" s="232" t="s">
        <v>335</v>
      </c>
      <c r="P3" s="328" t="s">
        <v>205</v>
      </c>
      <c r="Q3" s="540" t="s">
        <v>336</v>
      </c>
      <c r="R3" s="319"/>
      <c r="S3" s="319" t="s">
        <v>76</v>
      </c>
      <c r="T3" s="319" t="s">
        <v>237</v>
      </c>
      <c r="U3" s="232" t="s">
        <v>335</v>
      </c>
      <c r="V3" s="328" t="s">
        <v>205</v>
      </c>
      <c r="W3" s="541" t="s">
        <v>336</v>
      </c>
      <c r="X3" s="319"/>
      <c r="Y3" s="232" t="s">
        <v>76</v>
      </c>
      <c r="Z3" s="319" t="s">
        <v>237</v>
      </c>
      <c r="AA3" s="232" t="s">
        <v>335</v>
      </c>
      <c r="AB3" s="328" t="s">
        <v>205</v>
      </c>
      <c r="AC3" s="540" t="s">
        <v>336</v>
      </c>
      <c r="AD3" s="319"/>
      <c r="AE3" s="319" t="s">
        <v>76</v>
      </c>
      <c r="AF3" s="319" t="s">
        <v>237</v>
      </c>
      <c r="AG3" s="232" t="s">
        <v>335</v>
      </c>
      <c r="AH3" s="328" t="s">
        <v>205</v>
      </c>
      <c r="AI3" s="540" t="s">
        <v>336</v>
      </c>
      <c r="AJ3" s="319"/>
      <c r="AK3" s="319" t="s">
        <v>76</v>
      </c>
      <c r="AL3" s="319" t="s">
        <v>237</v>
      </c>
      <c r="AM3" s="232" t="s">
        <v>335</v>
      </c>
      <c r="AN3" s="540" t="s">
        <v>205</v>
      </c>
      <c r="AO3" s="328" t="s">
        <v>336</v>
      </c>
      <c r="AP3" s="319"/>
      <c r="AQ3" s="232" t="s">
        <v>76</v>
      </c>
      <c r="AR3" s="319" t="s">
        <v>237</v>
      </c>
      <c r="AS3" s="232" t="s">
        <v>335</v>
      </c>
      <c r="AT3" s="328" t="s">
        <v>205</v>
      </c>
      <c r="AU3" s="540" t="s">
        <v>336</v>
      </c>
      <c r="AV3" s="319"/>
      <c r="AW3" s="319" t="s">
        <v>76</v>
      </c>
      <c r="AX3" s="319" t="s">
        <v>237</v>
      </c>
      <c r="AY3" s="232" t="s">
        <v>335</v>
      </c>
      <c r="AZ3" s="540" t="s">
        <v>205</v>
      </c>
      <c r="BA3" s="328" t="s">
        <v>336</v>
      </c>
      <c r="BB3" s="319"/>
      <c r="BC3" s="232" t="s">
        <v>76</v>
      </c>
      <c r="BD3" s="319" t="s">
        <v>237</v>
      </c>
      <c r="BE3" s="232" t="s">
        <v>335</v>
      </c>
      <c r="BF3" s="328" t="s">
        <v>205</v>
      </c>
      <c r="BG3" s="540" t="s">
        <v>336</v>
      </c>
      <c r="BH3" s="319"/>
      <c r="BI3" s="319" t="s">
        <v>76</v>
      </c>
      <c r="BJ3" s="319" t="s">
        <v>237</v>
      </c>
      <c r="BK3" s="232" t="s">
        <v>335</v>
      </c>
      <c r="BL3" s="328" t="s">
        <v>205</v>
      </c>
      <c r="BM3" s="540" t="s">
        <v>336</v>
      </c>
      <c r="BN3" s="319"/>
      <c r="BO3" s="319" t="s">
        <v>76</v>
      </c>
      <c r="BP3" s="319" t="s">
        <v>237</v>
      </c>
      <c r="BQ3" s="232" t="s">
        <v>335</v>
      </c>
      <c r="BR3" s="328" t="s">
        <v>205</v>
      </c>
      <c r="BS3" s="328" t="s">
        <v>336</v>
      </c>
    </row>
    <row r="4" spans="1:71" ht="16" thickBot="1" x14ac:dyDescent="0.25">
      <c r="A4" s="320">
        <v>1</v>
      </c>
      <c r="B4" s="320">
        <v>26962</v>
      </c>
      <c r="C4" s="233">
        <f>238.8+238.8+356.4+209.4+209.41+429.2</f>
        <v>1682.0100000000002</v>
      </c>
      <c r="D4" s="320">
        <v>1100</v>
      </c>
      <c r="E4" s="320"/>
      <c r="F4" s="233"/>
      <c r="G4" s="320">
        <v>1</v>
      </c>
      <c r="H4" s="329">
        <v>21137</v>
      </c>
      <c r="I4" s="315" t="s">
        <v>1114</v>
      </c>
      <c r="J4" s="233">
        <v>14175.16</v>
      </c>
      <c r="K4" s="320">
        <v>565.91</v>
      </c>
      <c r="L4" s="233"/>
      <c r="M4" s="320">
        <v>1</v>
      </c>
      <c r="N4" s="320">
        <v>0</v>
      </c>
      <c r="O4" s="233">
        <v>0</v>
      </c>
      <c r="P4" s="320">
        <v>10379.540000000001</v>
      </c>
      <c r="Q4" s="233">
        <v>566.36</v>
      </c>
      <c r="R4" s="320"/>
      <c r="S4" s="320">
        <v>1</v>
      </c>
      <c r="T4" s="233">
        <v>32648.5</v>
      </c>
      <c r="U4" s="320">
        <f>1128+773.4+773.4+773.4+773.4</f>
        <v>4221.6000000000004</v>
      </c>
      <c r="V4" s="320">
        <f>1713.5+8334.88</f>
        <v>10048.379999999999</v>
      </c>
      <c r="W4" s="233">
        <f>223.5+516.7</f>
        <v>740.2</v>
      </c>
      <c r="X4" s="320"/>
      <c r="Y4" s="233">
        <v>1</v>
      </c>
      <c r="Z4" s="320">
        <v>3429.3</v>
      </c>
      <c r="AA4" s="233">
        <f>477.3</f>
        <v>477.3</v>
      </c>
      <c r="AB4" s="320">
        <v>19634.23</v>
      </c>
      <c r="AC4" s="233">
        <v>1569.43</v>
      </c>
      <c r="AD4" s="320"/>
      <c r="AE4" s="320">
        <v>1</v>
      </c>
      <c r="AF4" s="315"/>
      <c r="AG4" s="233"/>
      <c r="AH4" s="320"/>
      <c r="AI4" s="233"/>
      <c r="AJ4" s="320"/>
      <c r="AK4" s="320">
        <v>1</v>
      </c>
      <c r="AL4" s="233"/>
      <c r="AM4" s="320"/>
      <c r="AN4" s="233"/>
      <c r="AO4" s="320"/>
      <c r="AP4" s="320"/>
      <c r="AQ4" s="233">
        <v>1</v>
      </c>
      <c r="AR4" s="320"/>
      <c r="AS4" s="233"/>
      <c r="AT4" s="320"/>
      <c r="AU4" s="233"/>
      <c r="AV4" s="320"/>
      <c r="AW4" s="320">
        <v>1</v>
      </c>
      <c r="AX4" s="233"/>
      <c r="AY4" s="320"/>
      <c r="AZ4" s="233"/>
      <c r="BA4" s="320"/>
      <c r="BB4" s="320"/>
      <c r="BC4" s="233">
        <v>1</v>
      </c>
      <c r="BD4" s="320"/>
      <c r="BE4" s="233"/>
      <c r="BF4" s="320"/>
      <c r="BG4" s="233"/>
      <c r="BH4" s="320"/>
      <c r="BI4" s="320">
        <v>1</v>
      </c>
      <c r="BJ4" s="233"/>
      <c r="BK4" s="320"/>
      <c r="BL4" s="320"/>
      <c r="BM4" s="233"/>
      <c r="BN4" s="320"/>
      <c r="BO4" s="320">
        <v>1</v>
      </c>
      <c r="BP4" s="233"/>
      <c r="BQ4" s="320"/>
      <c r="BR4" s="317"/>
      <c r="BS4" s="317"/>
    </row>
    <row r="5" spans="1:71" ht="16" thickBot="1" x14ac:dyDescent="0.25">
      <c r="A5" s="316">
        <v>2</v>
      </c>
      <c r="B5" s="316">
        <v>0</v>
      </c>
      <c r="C5" s="234">
        <v>0</v>
      </c>
      <c r="D5" s="316">
        <v>14166.73</v>
      </c>
      <c r="E5" s="316">
        <v>1600.2</v>
      </c>
      <c r="F5" s="234"/>
      <c r="G5" s="316">
        <v>2</v>
      </c>
      <c r="H5" s="125"/>
      <c r="I5" s="323"/>
      <c r="J5" s="234"/>
      <c r="K5" s="316"/>
      <c r="L5" s="234"/>
      <c r="M5" s="316">
        <v>2</v>
      </c>
      <c r="N5" s="316"/>
      <c r="O5" s="234"/>
      <c r="P5" s="316"/>
      <c r="Q5" s="234"/>
      <c r="R5" s="316"/>
      <c r="S5" s="316">
        <v>2</v>
      </c>
      <c r="T5" s="234">
        <v>28103.599999999999</v>
      </c>
      <c r="U5" s="316">
        <f>536.4+356.4+297.6+1249.2</f>
        <v>2439.6000000000004</v>
      </c>
      <c r="V5" s="316">
        <v>800</v>
      </c>
      <c r="W5" s="234"/>
      <c r="X5" s="316"/>
      <c r="Y5" s="234">
        <v>2</v>
      </c>
      <c r="Z5" s="316">
        <v>36639.199999999997</v>
      </c>
      <c r="AA5" s="234">
        <f>775.2+415.2+477.6+861.6+861.6</f>
        <v>3391.2</v>
      </c>
      <c r="AB5" s="316">
        <v>9294.4699999999993</v>
      </c>
      <c r="AC5" s="234">
        <v>421.77</v>
      </c>
      <c r="AD5" s="316"/>
      <c r="AE5" s="316">
        <v>2</v>
      </c>
      <c r="AF5" s="316"/>
      <c r="AG5" s="234"/>
      <c r="AH5" s="316"/>
      <c r="AI5" s="234"/>
      <c r="AJ5" s="316"/>
      <c r="AK5" s="316">
        <v>2</v>
      </c>
      <c r="AL5" s="234"/>
      <c r="AM5" s="316"/>
      <c r="AN5" s="234"/>
      <c r="AO5" s="316"/>
      <c r="AP5" s="316"/>
      <c r="AQ5" s="234">
        <v>2</v>
      </c>
      <c r="AR5" s="316"/>
      <c r="AS5" s="234"/>
      <c r="AT5" s="316"/>
      <c r="AU5" s="234"/>
      <c r="AV5" s="316"/>
      <c r="AW5" s="316">
        <v>2</v>
      </c>
      <c r="AX5" s="234"/>
      <c r="AY5" s="316"/>
      <c r="AZ5" s="234"/>
      <c r="BA5" s="316"/>
      <c r="BB5" s="316"/>
      <c r="BC5" s="234">
        <v>2</v>
      </c>
      <c r="BD5" s="316"/>
      <c r="BE5" s="234"/>
      <c r="BF5" s="316"/>
      <c r="BG5" s="234"/>
      <c r="BH5" s="316"/>
      <c r="BI5" s="316">
        <v>2</v>
      </c>
      <c r="BJ5" s="234"/>
      <c r="BK5" s="316"/>
      <c r="BL5" s="316"/>
      <c r="BM5" s="234"/>
      <c r="BN5" s="316"/>
      <c r="BO5" s="316">
        <v>2</v>
      </c>
      <c r="BP5" s="234"/>
      <c r="BQ5" s="316"/>
      <c r="BR5" s="318"/>
      <c r="BS5" s="318"/>
    </row>
    <row r="6" spans="1:71" ht="16" thickBot="1" x14ac:dyDescent="0.25">
      <c r="A6" s="316">
        <v>3</v>
      </c>
      <c r="B6" s="316">
        <v>34781.599999999999</v>
      </c>
      <c r="C6" s="234">
        <f>238.8+238.8+297.6+418.8+1503.6</f>
        <v>2697.6</v>
      </c>
      <c r="D6" s="316">
        <v>1174.53</v>
      </c>
      <c r="E6" s="316">
        <v>11.34</v>
      </c>
      <c r="F6" s="234"/>
      <c r="G6" s="316">
        <v>3</v>
      </c>
      <c r="H6" s="205">
        <v>28372.799999999999</v>
      </c>
      <c r="I6" s="316">
        <f>536.4+356.4+477.6</f>
        <v>1370.4</v>
      </c>
      <c r="J6" s="234">
        <v>10025.85</v>
      </c>
      <c r="K6" s="316">
        <v>858.38</v>
      </c>
      <c r="L6" s="234"/>
      <c r="M6" s="316">
        <v>3</v>
      </c>
      <c r="N6" s="316">
        <v>30372.799999999999</v>
      </c>
      <c r="O6" s="234">
        <f>477.6+356.4+297.6+1069.2</f>
        <v>2200.8000000000002</v>
      </c>
      <c r="P6" s="316">
        <v>7862.62</v>
      </c>
      <c r="Q6" s="234">
        <v>519.82000000000005</v>
      </c>
      <c r="R6" s="316"/>
      <c r="S6" s="316">
        <v>3</v>
      </c>
      <c r="T6" s="234">
        <v>3781.2</v>
      </c>
      <c r="U6" s="316">
        <v>508.8</v>
      </c>
      <c r="V6" s="316">
        <f>16537+9381.7</f>
        <v>25918.7</v>
      </c>
      <c r="W6" s="234">
        <f>2157+956.32</f>
        <v>3113.32</v>
      </c>
      <c r="X6" s="316"/>
      <c r="Y6" s="234">
        <v>3</v>
      </c>
      <c r="Z6" s="316">
        <v>18564.2</v>
      </c>
      <c r="AA6" s="234">
        <f>878.1+878.1</f>
        <v>1756.2</v>
      </c>
      <c r="AB6" s="316">
        <v>26579.439999999999</v>
      </c>
      <c r="AC6" s="234">
        <v>490.91</v>
      </c>
      <c r="AD6" s="316"/>
      <c r="AE6" s="316">
        <v>3</v>
      </c>
      <c r="AF6" s="316"/>
      <c r="AG6" s="234"/>
      <c r="AH6" s="316"/>
      <c r="AI6" s="234"/>
      <c r="AJ6" s="316"/>
      <c r="AK6" s="316">
        <v>3</v>
      </c>
      <c r="AL6" s="234"/>
      <c r="AM6" s="316"/>
      <c r="AN6" s="234"/>
      <c r="AO6" s="316"/>
      <c r="AP6" s="316"/>
      <c r="AQ6" s="234">
        <v>3</v>
      </c>
      <c r="AR6" s="316"/>
      <c r="AS6" s="234"/>
      <c r="AT6" s="316"/>
      <c r="AU6" s="234"/>
      <c r="AV6" s="316"/>
      <c r="AW6" s="316">
        <v>3</v>
      </c>
      <c r="AX6" s="234"/>
      <c r="AY6" s="316"/>
      <c r="AZ6" s="234"/>
      <c r="BA6" s="316"/>
      <c r="BB6" s="316"/>
      <c r="BC6" s="234">
        <v>3</v>
      </c>
      <c r="BD6" s="316"/>
      <c r="BE6" s="234"/>
      <c r="BF6" s="316"/>
      <c r="BG6" s="234"/>
      <c r="BH6" s="316"/>
      <c r="BI6" s="316">
        <v>3</v>
      </c>
      <c r="BJ6" s="234"/>
      <c r="BK6" s="316"/>
      <c r="BL6" s="316"/>
      <c r="BM6" s="234"/>
      <c r="BN6" s="316"/>
      <c r="BO6" s="316">
        <v>3</v>
      </c>
      <c r="BP6" s="234"/>
      <c r="BQ6" s="316"/>
      <c r="BR6" s="318"/>
      <c r="BS6" s="318"/>
    </row>
    <row r="7" spans="1:71" ht="15" x14ac:dyDescent="0.2">
      <c r="A7" s="316">
        <v>4</v>
      </c>
      <c r="B7" s="316">
        <v>14519.9</v>
      </c>
      <c r="C7" s="234">
        <f>1025.1+868.8</f>
        <v>1893.8999999999999</v>
      </c>
      <c r="D7" s="316">
        <v>26186.48</v>
      </c>
      <c r="E7" s="323">
        <v>507.41</v>
      </c>
      <c r="F7" s="234"/>
      <c r="G7" s="316">
        <v>4</v>
      </c>
      <c r="H7" s="320">
        <v>33362.6</v>
      </c>
      <c r="I7" s="316">
        <f>1190.4+1131.6+804.6+834+834+712.8</f>
        <v>5507.4000000000005</v>
      </c>
      <c r="J7" s="234">
        <v>8633.4</v>
      </c>
      <c r="K7" s="316">
        <v>678.36</v>
      </c>
      <c r="L7" s="234"/>
      <c r="M7" s="316">
        <v>4</v>
      </c>
      <c r="N7" s="316">
        <v>32319.599999999999</v>
      </c>
      <c r="O7" s="234">
        <f>995.7+789.9+834+834+744</f>
        <v>4197.6000000000004</v>
      </c>
      <c r="P7" s="316">
        <v>15362.72</v>
      </c>
      <c r="Q7" s="234">
        <v>1336.34</v>
      </c>
      <c r="R7" s="316"/>
      <c r="S7" s="316">
        <v>4</v>
      </c>
      <c r="T7" s="234">
        <v>34996</v>
      </c>
      <c r="U7" s="316">
        <f>775.2+415.2+477.6+1488</f>
        <v>3156</v>
      </c>
      <c r="V7" s="316">
        <v>4660.5600000000004</v>
      </c>
      <c r="W7" s="234">
        <v>463.8</v>
      </c>
      <c r="X7" s="316"/>
      <c r="Y7" s="234">
        <v>4</v>
      </c>
      <c r="Z7" s="316">
        <v>0</v>
      </c>
      <c r="AA7" s="234"/>
      <c r="AB7" s="316">
        <v>54.99</v>
      </c>
      <c r="AC7" s="234">
        <v>7.18</v>
      </c>
      <c r="AD7" s="316"/>
      <c r="AE7" s="316">
        <v>4</v>
      </c>
      <c r="AF7" s="316"/>
      <c r="AG7" s="234"/>
      <c r="AH7" s="316"/>
      <c r="AI7" s="234"/>
      <c r="AJ7" s="316"/>
      <c r="AK7" s="316">
        <v>4</v>
      </c>
      <c r="AL7" s="234"/>
      <c r="AM7" s="316"/>
      <c r="AN7" s="234"/>
      <c r="AO7" s="316"/>
      <c r="AP7" s="316"/>
      <c r="AQ7" s="234">
        <v>4</v>
      </c>
      <c r="AR7" s="316"/>
      <c r="AS7" s="234"/>
      <c r="AT7" s="316"/>
      <c r="AU7" s="234"/>
      <c r="AV7" s="316"/>
      <c r="AW7" s="316">
        <v>4</v>
      </c>
      <c r="AX7" s="234"/>
      <c r="AY7" s="316"/>
      <c r="AZ7" s="234"/>
      <c r="BA7" s="316"/>
      <c r="BB7" s="316"/>
      <c r="BC7" s="234">
        <v>4</v>
      </c>
      <c r="BD7" s="316"/>
      <c r="BE7" s="234"/>
      <c r="BF7" s="316"/>
      <c r="BG7" s="234"/>
      <c r="BH7" s="316"/>
      <c r="BI7" s="316">
        <v>4</v>
      </c>
      <c r="BJ7" s="234"/>
      <c r="BK7" s="316"/>
      <c r="BL7" s="316"/>
      <c r="BM7" s="234"/>
      <c r="BN7" s="316"/>
      <c r="BO7" s="316">
        <v>4</v>
      </c>
      <c r="BP7" s="234"/>
      <c r="BQ7" s="316"/>
      <c r="BR7" s="318"/>
      <c r="BS7" s="318"/>
    </row>
    <row r="8" spans="1:71" ht="15" x14ac:dyDescent="0.2">
      <c r="A8" s="316">
        <v>5</v>
      </c>
      <c r="B8" s="316">
        <v>0</v>
      </c>
      <c r="C8" s="234">
        <v>0</v>
      </c>
      <c r="D8" s="316">
        <v>408.15</v>
      </c>
      <c r="E8" s="462">
        <v>23.35</v>
      </c>
      <c r="F8" s="234"/>
      <c r="G8" s="316">
        <v>5</v>
      </c>
      <c r="H8" s="316">
        <v>29432.799999999999</v>
      </c>
      <c r="I8" s="316">
        <f>536.4+356.4+418.8+1249.2</f>
        <v>2560.8000000000002</v>
      </c>
      <c r="J8" s="234">
        <f>24863+800</f>
        <v>25663</v>
      </c>
      <c r="K8" s="316">
        <v>3243</v>
      </c>
      <c r="L8" s="234"/>
      <c r="M8" s="316">
        <v>5</v>
      </c>
      <c r="N8" s="316">
        <v>25572.799999999999</v>
      </c>
      <c r="O8" s="234">
        <f>477.6+356.4+297.6+1069.2</f>
        <v>2200.8000000000002</v>
      </c>
      <c r="P8" s="316">
        <v>800</v>
      </c>
      <c r="Q8" s="234"/>
      <c r="R8" s="316"/>
      <c r="S8" s="316">
        <v>5</v>
      </c>
      <c r="T8" s="234">
        <v>0</v>
      </c>
      <c r="U8" s="316">
        <v>0</v>
      </c>
      <c r="V8" s="316">
        <v>992.98</v>
      </c>
      <c r="W8" s="234"/>
      <c r="X8" s="316"/>
      <c r="Y8" s="234">
        <v>5</v>
      </c>
      <c r="Z8" s="316">
        <v>28898.2</v>
      </c>
      <c r="AA8" s="234"/>
      <c r="AB8" s="316">
        <v>13380.48</v>
      </c>
      <c r="AC8" s="234">
        <v>704.79</v>
      </c>
      <c r="AD8" s="316"/>
      <c r="AE8" s="316">
        <v>5</v>
      </c>
      <c r="AF8" s="316"/>
      <c r="AG8" s="234"/>
      <c r="AH8" s="316"/>
      <c r="AI8" s="234"/>
      <c r="AJ8" s="316"/>
      <c r="AK8" s="316">
        <v>5</v>
      </c>
      <c r="AL8" s="234"/>
      <c r="AM8" s="316"/>
      <c r="AN8" s="234"/>
      <c r="AO8" s="316"/>
      <c r="AP8" s="316"/>
      <c r="AQ8" s="234">
        <v>5</v>
      </c>
      <c r="AR8" s="316"/>
      <c r="AS8" s="234"/>
      <c r="AT8" s="316"/>
      <c r="AU8" s="234"/>
      <c r="AV8" s="316"/>
      <c r="AW8" s="316">
        <v>5</v>
      </c>
      <c r="AX8" s="234"/>
      <c r="AY8" s="316"/>
      <c r="AZ8" s="234"/>
      <c r="BA8" s="316"/>
      <c r="BB8" s="316"/>
      <c r="BC8" s="234">
        <v>5</v>
      </c>
      <c r="BD8" s="316"/>
      <c r="BE8" s="234"/>
      <c r="BF8" s="316"/>
      <c r="BG8" s="234"/>
      <c r="BH8" s="316"/>
      <c r="BI8" s="316">
        <v>5</v>
      </c>
      <c r="BJ8" s="234"/>
      <c r="BK8" s="316"/>
      <c r="BL8" s="316"/>
      <c r="BM8" s="234"/>
      <c r="BN8" s="316"/>
      <c r="BO8" s="316">
        <v>5</v>
      </c>
      <c r="BP8" s="234"/>
      <c r="BQ8" s="316"/>
      <c r="BR8" s="318"/>
      <c r="BS8" s="318"/>
    </row>
    <row r="9" spans="1:71" ht="15" x14ac:dyDescent="0.2">
      <c r="A9" s="316">
        <v>6</v>
      </c>
      <c r="B9" s="316">
        <v>29475.200000000001</v>
      </c>
      <c r="C9" s="234">
        <f>537.3+355.5+493.2+1295.1</f>
        <v>2681.1</v>
      </c>
      <c r="D9" s="316">
        <v>25261.43</v>
      </c>
      <c r="E9" s="316">
        <v>916.5</v>
      </c>
      <c r="F9" s="234"/>
      <c r="G9" s="316">
        <v>6</v>
      </c>
      <c r="H9" s="316">
        <v>7510.8</v>
      </c>
      <c r="I9" s="316">
        <v>418.8</v>
      </c>
      <c r="J9" s="234">
        <v>17671.61</v>
      </c>
      <c r="K9" s="316">
        <v>1654.54</v>
      </c>
      <c r="L9" s="234"/>
      <c r="M9" s="316">
        <v>6</v>
      </c>
      <c r="N9" s="316">
        <v>5910.8</v>
      </c>
      <c r="O9" s="234">
        <v>418.8</v>
      </c>
      <c r="P9" s="316">
        <f>4358.5+8885.69</f>
        <v>13244.19</v>
      </c>
      <c r="Q9" s="234">
        <f>568.5+514.16</f>
        <v>1082.6599999999999</v>
      </c>
      <c r="R9" s="316"/>
      <c r="S9" s="316">
        <v>6</v>
      </c>
      <c r="T9" s="234">
        <v>13697.2</v>
      </c>
      <c r="U9" s="316">
        <f>1069.2</f>
        <v>1069.2</v>
      </c>
      <c r="V9" s="316">
        <v>6101.77</v>
      </c>
      <c r="W9" s="234">
        <v>204.58</v>
      </c>
      <c r="X9" s="316"/>
      <c r="Y9" s="234">
        <v>6</v>
      </c>
      <c r="Z9" s="316">
        <v>44311.8</v>
      </c>
      <c r="AA9" s="234"/>
      <c r="AB9" s="316">
        <v>5470.97</v>
      </c>
      <c r="AC9" s="234">
        <v>205.93</v>
      </c>
      <c r="AD9" s="316"/>
      <c r="AE9" s="316">
        <v>6</v>
      </c>
      <c r="AF9" s="316"/>
      <c r="AG9" s="234"/>
      <c r="AH9" s="316"/>
      <c r="AI9" s="234"/>
      <c r="AJ9" s="316"/>
      <c r="AK9" s="316">
        <v>6</v>
      </c>
      <c r="AL9" s="234"/>
      <c r="AM9" s="316"/>
      <c r="AN9" s="234"/>
      <c r="AO9" s="316"/>
      <c r="AP9" s="316"/>
      <c r="AQ9" s="234">
        <v>6</v>
      </c>
      <c r="AR9" s="316"/>
      <c r="AS9" s="234"/>
      <c r="AT9" s="316"/>
      <c r="AU9" s="234"/>
      <c r="AV9" s="316"/>
      <c r="AW9" s="316">
        <v>6</v>
      </c>
      <c r="AX9" s="234"/>
      <c r="AY9" s="316"/>
      <c r="AZ9" s="234"/>
      <c r="BA9" s="316"/>
      <c r="BB9" s="316"/>
      <c r="BC9" s="234">
        <v>6</v>
      </c>
      <c r="BD9" s="316"/>
      <c r="BE9" s="234"/>
      <c r="BF9" s="316"/>
      <c r="BG9" s="234"/>
      <c r="BH9" s="316"/>
      <c r="BI9" s="316">
        <v>6</v>
      </c>
      <c r="BJ9" s="234"/>
      <c r="BK9" s="316"/>
      <c r="BL9" s="316"/>
      <c r="BM9" s="234"/>
      <c r="BN9" s="316"/>
      <c r="BO9" s="316">
        <v>6</v>
      </c>
      <c r="BP9" s="234"/>
      <c r="BQ9" s="316"/>
      <c r="BR9" s="318"/>
      <c r="BS9" s="318"/>
    </row>
    <row r="10" spans="1:71" ht="16" thickBot="1" x14ac:dyDescent="0.25">
      <c r="A10" s="323">
        <v>7</v>
      </c>
      <c r="B10" s="323">
        <v>28294.799999999999</v>
      </c>
      <c r="C10" s="324">
        <f>1069.2+625.5+625.5+625.5</f>
        <v>2945.7</v>
      </c>
      <c r="D10" s="323">
        <f>28014+16896.39</f>
        <v>44910.39</v>
      </c>
      <c r="E10" s="323">
        <f>3654+607.8</f>
        <v>4261.8</v>
      </c>
      <c r="F10" s="324"/>
      <c r="G10" s="323">
        <v>7</v>
      </c>
      <c r="H10" s="323">
        <v>30825.200000000001</v>
      </c>
      <c r="I10" s="323">
        <f>595.2+356.4+477.6+1488</f>
        <v>2917.2</v>
      </c>
      <c r="J10" s="324">
        <v>6800</v>
      </c>
      <c r="K10" s="323"/>
      <c r="L10" s="324"/>
      <c r="M10" s="323">
        <v>7</v>
      </c>
      <c r="N10" s="323">
        <v>31485.200000000001</v>
      </c>
      <c r="O10" s="324">
        <f>654+356.4+477.6+1249.2</f>
        <v>2737.2</v>
      </c>
      <c r="P10" s="323">
        <v>20437.03</v>
      </c>
      <c r="Q10" s="324">
        <v>68.95</v>
      </c>
      <c r="R10" s="323"/>
      <c r="S10" s="323">
        <v>7</v>
      </c>
      <c r="T10" s="324">
        <v>23923.599999999999</v>
      </c>
      <c r="U10" s="323">
        <f>238.8+238.8+178.2+178.2+148.8+148.8+564+564</f>
        <v>2259.6</v>
      </c>
      <c r="V10" s="323">
        <v>8823.39</v>
      </c>
      <c r="W10" s="324">
        <v>758.34</v>
      </c>
      <c r="X10" s="323"/>
      <c r="Y10" s="324">
        <v>7</v>
      </c>
      <c r="Z10" s="323">
        <v>20038.599999999999</v>
      </c>
      <c r="AA10" s="324"/>
      <c r="AB10" s="323">
        <v>800.08</v>
      </c>
      <c r="AC10" s="324"/>
      <c r="AD10" s="323"/>
      <c r="AE10" s="323">
        <v>7</v>
      </c>
      <c r="AF10" s="323"/>
      <c r="AG10" s="324"/>
      <c r="AH10" s="323"/>
      <c r="AI10" s="324"/>
      <c r="AJ10" s="323"/>
      <c r="AK10" s="323">
        <v>7</v>
      </c>
      <c r="AL10" s="324"/>
      <c r="AM10" s="323"/>
      <c r="AN10" s="324"/>
      <c r="AO10" s="323"/>
      <c r="AP10" s="323"/>
      <c r="AQ10" s="324">
        <v>7</v>
      </c>
      <c r="AR10" s="323"/>
      <c r="AS10" s="324"/>
      <c r="AT10" s="323"/>
      <c r="AU10" s="324"/>
      <c r="AV10" s="323"/>
      <c r="AW10" s="323">
        <v>7</v>
      </c>
      <c r="AX10" s="324"/>
      <c r="AY10" s="323"/>
      <c r="AZ10" s="324"/>
      <c r="BA10" s="323"/>
      <c r="BB10" s="323"/>
      <c r="BC10" s="324">
        <v>7</v>
      </c>
      <c r="BD10" s="323"/>
      <c r="BE10" s="324"/>
      <c r="BF10" s="323"/>
      <c r="BG10" s="324"/>
      <c r="BH10" s="323"/>
      <c r="BI10" s="323">
        <v>7</v>
      </c>
      <c r="BJ10" s="324"/>
      <c r="BK10" s="323"/>
      <c r="BL10" s="323"/>
      <c r="BM10" s="324"/>
      <c r="BN10" s="323"/>
      <c r="BO10" s="323">
        <v>7</v>
      </c>
      <c r="BP10" s="324"/>
      <c r="BQ10" s="323"/>
      <c r="BR10" s="466"/>
      <c r="BS10" s="466"/>
    </row>
    <row r="11" spans="1:71" ht="16" thickBot="1" x14ac:dyDescent="0.25">
      <c r="A11" s="331" t="s">
        <v>363</v>
      </c>
      <c r="B11" s="331">
        <f>SUM(B4:B10)</f>
        <v>134033.5</v>
      </c>
      <c r="C11" s="237">
        <f>SUM(C4:C10)</f>
        <v>11900.310000000001</v>
      </c>
      <c r="D11" s="331">
        <f>SUM(D4:D10)</f>
        <v>113207.71</v>
      </c>
      <c r="E11" s="331">
        <f>SUM(E4:E10)</f>
        <v>7320.6</v>
      </c>
      <c r="F11" s="237"/>
      <c r="G11" s="331" t="s">
        <v>363</v>
      </c>
      <c r="H11" s="331">
        <f>SUM(H4:H10)</f>
        <v>150641.20000000001</v>
      </c>
      <c r="I11" s="331">
        <f>SUM(I4:I10)</f>
        <v>12774.600000000002</v>
      </c>
      <c r="J11" s="237">
        <f>SUM(J4:J10)</f>
        <v>82969.02</v>
      </c>
      <c r="K11" s="331">
        <f>SUM(K4:K10)</f>
        <v>7000.19</v>
      </c>
      <c r="L11" s="237"/>
      <c r="M11" s="331" t="s">
        <v>363</v>
      </c>
      <c r="N11" s="331">
        <f>SUM(N4:N10)</f>
        <v>125661.2</v>
      </c>
      <c r="O11" s="237">
        <f>SUM(O4:O10)</f>
        <v>11755.2</v>
      </c>
      <c r="P11" s="331">
        <f>SUM(P4:P10)</f>
        <v>68086.100000000006</v>
      </c>
      <c r="Q11" s="237">
        <f>SUM(Q4:Q10)</f>
        <v>3574.1299999999997</v>
      </c>
      <c r="R11" s="331"/>
      <c r="S11" s="331" t="s">
        <v>363</v>
      </c>
      <c r="T11" s="237">
        <f>SUM(T4:T10)</f>
        <v>137150.09999999998</v>
      </c>
      <c r="U11" s="331">
        <f>SUM(U4:U10)</f>
        <v>13654.800000000001</v>
      </c>
      <c r="V11" s="331">
        <f>SUM(V4:V10)</f>
        <v>57345.78</v>
      </c>
      <c r="W11" s="237">
        <f>SUM(W4:W10)</f>
        <v>5280.2400000000007</v>
      </c>
      <c r="X11" s="331"/>
      <c r="Y11" s="331" t="s">
        <v>363</v>
      </c>
      <c r="Z11" s="331">
        <f>SUM(Z4:Z10)</f>
        <v>151881.30000000002</v>
      </c>
      <c r="AA11" s="237">
        <f>SUM(AA4:AA10)</f>
        <v>5624.7</v>
      </c>
      <c r="AB11" s="331">
        <f>SUM(AB4:AB10)</f>
        <v>75214.66</v>
      </c>
      <c r="AC11" s="237">
        <f>SUM(AC4:AC10)</f>
        <v>3400.0099999999998</v>
      </c>
      <c r="AD11" s="331"/>
      <c r="AE11" s="331" t="s">
        <v>363</v>
      </c>
      <c r="AF11" s="331">
        <f>SUM(AF4:AF10)</f>
        <v>0</v>
      </c>
      <c r="AG11" s="237">
        <f>SUM(AG4:AG10)</f>
        <v>0</v>
      </c>
      <c r="AH11" s="331">
        <f>SUM(AH4:AH10)</f>
        <v>0</v>
      </c>
      <c r="AI11" s="237">
        <f>SUM(AI4:AI10)</f>
        <v>0</v>
      </c>
      <c r="AJ11" s="331"/>
      <c r="AK11" s="331" t="s">
        <v>363</v>
      </c>
      <c r="AL11" s="237">
        <f>SUM(AL4:AL10)</f>
        <v>0</v>
      </c>
      <c r="AM11" s="331">
        <f>SUM(AM4:AM10)</f>
        <v>0</v>
      </c>
      <c r="AN11" s="237">
        <f>SUM(AN4:AN10)</f>
        <v>0</v>
      </c>
      <c r="AO11" s="331">
        <f>SUM(AO4:AO10)</f>
        <v>0</v>
      </c>
      <c r="AP11" s="331"/>
      <c r="AQ11" s="331" t="s">
        <v>363</v>
      </c>
      <c r="AR11" s="331">
        <f>SUM(AR4:AR10)</f>
        <v>0</v>
      </c>
      <c r="AS11" s="237">
        <f>SUM(AS4:AS10)</f>
        <v>0</v>
      </c>
      <c r="AT11" s="331">
        <f>SUM(AT4:AT10)</f>
        <v>0</v>
      </c>
      <c r="AU11" s="237">
        <f>SUM(AU4:AU10)</f>
        <v>0</v>
      </c>
      <c r="AV11" s="331"/>
      <c r="AW11" s="331" t="s">
        <v>363</v>
      </c>
      <c r="AX11" s="237">
        <f>SUM(AX4:AX10)</f>
        <v>0</v>
      </c>
      <c r="AY11" s="331">
        <f>SUM(AY4:AY10)</f>
        <v>0</v>
      </c>
      <c r="AZ11" s="237">
        <f>SUM(AZ4:AZ10)</f>
        <v>0</v>
      </c>
      <c r="BA11" s="331">
        <f>SUM(BA4:BA10)</f>
        <v>0</v>
      </c>
      <c r="BB11" s="331"/>
      <c r="BC11" s="331" t="s">
        <v>363</v>
      </c>
      <c r="BD11" s="331">
        <f>SUM(BD4:BD10)</f>
        <v>0</v>
      </c>
      <c r="BE11" s="237">
        <f>SUM(BE4:BE10)</f>
        <v>0</v>
      </c>
      <c r="BF11" s="331">
        <f>SUM(BF4:BF10)</f>
        <v>0</v>
      </c>
      <c r="BG11" s="237">
        <f>SUM(BG4:BG10)</f>
        <v>0</v>
      </c>
      <c r="BH11" s="331"/>
      <c r="BI11" s="331" t="s">
        <v>363</v>
      </c>
      <c r="BJ11" s="237">
        <f>SUM(BJ4:BJ10)</f>
        <v>0</v>
      </c>
      <c r="BK11" s="331">
        <f>SUM(BK4:BK10)</f>
        <v>0</v>
      </c>
      <c r="BL11" s="331">
        <f>SUM(BL4:BL10)</f>
        <v>0</v>
      </c>
      <c r="BM11" s="237">
        <f>SUM(BM4:BM10)</f>
        <v>0</v>
      </c>
      <c r="BN11" s="331"/>
      <c r="BO11" s="331" t="s">
        <v>363</v>
      </c>
      <c r="BP11" s="237">
        <f>SUM(BP4:BP10)</f>
        <v>0</v>
      </c>
      <c r="BQ11" s="331">
        <f>SUM(BQ4:BQ10)</f>
        <v>0</v>
      </c>
      <c r="BR11" s="483">
        <f>SUM(BR4:BR10)</f>
        <v>0</v>
      </c>
      <c r="BS11" s="483">
        <f>SUM(BS4:BS10)</f>
        <v>0</v>
      </c>
    </row>
    <row r="12" spans="1:71" ht="15" x14ac:dyDescent="0.2">
      <c r="A12" s="320">
        <v>8</v>
      </c>
      <c r="B12" s="320">
        <v>24087</v>
      </c>
      <c r="C12" s="320">
        <f>537.3+355.5+449.1+1025.1</f>
        <v>2367</v>
      </c>
      <c r="D12" s="320">
        <v>800</v>
      </c>
      <c r="E12" s="320">
        <v>0</v>
      </c>
      <c r="F12" s="233"/>
      <c r="G12" s="320">
        <v>8</v>
      </c>
      <c r="H12" s="320">
        <v>0</v>
      </c>
      <c r="I12" s="320">
        <v>0</v>
      </c>
      <c r="J12" s="233">
        <v>19627.7</v>
      </c>
      <c r="K12" s="320">
        <v>113.84</v>
      </c>
      <c r="L12" s="233"/>
      <c r="M12" s="320">
        <v>8</v>
      </c>
      <c r="N12" s="320">
        <v>0</v>
      </c>
      <c r="O12" s="233">
        <v>0</v>
      </c>
      <c r="P12" s="320">
        <v>7434.59</v>
      </c>
      <c r="Q12" s="233">
        <v>667.61</v>
      </c>
      <c r="R12" s="320"/>
      <c r="S12" s="320">
        <v>8</v>
      </c>
      <c r="T12" s="233">
        <v>26792.7</v>
      </c>
      <c r="U12" s="320">
        <f>626.4+949.8+655.8+655.8+670.5</f>
        <v>3558.3</v>
      </c>
      <c r="V12" s="320">
        <f>16547.13+9858.26</f>
        <v>26405.39</v>
      </c>
      <c r="W12" s="233">
        <f>2158.33+979.69</f>
        <v>3138.02</v>
      </c>
      <c r="X12" s="320"/>
      <c r="Y12" s="233">
        <v>8</v>
      </c>
      <c r="Z12" s="320">
        <v>3661.6</v>
      </c>
      <c r="AA12" s="233"/>
      <c r="AB12" s="320">
        <v>8387.48</v>
      </c>
      <c r="AC12" s="233">
        <v>431.08</v>
      </c>
      <c r="AD12" s="320"/>
      <c r="AE12" s="320">
        <v>8</v>
      </c>
      <c r="AF12" s="320"/>
      <c r="AG12" s="233"/>
      <c r="AH12" s="320"/>
      <c r="AI12" s="233"/>
      <c r="AJ12" s="320"/>
      <c r="AK12" s="320">
        <v>8</v>
      </c>
      <c r="AL12" s="233"/>
      <c r="AM12" s="320"/>
      <c r="AN12" s="233"/>
      <c r="AO12" s="320"/>
      <c r="AP12" s="320"/>
      <c r="AQ12" s="233">
        <v>8</v>
      </c>
      <c r="AR12" s="320"/>
      <c r="AS12" s="233"/>
      <c r="AT12" s="320"/>
      <c r="AU12" s="233"/>
      <c r="AV12" s="320"/>
      <c r="AW12" s="320">
        <v>8</v>
      </c>
      <c r="AX12" s="233"/>
      <c r="AY12" s="320"/>
      <c r="AZ12" s="233"/>
      <c r="BA12" s="320"/>
      <c r="BB12" s="320"/>
      <c r="BC12" s="233">
        <v>8</v>
      </c>
      <c r="BD12" s="320"/>
      <c r="BE12" s="233"/>
      <c r="BF12" s="320"/>
      <c r="BG12" s="233"/>
      <c r="BH12" s="320"/>
      <c r="BI12" s="320">
        <v>8</v>
      </c>
      <c r="BJ12" s="233"/>
      <c r="BK12" s="320"/>
      <c r="BL12" s="320"/>
      <c r="BM12" s="233"/>
      <c r="BN12" s="320"/>
      <c r="BO12" s="320">
        <v>8</v>
      </c>
      <c r="BP12" s="233"/>
      <c r="BQ12" s="320"/>
      <c r="BR12" s="317"/>
      <c r="BS12" s="317"/>
    </row>
    <row r="13" spans="1:71" ht="15" x14ac:dyDescent="0.2">
      <c r="A13" s="316">
        <v>9</v>
      </c>
      <c r="B13" s="316">
        <v>9075.4</v>
      </c>
      <c r="C13" s="234">
        <f>534.6+346.2</f>
        <v>880.8</v>
      </c>
      <c r="D13" s="316">
        <v>20124.8</v>
      </c>
      <c r="E13" s="316">
        <v>2191.0100000000002</v>
      </c>
      <c r="F13" s="234"/>
      <c r="G13" s="316">
        <v>9</v>
      </c>
      <c r="H13" s="316">
        <v>0</v>
      </c>
      <c r="I13" s="316">
        <v>0</v>
      </c>
      <c r="J13" s="234">
        <v>8897.2800000000007</v>
      </c>
      <c r="K13" s="316">
        <v>638.79</v>
      </c>
      <c r="L13" s="234"/>
      <c r="M13" s="316">
        <v>9</v>
      </c>
      <c r="N13" s="316">
        <v>8197.2000000000007</v>
      </c>
      <c r="O13" s="234">
        <f>1069.2</f>
        <v>1069.2</v>
      </c>
      <c r="P13" s="316">
        <v>10892.15</v>
      </c>
      <c r="Q13" s="234">
        <v>768.92</v>
      </c>
      <c r="R13" s="316"/>
      <c r="S13" s="316">
        <v>9</v>
      </c>
      <c r="T13" s="234">
        <v>31422.799999999999</v>
      </c>
      <c r="U13" s="316">
        <f>477.6+266.4+297.6+1069.2</f>
        <v>2110.8000000000002</v>
      </c>
      <c r="V13" s="316">
        <v>800</v>
      </c>
      <c r="W13" s="234"/>
      <c r="X13" s="316"/>
      <c r="Y13" s="234">
        <v>9</v>
      </c>
      <c r="Z13" s="316"/>
      <c r="AA13" s="234"/>
      <c r="AB13" s="316"/>
      <c r="AC13" s="234"/>
      <c r="AD13" s="316"/>
      <c r="AE13" s="316">
        <v>9</v>
      </c>
      <c r="AF13" s="316"/>
      <c r="AG13" s="234"/>
      <c r="AH13" s="316"/>
      <c r="AI13" s="234"/>
      <c r="AJ13" s="316"/>
      <c r="AK13" s="316">
        <v>9</v>
      </c>
      <c r="AL13" s="234"/>
      <c r="AM13" s="316"/>
      <c r="AN13" s="234"/>
      <c r="AO13" s="316"/>
      <c r="AP13" s="316"/>
      <c r="AQ13" s="234">
        <v>9</v>
      </c>
      <c r="AR13" s="316"/>
      <c r="AS13" s="234"/>
      <c r="AT13" s="316"/>
      <c r="AU13" s="234"/>
      <c r="AV13" s="316"/>
      <c r="AW13" s="316">
        <v>9</v>
      </c>
      <c r="AX13" s="234"/>
      <c r="AY13" s="316"/>
      <c r="AZ13" s="234"/>
      <c r="BA13" s="316"/>
      <c r="BB13" s="316"/>
      <c r="BC13" s="234">
        <v>9</v>
      </c>
      <c r="BD13" s="316"/>
      <c r="BE13" s="234"/>
      <c r="BF13" s="316"/>
      <c r="BG13" s="234"/>
      <c r="BH13" s="316"/>
      <c r="BI13" s="316">
        <v>9</v>
      </c>
      <c r="BJ13" s="234"/>
      <c r="BK13" s="316"/>
      <c r="BL13" s="316"/>
      <c r="BM13" s="234"/>
      <c r="BN13" s="316"/>
      <c r="BO13" s="316">
        <v>9</v>
      </c>
      <c r="BP13" s="234"/>
      <c r="BQ13" s="316"/>
      <c r="BR13" s="318"/>
      <c r="BS13" s="318"/>
    </row>
    <row r="14" spans="1:71" ht="15" x14ac:dyDescent="0.2">
      <c r="A14" s="316">
        <v>10</v>
      </c>
      <c r="B14" s="316">
        <v>37083.9</v>
      </c>
      <c r="C14" s="234">
        <f>402.3+449.1+1430.1</f>
        <v>2281.5</v>
      </c>
      <c r="D14" s="316">
        <v>804.72</v>
      </c>
      <c r="E14" s="316">
        <v>0</v>
      </c>
      <c r="F14" s="234"/>
      <c r="G14" s="316">
        <v>10</v>
      </c>
      <c r="H14" s="316">
        <v>33207.4</v>
      </c>
      <c r="I14" s="316">
        <f>253.5+253.5+178.2+178.2+238.8+238.8+1190.4+744</f>
        <v>3275.4</v>
      </c>
      <c r="J14" s="234">
        <v>10043.06</v>
      </c>
      <c r="K14" s="316">
        <v>637.24</v>
      </c>
      <c r="L14" s="234"/>
      <c r="M14" s="316">
        <v>10</v>
      </c>
      <c r="N14" s="316">
        <v>35952.800000000003</v>
      </c>
      <c r="O14" s="234">
        <f>536.4+356.4+297.6+1190.4</f>
        <v>2380.8000000000002</v>
      </c>
      <c r="P14" s="316">
        <v>11246.51</v>
      </c>
      <c r="Q14" s="234">
        <v>660.13</v>
      </c>
      <c r="R14" s="316"/>
      <c r="S14" s="316">
        <v>10</v>
      </c>
      <c r="T14" s="234">
        <v>25519</v>
      </c>
      <c r="U14" s="316">
        <v>508.8</v>
      </c>
      <c r="V14" s="316">
        <v>20637.150000000001</v>
      </c>
      <c r="W14" s="234">
        <v>1854.45</v>
      </c>
      <c r="X14" s="316"/>
      <c r="Y14" s="234">
        <v>10</v>
      </c>
      <c r="Z14" s="316"/>
      <c r="AA14" s="234"/>
      <c r="AB14" s="316"/>
      <c r="AC14" s="234"/>
      <c r="AD14" s="316"/>
      <c r="AE14" s="316">
        <v>10</v>
      </c>
      <c r="AF14" s="316"/>
      <c r="AG14" s="234"/>
      <c r="AH14" s="316"/>
      <c r="AI14" s="234"/>
      <c r="AJ14" s="316"/>
      <c r="AK14" s="316">
        <v>10</v>
      </c>
      <c r="AL14" s="234"/>
      <c r="AM14" s="316"/>
      <c r="AN14" s="234"/>
      <c r="AO14" s="316"/>
      <c r="AP14" s="316"/>
      <c r="AQ14" s="234">
        <v>10</v>
      </c>
      <c r="AR14" s="316"/>
      <c r="AS14" s="234"/>
      <c r="AT14" s="316"/>
      <c r="AU14" s="234"/>
      <c r="AV14" s="316"/>
      <c r="AW14" s="316">
        <v>10</v>
      </c>
      <c r="AX14" s="234"/>
      <c r="AY14" s="316"/>
      <c r="AZ14" s="234"/>
      <c r="BA14" s="316"/>
      <c r="BB14" s="316"/>
      <c r="BC14" s="234">
        <v>10</v>
      </c>
      <c r="BD14" s="316"/>
      <c r="BE14" s="234"/>
      <c r="BF14" s="316"/>
      <c r="BG14" s="234"/>
      <c r="BH14" s="316"/>
      <c r="BI14" s="316">
        <v>10</v>
      </c>
      <c r="BJ14" s="234"/>
      <c r="BK14" s="316"/>
      <c r="BL14" s="316"/>
      <c r="BM14" s="234"/>
      <c r="BN14" s="316"/>
      <c r="BO14" s="316">
        <v>10</v>
      </c>
      <c r="BP14" s="234"/>
      <c r="BQ14" s="316"/>
      <c r="BR14" s="318"/>
      <c r="BS14" s="318"/>
    </row>
    <row r="15" spans="1:71" ht="15" x14ac:dyDescent="0.2">
      <c r="A15" s="316">
        <v>11</v>
      </c>
      <c r="B15" s="316">
        <v>3300</v>
      </c>
      <c r="C15" s="234">
        <f>716.4</f>
        <v>716.4</v>
      </c>
      <c r="D15" s="316">
        <v>10078.14</v>
      </c>
      <c r="E15" s="316">
        <v>345.65</v>
      </c>
      <c r="F15" s="234"/>
      <c r="G15" s="316">
        <v>11</v>
      </c>
      <c r="H15" s="316">
        <v>33136.1</v>
      </c>
      <c r="I15" s="316">
        <f>1131.6+804.6+834+834</f>
        <v>3604.2</v>
      </c>
      <c r="J15" s="234">
        <v>12317.61</v>
      </c>
      <c r="K15" s="316">
        <v>793.38</v>
      </c>
      <c r="L15" s="234"/>
      <c r="M15" s="316">
        <v>11</v>
      </c>
      <c r="N15" s="316">
        <v>29573.4</v>
      </c>
      <c r="O15" s="234">
        <f>953.4+714.6+714.6+714.6+744</f>
        <v>3841.2</v>
      </c>
      <c r="P15" s="316">
        <f>19333.8+12400.5</f>
        <v>31734.3</v>
      </c>
      <c r="Q15" s="234">
        <f>2521.8+1077.46</f>
        <v>3599.26</v>
      </c>
      <c r="R15" s="316"/>
      <c r="S15" s="316">
        <v>11</v>
      </c>
      <c r="T15" s="234">
        <v>25519</v>
      </c>
      <c r="U15" s="316">
        <f>597+356.4+477.6+1128</f>
        <v>2559</v>
      </c>
      <c r="V15" s="316">
        <v>15620</v>
      </c>
      <c r="W15" s="234"/>
      <c r="X15" s="316"/>
      <c r="Y15" s="234">
        <v>11</v>
      </c>
      <c r="Z15" s="316"/>
      <c r="AA15" s="234"/>
      <c r="AB15" s="316"/>
      <c r="AC15" s="234"/>
      <c r="AD15" s="316"/>
      <c r="AE15" s="316">
        <v>11</v>
      </c>
      <c r="AF15" s="316"/>
      <c r="AG15" s="234"/>
      <c r="AH15" s="316"/>
      <c r="AI15" s="234"/>
      <c r="AJ15" s="316"/>
      <c r="AK15" s="316">
        <v>11</v>
      </c>
      <c r="AL15" s="234"/>
      <c r="AM15" s="316"/>
      <c r="AN15" s="234"/>
      <c r="AO15" s="316"/>
      <c r="AP15" s="316"/>
      <c r="AQ15" s="234">
        <v>11</v>
      </c>
      <c r="AR15" s="316"/>
      <c r="AS15" s="234"/>
      <c r="AT15" s="316"/>
      <c r="AU15" s="234"/>
      <c r="AV15" s="316"/>
      <c r="AW15" s="316">
        <v>11</v>
      </c>
      <c r="AX15" s="234"/>
      <c r="AY15" s="316"/>
      <c r="AZ15" s="234"/>
      <c r="BA15" s="316"/>
      <c r="BB15" s="316"/>
      <c r="BC15" s="234">
        <v>11</v>
      </c>
      <c r="BD15" s="316"/>
      <c r="BE15" s="234"/>
      <c r="BF15" s="316"/>
      <c r="BG15" s="234"/>
      <c r="BH15" s="316"/>
      <c r="BI15" s="316">
        <v>11</v>
      </c>
      <c r="BJ15" s="234"/>
      <c r="BK15" s="316"/>
      <c r="BL15" s="316"/>
      <c r="BM15" s="234"/>
      <c r="BN15" s="316"/>
      <c r="BO15" s="316">
        <v>11</v>
      </c>
      <c r="BP15" s="234"/>
      <c r="BQ15" s="316"/>
      <c r="BR15" s="318"/>
      <c r="BS15" s="318"/>
    </row>
    <row r="16" spans="1:71" ht="15" x14ac:dyDescent="0.2">
      <c r="A16" s="316">
        <v>12</v>
      </c>
      <c r="B16" s="316">
        <v>0</v>
      </c>
      <c r="C16" s="234">
        <v>0</v>
      </c>
      <c r="D16" s="316">
        <v>7158.41</v>
      </c>
      <c r="E16" s="316">
        <v>502.32</v>
      </c>
      <c r="F16" s="234"/>
      <c r="G16" s="316">
        <v>12</v>
      </c>
      <c r="H16" s="316">
        <v>28480.400000000001</v>
      </c>
      <c r="I16" s="316">
        <f>418.8+356.4+418.8+1190.4</f>
        <v>2384.4</v>
      </c>
      <c r="J16" s="234">
        <v>4590.6099999999997</v>
      </c>
      <c r="K16" s="316">
        <v>342.11</v>
      </c>
      <c r="L16" s="234"/>
      <c r="M16" s="316">
        <v>12</v>
      </c>
      <c r="N16" s="316">
        <v>25052.799999999999</v>
      </c>
      <c r="O16" s="234">
        <f>536.4+356.4+297.6+1190.4</f>
        <v>2380.8000000000002</v>
      </c>
      <c r="P16" s="316">
        <v>1400</v>
      </c>
      <c r="Q16" s="234"/>
      <c r="R16" s="316"/>
      <c r="S16" s="316">
        <v>12</v>
      </c>
      <c r="T16" s="234">
        <v>0</v>
      </c>
      <c r="U16" s="316"/>
      <c r="V16" s="316">
        <v>6942.5</v>
      </c>
      <c r="W16" s="234">
        <v>385.92</v>
      </c>
      <c r="X16" s="316"/>
      <c r="Y16" s="234">
        <v>12</v>
      </c>
      <c r="Z16" s="316"/>
      <c r="AA16" s="234"/>
      <c r="AB16" s="316"/>
      <c r="AC16" s="234"/>
      <c r="AD16" s="316"/>
      <c r="AE16" s="316">
        <v>12</v>
      </c>
      <c r="AF16" s="316"/>
      <c r="AG16" s="234"/>
      <c r="AH16" s="316"/>
      <c r="AI16" s="234"/>
      <c r="AJ16" s="316"/>
      <c r="AK16" s="316">
        <v>12</v>
      </c>
      <c r="AL16" s="234"/>
      <c r="AM16" s="316"/>
      <c r="AN16" s="234"/>
      <c r="AO16" s="316"/>
      <c r="AP16" s="316"/>
      <c r="AQ16" s="234">
        <v>12</v>
      </c>
      <c r="AR16" s="316"/>
      <c r="AS16" s="234"/>
      <c r="AT16" s="316"/>
      <c r="AU16" s="234"/>
      <c r="AV16" s="316"/>
      <c r="AW16" s="316">
        <v>12</v>
      </c>
      <c r="AX16" s="234"/>
      <c r="AY16" s="316"/>
      <c r="AZ16" s="234"/>
      <c r="BA16" s="316"/>
      <c r="BB16" s="316"/>
      <c r="BC16" s="234">
        <v>12</v>
      </c>
      <c r="BD16" s="316"/>
      <c r="BE16" s="234"/>
      <c r="BF16" s="316"/>
      <c r="BG16" s="234"/>
      <c r="BH16" s="316"/>
      <c r="BI16" s="316">
        <v>12</v>
      </c>
      <c r="BJ16" s="234"/>
      <c r="BK16" s="316"/>
      <c r="BL16" s="316"/>
      <c r="BM16" s="234"/>
      <c r="BN16" s="316"/>
      <c r="BO16" s="316">
        <v>12</v>
      </c>
      <c r="BP16" s="234"/>
      <c r="BQ16" s="316"/>
      <c r="BR16" s="318"/>
      <c r="BS16" s="318"/>
    </row>
    <row r="17" spans="1:71" ht="15" x14ac:dyDescent="0.2">
      <c r="A17" s="316">
        <v>13</v>
      </c>
      <c r="B17" s="316">
        <v>26805.8</v>
      </c>
      <c r="C17" s="234">
        <f>537.3+402.3+493.2+981</f>
        <v>2413.8000000000002</v>
      </c>
      <c r="D17" s="316">
        <v>8650.4699999999993</v>
      </c>
      <c r="E17" s="316">
        <v>493.46</v>
      </c>
      <c r="F17" s="234"/>
      <c r="G17" s="316">
        <v>13</v>
      </c>
      <c r="H17" s="316">
        <v>2760</v>
      </c>
      <c r="I17" s="316">
        <v>360</v>
      </c>
      <c r="J17" s="234">
        <v>18137.310000000001</v>
      </c>
      <c r="K17" s="316">
        <v>1822.17</v>
      </c>
      <c r="L17" s="234"/>
      <c r="M17" s="316">
        <v>13</v>
      </c>
      <c r="N17" s="316">
        <v>0</v>
      </c>
      <c r="O17" s="234">
        <v>0</v>
      </c>
      <c r="P17" s="316">
        <v>6660.56</v>
      </c>
      <c r="Q17" s="234">
        <v>417.71</v>
      </c>
      <c r="R17" s="316"/>
      <c r="S17" s="316">
        <v>13</v>
      </c>
      <c r="T17" s="234">
        <v>0</v>
      </c>
      <c r="U17" s="316"/>
      <c r="V17" s="316">
        <v>260.5</v>
      </c>
      <c r="W17" s="234"/>
      <c r="X17" s="316"/>
      <c r="Y17" s="234">
        <v>13</v>
      </c>
      <c r="Z17" s="316"/>
      <c r="AA17" s="234"/>
      <c r="AB17" s="316"/>
      <c r="AC17" s="234"/>
      <c r="AD17" s="316"/>
      <c r="AE17" s="316">
        <v>13</v>
      </c>
      <c r="AF17" s="316"/>
      <c r="AG17" s="234"/>
      <c r="AH17" s="316"/>
      <c r="AI17" s="234"/>
      <c r="AJ17" s="316"/>
      <c r="AK17" s="316">
        <v>13</v>
      </c>
      <c r="AL17" s="234"/>
      <c r="AM17" s="316"/>
      <c r="AN17" s="234"/>
      <c r="AO17" s="316"/>
      <c r="AP17" s="316"/>
      <c r="AQ17" s="234">
        <v>13</v>
      </c>
      <c r="AR17" s="316"/>
      <c r="AS17" s="234"/>
      <c r="AT17" s="316"/>
      <c r="AU17" s="234"/>
      <c r="AV17" s="316"/>
      <c r="AW17" s="316">
        <v>13</v>
      </c>
      <c r="AX17" s="234"/>
      <c r="AY17" s="316"/>
      <c r="AZ17" s="234"/>
      <c r="BA17" s="316"/>
      <c r="BB17" s="316"/>
      <c r="BC17" s="234">
        <v>13</v>
      </c>
      <c r="BD17" s="316"/>
      <c r="BE17" s="234"/>
      <c r="BF17" s="316"/>
      <c r="BG17" s="234"/>
      <c r="BH17" s="316"/>
      <c r="BI17" s="316">
        <v>13</v>
      </c>
      <c r="BJ17" s="234"/>
      <c r="BK17" s="316"/>
      <c r="BL17" s="316"/>
      <c r="BM17" s="234"/>
      <c r="BN17" s="316"/>
      <c r="BO17" s="316">
        <v>13</v>
      </c>
      <c r="BP17" s="234"/>
      <c r="BQ17" s="316"/>
      <c r="BR17" s="318"/>
      <c r="BS17" s="318"/>
    </row>
    <row r="18" spans="1:71" ht="16" thickBot="1" x14ac:dyDescent="0.25">
      <c r="A18" s="323">
        <v>14</v>
      </c>
      <c r="B18" s="323">
        <v>28885.1</v>
      </c>
      <c r="C18" s="324">
        <f>936.9+625.5+625.5+534.6+625.5</f>
        <v>3348</v>
      </c>
      <c r="D18" s="323">
        <v>27762.42</v>
      </c>
      <c r="E18" s="323">
        <v>482.92</v>
      </c>
      <c r="F18" s="324"/>
      <c r="G18" s="323">
        <v>14</v>
      </c>
      <c r="H18" s="323">
        <v>28683.69</v>
      </c>
      <c r="I18" s="323">
        <f>536.4+356.4+477.6+1249.2</f>
        <v>2619.6000000000004</v>
      </c>
      <c r="J18" s="324">
        <v>3178.19</v>
      </c>
      <c r="K18" s="323">
        <v>205.85</v>
      </c>
      <c r="L18" s="324"/>
      <c r="M18" s="323">
        <v>14</v>
      </c>
      <c r="N18" s="323">
        <v>28856</v>
      </c>
      <c r="O18" s="324">
        <f>654+356.4+418.8+1186.8</f>
        <v>2616</v>
      </c>
      <c r="P18" s="323">
        <v>500</v>
      </c>
      <c r="Q18" s="324"/>
      <c r="R18" s="323"/>
      <c r="S18" s="323">
        <v>14</v>
      </c>
      <c r="T18" s="324">
        <v>24967.4</v>
      </c>
      <c r="U18" s="323">
        <f>477.6+266.4+297.6+949.8</f>
        <v>1991.3999999999999</v>
      </c>
      <c r="V18" s="323">
        <f>33752.5+13047.39</f>
        <v>46799.89</v>
      </c>
      <c r="W18" s="324">
        <f>4402.5+810.59</f>
        <v>5213.09</v>
      </c>
      <c r="X18" s="323"/>
      <c r="Y18" s="324">
        <v>14</v>
      </c>
      <c r="Z18" s="323"/>
      <c r="AA18" s="324"/>
      <c r="AB18" s="323"/>
      <c r="AC18" s="324"/>
      <c r="AD18" s="323"/>
      <c r="AE18" s="323">
        <v>14</v>
      </c>
      <c r="AF18" s="323"/>
      <c r="AG18" s="324"/>
      <c r="AH18" s="323"/>
      <c r="AI18" s="324"/>
      <c r="AJ18" s="323"/>
      <c r="AK18" s="323">
        <v>14</v>
      </c>
      <c r="AL18" s="324"/>
      <c r="AM18" s="323"/>
      <c r="AN18" s="324"/>
      <c r="AO18" s="323"/>
      <c r="AP18" s="323"/>
      <c r="AQ18" s="324">
        <v>14</v>
      </c>
      <c r="AR18" s="323"/>
      <c r="AS18" s="324"/>
      <c r="AT18" s="323"/>
      <c r="AU18" s="324"/>
      <c r="AV18" s="323"/>
      <c r="AW18" s="323">
        <v>14</v>
      </c>
      <c r="AX18" s="324"/>
      <c r="AY18" s="323"/>
      <c r="AZ18" s="324"/>
      <c r="BA18" s="323"/>
      <c r="BB18" s="323"/>
      <c r="BC18" s="324">
        <v>14</v>
      </c>
      <c r="BD18" s="323"/>
      <c r="BE18" s="324"/>
      <c r="BF18" s="323"/>
      <c r="BG18" s="324"/>
      <c r="BH18" s="323"/>
      <c r="BI18" s="323">
        <v>14</v>
      </c>
      <c r="BJ18" s="324"/>
      <c r="BK18" s="323"/>
      <c r="BL18" s="323"/>
      <c r="BM18" s="324"/>
      <c r="BN18" s="323"/>
      <c r="BO18" s="323">
        <v>14</v>
      </c>
      <c r="BP18" s="324"/>
      <c r="BQ18" s="323"/>
      <c r="BR18" s="466"/>
      <c r="BS18" s="466"/>
    </row>
    <row r="19" spans="1:71" ht="16" thickBot="1" x14ac:dyDescent="0.25">
      <c r="A19" s="331" t="s">
        <v>363</v>
      </c>
      <c r="B19" s="331">
        <f>SUM(B12:B18)</f>
        <v>129237.20000000001</v>
      </c>
      <c r="C19" s="237">
        <f>SUM(C12:C18)</f>
        <v>12007.5</v>
      </c>
      <c r="D19" s="331">
        <f>SUM(D12:D18)</f>
        <v>75378.959999999992</v>
      </c>
      <c r="E19" s="331">
        <f>SUM(E12:E18)</f>
        <v>4015.3600000000006</v>
      </c>
      <c r="F19" s="237"/>
      <c r="G19" s="331" t="s">
        <v>363</v>
      </c>
      <c r="H19" s="331">
        <f>SUM(H12:H18)</f>
        <v>126267.59</v>
      </c>
      <c r="I19" s="331">
        <f>SUM(I12:I18)</f>
        <v>12243.6</v>
      </c>
      <c r="J19" s="237">
        <f>SUM(J12:J18)</f>
        <v>76791.760000000009</v>
      </c>
      <c r="K19" s="331">
        <f>SUM(K12:K18)</f>
        <v>4553.380000000001</v>
      </c>
      <c r="L19" s="237"/>
      <c r="M19" s="331" t="s">
        <v>363</v>
      </c>
      <c r="N19" s="331">
        <f>SUM(N12:N18)</f>
        <v>127632.2</v>
      </c>
      <c r="O19" s="237">
        <f>SUM(O12:O18)</f>
        <v>12288</v>
      </c>
      <c r="P19" s="331">
        <f>SUM(P12:P18)</f>
        <v>69868.11</v>
      </c>
      <c r="Q19" s="237">
        <f>SUM(Q12:Q18)</f>
        <v>6113.63</v>
      </c>
      <c r="R19" s="331"/>
      <c r="S19" s="331" t="s">
        <v>363</v>
      </c>
      <c r="T19" s="237">
        <f>SUM(T12:T18)</f>
        <v>134220.9</v>
      </c>
      <c r="U19" s="331">
        <f>SUM(U12:U18)</f>
        <v>10728.300000000001</v>
      </c>
      <c r="V19" s="331">
        <f>SUM(V12:V18)</f>
        <v>117465.43000000001</v>
      </c>
      <c r="W19" s="237">
        <f>SUM(W12:W18)</f>
        <v>10591.48</v>
      </c>
      <c r="X19" s="331"/>
      <c r="Y19" s="331" t="s">
        <v>363</v>
      </c>
      <c r="Z19" s="331">
        <f>SUM(Z12:Z18)</f>
        <v>3661.6</v>
      </c>
      <c r="AA19" s="237">
        <f>SUM(AA12:AA18)</f>
        <v>0</v>
      </c>
      <c r="AB19" s="331">
        <f>SUM(AB12:AB18)</f>
        <v>8387.48</v>
      </c>
      <c r="AC19" s="237">
        <f>SUM(AC12:AC18)</f>
        <v>431.08</v>
      </c>
      <c r="AD19" s="331"/>
      <c r="AE19" s="331" t="s">
        <v>363</v>
      </c>
      <c r="AF19" s="331">
        <f>SUM(AF12:AF18)</f>
        <v>0</v>
      </c>
      <c r="AG19" s="237">
        <f>SUM(AG12:AG18)</f>
        <v>0</v>
      </c>
      <c r="AH19" s="331">
        <f>SUM(AH12:AH18)</f>
        <v>0</v>
      </c>
      <c r="AI19" s="237">
        <f>SUM(AI12:AI18)</f>
        <v>0</v>
      </c>
      <c r="AJ19" s="331"/>
      <c r="AK19" s="331" t="s">
        <v>363</v>
      </c>
      <c r="AL19" s="237">
        <f>SUM(AL12:AL18)</f>
        <v>0</v>
      </c>
      <c r="AM19" s="331">
        <f>SUM(AM12:AM18)</f>
        <v>0</v>
      </c>
      <c r="AN19" s="237">
        <f>SUM(AN12:AN18)</f>
        <v>0</v>
      </c>
      <c r="AO19" s="331">
        <f>SUM(AO12:AO18)</f>
        <v>0</v>
      </c>
      <c r="AP19" s="331"/>
      <c r="AQ19" s="331" t="s">
        <v>363</v>
      </c>
      <c r="AR19" s="331">
        <f>SUM(AR12:AR18)</f>
        <v>0</v>
      </c>
      <c r="AS19" s="237">
        <f>SUM(AS12:AS18)</f>
        <v>0</v>
      </c>
      <c r="AT19" s="331">
        <f>SUM(AT12:AT18)</f>
        <v>0</v>
      </c>
      <c r="AU19" s="237">
        <f>SUM(AU12:AU18)</f>
        <v>0</v>
      </c>
      <c r="AV19" s="331"/>
      <c r="AW19" s="331" t="s">
        <v>363</v>
      </c>
      <c r="AX19" s="237">
        <f>SUM(AX12:AX18)</f>
        <v>0</v>
      </c>
      <c r="AY19" s="331">
        <f>SUM(AY12:AY18)</f>
        <v>0</v>
      </c>
      <c r="AZ19" s="237">
        <f>SUM(AZ12:AZ18)</f>
        <v>0</v>
      </c>
      <c r="BA19" s="331">
        <f>SUM(BA12:BA18)</f>
        <v>0</v>
      </c>
      <c r="BB19" s="331"/>
      <c r="BC19" s="331" t="s">
        <v>363</v>
      </c>
      <c r="BD19" s="331">
        <f>SUM(BD12:BD18)</f>
        <v>0</v>
      </c>
      <c r="BE19" s="237">
        <f>SUM(BE12:BE18)</f>
        <v>0</v>
      </c>
      <c r="BF19" s="331">
        <f>SUM(BF12:BF18)</f>
        <v>0</v>
      </c>
      <c r="BG19" s="237">
        <f>SUM(BG12:BG18)</f>
        <v>0</v>
      </c>
      <c r="BH19" s="331"/>
      <c r="BI19" s="331" t="s">
        <v>363</v>
      </c>
      <c r="BJ19" s="237">
        <f>SUM(BJ12:BJ18)</f>
        <v>0</v>
      </c>
      <c r="BK19" s="331">
        <f>SUM(BK12:BK18)</f>
        <v>0</v>
      </c>
      <c r="BL19" s="331">
        <f>SUM(BL12:BL18)</f>
        <v>0</v>
      </c>
      <c r="BM19" s="237">
        <f>SUM(BM12:BM18)</f>
        <v>0</v>
      </c>
      <c r="BN19" s="331"/>
      <c r="BO19" s="331" t="s">
        <v>363</v>
      </c>
      <c r="BP19" s="237">
        <f>SUM(BP12:BP18)</f>
        <v>0</v>
      </c>
      <c r="BQ19" s="331">
        <f>SUM(BQ12:BQ18)</f>
        <v>0</v>
      </c>
      <c r="BR19" s="483">
        <f>SUM(BR12:BR18)</f>
        <v>0</v>
      </c>
      <c r="BS19" s="483">
        <f>SUM(BS12:BS18)</f>
        <v>0</v>
      </c>
    </row>
    <row r="20" spans="1:71" ht="15" x14ac:dyDescent="0.2">
      <c r="A20" s="320">
        <v>15</v>
      </c>
      <c r="B20" s="320">
        <v>23408.9</v>
      </c>
      <c r="C20" s="233">
        <f>981+537.3+355.5</f>
        <v>1873.8</v>
      </c>
      <c r="D20" s="320">
        <f>13146.8+850.16</f>
        <v>13996.96</v>
      </c>
      <c r="E20" s="320">
        <v>1714.8</v>
      </c>
      <c r="F20" s="233"/>
      <c r="G20" s="320">
        <v>15</v>
      </c>
      <c r="H20" s="320">
        <v>12637.29</v>
      </c>
      <c r="I20" s="320">
        <f>1429.2</f>
        <v>1429.2</v>
      </c>
      <c r="J20" s="233">
        <v>9539.4599999999991</v>
      </c>
      <c r="K20" s="320">
        <v>501.76</v>
      </c>
      <c r="L20" s="233"/>
      <c r="M20" s="320">
        <v>15</v>
      </c>
      <c r="N20" s="320">
        <v>0</v>
      </c>
      <c r="O20" s="233">
        <v>0</v>
      </c>
      <c r="P20" s="320">
        <v>27177.58</v>
      </c>
      <c r="Q20" s="233">
        <v>360.72</v>
      </c>
      <c r="R20" s="320"/>
      <c r="S20" s="320">
        <v>15</v>
      </c>
      <c r="T20" s="233">
        <v>28094.5</v>
      </c>
      <c r="U20" s="320">
        <f>1008.6+626.4+655.8+655.8+670.5</f>
        <v>3617.1000000000004</v>
      </c>
      <c r="V20" s="320">
        <v>11092.04</v>
      </c>
      <c r="W20" s="233">
        <v>658.34</v>
      </c>
      <c r="X20" s="320"/>
      <c r="Y20" s="233">
        <v>15</v>
      </c>
      <c r="Z20" s="320"/>
      <c r="AA20" s="233"/>
      <c r="AB20" s="320"/>
      <c r="AC20" s="233"/>
      <c r="AD20" s="320"/>
      <c r="AE20" s="320">
        <v>15</v>
      </c>
      <c r="AF20" s="320"/>
      <c r="AG20" s="233"/>
      <c r="AH20" s="320"/>
      <c r="AI20" s="233"/>
      <c r="AJ20" s="320"/>
      <c r="AK20" s="320">
        <v>15</v>
      </c>
      <c r="AL20" s="233"/>
      <c r="AM20" s="320"/>
      <c r="AN20" s="233"/>
      <c r="AO20" s="320"/>
      <c r="AP20" s="320"/>
      <c r="AQ20" s="233">
        <v>15</v>
      </c>
      <c r="AR20" s="320"/>
      <c r="AS20" s="233"/>
      <c r="AT20" s="320"/>
      <c r="AU20" s="233"/>
      <c r="AV20" s="320"/>
      <c r="AW20" s="320">
        <v>15</v>
      </c>
      <c r="AX20" s="233"/>
      <c r="AY20" s="320"/>
      <c r="AZ20" s="233"/>
      <c r="BA20" s="320"/>
      <c r="BB20" s="320"/>
      <c r="BC20" s="233">
        <v>15</v>
      </c>
      <c r="BD20" s="320"/>
      <c r="BE20" s="233"/>
      <c r="BF20" s="320"/>
      <c r="BG20" s="233"/>
      <c r="BH20" s="320"/>
      <c r="BI20" s="320">
        <v>15</v>
      </c>
      <c r="BJ20" s="233"/>
      <c r="BK20" s="320"/>
      <c r="BL20" s="320"/>
      <c r="BM20" s="233"/>
      <c r="BN20" s="320"/>
      <c r="BO20" s="320">
        <v>15</v>
      </c>
      <c r="BP20" s="233"/>
      <c r="BQ20" s="320"/>
      <c r="BR20" s="317"/>
      <c r="BS20" s="317"/>
    </row>
    <row r="21" spans="1:71" ht="15" x14ac:dyDescent="0.2">
      <c r="A21" s="316">
        <v>16</v>
      </c>
      <c r="B21" s="316">
        <v>0</v>
      </c>
      <c r="C21" s="234">
        <v>0</v>
      </c>
      <c r="D21" s="316">
        <f>2529.08+6381.41</f>
        <v>8910.49</v>
      </c>
      <c r="E21" s="316">
        <f>329.88+549.81</f>
        <v>879.68999999999994</v>
      </c>
      <c r="F21" s="234"/>
      <c r="G21" s="316">
        <v>16</v>
      </c>
      <c r="H21" s="316">
        <v>0</v>
      </c>
      <c r="I21" s="316">
        <v>0</v>
      </c>
      <c r="J21" s="234">
        <v>3016.32</v>
      </c>
      <c r="K21" s="316">
        <v>23.08</v>
      </c>
      <c r="L21" s="234"/>
      <c r="M21" s="316">
        <v>16</v>
      </c>
      <c r="N21" s="316">
        <v>0</v>
      </c>
      <c r="O21" s="234">
        <v>0</v>
      </c>
      <c r="P21" s="316">
        <v>1310.98</v>
      </c>
      <c r="Q21" s="234"/>
      <c r="R21" s="316"/>
      <c r="S21" s="316">
        <v>16</v>
      </c>
      <c r="T21" s="234">
        <v>35129.800000000003</v>
      </c>
      <c r="U21" s="316">
        <f>597+415.2+477.6+744+744</f>
        <v>2977.8</v>
      </c>
      <c r="V21" s="316">
        <v>19836.080000000002</v>
      </c>
      <c r="W21" s="234">
        <v>1332.32</v>
      </c>
      <c r="X21" s="316"/>
      <c r="Y21" s="234">
        <v>16</v>
      </c>
      <c r="Z21" s="316"/>
      <c r="AA21" s="234"/>
      <c r="AB21" s="316"/>
      <c r="AC21" s="234"/>
      <c r="AD21" s="316"/>
      <c r="AE21" s="316">
        <v>16</v>
      </c>
      <c r="AF21" s="316"/>
      <c r="AG21" s="234"/>
      <c r="AH21" s="316"/>
      <c r="AI21" s="234"/>
      <c r="AJ21" s="316"/>
      <c r="AK21" s="316">
        <v>16</v>
      </c>
      <c r="AL21" s="234"/>
      <c r="AM21" s="316"/>
      <c r="AN21" s="234"/>
      <c r="AO21" s="316"/>
      <c r="AP21" s="316"/>
      <c r="AQ21" s="234">
        <v>16</v>
      </c>
      <c r="AR21" s="316"/>
      <c r="AS21" s="234"/>
      <c r="AT21" s="316"/>
      <c r="AU21" s="234"/>
      <c r="AV21" s="316"/>
      <c r="AW21" s="316">
        <v>16</v>
      </c>
      <c r="AX21" s="234"/>
      <c r="AY21" s="316"/>
      <c r="AZ21" s="234"/>
      <c r="BA21" s="316"/>
      <c r="BB21" s="316"/>
      <c r="BC21" s="234">
        <v>16</v>
      </c>
      <c r="BD21" s="316"/>
      <c r="BE21" s="234"/>
      <c r="BF21" s="316"/>
      <c r="BG21" s="234"/>
      <c r="BH21" s="316"/>
      <c r="BI21" s="316">
        <v>16</v>
      </c>
      <c r="BJ21" s="234"/>
      <c r="BK21" s="316"/>
      <c r="BL21" s="316"/>
      <c r="BM21" s="234"/>
      <c r="BN21" s="316"/>
      <c r="BO21" s="316">
        <v>16</v>
      </c>
      <c r="BP21" s="234"/>
      <c r="BQ21" s="316"/>
      <c r="BR21" s="318"/>
      <c r="BS21" s="318"/>
    </row>
    <row r="22" spans="1:71" ht="15" x14ac:dyDescent="0.2">
      <c r="A22" s="316">
        <v>17</v>
      </c>
      <c r="B22" s="316">
        <v>31505.8</v>
      </c>
      <c r="C22" s="234">
        <f>449.1+355.5+449.1+1160.1</f>
        <v>2413.8000000000002</v>
      </c>
      <c r="D22" s="316">
        <v>800</v>
      </c>
      <c r="E22" s="316">
        <v>0</v>
      </c>
      <c r="F22" s="234"/>
      <c r="G22" s="316">
        <v>17</v>
      </c>
      <c r="H22" s="316">
        <v>31482</v>
      </c>
      <c r="I22" s="316">
        <f>238.8+238.8+178.2+178.2+238.8+238.8+1190.4</f>
        <v>2502</v>
      </c>
      <c r="J22" s="234">
        <v>11740.13</v>
      </c>
      <c r="K22" s="316">
        <v>620.22</v>
      </c>
      <c r="L22" s="234"/>
      <c r="M22" s="316">
        <v>17</v>
      </c>
      <c r="N22" s="316">
        <v>34043.599999999999</v>
      </c>
      <c r="O22" s="234">
        <f>536.4+356.4+356.4+1190.4</f>
        <v>2439.6</v>
      </c>
      <c r="P22" s="316">
        <f>18571.13+15513.96</f>
        <v>34085.089999999997</v>
      </c>
      <c r="Q22" s="234">
        <f>2422.33+1017.1</f>
        <v>3439.43</v>
      </c>
      <c r="R22" s="316"/>
      <c r="S22" s="316">
        <v>17</v>
      </c>
      <c r="T22" s="234">
        <v>55558.8</v>
      </c>
      <c r="U22" s="316">
        <f>1341+1038+1038+4577+1128+477.6+536.4+536.4+536.4</f>
        <v>11208.8</v>
      </c>
      <c r="V22" s="316">
        <v>17204.310000000001</v>
      </c>
      <c r="W22" s="234">
        <v>1413.57</v>
      </c>
      <c r="X22" s="316"/>
      <c r="Y22" s="234">
        <v>17</v>
      </c>
      <c r="Z22" s="316"/>
      <c r="AA22" s="234"/>
      <c r="AB22" s="316"/>
      <c r="AC22" s="234"/>
      <c r="AD22" s="316"/>
      <c r="AE22" s="316">
        <v>17</v>
      </c>
      <c r="AF22" s="316"/>
      <c r="AG22" s="234"/>
      <c r="AH22" s="316"/>
      <c r="AI22" s="234"/>
      <c r="AJ22" s="316"/>
      <c r="AK22" s="316">
        <v>17</v>
      </c>
      <c r="AL22" s="234"/>
      <c r="AM22" s="316"/>
      <c r="AN22" s="234"/>
      <c r="AO22" s="316"/>
      <c r="AP22" s="316"/>
      <c r="AQ22" s="234">
        <v>17</v>
      </c>
      <c r="AR22" s="316"/>
      <c r="AS22" s="234"/>
      <c r="AT22" s="316"/>
      <c r="AU22" s="234"/>
      <c r="AV22" s="316"/>
      <c r="AW22" s="316">
        <v>17</v>
      </c>
      <c r="AX22" s="234"/>
      <c r="AY22" s="316"/>
      <c r="AZ22" s="234"/>
      <c r="BA22" s="316"/>
      <c r="BB22" s="316"/>
      <c r="BC22" s="234">
        <v>17</v>
      </c>
      <c r="BD22" s="316"/>
      <c r="BE22" s="234"/>
      <c r="BF22" s="316"/>
      <c r="BG22" s="234"/>
      <c r="BH22" s="316"/>
      <c r="BI22" s="316">
        <v>17</v>
      </c>
      <c r="BJ22" s="234"/>
      <c r="BK22" s="316"/>
      <c r="BL22" s="316"/>
      <c r="BM22" s="234"/>
      <c r="BN22" s="316"/>
      <c r="BO22" s="316">
        <v>17</v>
      </c>
      <c r="BP22" s="234"/>
      <c r="BQ22" s="316"/>
      <c r="BR22" s="318"/>
      <c r="BS22" s="318"/>
    </row>
    <row r="23" spans="1:71" ht="15" x14ac:dyDescent="0.2">
      <c r="A23" s="316">
        <v>18</v>
      </c>
      <c r="B23" s="316">
        <v>0</v>
      </c>
      <c r="C23" s="234">
        <v>0</v>
      </c>
      <c r="D23" s="316">
        <v>8858.3799999999992</v>
      </c>
      <c r="E23" s="316">
        <v>710.66</v>
      </c>
      <c r="F23" s="234"/>
      <c r="G23" s="316">
        <v>18</v>
      </c>
      <c r="H23" s="316">
        <v>0</v>
      </c>
      <c r="I23" s="316">
        <v>0</v>
      </c>
      <c r="J23" s="234">
        <v>205.96</v>
      </c>
      <c r="K23" s="316"/>
      <c r="L23" s="234"/>
      <c r="M23" s="316">
        <v>18</v>
      </c>
      <c r="N23" s="316">
        <v>29122.6</v>
      </c>
      <c r="O23" s="234">
        <f>891+714.6+714.6+714.6+744</f>
        <v>3778.7999999999997</v>
      </c>
      <c r="P23" s="316">
        <v>9766.31</v>
      </c>
      <c r="Q23" s="234">
        <v>620.59</v>
      </c>
      <c r="R23" s="316"/>
      <c r="S23" s="316">
        <v>18</v>
      </c>
      <c r="T23" s="234">
        <v>25209.599999999999</v>
      </c>
      <c r="U23" s="316">
        <f>955.2+534.6+655.8</f>
        <v>2145.6000000000004</v>
      </c>
      <c r="V23" s="316">
        <v>8664.51</v>
      </c>
      <c r="W23" s="234">
        <v>550.46</v>
      </c>
      <c r="X23" s="316"/>
      <c r="Y23" s="234">
        <v>18</v>
      </c>
      <c r="Z23" s="316"/>
      <c r="AA23" s="234"/>
      <c r="AB23" s="316"/>
      <c r="AC23" s="234"/>
      <c r="AD23" s="316"/>
      <c r="AE23" s="316">
        <v>18</v>
      </c>
      <c r="AF23" s="316"/>
      <c r="AG23" s="234"/>
      <c r="AH23" s="316"/>
      <c r="AI23" s="234"/>
      <c r="AJ23" s="316"/>
      <c r="AK23" s="316">
        <v>18</v>
      </c>
      <c r="AL23" s="234"/>
      <c r="AM23" s="316"/>
      <c r="AN23" s="234"/>
      <c r="AO23" s="316"/>
      <c r="AP23" s="316"/>
      <c r="AQ23" s="234">
        <v>18</v>
      </c>
      <c r="AR23" s="316"/>
      <c r="AS23" s="234"/>
      <c r="AT23" s="316"/>
      <c r="AU23" s="234"/>
      <c r="AV23" s="316"/>
      <c r="AW23" s="316">
        <v>18</v>
      </c>
      <c r="AX23" s="234"/>
      <c r="AY23" s="316"/>
      <c r="AZ23" s="234"/>
      <c r="BA23" s="316"/>
      <c r="BB23" s="316"/>
      <c r="BC23" s="234">
        <v>18</v>
      </c>
      <c r="BD23" s="316"/>
      <c r="BE23" s="234"/>
      <c r="BF23" s="316"/>
      <c r="BG23" s="234"/>
      <c r="BH23" s="316"/>
      <c r="BI23" s="316">
        <v>18</v>
      </c>
      <c r="BJ23" s="234"/>
      <c r="BK23" s="316"/>
      <c r="BL23" s="316"/>
      <c r="BM23" s="234"/>
      <c r="BN23" s="316"/>
      <c r="BO23" s="316">
        <v>18</v>
      </c>
      <c r="BP23" s="234"/>
      <c r="BQ23" s="316"/>
      <c r="BR23" s="318"/>
      <c r="BS23" s="318"/>
    </row>
    <row r="24" spans="1:71" ht="15" x14ac:dyDescent="0.2">
      <c r="A24" s="316">
        <v>19</v>
      </c>
      <c r="B24" s="316">
        <f>7859.1+4238.9</f>
        <v>12098</v>
      </c>
      <c r="C24" s="234">
        <f>1025.1+552.9</f>
        <v>1578</v>
      </c>
      <c r="D24" s="316">
        <v>0</v>
      </c>
      <c r="E24" s="316">
        <v>0</v>
      </c>
      <c r="F24" s="234"/>
      <c r="G24" s="316">
        <v>19</v>
      </c>
      <c r="H24" s="316">
        <v>26222</v>
      </c>
      <c r="I24" s="316">
        <f>418.8+356.4+297.6+1069.2</f>
        <v>2142</v>
      </c>
      <c r="J24" s="234">
        <v>35049.910000000003</v>
      </c>
      <c r="K24" s="316">
        <v>4093.5</v>
      </c>
      <c r="L24" s="234"/>
      <c r="M24" s="316">
        <v>19</v>
      </c>
      <c r="N24" s="316">
        <v>21171.200000000001</v>
      </c>
      <c r="O24" s="234">
        <f>477.6+356.4+297.6+563.5</f>
        <v>1695.1</v>
      </c>
      <c r="P24" s="316">
        <v>800</v>
      </c>
      <c r="Q24" s="234"/>
      <c r="R24" s="316"/>
      <c r="S24" s="316">
        <v>19</v>
      </c>
      <c r="T24" s="234"/>
      <c r="U24" s="316"/>
      <c r="V24" s="316"/>
      <c r="W24" s="234"/>
      <c r="X24" s="316"/>
      <c r="Y24" s="234">
        <v>19</v>
      </c>
      <c r="Z24" s="316"/>
      <c r="AA24" s="234"/>
      <c r="AB24" s="316"/>
      <c r="AC24" s="234"/>
      <c r="AD24" s="316"/>
      <c r="AE24" s="316">
        <v>19</v>
      </c>
      <c r="AF24" s="316"/>
      <c r="AG24" s="234"/>
      <c r="AH24" s="316"/>
      <c r="AI24" s="234"/>
      <c r="AJ24" s="316"/>
      <c r="AK24" s="316">
        <v>19</v>
      </c>
      <c r="AL24" s="234"/>
      <c r="AM24" s="316"/>
      <c r="AN24" s="234"/>
      <c r="AO24" s="316"/>
      <c r="AP24" s="316"/>
      <c r="AQ24" s="234">
        <v>19</v>
      </c>
      <c r="AR24" s="316"/>
      <c r="AS24" s="234"/>
      <c r="AT24" s="316"/>
      <c r="AU24" s="234"/>
      <c r="AV24" s="316"/>
      <c r="AW24" s="316">
        <v>19</v>
      </c>
      <c r="AX24" s="234"/>
      <c r="AY24" s="316"/>
      <c r="AZ24" s="234"/>
      <c r="BA24" s="316"/>
      <c r="BB24" s="316"/>
      <c r="BC24" s="234">
        <v>19</v>
      </c>
      <c r="BD24" s="316"/>
      <c r="BE24" s="234"/>
      <c r="BF24" s="316"/>
      <c r="BG24" s="234"/>
      <c r="BH24" s="316"/>
      <c r="BI24" s="316">
        <v>19</v>
      </c>
      <c r="BJ24" s="234"/>
      <c r="BK24" s="316"/>
      <c r="BL24" s="316"/>
      <c r="BM24" s="234"/>
      <c r="BN24" s="316"/>
      <c r="BO24" s="316">
        <v>19</v>
      </c>
      <c r="BP24" s="234"/>
      <c r="BQ24" s="316"/>
      <c r="BR24" s="318"/>
      <c r="BS24" s="318"/>
    </row>
    <row r="25" spans="1:71" ht="15" x14ac:dyDescent="0.2">
      <c r="A25" s="316">
        <v>20</v>
      </c>
      <c r="B25" s="316">
        <v>25595.599999999999</v>
      </c>
      <c r="C25" s="234">
        <f>449.1+355.5+449.1+936.9</f>
        <v>2190.6</v>
      </c>
      <c r="D25" s="316">
        <v>14014.66</v>
      </c>
      <c r="E25" s="316">
        <v>405.27</v>
      </c>
      <c r="F25" s="234"/>
      <c r="G25" s="316">
        <v>20</v>
      </c>
      <c r="H25" s="316">
        <v>32333.4</v>
      </c>
      <c r="I25" s="316">
        <f>538.2+949.8+655.8+655.8+655.8+744</f>
        <v>4199.4000000000005</v>
      </c>
      <c r="J25" s="234">
        <v>8944.16</v>
      </c>
      <c r="K25" s="316">
        <v>845.75</v>
      </c>
      <c r="L25" s="234"/>
      <c r="M25" s="316">
        <v>20</v>
      </c>
      <c r="N25" s="316">
        <v>3668.5</v>
      </c>
      <c r="O25" s="234">
        <f>209.4+269.1</f>
        <v>478.5</v>
      </c>
      <c r="P25" s="316">
        <v>12864.27</v>
      </c>
      <c r="Q25" s="234">
        <v>1246.31</v>
      </c>
      <c r="R25" s="316"/>
      <c r="S25" s="316">
        <v>20</v>
      </c>
      <c r="T25" s="234"/>
      <c r="U25" s="316"/>
      <c r="V25" s="316"/>
      <c r="W25" s="234"/>
      <c r="X25" s="316"/>
      <c r="Y25" s="234">
        <v>20</v>
      </c>
      <c r="Z25" s="316"/>
      <c r="AA25" s="234"/>
      <c r="AB25" s="316"/>
      <c r="AC25" s="234"/>
      <c r="AD25" s="316"/>
      <c r="AE25" s="316">
        <v>20</v>
      </c>
      <c r="AF25" s="316"/>
      <c r="AG25" s="234"/>
      <c r="AH25" s="316"/>
      <c r="AI25" s="234"/>
      <c r="AJ25" s="316"/>
      <c r="AK25" s="316">
        <v>20</v>
      </c>
      <c r="AL25" s="234"/>
      <c r="AM25" s="316"/>
      <c r="AN25" s="234"/>
      <c r="AO25" s="316"/>
      <c r="AP25" s="316"/>
      <c r="AQ25" s="234">
        <v>20</v>
      </c>
      <c r="AR25" s="316"/>
      <c r="AS25" s="234"/>
      <c r="AT25" s="316"/>
      <c r="AU25" s="234"/>
      <c r="AV25" s="316"/>
      <c r="AW25" s="316">
        <v>20</v>
      </c>
      <c r="AX25" s="234"/>
      <c r="AY25" s="316"/>
      <c r="AZ25" s="234"/>
      <c r="BA25" s="316"/>
      <c r="BB25" s="316"/>
      <c r="BC25" s="234">
        <v>20</v>
      </c>
      <c r="BD25" s="316"/>
      <c r="BE25" s="234"/>
      <c r="BF25" s="316"/>
      <c r="BG25" s="234"/>
      <c r="BH25" s="316"/>
      <c r="BI25" s="316">
        <v>20</v>
      </c>
      <c r="BJ25" s="234"/>
      <c r="BK25" s="316"/>
      <c r="BL25" s="316"/>
      <c r="BM25" s="234"/>
      <c r="BN25" s="316"/>
      <c r="BO25" s="316">
        <v>20</v>
      </c>
      <c r="BP25" s="234"/>
      <c r="BQ25" s="316"/>
      <c r="BR25" s="318"/>
      <c r="BS25" s="318"/>
    </row>
    <row r="26" spans="1:71" ht="16" thickBot="1" x14ac:dyDescent="0.25">
      <c r="A26" s="323">
        <v>21</v>
      </c>
      <c r="B26" s="323">
        <v>30026.7</v>
      </c>
      <c r="C26" s="324">
        <f>1116+684.3+684.3+534.6+684.3</f>
        <v>3703.5</v>
      </c>
      <c r="D26" s="323">
        <f>24276.5+5275.21</f>
        <v>29551.71</v>
      </c>
      <c r="E26" s="323">
        <f>3166.5+372.47</f>
        <v>3538.9700000000003</v>
      </c>
      <c r="F26" s="324"/>
      <c r="G26" s="323">
        <v>21</v>
      </c>
      <c r="H26" s="323">
        <v>26628</v>
      </c>
      <c r="I26" s="323">
        <f>481.2+356.4+360+1131.6</f>
        <v>2329.1999999999998</v>
      </c>
      <c r="J26" s="324">
        <v>7884.99</v>
      </c>
      <c r="K26" s="323">
        <v>24.13</v>
      </c>
      <c r="L26" s="324"/>
      <c r="M26" s="323">
        <v>21</v>
      </c>
      <c r="N26" s="323">
        <v>34646</v>
      </c>
      <c r="O26" s="324">
        <f>775.2+415.2+477.6+1488</f>
        <v>3156</v>
      </c>
      <c r="P26" s="323">
        <v>800</v>
      </c>
      <c r="Q26" s="324"/>
      <c r="R26" s="323"/>
      <c r="S26" s="323">
        <v>21</v>
      </c>
      <c r="T26" s="324">
        <v>26612.799999999999</v>
      </c>
      <c r="U26" s="323">
        <f>657.6+356.4+477.6+1249.2</f>
        <v>2740.8</v>
      </c>
      <c r="V26" s="323">
        <v>7384.62</v>
      </c>
      <c r="W26" s="324">
        <v>351.57</v>
      </c>
      <c r="X26" s="323"/>
      <c r="Y26" s="324">
        <v>21</v>
      </c>
      <c r="Z26" s="323"/>
      <c r="AA26" s="324"/>
      <c r="AB26" s="323"/>
      <c r="AC26" s="324"/>
      <c r="AD26" s="323"/>
      <c r="AE26" s="323">
        <v>21</v>
      </c>
      <c r="AF26" s="323"/>
      <c r="AG26" s="324"/>
      <c r="AH26" s="323"/>
      <c r="AI26" s="324"/>
      <c r="AJ26" s="323"/>
      <c r="AK26" s="323">
        <v>21</v>
      </c>
      <c r="AL26" s="324"/>
      <c r="AM26" s="323"/>
      <c r="AN26" s="324"/>
      <c r="AO26" s="323"/>
      <c r="AP26" s="323"/>
      <c r="AQ26" s="324">
        <v>21</v>
      </c>
      <c r="AR26" s="323"/>
      <c r="AS26" s="324"/>
      <c r="AT26" s="323"/>
      <c r="AU26" s="324"/>
      <c r="AV26" s="323"/>
      <c r="AW26" s="323">
        <v>21</v>
      </c>
      <c r="AX26" s="324"/>
      <c r="AY26" s="323"/>
      <c r="AZ26" s="324"/>
      <c r="BA26" s="323"/>
      <c r="BB26" s="323"/>
      <c r="BC26" s="324">
        <v>21</v>
      </c>
      <c r="BD26" s="323"/>
      <c r="BE26" s="324"/>
      <c r="BF26" s="323"/>
      <c r="BG26" s="324"/>
      <c r="BH26" s="323"/>
      <c r="BI26" s="323">
        <v>21</v>
      </c>
      <c r="BJ26" s="324"/>
      <c r="BK26" s="323"/>
      <c r="BL26" s="323"/>
      <c r="BM26" s="324"/>
      <c r="BN26" s="323"/>
      <c r="BO26" s="323">
        <v>21</v>
      </c>
      <c r="BP26" s="324"/>
      <c r="BQ26" s="323"/>
      <c r="BR26" s="466"/>
      <c r="BS26" s="466"/>
    </row>
    <row r="27" spans="1:71" ht="16" thickBot="1" x14ac:dyDescent="0.25">
      <c r="A27" s="331" t="s">
        <v>363</v>
      </c>
      <c r="B27" s="331">
        <f>SUM(B20:B26)</f>
        <v>122634.99999999999</v>
      </c>
      <c r="C27" s="237">
        <f>SUM(C20:C26)</f>
        <v>11759.7</v>
      </c>
      <c r="D27" s="331">
        <f>SUM(D20:D26)</f>
        <v>76132.199999999983</v>
      </c>
      <c r="E27" s="331">
        <f>SUM(E20:E26)</f>
        <v>7249.3899999999994</v>
      </c>
      <c r="F27" s="237"/>
      <c r="G27" s="331" t="s">
        <v>363</v>
      </c>
      <c r="H27" s="331">
        <f>SUM(H20:H26)</f>
        <v>129302.69</v>
      </c>
      <c r="I27" s="331">
        <f>SUM(I20:I26)</f>
        <v>12601.8</v>
      </c>
      <c r="J27" s="237">
        <f>SUM(J20:J26)</f>
        <v>76380.930000000008</v>
      </c>
      <c r="K27" s="331">
        <f>SUM(K20:K26)</f>
        <v>6108.44</v>
      </c>
      <c r="L27" s="237"/>
      <c r="M27" s="331" t="s">
        <v>363</v>
      </c>
      <c r="N27" s="331">
        <f>SUM(N20:N26)</f>
        <v>122651.9</v>
      </c>
      <c r="O27" s="237">
        <f>SUM(O20:O26)</f>
        <v>11548</v>
      </c>
      <c r="P27" s="331">
        <f>SUM(P20:P26)</f>
        <v>86804.23</v>
      </c>
      <c r="Q27" s="237">
        <f>SUM(Q20:Q26)</f>
        <v>5667.0499999999993</v>
      </c>
      <c r="R27" s="331"/>
      <c r="S27" s="331" t="s">
        <v>363</v>
      </c>
      <c r="T27" s="237">
        <f>SUM(T20:T26)</f>
        <v>170605.5</v>
      </c>
      <c r="U27" s="331">
        <f>SUM(U20:U26)</f>
        <v>22690.100000000002</v>
      </c>
      <c r="V27" s="331">
        <f>SUM(V20:V26)</f>
        <v>64181.560000000012</v>
      </c>
      <c r="W27" s="237">
        <f>SUM(W20:W26)</f>
        <v>4306.2599999999993</v>
      </c>
      <c r="X27" s="331"/>
      <c r="Y27" s="331" t="s">
        <v>363</v>
      </c>
      <c r="Z27" s="331">
        <f>SUM(Z20:Z26)</f>
        <v>0</v>
      </c>
      <c r="AA27" s="237">
        <f>SUM(AA20:AA26)</f>
        <v>0</v>
      </c>
      <c r="AB27" s="331">
        <f>SUM(AB20:AB26)</f>
        <v>0</v>
      </c>
      <c r="AC27" s="237">
        <f>SUM(AC20:AC26)</f>
        <v>0</v>
      </c>
      <c r="AD27" s="331"/>
      <c r="AE27" s="331" t="s">
        <v>363</v>
      </c>
      <c r="AF27" s="331">
        <f>SUM(AF20:AF26)</f>
        <v>0</v>
      </c>
      <c r="AG27" s="237">
        <f>SUM(AG20:AG26)</f>
        <v>0</v>
      </c>
      <c r="AH27" s="331">
        <f>SUM(AH20:AH26)</f>
        <v>0</v>
      </c>
      <c r="AI27" s="237">
        <f>SUM(AI20:AI26)</f>
        <v>0</v>
      </c>
      <c r="AJ27" s="331"/>
      <c r="AK27" s="331" t="s">
        <v>363</v>
      </c>
      <c r="AL27" s="237">
        <f>SUM(AL20:AL26)</f>
        <v>0</v>
      </c>
      <c r="AM27" s="331">
        <f>SUM(AM20:AM26)</f>
        <v>0</v>
      </c>
      <c r="AN27" s="237">
        <f>SUM(AN20:AN26)</f>
        <v>0</v>
      </c>
      <c r="AO27" s="331">
        <f>SUM(AO20:AO26)</f>
        <v>0</v>
      </c>
      <c r="AP27" s="331"/>
      <c r="AQ27" s="331" t="s">
        <v>363</v>
      </c>
      <c r="AR27" s="331">
        <f>SUM(AR20:AR26)</f>
        <v>0</v>
      </c>
      <c r="AS27" s="237">
        <f>SUM(AS20:AS26)</f>
        <v>0</v>
      </c>
      <c r="AT27" s="331">
        <f>SUM(AT20:AT26)</f>
        <v>0</v>
      </c>
      <c r="AU27" s="237">
        <f>SUM(AU20:AU26)</f>
        <v>0</v>
      </c>
      <c r="AV27" s="331"/>
      <c r="AW27" s="331" t="s">
        <v>363</v>
      </c>
      <c r="AX27" s="237">
        <f>SUM(AX20:AX26)</f>
        <v>0</v>
      </c>
      <c r="AY27" s="331">
        <f>SUM(AY20:AY26)</f>
        <v>0</v>
      </c>
      <c r="AZ27" s="237">
        <f>SUM(AZ20:AZ26)</f>
        <v>0</v>
      </c>
      <c r="BA27" s="331">
        <f>SUM(BA20:BA26)</f>
        <v>0</v>
      </c>
      <c r="BB27" s="331"/>
      <c r="BC27" s="331" t="s">
        <v>363</v>
      </c>
      <c r="BD27" s="331">
        <f>SUM(BD20:BD26)</f>
        <v>0</v>
      </c>
      <c r="BE27" s="237">
        <f>SUM(BE20:BE26)</f>
        <v>0</v>
      </c>
      <c r="BF27" s="331">
        <f>SUM(BF20:BF26)</f>
        <v>0</v>
      </c>
      <c r="BG27" s="237">
        <f>SUM(BG20:BG26)</f>
        <v>0</v>
      </c>
      <c r="BH27" s="331"/>
      <c r="BI27" s="331" t="s">
        <v>363</v>
      </c>
      <c r="BJ27" s="237">
        <f>SUM(BJ20:BJ26)</f>
        <v>0</v>
      </c>
      <c r="BK27" s="331">
        <f>SUM(BK20:BK26)</f>
        <v>0</v>
      </c>
      <c r="BL27" s="331">
        <f>SUM(BL20:BL26)</f>
        <v>0</v>
      </c>
      <c r="BM27" s="237">
        <f>SUM(BM20:BM26)</f>
        <v>0</v>
      </c>
      <c r="BN27" s="331"/>
      <c r="BO27" s="331" t="s">
        <v>363</v>
      </c>
      <c r="BP27" s="237">
        <f>SUM(BP20:BP26)</f>
        <v>0</v>
      </c>
      <c r="BQ27" s="331">
        <f>SUM(BQ20:BQ26)</f>
        <v>0</v>
      </c>
      <c r="BR27" s="483">
        <f>SUM(BR20:BR26)</f>
        <v>0</v>
      </c>
      <c r="BS27" s="483">
        <f>SUM(BS20:BS26)</f>
        <v>0</v>
      </c>
    </row>
    <row r="28" spans="1:71" ht="15" x14ac:dyDescent="0.2">
      <c r="A28" s="320">
        <v>22</v>
      </c>
      <c r="B28" s="320">
        <v>22870.799999999999</v>
      </c>
      <c r="C28" s="233">
        <f>449.1+355.5+449.1+1025.1</f>
        <v>2278.8000000000002</v>
      </c>
      <c r="D28" s="320">
        <v>2430.0500000000002</v>
      </c>
      <c r="E28" s="320">
        <v>212.61</v>
      </c>
      <c r="F28" s="233"/>
      <c r="G28" s="320">
        <v>22</v>
      </c>
      <c r="H28" s="320">
        <v>0</v>
      </c>
      <c r="I28" s="320">
        <v>0</v>
      </c>
      <c r="J28" s="233">
        <v>800</v>
      </c>
      <c r="K28" s="320"/>
      <c r="L28" s="233"/>
      <c r="M28" s="320">
        <v>22</v>
      </c>
      <c r="N28" s="320"/>
      <c r="O28" s="233"/>
      <c r="P28" s="320"/>
      <c r="Q28" s="233"/>
      <c r="R28" s="320"/>
      <c r="S28" s="320">
        <v>22</v>
      </c>
      <c r="T28" s="233">
        <v>29157.1</v>
      </c>
      <c r="U28" s="320">
        <f>1067.4+567.6+714.6+714.6+714.6</f>
        <v>3778.7999999999997</v>
      </c>
      <c r="V28" s="320">
        <v>38188.239999999998</v>
      </c>
      <c r="W28" s="233">
        <v>1285.08</v>
      </c>
      <c r="X28" s="320"/>
      <c r="Y28" s="233">
        <v>22</v>
      </c>
      <c r="Z28" s="320"/>
      <c r="AA28" s="233"/>
      <c r="AB28" s="320"/>
      <c r="AC28" s="233"/>
      <c r="AD28" s="320"/>
      <c r="AE28" s="320">
        <v>22</v>
      </c>
      <c r="AF28" s="320"/>
      <c r="AG28" s="233"/>
      <c r="AH28" s="320"/>
      <c r="AI28" s="233"/>
      <c r="AJ28" s="320"/>
      <c r="AK28" s="320">
        <v>22</v>
      </c>
      <c r="AL28" s="233"/>
      <c r="AM28" s="320"/>
      <c r="AN28" s="233"/>
      <c r="AO28" s="320"/>
      <c r="AP28" s="320"/>
      <c r="AQ28" s="233">
        <v>22</v>
      </c>
      <c r="AR28" s="320"/>
      <c r="AS28" s="233"/>
      <c r="AT28" s="320"/>
      <c r="AU28" s="233"/>
      <c r="AV28" s="320"/>
      <c r="AW28" s="320">
        <v>22</v>
      </c>
      <c r="AX28" s="233"/>
      <c r="AY28" s="320"/>
      <c r="AZ28" s="233"/>
      <c r="BA28" s="320"/>
      <c r="BB28" s="320"/>
      <c r="BC28" s="233">
        <v>22</v>
      </c>
      <c r="BD28" s="320"/>
      <c r="BE28" s="233"/>
      <c r="BF28" s="320"/>
      <c r="BG28" s="233"/>
      <c r="BH28" s="320"/>
      <c r="BI28" s="320">
        <v>22</v>
      </c>
      <c r="BJ28" s="233"/>
      <c r="BK28" s="320"/>
      <c r="BL28" s="320"/>
      <c r="BM28" s="233"/>
      <c r="BN28" s="320"/>
      <c r="BO28" s="320">
        <v>22</v>
      </c>
      <c r="BP28" s="233"/>
      <c r="BQ28" s="320"/>
      <c r="BR28" s="317"/>
      <c r="BS28" s="317"/>
    </row>
    <row r="29" spans="1:71" ht="15" x14ac:dyDescent="0.2">
      <c r="A29" s="316">
        <v>23</v>
      </c>
      <c r="B29" s="316">
        <v>5783.1</v>
      </c>
      <c r="C29" s="234">
        <f>449.1</f>
        <v>449.1</v>
      </c>
      <c r="D29" s="316">
        <v>27410.05</v>
      </c>
      <c r="E29" s="316">
        <v>1825.19</v>
      </c>
      <c r="F29" s="234"/>
      <c r="G29" s="316">
        <v>23</v>
      </c>
      <c r="H29" s="316">
        <v>0</v>
      </c>
      <c r="I29" s="316">
        <v>0</v>
      </c>
      <c r="J29" s="234">
        <v>9461.27</v>
      </c>
      <c r="K29" s="316">
        <v>514.75</v>
      </c>
      <c r="L29" s="234"/>
      <c r="M29" s="316">
        <v>23</v>
      </c>
      <c r="N29" s="316">
        <v>0</v>
      </c>
      <c r="O29" s="234">
        <v>0</v>
      </c>
      <c r="P29" s="316">
        <v>10302.1</v>
      </c>
      <c r="Q29" s="234">
        <v>672.45</v>
      </c>
      <c r="R29" s="316"/>
      <c r="S29" s="316">
        <v>23</v>
      </c>
      <c r="T29" s="234">
        <v>30668.2</v>
      </c>
      <c r="U29" s="316">
        <f>597+356.4+297.6+1069.2</f>
        <v>2320.1999999999998</v>
      </c>
      <c r="V29" s="316">
        <v>800</v>
      </c>
      <c r="W29" s="234"/>
      <c r="X29" s="316"/>
      <c r="Y29" s="234">
        <v>23</v>
      </c>
      <c r="Z29" s="316"/>
      <c r="AA29" s="234"/>
      <c r="AB29" s="316"/>
      <c r="AC29" s="234"/>
      <c r="AD29" s="316"/>
      <c r="AE29" s="316">
        <v>23</v>
      </c>
      <c r="AF29" s="316"/>
      <c r="AG29" s="234"/>
      <c r="AH29" s="316"/>
      <c r="AI29" s="234"/>
      <c r="AJ29" s="316"/>
      <c r="AK29" s="316">
        <v>23</v>
      </c>
      <c r="AL29" s="234"/>
      <c r="AM29" s="316"/>
      <c r="AN29" s="234"/>
      <c r="AO29" s="316"/>
      <c r="AP29" s="316"/>
      <c r="AQ29" s="234">
        <v>23</v>
      </c>
      <c r="AR29" s="316"/>
      <c r="AS29" s="234"/>
      <c r="AT29" s="316"/>
      <c r="AU29" s="234"/>
      <c r="AV29" s="316"/>
      <c r="AW29" s="316">
        <v>23</v>
      </c>
      <c r="AX29" s="234"/>
      <c r="AY29" s="316"/>
      <c r="AZ29" s="234"/>
      <c r="BA29" s="316"/>
      <c r="BB29" s="316"/>
      <c r="BC29" s="234">
        <v>23</v>
      </c>
      <c r="BD29" s="316"/>
      <c r="BE29" s="234"/>
      <c r="BF29" s="316"/>
      <c r="BG29" s="234"/>
      <c r="BH29" s="316"/>
      <c r="BI29" s="316">
        <v>23</v>
      </c>
      <c r="BJ29" s="234"/>
      <c r="BK29" s="316"/>
      <c r="BL29" s="316"/>
      <c r="BM29" s="234"/>
      <c r="BN29" s="316"/>
      <c r="BO29" s="316">
        <v>23</v>
      </c>
      <c r="BP29" s="234"/>
      <c r="BQ29" s="316"/>
      <c r="BR29" s="318"/>
      <c r="BS29" s="318"/>
    </row>
    <row r="30" spans="1:71" ht="15" x14ac:dyDescent="0.2">
      <c r="A30" s="316">
        <v>24</v>
      </c>
      <c r="B30" s="316">
        <v>21896</v>
      </c>
      <c r="C30" s="234">
        <f>446.4+628.2+581.4+1638.6</f>
        <v>3294.6</v>
      </c>
      <c r="D30" s="316">
        <v>8141.75</v>
      </c>
      <c r="E30" s="316">
        <v>21.37</v>
      </c>
      <c r="F30" s="234"/>
      <c r="G30" s="316">
        <v>24</v>
      </c>
      <c r="H30" s="316">
        <v>28151.200000000001</v>
      </c>
      <c r="I30" s="316">
        <f>418.8+356.4+297.6+1190.4</f>
        <v>2263.2000000000003</v>
      </c>
      <c r="J30" s="234">
        <v>10224.41</v>
      </c>
      <c r="K30" s="316">
        <v>627.75</v>
      </c>
      <c r="L30" s="234"/>
      <c r="M30" s="316">
        <v>24</v>
      </c>
      <c r="N30" s="316">
        <v>28924.799999999999</v>
      </c>
      <c r="O30" s="234">
        <f>477.6+356.4+297.6+744+744</f>
        <v>2619.6</v>
      </c>
      <c r="P30" s="316">
        <f>16974+8444.48</f>
        <v>25418.48</v>
      </c>
      <c r="Q30" s="234">
        <f>2214+543.1</f>
        <v>2757.1</v>
      </c>
      <c r="R30" s="316"/>
      <c r="S30" s="316">
        <v>24</v>
      </c>
      <c r="T30" s="234">
        <v>7462.4</v>
      </c>
      <c r="U30" s="316">
        <v>536.4</v>
      </c>
      <c r="V30" s="316">
        <v>16538.32</v>
      </c>
      <c r="W30" s="234">
        <v>1498.74</v>
      </c>
      <c r="X30" s="316"/>
      <c r="Y30" s="234">
        <v>24</v>
      </c>
      <c r="Z30" s="316"/>
      <c r="AA30" s="234"/>
      <c r="AB30" s="316"/>
      <c r="AC30" s="234"/>
      <c r="AD30" s="316"/>
      <c r="AE30" s="316">
        <v>24</v>
      </c>
      <c r="AF30" s="316"/>
      <c r="AG30" s="234"/>
      <c r="AH30" s="316"/>
      <c r="AI30" s="234"/>
      <c r="AJ30" s="316"/>
      <c r="AK30" s="316">
        <v>24</v>
      </c>
      <c r="AL30" s="234"/>
      <c r="AM30" s="316"/>
      <c r="AN30" s="234"/>
      <c r="AO30" s="316"/>
      <c r="AP30" s="316"/>
      <c r="AQ30" s="234">
        <v>24</v>
      </c>
      <c r="AR30" s="316"/>
      <c r="AS30" s="234"/>
      <c r="AT30" s="316"/>
      <c r="AU30" s="234"/>
      <c r="AV30" s="316"/>
      <c r="AW30" s="316">
        <v>24</v>
      </c>
      <c r="AX30" s="234"/>
      <c r="AY30" s="316"/>
      <c r="AZ30" s="234"/>
      <c r="BA30" s="316"/>
      <c r="BB30" s="316"/>
      <c r="BC30" s="234">
        <v>24</v>
      </c>
      <c r="BD30" s="316"/>
      <c r="BE30" s="234"/>
      <c r="BF30" s="316"/>
      <c r="BG30" s="234"/>
      <c r="BH30" s="316"/>
      <c r="BI30" s="316">
        <v>24</v>
      </c>
      <c r="BJ30" s="234"/>
      <c r="BK30" s="316"/>
      <c r="BL30" s="316"/>
      <c r="BM30" s="234"/>
      <c r="BN30" s="316"/>
      <c r="BO30" s="316">
        <v>24</v>
      </c>
      <c r="BP30" s="234"/>
      <c r="BQ30" s="316"/>
      <c r="BR30" s="318"/>
      <c r="BS30" s="318"/>
    </row>
    <row r="31" spans="1:71" ht="15" x14ac:dyDescent="0.2">
      <c r="A31" s="316">
        <v>25</v>
      </c>
      <c r="B31" s="316">
        <v>17602.599999999999</v>
      </c>
      <c r="C31" s="234">
        <f>1638.6</f>
        <v>1638.6</v>
      </c>
      <c r="D31" s="316">
        <v>2638.8</v>
      </c>
      <c r="E31" s="316">
        <v>31.15</v>
      </c>
      <c r="F31" s="234"/>
      <c r="G31" s="316">
        <v>25</v>
      </c>
      <c r="H31" s="316">
        <v>0</v>
      </c>
      <c r="I31" s="316">
        <v>0</v>
      </c>
      <c r="J31" s="234">
        <v>9053.1</v>
      </c>
      <c r="K31" s="316">
        <v>470.67</v>
      </c>
      <c r="L31" s="234"/>
      <c r="M31" s="316">
        <v>25</v>
      </c>
      <c r="N31" s="316">
        <v>32945.199999999997</v>
      </c>
      <c r="O31" s="234">
        <f>1128+773.4+773.4+773.4+817.5</f>
        <v>4265.7000000000007</v>
      </c>
      <c r="P31" s="316">
        <v>14171.65</v>
      </c>
      <c r="Q31" s="234">
        <v>940.64</v>
      </c>
      <c r="R31" s="316"/>
      <c r="S31" s="316">
        <v>25</v>
      </c>
      <c r="T31" s="234">
        <v>29589.8</v>
      </c>
      <c r="U31" s="316">
        <f>655.8+356.4+297.6+1488</f>
        <v>2797.8</v>
      </c>
      <c r="V31" s="316">
        <v>806.95</v>
      </c>
      <c r="W31" s="234"/>
      <c r="X31" s="316"/>
      <c r="Y31" s="234">
        <v>25</v>
      </c>
      <c r="Z31" s="316"/>
      <c r="AA31" s="234"/>
      <c r="AB31" s="316"/>
      <c r="AC31" s="234"/>
      <c r="AD31" s="316"/>
      <c r="AE31" s="316">
        <v>25</v>
      </c>
      <c r="AF31" s="316"/>
      <c r="AG31" s="234"/>
      <c r="AH31" s="316"/>
      <c r="AI31" s="234"/>
      <c r="AJ31" s="316"/>
      <c r="AK31" s="316">
        <v>25</v>
      </c>
      <c r="AL31" s="234"/>
      <c r="AM31" s="316"/>
      <c r="AN31" s="234"/>
      <c r="AO31" s="316"/>
      <c r="AP31" s="316"/>
      <c r="AQ31" s="234">
        <v>25</v>
      </c>
      <c r="AR31" s="316"/>
      <c r="AS31" s="234"/>
      <c r="AT31" s="316"/>
      <c r="AU31" s="234"/>
      <c r="AV31" s="316"/>
      <c r="AW31" s="316">
        <v>25</v>
      </c>
      <c r="AX31" s="234"/>
      <c r="AY31" s="316"/>
      <c r="AZ31" s="234"/>
      <c r="BA31" s="316"/>
      <c r="BB31" s="316"/>
      <c r="BC31" s="234">
        <v>25</v>
      </c>
      <c r="BD31" s="316"/>
      <c r="BE31" s="234"/>
      <c r="BF31" s="316"/>
      <c r="BG31" s="234"/>
      <c r="BH31" s="316"/>
      <c r="BI31" s="316">
        <v>25</v>
      </c>
      <c r="BJ31" s="234"/>
      <c r="BK31" s="316"/>
      <c r="BL31" s="316"/>
      <c r="BM31" s="234"/>
      <c r="BN31" s="316"/>
      <c r="BO31" s="316">
        <v>25</v>
      </c>
      <c r="BP31" s="234"/>
      <c r="BQ31" s="316"/>
      <c r="BR31" s="318"/>
      <c r="BS31" s="318"/>
    </row>
    <row r="32" spans="1:71" ht="15" x14ac:dyDescent="0.2">
      <c r="A32" s="316">
        <v>26</v>
      </c>
      <c r="B32" s="316">
        <v>0</v>
      </c>
      <c r="C32" s="234">
        <f>0</f>
        <v>0</v>
      </c>
      <c r="D32" s="316">
        <v>6221.48</v>
      </c>
      <c r="E32" s="316">
        <v>546.85</v>
      </c>
      <c r="F32" s="234"/>
      <c r="G32" s="316">
        <v>26</v>
      </c>
      <c r="H32" s="316">
        <v>29312.799999999999</v>
      </c>
      <c r="I32" s="316">
        <f>536.4+356.4+418.8+1249.2</f>
        <v>2560.8000000000002</v>
      </c>
      <c r="J32" s="234">
        <v>13475.56</v>
      </c>
      <c r="K32" s="316">
        <v>1553.5</v>
      </c>
      <c r="L32" s="234"/>
      <c r="M32" s="316">
        <v>26</v>
      </c>
      <c r="N32" s="316">
        <v>27003.599999999999</v>
      </c>
      <c r="O32" s="234">
        <f>536.4+356.4+297.6+1249.2</f>
        <v>2439.6000000000004</v>
      </c>
      <c r="P32" s="316">
        <v>800</v>
      </c>
      <c r="Q32" s="234">
        <v>0</v>
      </c>
      <c r="R32" s="316"/>
      <c r="S32" s="316">
        <v>26</v>
      </c>
      <c r="T32" s="234">
        <v>0</v>
      </c>
      <c r="U32" s="316"/>
      <c r="V32" s="316">
        <v>31109.61</v>
      </c>
      <c r="W32" s="234">
        <v>530.38</v>
      </c>
      <c r="X32" s="316"/>
      <c r="Y32" s="234">
        <v>26</v>
      </c>
      <c r="Z32" s="316"/>
      <c r="AA32" s="234"/>
      <c r="AB32" s="316"/>
      <c r="AC32" s="234"/>
      <c r="AD32" s="316"/>
      <c r="AE32" s="316">
        <v>26</v>
      </c>
      <c r="AF32" s="316"/>
      <c r="AG32" s="234"/>
      <c r="AH32" s="316"/>
      <c r="AI32" s="234"/>
      <c r="AJ32" s="316"/>
      <c r="AK32" s="316">
        <v>26</v>
      </c>
      <c r="AL32" s="234"/>
      <c r="AM32" s="320"/>
      <c r="AN32" s="234"/>
      <c r="AO32" s="316"/>
      <c r="AP32" s="316"/>
      <c r="AQ32" s="234">
        <v>26</v>
      </c>
      <c r="AR32" s="316"/>
      <c r="AS32" s="234"/>
      <c r="AT32" s="316"/>
      <c r="AU32" s="234"/>
      <c r="AV32" s="316"/>
      <c r="AW32" s="316">
        <v>26</v>
      </c>
      <c r="AX32" s="234"/>
      <c r="AY32" s="316"/>
      <c r="AZ32" s="234"/>
      <c r="BA32" s="316"/>
      <c r="BB32" s="316"/>
      <c r="BC32" s="234">
        <v>26</v>
      </c>
      <c r="BD32" s="316"/>
      <c r="BE32" s="234"/>
      <c r="BF32" s="316"/>
      <c r="BG32" s="234"/>
      <c r="BH32" s="316"/>
      <c r="BI32" s="316">
        <v>26</v>
      </c>
      <c r="BJ32" s="234"/>
      <c r="BK32" s="316"/>
      <c r="BL32" s="316"/>
      <c r="BM32" s="234"/>
      <c r="BN32" s="316"/>
      <c r="BO32" s="316">
        <v>26</v>
      </c>
      <c r="BP32" s="234"/>
      <c r="BQ32" s="316"/>
      <c r="BR32" s="318"/>
      <c r="BS32" s="318"/>
    </row>
    <row r="33" spans="1:71" ht="15" x14ac:dyDescent="0.2">
      <c r="A33" s="316">
        <v>27</v>
      </c>
      <c r="B33" s="316">
        <v>30755.1</v>
      </c>
      <c r="C33" s="234">
        <f>311.4+581.4+493.2+1295.1</f>
        <v>2681.1</v>
      </c>
      <c r="D33" s="316">
        <v>6563.58</v>
      </c>
      <c r="E33" s="316">
        <v>490.76</v>
      </c>
      <c r="F33" s="234"/>
      <c r="G33" s="316">
        <v>27</v>
      </c>
      <c r="H33" s="316">
        <v>38527.199999999997</v>
      </c>
      <c r="I33" s="316">
        <f>360+1131.6+773.4+773.4+773.4+744</f>
        <v>4555.8</v>
      </c>
      <c r="J33" s="234">
        <v>21920.92</v>
      </c>
      <c r="K33" s="316">
        <v>2001.47</v>
      </c>
      <c r="L33" s="234"/>
      <c r="M33" s="316">
        <v>27</v>
      </c>
      <c r="N33" s="316"/>
      <c r="O33" s="234">
        <v>405.9</v>
      </c>
      <c r="P33" s="316"/>
      <c r="Q33" s="234"/>
      <c r="R33" s="316"/>
      <c r="S33" s="316">
        <v>27</v>
      </c>
      <c r="T33" s="234"/>
      <c r="U33" s="316"/>
      <c r="V33" s="316"/>
      <c r="W33" s="234"/>
      <c r="X33" s="316"/>
      <c r="Y33" s="234">
        <v>27</v>
      </c>
      <c r="Z33" s="316"/>
      <c r="AA33" s="234"/>
      <c r="AB33" s="316"/>
      <c r="AC33" s="234"/>
      <c r="AD33" s="316"/>
      <c r="AE33" s="316">
        <v>27</v>
      </c>
      <c r="AF33" s="316"/>
      <c r="AG33" s="234"/>
      <c r="AH33" s="316"/>
      <c r="AI33" s="234"/>
      <c r="AJ33" s="316"/>
      <c r="AK33" s="316">
        <v>27</v>
      </c>
      <c r="AL33" s="234"/>
      <c r="AM33" s="316"/>
      <c r="AN33" s="234"/>
      <c r="AO33" s="316"/>
      <c r="AP33" s="316"/>
      <c r="AQ33" s="234">
        <v>27</v>
      </c>
      <c r="AR33" s="316"/>
      <c r="AS33" s="234"/>
      <c r="AT33" s="316"/>
      <c r="AU33" s="234"/>
      <c r="AV33" s="316"/>
      <c r="AW33" s="316">
        <v>27</v>
      </c>
      <c r="AX33" s="234"/>
      <c r="AY33" s="316"/>
      <c r="AZ33" s="234"/>
      <c r="BA33" s="316"/>
      <c r="BB33" s="316"/>
      <c r="BC33" s="234">
        <v>27</v>
      </c>
      <c r="BD33" s="316"/>
      <c r="BE33" s="234"/>
      <c r="BF33" s="316"/>
      <c r="BG33" s="234"/>
      <c r="BH33" s="316"/>
      <c r="BI33" s="316">
        <v>27</v>
      </c>
      <c r="BJ33" s="234"/>
      <c r="BK33" s="316"/>
      <c r="BL33" s="316"/>
      <c r="BM33" s="234"/>
      <c r="BN33" s="316"/>
      <c r="BO33" s="316">
        <v>27</v>
      </c>
      <c r="BP33" s="234"/>
      <c r="BQ33" s="316"/>
      <c r="BR33" s="318"/>
      <c r="BS33" s="318"/>
    </row>
    <row r="34" spans="1:71" ht="16" thickBot="1" x14ac:dyDescent="0.25">
      <c r="A34" s="323">
        <v>28</v>
      </c>
      <c r="B34" s="323">
        <v>32665.599999999999</v>
      </c>
      <c r="C34" s="324">
        <f>804.6+1116+804.6+804.6+712.8</f>
        <v>4242.5999999999995</v>
      </c>
      <c r="D34" s="323">
        <f>12186.33+9366.47</f>
        <v>21552.799999999999</v>
      </c>
      <c r="E34" s="323">
        <f>1589.53+619.27</f>
        <v>2208.8000000000002</v>
      </c>
      <c r="F34" s="324"/>
      <c r="G34" s="323">
        <v>28</v>
      </c>
      <c r="H34" s="323">
        <v>37496</v>
      </c>
      <c r="I34" s="323">
        <f>775.2+415.2+477.6+1488</f>
        <v>3156</v>
      </c>
      <c r="J34" s="324">
        <v>5597.69</v>
      </c>
      <c r="K34" s="323">
        <v>625.79</v>
      </c>
      <c r="L34" s="324"/>
      <c r="M34" s="323">
        <v>28</v>
      </c>
      <c r="N34" s="323">
        <v>34576</v>
      </c>
      <c r="O34" s="324">
        <f>775.2+415.2+477.6+1488</f>
        <v>3156</v>
      </c>
      <c r="P34" s="323">
        <v>5518.5</v>
      </c>
      <c r="Q34" s="324">
        <v>615.46</v>
      </c>
      <c r="R34" s="323"/>
      <c r="S34" s="323">
        <v>28</v>
      </c>
      <c r="T34" s="324">
        <v>28052.799999999999</v>
      </c>
      <c r="U34" s="323">
        <f>477.6+356.4+297.6+1249.2</f>
        <v>2380.8000000000002</v>
      </c>
      <c r="V34" s="323">
        <v>10279.14</v>
      </c>
      <c r="W34" s="324">
        <v>638.83000000000004</v>
      </c>
      <c r="X34" s="323"/>
      <c r="Y34" s="324">
        <v>28</v>
      </c>
      <c r="Z34" s="323"/>
      <c r="AA34" s="324"/>
      <c r="AB34" s="323"/>
      <c r="AC34" s="324"/>
      <c r="AD34" s="323"/>
      <c r="AE34" s="323">
        <v>28</v>
      </c>
      <c r="AF34" s="323"/>
      <c r="AG34" s="324"/>
      <c r="AH34" s="323"/>
      <c r="AI34" s="324"/>
      <c r="AJ34" s="323"/>
      <c r="AK34" s="323">
        <v>28</v>
      </c>
      <c r="AL34" s="324"/>
      <c r="AM34" s="323"/>
      <c r="AN34" s="324"/>
      <c r="AO34" s="323"/>
      <c r="AP34" s="323"/>
      <c r="AQ34" s="324">
        <v>28</v>
      </c>
      <c r="AR34" s="323"/>
      <c r="AS34" s="324"/>
      <c r="AT34" s="323"/>
      <c r="AU34" s="324"/>
      <c r="AV34" s="323"/>
      <c r="AW34" s="323">
        <v>28</v>
      </c>
      <c r="AX34" s="324"/>
      <c r="AY34" s="323"/>
      <c r="AZ34" s="324"/>
      <c r="BA34" s="323"/>
      <c r="BB34" s="323"/>
      <c r="BC34" s="324">
        <v>28</v>
      </c>
      <c r="BD34" s="323"/>
      <c r="BE34" s="324"/>
      <c r="BF34" s="323"/>
      <c r="BG34" s="324"/>
      <c r="BH34" s="323"/>
      <c r="BI34" s="323">
        <v>28</v>
      </c>
      <c r="BJ34" s="324"/>
      <c r="BK34" s="323"/>
      <c r="BL34" s="323"/>
      <c r="BM34" s="324"/>
      <c r="BN34" s="323"/>
      <c r="BO34" s="323">
        <v>28</v>
      </c>
      <c r="BP34" s="324"/>
      <c r="BQ34" s="323"/>
      <c r="BR34" s="466"/>
      <c r="BS34" s="466"/>
    </row>
    <row r="35" spans="1:71" ht="16" thickBot="1" x14ac:dyDescent="0.25">
      <c r="A35" s="331" t="s">
        <v>363</v>
      </c>
      <c r="B35" s="331">
        <f>SUM(B28:B34)</f>
        <v>131573.20000000001</v>
      </c>
      <c r="C35" s="237">
        <f>SUM(C28:C34)</f>
        <v>14584.8</v>
      </c>
      <c r="D35" s="331">
        <f>SUM(D28:D34)</f>
        <v>74958.510000000009</v>
      </c>
      <c r="E35" s="331">
        <f>SUM(E28:E34)</f>
        <v>5336.7300000000005</v>
      </c>
      <c r="F35" s="237"/>
      <c r="G35" s="331" t="s">
        <v>363</v>
      </c>
      <c r="H35" s="331">
        <f>SUM(H28:H34)</f>
        <v>133487.20000000001</v>
      </c>
      <c r="I35" s="331">
        <f>SUM(I28:I34)</f>
        <v>12535.8</v>
      </c>
      <c r="J35" s="237">
        <f>SUM(J28:J34)</f>
        <v>70532.95</v>
      </c>
      <c r="K35" s="331">
        <f>SUM(K28:K34)</f>
        <v>5793.93</v>
      </c>
      <c r="L35" s="237"/>
      <c r="M35" s="331" t="s">
        <v>363</v>
      </c>
      <c r="N35" s="331">
        <f>SUM(N28:N34)</f>
        <v>123449.60000000001</v>
      </c>
      <c r="O35" s="237">
        <f>SUM(O28:O34)</f>
        <v>12886.800000000001</v>
      </c>
      <c r="P35" s="331">
        <f>SUM(P28:P34)</f>
        <v>56210.73</v>
      </c>
      <c r="Q35" s="237">
        <f>SUM(Q28:Q34)</f>
        <v>4985.6500000000005</v>
      </c>
      <c r="R35" s="331"/>
      <c r="S35" s="331" t="s">
        <v>363</v>
      </c>
      <c r="T35" s="237">
        <f>SUM(T28:T34)</f>
        <v>124930.3</v>
      </c>
      <c r="U35" s="331">
        <f>SUM(U28:U34)</f>
        <v>11814</v>
      </c>
      <c r="V35" s="331">
        <f>SUM(V28:V34)</f>
        <v>97722.26</v>
      </c>
      <c r="W35" s="237">
        <f>SUM(W28:W34)</f>
        <v>3953.0299999999997</v>
      </c>
      <c r="X35" s="331"/>
      <c r="Y35" s="331" t="s">
        <v>363</v>
      </c>
      <c r="Z35" s="331">
        <f>SUM(Z28:Z34)</f>
        <v>0</v>
      </c>
      <c r="AA35" s="237">
        <f>SUM(AA28:AA34)</f>
        <v>0</v>
      </c>
      <c r="AB35" s="331">
        <f>SUM(AB28:AB34)</f>
        <v>0</v>
      </c>
      <c r="AC35" s="237">
        <f>SUM(AC28:AC34)</f>
        <v>0</v>
      </c>
      <c r="AD35" s="331"/>
      <c r="AE35" s="331" t="s">
        <v>363</v>
      </c>
      <c r="AF35" s="331">
        <f>SUM(AF28:AF34)</f>
        <v>0</v>
      </c>
      <c r="AG35" s="237">
        <f>SUM(AG28:AG34)</f>
        <v>0</v>
      </c>
      <c r="AH35" s="331">
        <f>SUM(AH28:AH34)</f>
        <v>0</v>
      </c>
      <c r="AI35" s="237">
        <f>SUM(AI28:AI34)</f>
        <v>0</v>
      </c>
      <c r="AJ35" s="331"/>
      <c r="AK35" s="331" t="s">
        <v>363</v>
      </c>
      <c r="AL35" s="237">
        <f>SUM(AL28:AL34)</f>
        <v>0</v>
      </c>
      <c r="AM35" s="331">
        <f>SUM(AM28:AM34)</f>
        <v>0</v>
      </c>
      <c r="AN35" s="237">
        <f>SUM(AN28:AN34)</f>
        <v>0</v>
      </c>
      <c r="AO35" s="331">
        <f>SUM(AO28:AO34)</f>
        <v>0</v>
      </c>
      <c r="AP35" s="331"/>
      <c r="AQ35" s="331" t="s">
        <v>363</v>
      </c>
      <c r="AR35" s="331">
        <f>SUM(AR28:AR34)</f>
        <v>0</v>
      </c>
      <c r="AS35" s="237">
        <f>SUM(AS28:AS34)</f>
        <v>0</v>
      </c>
      <c r="AT35" s="331">
        <f>SUM(AT28:AT34)</f>
        <v>0</v>
      </c>
      <c r="AU35" s="237">
        <f>SUM(AU28:AU34)</f>
        <v>0</v>
      </c>
      <c r="AV35" s="331"/>
      <c r="AW35" s="331" t="s">
        <v>363</v>
      </c>
      <c r="AX35" s="237">
        <f>SUM(AX28:AX34)</f>
        <v>0</v>
      </c>
      <c r="AY35" s="331">
        <f>SUM(AY28:AY34)</f>
        <v>0</v>
      </c>
      <c r="AZ35" s="237">
        <f>SUM(AZ28:AZ34)</f>
        <v>0</v>
      </c>
      <c r="BA35" s="331">
        <f>SUM(BA28:BA34)</f>
        <v>0</v>
      </c>
      <c r="BB35" s="331"/>
      <c r="BC35" s="331" t="s">
        <v>363</v>
      </c>
      <c r="BD35" s="331">
        <f>SUM(BD28:BD34)</f>
        <v>0</v>
      </c>
      <c r="BE35" s="237">
        <f>SUM(BE28:BE34)</f>
        <v>0</v>
      </c>
      <c r="BF35" s="331">
        <f>SUM(BF28:BF34)</f>
        <v>0</v>
      </c>
      <c r="BG35" s="237">
        <f>SUM(BG28:BG34)</f>
        <v>0</v>
      </c>
      <c r="BH35" s="331"/>
      <c r="BI35" s="331" t="s">
        <v>363</v>
      </c>
      <c r="BJ35" s="237">
        <f>SUM(BJ28:BJ34)</f>
        <v>0</v>
      </c>
      <c r="BK35" s="331">
        <f>SUM(BK28:BK34)</f>
        <v>0</v>
      </c>
      <c r="BL35" s="331">
        <f>SUM(BL28:BL34)</f>
        <v>0</v>
      </c>
      <c r="BM35" s="237">
        <f>SUM(BM28:BM34)</f>
        <v>0</v>
      </c>
      <c r="BN35" s="331"/>
      <c r="BO35" s="331" t="s">
        <v>363</v>
      </c>
      <c r="BP35" s="237">
        <f>SUM(BP28:BP34)</f>
        <v>0</v>
      </c>
      <c r="BQ35" s="331">
        <f>SUM(BQ28:BQ34)</f>
        <v>0</v>
      </c>
      <c r="BR35" s="483">
        <f>SUM(BR28:BR34)</f>
        <v>0</v>
      </c>
      <c r="BS35" s="483">
        <f>SUM(BS28:BS34)</f>
        <v>0</v>
      </c>
    </row>
    <row r="36" spans="1:71" ht="15" x14ac:dyDescent="0.2">
      <c r="A36" s="320">
        <v>29</v>
      </c>
      <c r="B36" s="320">
        <v>24271.599999999999</v>
      </c>
      <c r="C36" s="233">
        <v>2368.8000000000002</v>
      </c>
      <c r="D36" s="320">
        <v>800.16</v>
      </c>
      <c r="E36" s="320">
        <v>0</v>
      </c>
      <c r="F36" s="233"/>
      <c r="G36" s="320">
        <v>29</v>
      </c>
      <c r="H36" s="320"/>
      <c r="I36" s="320"/>
      <c r="J36" s="233"/>
      <c r="K36" s="320"/>
      <c r="L36" s="233"/>
      <c r="M36" s="320">
        <v>29</v>
      </c>
      <c r="N36" s="320">
        <v>0</v>
      </c>
      <c r="O36" s="233"/>
      <c r="P36" s="320">
        <v>39664.42</v>
      </c>
      <c r="Q36" s="233">
        <v>718.44</v>
      </c>
      <c r="R36" s="320"/>
      <c r="S36" s="320">
        <v>29</v>
      </c>
      <c r="T36" s="233">
        <v>28387.4</v>
      </c>
      <c r="U36" s="320">
        <f>1067.4+567.6+714.6+714.6+655.8</f>
        <v>3720</v>
      </c>
      <c r="V36" s="320">
        <f>20531.88+8865.37</f>
        <v>29397.25</v>
      </c>
      <c r="W36" s="233">
        <f>2678.08+543.85</f>
        <v>3221.93</v>
      </c>
      <c r="X36" s="320"/>
      <c r="Y36" s="233">
        <v>29</v>
      </c>
      <c r="Z36" s="320"/>
      <c r="AA36" s="233"/>
      <c r="AB36" s="320"/>
      <c r="AC36" s="233"/>
      <c r="AD36" s="320"/>
      <c r="AE36" s="320">
        <v>29</v>
      </c>
      <c r="AF36" s="320"/>
      <c r="AG36" s="233"/>
      <c r="AH36" s="320"/>
      <c r="AI36" s="233"/>
      <c r="AJ36" s="320"/>
      <c r="AK36" s="320">
        <v>29</v>
      </c>
      <c r="AL36" s="233"/>
      <c r="AM36" s="320"/>
      <c r="AN36" s="233"/>
      <c r="AO36" s="320"/>
      <c r="AP36" s="320"/>
      <c r="AQ36" s="233">
        <v>29</v>
      </c>
      <c r="AR36" s="320"/>
      <c r="AS36" s="233"/>
      <c r="AT36" s="320"/>
      <c r="AU36" s="233"/>
      <c r="AV36" s="320"/>
      <c r="AW36" s="320">
        <v>29</v>
      </c>
      <c r="AX36" s="233"/>
      <c r="AY36" s="320"/>
      <c r="AZ36" s="233"/>
      <c r="BA36" s="320"/>
      <c r="BB36" s="320"/>
      <c r="BC36" s="233">
        <v>29</v>
      </c>
      <c r="BD36" s="320"/>
      <c r="BE36" s="233"/>
      <c r="BF36" s="320"/>
      <c r="BG36" s="233"/>
      <c r="BH36" s="320"/>
      <c r="BI36" s="320">
        <v>29</v>
      </c>
      <c r="BJ36" s="233"/>
      <c r="BK36" s="320"/>
      <c r="BL36" s="320"/>
      <c r="BM36" s="233"/>
      <c r="BN36" s="320"/>
      <c r="BO36" s="320">
        <v>29</v>
      </c>
      <c r="BP36" s="233"/>
      <c r="BQ36" s="320"/>
      <c r="BR36" s="317"/>
      <c r="BS36" s="317"/>
    </row>
    <row r="37" spans="1:71" ht="15" x14ac:dyDescent="0.2">
      <c r="A37" s="316">
        <v>30</v>
      </c>
      <c r="B37" s="316">
        <v>6046.2</v>
      </c>
      <c r="C37" s="234"/>
      <c r="D37" s="316">
        <v>15263.9</v>
      </c>
      <c r="E37" s="316">
        <v>1587.44</v>
      </c>
      <c r="F37" s="234"/>
      <c r="G37" s="316">
        <v>30</v>
      </c>
      <c r="H37" s="316"/>
      <c r="I37" s="316"/>
      <c r="J37" s="234"/>
      <c r="K37" s="316"/>
      <c r="L37" s="234"/>
      <c r="M37" s="316">
        <v>30</v>
      </c>
      <c r="N37" s="316">
        <v>11597.2</v>
      </c>
      <c r="O37" s="234">
        <f>1069.2</f>
        <v>1069.2</v>
      </c>
      <c r="P37" s="316">
        <v>184.98</v>
      </c>
      <c r="Q37" s="234">
        <v>27.75</v>
      </c>
      <c r="R37" s="316"/>
      <c r="S37" s="316">
        <v>30</v>
      </c>
      <c r="T37" s="234">
        <v>28387.4</v>
      </c>
      <c r="U37" s="316">
        <f>477.6+327+297.6+1069.2</f>
        <v>2171.4</v>
      </c>
      <c r="V37" s="316">
        <v>800</v>
      </c>
      <c r="W37" s="234"/>
      <c r="X37" s="316"/>
      <c r="Y37" s="234">
        <v>30</v>
      </c>
      <c r="Z37" s="316"/>
      <c r="AA37" s="234"/>
      <c r="AB37" s="316"/>
      <c r="AC37" s="234"/>
      <c r="AD37" s="316"/>
      <c r="AE37" s="316">
        <v>30</v>
      </c>
      <c r="AF37" s="316"/>
      <c r="AG37" s="234"/>
      <c r="AH37" s="316"/>
      <c r="AI37" s="234"/>
      <c r="AJ37" s="316"/>
      <c r="AK37" s="316">
        <v>30</v>
      </c>
      <c r="AL37" s="234"/>
      <c r="AM37" s="316"/>
      <c r="AN37" s="234"/>
      <c r="AO37" s="316"/>
      <c r="AP37" s="316"/>
      <c r="AQ37" s="234">
        <v>30</v>
      </c>
      <c r="AR37" s="316"/>
      <c r="AS37" s="234"/>
      <c r="AT37" s="316"/>
      <c r="AU37" s="234"/>
      <c r="AV37" s="316"/>
      <c r="AW37" s="316">
        <v>30</v>
      </c>
      <c r="AX37" s="234"/>
      <c r="AY37" s="316"/>
      <c r="AZ37" s="234"/>
      <c r="BA37" s="316"/>
      <c r="BB37" s="316"/>
      <c r="BC37" s="234">
        <v>30</v>
      </c>
      <c r="BD37" s="316"/>
      <c r="BE37" s="234"/>
      <c r="BF37" s="316"/>
      <c r="BG37" s="234"/>
      <c r="BH37" s="316"/>
      <c r="BI37" s="316">
        <v>30</v>
      </c>
      <c r="BJ37" s="234"/>
      <c r="BK37" s="316"/>
      <c r="BL37" s="316"/>
      <c r="BM37" s="234"/>
      <c r="BN37" s="316"/>
      <c r="BO37" s="316">
        <v>30</v>
      </c>
      <c r="BP37" s="234"/>
      <c r="BQ37" s="316"/>
      <c r="BR37" s="318"/>
      <c r="BS37" s="318"/>
    </row>
    <row r="38" spans="1:71" ht="16" thickBot="1" x14ac:dyDescent="0.25">
      <c r="A38" s="323">
        <v>31</v>
      </c>
      <c r="B38" s="323">
        <v>36233.199999999997</v>
      </c>
      <c r="C38" s="324"/>
      <c r="D38" s="323">
        <v>8525.7900000000009</v>
      </c>
      <c r="E38" s="323">
        <v>32.869999999999997</v>
      </c>
      <c r="F38" s="324"/>
      <c r="G38" s="323">
        <v>31</v>
      </c>
      <c r="H38" s="323"/>
      <c r="I38" s="323"/>
      <c r="J38" s="324"/>
      <c r="K38" s="323"/>
      <c r="L38" s="324"/>
      <c r="M38" s="323">
        <v>31</v>
      </c>
      <c r="N38" s="323">
        <v>32943.599999999999</v>
      </c>
      <c r="O38" s="324">
        <f>477.6+356.4+356.4+1249.2</f>
        <v>2439.6000000000004</v>
      </c>
      <c r="P38" s="323">
        <v>14858.66</v>
      </c>
      <c r="Q38" s="324">
        <v>1080.1199999999999</v>
      </c>
      <c r="R38" s="323"/>
      <c r="S38" s="323">
        <v>31</v>
      </c>
      <c r="T38" s="324"/>
      <c r="U38" s="323"/>
      <c r="V38" s="323"/>
      <c r="W38" s="324"/>
      <c r="X38" s="323"/>
      <c r="Y38" s="324">
        <v>31</v>
      </c>
      <c r="Z38" s="323"/>
      <c r="AA38" s="324"/>
      <c r="AB38" s="323"/>
      <c r="AC38" s="324"/>
      <c r="AD38" s="323"/>
      <c r="AE38" s="323">
        <v>31</v>
      </c>
      <c r="AF38" s="323"/>
      <c r="AG38" s="324"/>
      <c r="AH38" s="323"/>
      <c r="AI38" s="324"/>
      <c r="AJ38" s="323"/>
      <c r="AK38" s="323">
        <v>31</v>
      </c>
      <c r="AL38" s="324"/>
      <c r="AM38" s="323"/>
      <c r="AN38" s="324"/>
      <c r="AO38" s="323"/>
      <c r="AP38" s="323"/>
      <c r="AQ38" s="324">
        <v>31</v>
      </c>
      <c r="AR38" s="323"/>
      <c r="AS38" s="324"/>
      <c r="AT38" s="323"/>
      <c r="AU38" s="324"/>
      <c r="AV38" s="323"/>
      <c r="AW38" s="323">
        <v>31</v>
      </c>
      <c r="AX38" s="324"/>
      <c r="AY38" s="323"/>
      <c r="AZ38" s="324"/>
      <c r="BA38" s="323"/>
      <c r="BB38" s="323"/>
      <c r="BC38" s="324">
        <v>31</v>
      </c>
      <c r="BD38" s="323"/>
      <c r="BE38" s="324"/>
      <c r="BF38" s="323"/>
      <c r="BG38" s="324"/>
      <c r="BH38" s="323"/>
      <c r="BI38" s="323">
        <v>31</v>
      </c>
      <c r="BJ38" s="324"/>
      <c r="BK38" s="323"/>
      <c r="BL38" s="323"/>
      <c r="BM38" s="324"/>
      <c r="BN38" s="323"/>
      <c r="BO38" s="323">
        <v>31</v>
      </c>
      <c r="BP38" s="324"/>
      <c r="BQ38" s="323"/>
      <c r="BR38" s="466"/>
      <c r="BS38" s="466"/>
    </row>
    <row r="39" spans="1:71" ht="16" thickBot="1" x14ac:dyDescent="0.25">
      <c r="A39" s="331" t="s">
        <v>363</v>
      </c>
      <c r="B39" s="331">
        <f>SUM(B36:B38)</f>
        <v>66551</v>
      </c>
      <c r="C39" s="237">
        <f>SUM(C36:C38)</f>
        <v>2368.8000000000002</v>
      </c>
      <c r="D39" s="331">
        <f>SUM(D36:D38)</f>
        <v>24589.85</v>
      </c>
      <c r="E39" s="331">
        <f>SUM(E36:E38)</f>
        <v>1620.31</v>
      </c>
      <c r="F39" s="237"/>
      <c r="G39" s="331" t="s">
        <v>363</v>
      </c>
      <c r="H39" s="331">
        <f>SUM(H36:H38)</f>
        <v>0</v>
      </c>
      <c r="I39" s="331">
        <f>SUM(I36:I38)</f>
        <v>0</v>
      </c>
      <c r="J39" s="237">
        <f>SUM(J36:J38)</f>
        <v>0</v>
      </c>
      <c r="K39" s="331">
        <f>SUM(K36:K38)</f>
        <v>0</v>
      </c>
      <c r="L39" s="237"/>
      <c r="M39" s="331" t="s">
        <v>363</v>
      </c>
      <c r="N39" s="331">
        <f>SUM(N36:N38)</f>
        <v>44540.800000000003</v>
      </c>
      <c r="O39" s="237">
        <f>SUM(O36:O38)</f>
        <v>3508.8</v>
      </c>
      <c r="P39" s="331">
        <f>SUM(P36:P38)</f>
        <v>54708.06</v>
      </c>
      <c r="Q39" s="237">
        <f>SUM(Q36:Q38)</f>
        <v>1826.31</v>
      </c>
      <c r="R39" s="331"/>
      <c r="S39" s="331" t="s">
        <v>363</v>
      </c>
      <c r="T39" s="237">
        <f>SUM(T36:T38)</f>
        <v>56774.8</v>
      </c>
      <c r="U39" s="331">
        <f>SUM(U36:U38)</f>
        <v>5891.4</v>
      </c>
      <c r="V39" s="331">
        <f>SUM(V36:V38)</f>
        <v>30197.25</v>
      </c>
      <c r="W39" s="237">
        <f>SUM(W36:W38)</f>
        <v>3221.93</v>
      </c>
      <c r="X39" s="331"/>
      <c r="Y39" s="331" t="s">
        <v>363</v>
      </c>
      <c r="Z39" s="331">
        <f>SUM(Z36:Z38)</f>
        <v>0</v>
      </c>
      <c r="AA39" s="237">
        <f>SUM(AA36:AA38)</f>
        <v>0</v>
      </c>
      <c r="AB39" s="331">
        <f>SUM(AB36:AB38)</f>
        <v>0</v>
      </c>
      <c r="AC39" s="237">
        <f>SUM(AC36:AC38)</f>
        <v>0</v>
      </c>
      <c r="AD39" s="331"/>
      <c r="AE39" s="331" t="s">
        <v>363</v>
      </c>
      <c r="AF39" s="331">
        <f>SUM(AF36:AF38)</f>
        <v>0</v>
      </c>
      <c r="AG39" s="237">
        <f>SUM(AG36:AG38)</f>
        <v>0</v>
      </c>
      <c r="AH39" s="331">
        <f>SUM(AH36:AH38)</f>
        <v>0</v>
      </c>
      <c r="AI39" s="237">
        <f>SUM(AI36:AI38)</f>
        <v>0</v>
      </c>
      <c r="AJ39" s="331"/>
      <c r="AK39" s="331" t="s">
        <v>363</v>
      </c>
      <c r="AL39" s="237">
        <f>SUM(AL36:AL38)</f>
        <v>0</v>
      </c>
      <c r="AM39" s="331">
        <f>SUM(AM36:AM38)</f>
        <v>0</v>
      </c>
      <c r="AN39" s="237">
        <f>SUM(AN36:AN38)</f>
        <v>0</v>
      </c>
      <c r="AO39" s="331">
        <f>SUM(AO36:AO38)</f>
        <v>0</v>
      </c>
      <c r="AP39" s="331"/>
      <c r="AQ39" s="331" t="s">
        <v>363</v>
      </c>
      <c r="AR39" s="331">
        <f>SUM(AR36:AR38)</f>
        <v>0</v>
      </c>
      <c r="AS39" s="237">
        <f>SUM(AS36:AS38)</f>
        <v>0</v>
      </c>
      <c r="AT39" s="331">
        <f>SUM(AT36:AT38)</f>
        <v>0</v>
      </c>
      <c r="AU39" s="237">
        <f>SUM(AU36:AU38)</f>
        <v>0</v>
      </c>
      <c r="AV39" s="331"/>
      <c r="AW39" s="331" t="s">
        <v>363</v>
      </c>
      <c r="AX39" s="237">
        <f>SUM(AX36:AX38)</f>
        <v>0</v>
      </c>
      <c r="AY39" s="331">
        <f>SUM(AY36:AY38)</f>
        <v>0</v>
      </c>
      <c r="AZ39" s="237">
        <f>SUM(AZ36:AZ38)</f>
        <v>0</v>
      </c>
      <c r="BA39" s="331">
        <f>SUM(BA36:BA38)</f>
        <v>0</v>
      </c>
      <c r="BB39" s="331"/>
      <c r="BC39" s="331" t="s">
        <v>363</v>
      </c>
      <c r="BD39" s="331">
        <f>SUM(BD36:BD38)</f>
        <v>0</v>
      </c>
      <c r="BE39" s="237">
        <f>SUM(BE36:BE38)</f>
        <v>0</v>
      </c>
      <c r="BF39" s="331">
        <f>SUM(BF36:BF38)</f>
        <v>0</v>
      </c>
      <c r="BG39" s="237">
        <f>SUM(BG36:BG38)</f>
        <v>0</v>
      </c>
      <c r="BH39" s="331"/>
      <c r="BI39" s="331" t="s">
        <v>363</v>
      </c>
      <c r="BJ39" s="237">
        <f>SUM(BJ36:BJ38)</f>
        <v>0</v>
      </c>
      <c r="BK39" s="331">
        <f>SUM(BK36:BK38)</f>
        <v>0</v>
      </c>
      <c r="BL39" s="331">
        <f>SUM(BL36:BL38)</f>
        <v>0</v>
      </c>
      <c r="BM39" s="237">
        <f>SUM(BM36:BM38)</f>
        <v>0</v>
      </c>
      <c r="BN39" s="331"/>
      <c r="BO39" s="331" t="s">
        <v>363</v>
      </c>
      <c r="BP39" s="237">
        <f>SUM(BP36:BP38)</f>
        <v>0</v>
      </c>
      <c r="BQ39" s="331">
        <f>SUM(BQ36:BQ38)</f>
        <v>0</v>
      </c>
      <c r="BR39" s="483">
        <f>SUM(BR36:BR38)</f>
        <v>0</v>
      </c>
      <c r="BS39" s="483">
        <f>SUM(BS36:BS38)</f>
        <v>0</v>
      </c>
    </row>
    <row r="40" spans="1:71" ht="16" thickBot="1" x14ac:dyDescent="0.25">
      <c r="B40" s="539">
        <f>SUM(B39,B35,B27,B19,B11)</f>
        <v>584029.9</v>
      </c>
      <c r="C40" s="482">
        <f>SUM(C39,C35,C27,C19,C11)</f>
        <v>52621.11</v>
      </c>
      <c r="D40" s="539">
        <f>SUM(D39,D35,D27,D19,D11)</f>
        <v>364267.23</v>
      </c>
      <c r="E40" s="539">
        <f>SUM(E39,E35,E27,E19,E11)</f>
        <v>25542.39</v>
      </c>
      <c r="F40" s="482"/>
      <c r="G40" s="331"/>
      <c r="H40" s="539">
        <f>SUM(H39,H35,H27,H19,H11)</f>
        <v>539698.67999999993</v>
      </c>
      <c r="I40" s="480">
        <f>SUM(I39,I35,I27,I19,I11)</f>
        <v>50155.8</v>
      </c>
      <c r="J40" s="480">
        <f>SUM(J39,J35,J27,J19,J11)</f>
        <v>306674.66000000003</v>
      </c>
      <c r="K40" s="539">
        <f>SUM(K39,K35,K27,K19,K11)</f>
        <v>23455.94</v>
      </c>
      <c r="L40" s="480"/>
      <c r="M40" s="331"/>
      <c r="N40" s="539">
        <f>SUM(N39,N35,N27,N19,N11)</f>
        <v>543935.70000000007</v>
      </c>
      <c r="O40" s="482">
        <f>SUM(O39,O35,O27,O19,O11)</f>
        <v>51986.8</v>
      </c>
      <c r="P40" s="539">
        <f>SUM(P39,P35,P27,P19,P11)</f>
        <v>335677.23</v>
      </c>
      <c r="Q40" s="480">
        <f>SUM(Q39,Q35,Q27,Q19,Q11)</f>
        <v>22166.77</v>
      </c>
      <c r="R40" s="539"/>
      <c r="S40" s="331"/>
      <c r="T40" s="482">
        <f>SUM(T39,T35,T27,T19,T11)</f>
        <v>623681.6</v>
      </c>
      <c r="U40" s="539">
        <f>SUM(U39,U35,U27,U19,U11)</f>
        <v>64778.600000000006</v>
      </c>
      <c r="V40" s="539">
        <f>SUM(V39,V35,V27,V19,V11)</f>
        <v>366912.28</v>
      </c>
      <c r="W40" s="481">
        <f>SUM(W39,W35,W27,W19,W11)</f>
        <v>27352.94</v>
      </c>
      <c r="X40" s="539"/>
      <c r="Y40" s="331"/>
      <c r="Z40" s="539">
        <f>SUM(Z39,Z35,Z27,Z19,Z11)</f>
        <v>155542.90000000002</v>
      </c>
      <c r="AA40" s="539">
        <f>SUM(AA39,AA35,AA27,AA19,AA11)</f>
        <v>5624.7</v>
      </c>
      <c r="AB40" s="539">
        <f>SUM(AB39,AB35,AB27,AB19,AB11)</f>
        <v>83602.14</v>
      </c>
      <c r="AC40" s="480">
        <f>SUM(AC39,AC35,AC27,AC19,AC11)</f>
        <v>3831.0899999999997</v>
      </c>
      <c r="AD40" s="539"/>
      <c r="AE40" s="331"/>
      <c r="AF40" s="539">
        <f>SUM(AF39,AF35,AF27,AF19,AF11)</f>
        <v>0</v>
      </c>
      <c r="AG40" s="539">
        <f>SUM(AG39,AG35,AG27,AG19,AG11)</f>
        <v>0</v>
      </c>
      <c r="AH40" s="539">
        <f>SUM(AH39,AH35,AH27,AH19,AH11)</f>
        <v>0</v>
      </c>
      <c r="AI40" s="480">
        <f>SUM(AI39,AI35,AI27,AI19,AI11)</f>
        <v>0</v>
      </c>
      <c r="AJ40" s="539"/>
      <c r="AK40" s="331"/>
      <c r="AL40" s="481">
        <f>SUM(AL39,AL35,AL27,AL19,AL11)</f>
        <v>0</v>
      </c>
      <c r="AM40" s="539">
        <f>SUM(AM39,AM35,AM27,AM19,AM11)</f>
        <v>0</v>
      </c>
      <c r="AN40" s="481">
        <f>SUM(AN39,AN35,AN27,AN19,AN11)</f>
        <v>0</v>
      </c>
      <c r="AO40" s="539">
        <f>SUM(AO39,AO35,AO27,AO19,AO11)</f>
        <v>0</v>
      </c>
      <c r="AP40" s="539"/>
      <c r="AQ40" s="483"/>
      <c r="AR40" s="539">
        <f>SUM(AR39,AR35,AR27,AR19,AR11)</f>
        <v>0</v>
      </c>
      <c r="AS40" s="480">
        <f>SUM(AS39,AS35,AS27,AS19,AS11)</f>
        <v>0</v>
      </c>
      <c r="AT40" s="539">
        <f>SUM(AT39,AT35,AT27,AT19,AT11)</f>
        <v>0</v>
      </c>
      <c r="AU40" s="480">
        <f>SUM(AU39,AU35,AU27,AU19,AU11)</f>
        <v>0</v>
      </c>
      <c r="AV40" s="539"/>
      <c r="AW40" s="331"/>
      <c r="AX40" s="480">
        <f>SUM(AX39,AX35,AX27,AX19,AX11)</f>
        <v>0</v>
      </c>
      <c r="AY40" s="539">
        <f>SUM(AY39,AY35,AY27,AY19,AY11)</f>
        <v>0</v>
      </c>
      <c r="AZ40" s="481">
        <f>SUM(AZ39,AZ35,AZ27,AZ19,AZ11)</f>
        <v>0</v>
      </c>
      <c r="BA40" s="539">
        <f>SUM(BA39,BA35,BA27,BA19,BA11)</f>
        <v>0</v>
      </c>
      <c r="BB40" s="539"/>
      <c r="BC40" s="237"/>
      <c r="BD40" s="539">
        <f>SUM(BD39,BD35,BD27,BD19,BD11)</f>
        <v>0</v>
      </c>
      <c r="BE40" s="482">
        <f>SUM(BE39,BE35,BE27,BE19,BE11)</f>
        <v>0</v>
      </c>
      <c r="BF40" s="539">
        <f>SUM(BF39,BF35,BF27,BF19,BF11)</f>
        <v>0</v>
      </c>
      <c r="BG40" s="480">
        <f>SUM(BG39,BG35,BG27,BG19,BG11)</f>
        <v>0</v>
      </c>
      <c r="BH40" s="539"/>
      <c r="BI40" s="331"/>
      <c r="BJ40" s="481">
        <f>SUM(BJ39,BJ35,BJ27,BJ19,BJ11)</f>
        <v>0</v>
      </c>
      <c r="BK40" s="539">
        <f>SUM(BK39,BK35,BK27,BK19,BK11)</f>
        <v>0</v>
      </c>
      <c r="BL40" s="539">
        <f>SUM(BL39,BL35,BL27,BL19,BL11)</f>
        <v>0</v>
      </c>
      <c r="BM40" s="481">
        <f>SUM(BM39,BM35,BM27,BM19,BM11)</f>
        <v>0</v>
      </c>
      <c r="BN40" s="539"/>
      <c r="BO40" s="331"/>
      <c r="BP40" s="539">
        <f>SUM(BP39,BP35,BP27,BP19,BP11)</f>
        <v>0</v>
      </c>
      <c r="BQ40" s="539">
        <f>SUM(BQ39,BQ35,BQ27,BQ19,BQ11)</f>
        <v>0</v>
      </c>
      <c r="BR40" s="539">
        <f>SUM(BR39,BR35,BR27,BR19,BR11)</f>
        <v>0</v>
      </c>
      <c r="BS40" s="539">
        <f>SUM(BS39,BS35,BS27,BS19,BS11)</f>
        <v>0</v>
      </c>
    </row>
    <row r="41" spans="1:71" ht="20" thickBot="1" x14ac:dyDescent="0.3">
      <c r="A41" s="331">
        <f>B40-D40</f>
        <v>219762.67000000004</v>
      </c>
      <c r="B41" s="542"/>
      <c r="C41" s="13"/>
      <c r="D41" s="543"/>
      <c r="G41" s="331">
        <f>H40-J40</f>
        <v>233024.0199999999</v>
      </c>
      <c r="H41" s="542"/>
      <c r="I41" s="13"/>
      <c r="M41" s="125">
        <f>N40-P40</f>
        <v>208258.47000000009</v>
      </c>
      <c r="O41" s="205"/>
      <c r="S41" s="331">
        <f>T40-V40</f>
        <v>256769.31999999995</v>
      </c>
      <c r="U41" s="13"/>
      <c r="V41" s="13"/>
      <c r="Y41" s="544">
        <f>Z40-AB40</f>
        <v>71940.760000000024</v>
      </c>
      <c r="AE41" s="544">
        <f>AF40-AH40</f>
        <v>0</v>
      </c>
      <c r="AK41" s="544">
        <f>AL40-AN40</f>
        <v>0</v>
      </c>
      <c r="AM41" s="13"/>
      <c r="AN41" s="13"/>
      <c r="AQ41" s="544">
        <f>AR40-AT40</f>
        <v>0</v>
      </c>
      <c r="AW41" s="544">
        <f>(AX40-AZ40)</f>
        <v>0</v>
      </c>
      <c r="BC41" s="544">
        <f>(BD40-BF40)</f>
        <v>0</v>
      </c>
      <c r="BI41" s="544">
        <f>(BJ40-BL40)</f>
        <v>0</v>
      </c>
      <c r="BO41" s="544">
        <f>(BP40-BR40)</f>
        <v>0</v>
      </c>
    </row>
    <row r="42" spans="1:71" ht="20" thickBot="1" x14ac:dyDescent="0.3">
      <c r="A42" s="331" t="s">
        <v>365</v>
      </c>
      <c r="G42" s="331" t="s">
        <v>365</v>
      </c>
      <c r="M42" s="331" t="s">
        <v>365</v>
      </c>
      <c r="S42" s="331" t="s">
        <v>365</v>
      </c>
      <c r="Y42" s="331" t="s">
        <v>365</v>
      </c>
      <c r="AE42" s="331" t="s">
        <v>365</v>
      </c>
      <c r="AK42" s="331" t="s">
        <v>365</v>
      </c>
      <c r="AQ42" s="331" t="s">
        <v>365</v>
      </c>
      <c r="AW42" s="331" t="s">
        <v>365</v>
      </c>
      <c r="BC42" s="331" t="s">
        <v>365</v>
      </c>
      <c r="BI42" s="331" t="s">
        <v>365</v>
      </c>
      <c r="BO42" s="331" t="s">
        <v>365</v>
      </c>
    </row>
    <row r="45" spans="1:71" x14ac:dyDescent="0.25">
      <c r="U45" s="235"/>
    </row>
    <row r="46" spans="1:71" x14ac:dyDescent="0.25">
      <c r="U46" s="235"/>
    </row>
    <row r="47" spans="1:71" x14ac:dyDescent="0.25">
      <c r="U47" s="235"/>
    </row>
    <row r="84" spans="21:24" x14ac:dyDescent="0.25">
      <c r="U84">
        <v>45289</v>
      </c>
      <c r="V84">
        <v>5670</v>
      </c>
      <c r="X84" t="s">
        <v>327</v>
      </c>
    </row>
    <row r="85" spans="21:24" x14ac:dyDescent="0.25">
      <c r="U85">
        <v>45289</v>
      </c>
      <c r="V85">
        <v>118151.08</v>
      </c>
      <c r="X85" t="s">
        <v>328</v>
      </c>
    </row>
    <row r="86" spans="21:24" x14ac:dyDescent="0.25">
      <c r="U86">
        <v>45289</v>
      </c>
      <c r="V86">
        <v>5000</v>
      </c>
      <c r="X86" t="s">
        <v>278</v>
      </c>
    </row>
  </sheetData>
  <mergeCells count="12">
    <mergeCell ref="G2:K2"/>
    <mergeCell ref="BO2:BS2"/>
    <mergeCell ref="A2:E2"/>
    <mergeCell ref="M2:Q2"/>
    <mergeCell ref="S2:W2"/>
    <mergeCell ref="Y2:AC2"/>
    <mergeCell ref="BI2:BM2"/>
    <mergeCell ref="AE2:AI2"/>
    <mergeCell ref="AK2:AO2"/>
    <mergeCell ref="AQ2:AU2"/>
    <mergeCell ref="AW2:BA2"/>
    <mergeCell ref="BC2:BG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498"/>
  <sheetViews>
    <sheetView tabSelected="1" topLeftCell="A194" zoomScale="123" zoomScaleNormal="115" workbookViewId="0">
      <selection activeCell="B394" sqref="B394:B398"/>
    </sheetView>
  </sheetViews>
  <sheetFormatPr baseColWidth="10" defaultColWidth="8.83203125" defaultRowHeight="15" x14ac:dyDescent="0.2"/>
  <cols>
    <col min="2" max="2" width="25.33203125" bestFit="1" customWidth="1"/>
    <col min="3" max="3" width="28.6640625" bestFit="1" customWidth="1"/>
    <col min="4" max="4" width="11.6640625" bestFit="1" customWidth="1"/>
    <col min="5" max="6" width="9.5" bestFit="1" customWidth="1"/>
    <col min="7" max="7" width="10.5" bestFit="1" customWidth="1"/>
    <col min="8" max="8" width="9.5" bestFit="1" customWidth="1"/>
    <col min="9" max="9" width="10.5" bestFit="1" customWidth="1"/>
    <col min="10" max="10" width="8.5" bestFit="1" customWidth="1"/>
    <col min="11" max="11" width="9.5" customWidth="1"/>
    <col min="12" max="12" width="5.6640625" customWidth="1"/>
    <col min="13" max="13" width="4.5" customWidth="1"/>
    <col min="14" max="14" width="4.83203125" customWidth="1"/>
    <col min="15" max="15" width="3.6640625" customWidth="1"/>
    <col min="16" max="16" width="3.33203125" customWidth="1"/>
    <col min="17" max="17" width="3.5" customWidth="1"/>
    <col min="18" max="18" width="4.1640625" customWidth="1"/>
    <col min="19" max="19" width="5" customWidth="1"/>
    <col min="21" max="21" width="9.1640625" customWidth="1"/>
    <col min="22" max="22" width="6.6640625" customWidth="1"/>
    <col min="23" max="23" width="5.1640625" customWidth="1"/>
    <col min="24" max="24" width="4" customWidth="1"/>
    <col min="25" max="25" width="3.33203125" customWidth="1"/>
    <col min="26" max="26" width="4.33203125" customWidth="1"/>
    <col min="27" max="28" width="4" customWidth="1"/>
    <col min="29" max="29" width="5.33203125" customWidth="1"/>
    <col min="32" max="32" width="7.1640625" customWidth="1"/>
    <col min="33" max="33" width="5" customWidth="1"/>
    <col min="34" max="34" width="4.6640625" customWidth="1"/>
    <col min="35" max="35" width="4" customWidth="1"/>
    <col min="36" max="36" width="4.33203125" customWidth="1"/>
    <col min="37" max="37" width="3.83203125" customWidth="1"/>
    <col min="38" max="38" width="3.33203125" customWidth="1"/>
    <col min="39" max="39" width="4.6640625" customWidth="1"/>
    <col min="42" max="42" width="7.83203125" customWidth="1"/>
    <col min="43" max="43" width="4.33203125" customWidth="1"/>
    <col min="44" max="44" width="3.83203125" customWidth="1"/>
    <col min="45" max="45" width="4" customWidth="1"/>
    <col min="46" max="46" width="4.33203125" customWidth="1"/>
    <col min="47" max="47" width="4" customWidth="1"/>
    <col min="48" max="48" width="4.5" customWidth="1"/>
    <col min="49" max="49" width="3.83203125" customWidth="1"/>
    <col min="52" max="52" width="7" customWidth="1"/>
    <col min="53" max="53" width="4.5" customWidth="1"/>
    <col min="54" max="54" width="3.83203125" customWidth="1"/>
    <col min="55" max="57" width="3.5" customWidth="1"/>
    <col min="58" max="58" width="3" customWidth="1"/>
    <col min="59" max="59" width="4.5" customWidth="1"/>
    <col min="61" max="61" width="8.6640625" customWidth="1"/>
    <col min="62" max="62" width="8.5" customWidth="1"/>
    <col min="63" max="63" width="5.1640625" customWidth="1"/>
    <col min="64" max="64" width="4.5" customWidth="1"/>
    <col min="65" max="65" width="4" customWidth="1"/>
    <col min="66" max="66" width="4.5" customWidth="1"/>
    <col min="67" max="67" width="4" customWidth="1"/>
    <col min="68" max="68" width="3.33203125" customWidth="1"/>
    <col min="69" max="69" width="4.5" customWidth="1"/>
    <col min="72" max="72" width="5.6640625" customWidth="1"/>
    <col min="73" max="73" width="4.6640625" customWidth="1"/>
    <col min="74" max="74" width="4.33203125" customWidth="1"/>
    <col min="75" max="75" width="3.33203125" customWidth="1"/>
    <col min="76" max="76" width="3.83203125" customWidth="1"/>
    <col min="77" max="77" width="4.1640625" customWidth="1"/>
    <col min="78" max="78" width="3.33203125" customWidth="1"/>
    <col min="79" max="79" width="4.5" customWidth="1"/>
    <col min="82" max="82" width="6.83203125" customWidth="1"/>
    <col min="83" max="83" width="5" customWidth="1"/>
    <col min="84" max="84" width="4" customWidth="1"/>
    <col min="85" max="85" width="3.5" customWidth="1"/>
    <col min="86" max="86" width="4.33203125" customWidth="1"/>
    <col min="87" max="87" width="3.83203125" customWidth="1"/>
    <col min="88" max="88" width="3.33203125" customWidth="1"/>
    <col min="89" max="89" width="4.33203125" customWidth="1"/>
    <col min="92" max="92" width="6.5" customWidth="1"/>
    <col min="93" max="93" width="4.83203125" customWidth="1"/>
    <col min="94" max="94" width="4.33203125" customWidth="1"/>
    <col min="95" max="95" width="3.6640625" customWidth="1"/>
    <col min="96" max="97" width="3.83203125" customWidth="1"/>
    <col min="98" max="98" width="3.5" customWidth="1"/>
    <col min="99" max="99" width="4.5" customWidth="1"/>
    <col min="102" max="102" width="8" customWidth="1"/>
    <col min="103" max="103" width="4.6640625" customWidth="1"/>
    <col min="104" max="104" width="5.1640625" customWidth="1"/>
    <col min="105" max="105" width="4.5" customWidth="1"/>
    <col min="106" max="106" width="4.83203125" customWidth="1"/>
    <col min="107" max="107" width="4.6640625" customWidth="1"/>
    <col min="108" max="108" width="5.5" customWidth="1"/>
    <col min="109" max="109" width="5.1640625" customWidth="1"/>
    <col min="110" max="110" width="10.33203125" customWidth="1"/>
    <col min="112" max="112" width="6.5" customWidth="1"/>
    <col min="113" max="113" width="4.83203125" customWidth="1"/>
    <col min="114" max="114" width="4.5" customWidth="1"/>
    <col min="115" max="115" width="3.5" customWidth="1"/>
    <col min="116" max="116" width="4" customWidth="1"/>
    <col min="117" max="117" width="3.83203125" customWidth="1"/>
    <col min="118" max="118" width="3.5" customWidth="1"/>
    <col min="119" max="119" width="4.33203125" customWidth="1"/>
    <col min="123" max="123" width="5" bestFit="1" customWidth="1"/>
    <col min="124" max="124" width="4.1640625" bestFit="1" customWidth="1"/>
    <col min="125" max="125" width="2.83203125" bestFit="1" customWidth="1"/>
    <col min="126" max="126" width="3.83203125" bestFit="1" customWidth="1"/>
    <col min="127" max="127" width="3.5" bestFit="1" customWidth="1"/>
    <col min="128" max="128" width="2.6640625" bestFit="1" customWidth="1"/>
    <col min="129" max="129" width="4.5" bestFit="1" customWidth="1"/>
  </cols>
  <sheetData>
    <row r="1" spans="2:7" x14ac:dyDescent="0.2">
      <c r="B1" s="174" t="s">
        <v>920</v>
      </c>
      <c r="C1" s="174"/>
      <c r="D1" s="174" t="s">
        <v>104</v>
      </c>
      <c r="E1" s="174" t="s">
        <v>86</v>
      </c>
      <c r="F1" s="174" t="s">
        <v>87</v>
      </c>
      <c r="G1" s="174" t="s">
        <v>19</v>
      </c>
    </row>
    <row r="2" spans="2:7" x14ac:dyDescent="0.2">
      <c r="B2" s="796" t="s">
        <v>106</v>
      </c>
      <c r="C2" s="174" t="s">
        <v>970</v>
      </c>
      <c r="D2" s="3">
        <v>40</v>
      </c>
      <c r="E2" s="3">
        <v>24</v>
      </c>
      <c r="F2" s="3">
        <v>12</v>
      </c>
      <c r="G2" s="174">
        <f t="shared" ref="G2:G68" si="0">SUM(D2:F2)</f>
        <v>76</v>
      </c>
    </row>
    <row r="3" spans="2:7" x14ac:dyDescent="0.2">
      <c r="B3" s="797"/>
      <c r="C3" s="174" t="s">
        <v>971</v>
      </c>
      <c r="D3" s="53">
        <f>D2*112.7</f>
        <v>4508</v>
      </c>
      <c r="E3" s="53">
        <f>E2*112.7</f>
        <v>2704.8</v>
      </c>
      <c r="F3" s="53">
        <f>F2*119.6</f>
        <v>1435.1999999999998</v>
      </c>
      <c r="G3" s="715">
        <f t="shared" si="0"/>
        <v>8648</v>
      </c>
    </row>
    <row r="4" spans="2:7" x14ac:dyDescent="0.2">
      <c r="B4" s="797"/>
      <c r="C4" s="716" t="s">
        <v>89</v>
      </c>
      <c r="D4" s="3">
        <v>6</v>
      </c>
      <c r="E4" s="3">
        <v>4</v>
      </c>
      <c r="F4" s="3">
        <v>1</v>
      </c>
      <c r="G4" s="174">
        <f t="shared" si="0"/>
        <v>11</v>
      </c>
    </row>
    <row r="5" spans="2:7" x14ac:dyDescent="0.2">
      <c r="B5" s="797"/>
      <c r="C5" s="716" t="s">
        <v>972</v>
      </c>
      <c r="D5" s="715">
        <f>D4*112.7</f>
        <v>676.2</v>
      </c>
      <c r="E5" s="715">
        <f>E4*112.7</f>
        <v>450.8</v>
      </c>
      <c r="F5" s="715">
        <f>F4*119.6</f>
        <v>119.6</v>
      </c>
      <c r="G5" s="715">
        <f t="shared" si="0"/>
        <v>1246.5999999999999</v>
      </c>
    </row>
    <row r="6" spans="2:7" x14ac:dyDescent="0.2">
      <c r="B6" s="798"/>
      <c r="C6" s="716" t="s">
        <v>973</v>
      </c>
      <c r="D6" s="715">
        <f>(D2-D4)*112.7</f>
        <v>3831.8</v>
      </c>
      <c r="E6" s="715">
        <f>(E2-E4)*112.7</f>
        <v>2254</v>
      </c>
      <c r="F6" s="715">
        <f>(F2-F4)*119.6</f>
        <v>1315.6</v>
      </c>
      <c r="G6" s="715">
        <f>G3-G5</f>
        <v>7401.4</v>
      </c>
    </row>
    <row r="7" spans="2:7" x14ac:dyDescent="0.2">
      <c r="B7" s="717"/>
      <c r="C7" s="716"/>
      <c r="D7" s="715"/>
      <c r="E7" s="715"/>
      <c r="F7" s="715"/>
      <c r="G7" s="715"/>
    </row>
    <row r="8" spans="2:7" x14ac:dyDescent="0.2">
      <c r="B8" s="174" t="str">
        <f>B1</f>
        <v>31 MAR - 6 APR 2025</v>
      </c>
      <c r="C8" s="716"/>
      <c r="D8" s="174" t="s">
        <v>104</v>
      </c>
      <c r="E8" s="174" t="s">
        <v>86</v>
      </c>
      <c r="F8" s="174" t="s">
        <v>87</v>
      </c>
      <c r="G8" s="174" t="s">
        <v>19</v>
      </c>
    </row>
    <row r="9" spans="2:7" x14ac:dyDescent="0.2">
      <c r="B9" s="796" t="s">
        <v>108</v>
      </c>
      <c r="C9" s="174" t="s">
        <v>970</v>
      </c>
      <c r="D9" s="3">
        <f>28+36</f>
        <v>64</v>
      </c>
      <c r="E9" s="3">
        <v>28</v>
      </c>
      <c r="F9" s="3">
        <v>28</v>
      </c>
      <c r="G9" s="174">
        <f t="shared" si="0"/>
        <v>120</v>
      </c>
    </row>
    <row r="10" spans="2:7" x14ac:dyDescent="0.2">
      <c r="B10" s="797"/>
      <c r="C10" s="174" t="s">
        <v>971</v>
      </c>
      <c r="D10" s="53">
        <f>D9*112.7</f>
        <v>7212.8</v>
      </c>
      <c r="E10" s="53">
        <f>E9*112.7</f>
        <v>3155.6</v>
      </c>
      <c r="F10" s="53">
        <f>F9*119.6</f>
        <v>3348.7999999999997</v>
      </c>
      <c r="G10" s="715">
        <f t="shared" si="0"/>
        <v>13717.199999999999</v>
      </c>
    </row>
    <row r="11" spans="2:7" x14ac:dyDescent="0.2">
      <c r="B11" s="797"/>
      <c r="C11" s="716" t="s">
        <v>89</v>
      </c>
      <c r="D11" s="3"/>
      <c r="E11" s="3"/>
      <c r="F11" s="3"/>
      <c r="G11" s="174">
        <f t="shared" ref="G11" si="1">SUM(D11:F11)</f>
        <v>0</v>
      </c>
    </row>
    <row r="12" spans="2:7" x14ac:dyDescent="0.2">
      <c r="B12" s="797"/>
      <c r="C12" s="716" t="s">
        <v>972</v>
      </c>
      <c r="D12" s="715">
        <f>D11*112.7</f>
        <v>0</v>
      </c>
      <c r="E12" s="715">
        <f>E11*112.7</f>
        <v>0</v>
      </c>
      <c r="F12" s="715">
        <f>F11*119.6</f>
        <v>0</v>
      </c>
      <c r="G12" s="715">
        <f t="shared" si="0"/>
        <v>0</v>
      </c>
    </row>
    <row r="13" spans="2:7" x14ac:dyDescent="0.2">
      <c r="B13" s="798"/>
      <c r="C13" s="716" t="s">
        <v>973</v>
      </c>
      <c r="D13" s="715">
        <f>(D9-D11)*112.7</f>
        <v>7212.8</v>
      </c>
      <c r="E13" s="715">
        <f>(E9-E11)*112.7</f>
        <v>3155.6</v>
      </c>
      <c r="F13" s="715">
        <f>(F9-F11)*119.6</f>
        <v>3348.7999999999997</v>
      </c>
      <c r="G13" s="715">
        <f>G10-G12</f>
        <v>13717.199999999999</v>
      </c>
    </row>
    <row r="14" spans="2:7" x14ac:dyDescent="0.2">
      <c r="B14" s="717"/>
      <c r="C14" s="716"/>
      <c r="D14" s="715"/>
      <c r="E14" s="715"/>
      <c r="F14" s="715"/>
      <c r="G14" s="715"/>
    </row>
    <row r="15" spans="2:7" x14ac:dyDescent="0.2">
      <c r="B15" s="174" t="str">
        <f>B8</f>
        <v>31 MAR - 6 APR 2025</v>
      </c>
      <c r="C15" s="716"/>
      <c r="D15" s="174" t="s">
        <v>104</v>
      </c>
      <c r="E15" s="174" t="s">
        <v>86</v>
      </c>
      <c r="F15" s="174" t="s">
        <v>87</v>
      </c>
      <c r="G15" s="174" t="s">
        <v>19</v>
      </c>
    </row>
    <row r="16" spans="2:7" x14ac:dyDescent="0.2">
      <c r="B16" s="796" t="s">
        <v>109</v>
      </c>
      <c r="C16" s="174" t="s">
        <v>970</v>
      </c>
      <c r="D16" s="3">
        <f>16+28</f>
        <v>44</v>
      </c>
      <c r="E16" s="3">
        <v>16</v>
      </c>
      <c r="F16" s="3">
        <v>16</v>
      </c>
      <c r="G16" s="174">
        <f t="shared" si="0"/>
        <v>76</v>
      </c>
    </row>
    <row r="17" spans="2:7" x14ac:dyDescent="0.2">
      <c r="B17" s="797"/>
      <c r="C17" s="174" t="s">
        <v>971</v>
      </c>
      <c r="D17" s="53">
        <f>D16*112.7</f>
        <v>4958.8</v>
      </c>
      <c r="E17" s="53">
        <f>E16*112.7</f>
        <v>1803.2</v>
      </c>
      <c r="F17" s="53">
        <f>F16*119.6</f>
        <v>1913.6</v>
      </c>
      <c r="G17" s="715">
        <f t="shared" si="0"/>
        <v>8675.6</v>
      </c>
    </row>
    <row r="18" spans="2:7" x14ac:dyDescent="0.2">
      <c r="B18" s="797"/>
      <c r="C18" s="716" t="s">
        <v>89</v>
      </c>
      <c r="D18" s="3">
        <v>1</v>
      </c>
      <c r="E18" s="3">
        <v>5</v>
      </c>
      <c r="F18" s="3"/>
      <c r="G18" s="174">
        <f t="shared" ref="G18" si="2">SUM(D18:F18)</f>
        <v>6</v>
      </c>
    </row>
    <row r="19" spans="2:7" x14ac:dyDescent="0.2">
      <c r="B19" s="797"/>
      <c r="C19" s="716" t="s">
        <v>972</v>
      </c>
      <c r="D19" s="715">
        <f>D18*112.7</f>
        <v>112.7</v>
      </c>
      <c r="E19" s="715">
        <f>E18*112.7</f>
        <v>563.5</v>
      </c>
      <c r="F19" s="715">
        <f>F18*119.6</f>
        <v>0</v>
      </c>
      <c r="G19" s="715">
        <f t="shared" si="0"/>
        <v>676.2</v>
      </c>
    </row>
    <row r="20" spans="2:7" x14ac:dyDescent="0.2">
      <c r="B20" s="798"/>
      <c r="C20" s="716" t="s">
        <v>973</v>
      </c>
      <c r="D20" s="715">
        <f>(D16-D18)*112.7</f>
        <v>4846.1000000000004</v>
      </c>
      <c r="E20" s="715">
        <f>(E16-E18)*112.7</f>
        <v>1239.7</v>
      </c>
      <c r="F20" s="715">
        <f>(F16-F18)*119.6</f>
        <v>1913.6</v>
      </c>
      <c r="G20" s="715">
        <f>G17-G19</f>
        <v>7999.4000000000005</v>
      </c>
    </row>
    <row r="21" spans="2:7" x14ac:dyDescent="0.2">
      <c r="B21" s="717"/>
      <c r="C21" s="716"/>
      <c r="D21" s="715"/>
      <c r="E21" s="715"/>
      <c r="F21" s="715"/>
      <c r="G21" s="715"/>
    </row>
    <row r="22" spans="2:7" x14ac:dyDescent="0.2">
      <c r="B22" s="174" t="str">
        <f>B15</f>
        <v>31 MAR - 6 APR 2025</v>
      </c>
      <c r="C22" s="716"/>
      <c r="D22" s="174" t="s">
        <v>104</v>
      </c>
      <c r="E22" s="174" t="s">
        <v>86</v>
      </c>
      <c r="F22" s="174" t="s">
        <v>87</v>
      </c>
      <c r="G22" s="174" t="s">
        <v>19</v>
      </c>
    </row>
    <row r="23" spans="2:7" x14ac:dyDescent="0.2">
      <c r="B23" s="796" t="s">
        <v>110</v>
      </c>
      <c r="C23" s="174" t="s">
        <v>970</v>
      </c>
      <c r="D23" s="3">
        <f>48+108+52+52</f>
        <v>260</v>
      </c>
      <c r="E23" s="3">
        <v>76</v>
      </c>
      <c r="F23" s="3">
        <v>76</v>
      </c>
      <c r="G23" s="174">
        <f>SUM(D23:F23)</f>
        <v>412</v>
      </c>
    </row>
    <row r="24" spans="2:7" x14ac:dyDescent="0.2">
      <c r="B24" s="797"/>
      <c r="C24" s="174" t="s">
        <v>971</v>
      </c>
      <c r="D24" s="53">
        <f>D23*112.7</f>
        <v>29302</v>
      </c>
      <c r="E24" s="53">
        <f>E23*112.7</f>
        <v>8565.2000000000007</v>
      </c>
      <c r="F24" s="53">
        <f>F23*119.6</f>
        <v>9089.6</v>
      </c>
      <c r="G24" s="715">
        <f>SUM(D24:F24)</f>
        <v>46956.799999999996</v>
      </c>
    </row>
    <row r="25" spans="2:7" x14ac:dyDescent="0.2">
      <c r="B25" s="797"/>
      <c r="C25" s="716" t="s">
        <v>89</v>
      </c>
      <c r="D25" s="3">
        <v>11</v>
      </c>
      <c r="E25" s="3">
        <v>2</v>
      </c>
      <c r="F25" s="3">
        <v>3</v>
      </c>
      <c r="G25" s="174">
        <f t="shared" ref="G25" si="3">SUM(D25:F25)</f>
        <v>16</v>
      </c>
    </row>
    <row r="26" spans="2:7" x14ac:dyDescent="0.2">
      <c r="B26" s="797"/>
      <c r="C26" s="716" t="s">
        <v>972</v>
      </c>
      <c r="D26" s="715">
        <f>D25*112.7</f>
        <v>1239.7</v>
      </c>
      <c r="E26" s="715">
        <f>E25*112.7</f>
        <v>225.4</v>
      </c>
      <c r="F26" s="715">
        <f>F25*119.6</f>
        <v>358.79999999999995</v>
      </c>
      <c r="G26" s="715">
        <f>SUM(D26:F26)</f>
        <v>1823.9</v>
      </c>
    </row>
    <row r="27" spans="2:7" x14ac:dyDescent="0.2">
      <c r="B27" s="798"/>
      <c r="C27" s="716" t="s">
        <v>973</v>
      </c>
      <c r="D27" s="715">
        <f>(D23-D25)*112.7</f>
        <v>28062.3</v>
      </c>
      <c r="E27" s="715">
        <f>(E23-E25)*112.7</f>
        <v>8339.8000000000011</v>
      </c>
      <c r="F27" s="715">
        <f>(F23-F25)*119.6</f>
        <v>8730.7999999999993</v>
      </c>
      <c r="G27" s="715">
        <f>G24-G26</f>
        <v>45132.899999999994</v>
      </c>
    </row>
    <row r="28" spans="2:7" x14ac:dyDescent="0.2">
      <c r="B28" s="717"/>
      <c r="C28" s="716"/>
      <c r="D28" s="715"/>
      <c r="E28" s="715"/>
      <c r="F28" s="715"/>
      <c r="G28" s="715"/>
    </row>
    <row r="29" spans="2:7" x14ac:dyDescent="0.2">
      <c r="B29" s="174" t="str">
        <f>B22</f>
        <v>31 MAR - 6 APR 2025</v>
      </c>
      <c r="C29" s="716"/>
      <c r="D29" s="174" t="s">
        <v>104</v>
      </c>
      <c r="E29" s="174" t="s">
        <v>86</v>
      </c>
      <c r="F29" s="174" t="s">
        <v>87</v>
      </c>
      <c r="G29" s="174" t="s">
        <v>19</v>
      </c>
    </row>
    <row r="30" spans="2:7" x14ac:dyDescent="0.2">
      <c r="B30" s="796" t="s">
        <v>276</v>
      </c>
      <c r="C30" s="174" t="s">
        <v>970</v>
      </c>
      <c r="D30" s="3">
        <v>16</v>
      </c>
      <c r="E30" s="3">
        <v>8</v>
      </c>
      <c r="F30" s="3">
        <v>10</v>
      </c>
      <c r="G30" s="174">
        <f>SUM(D30:F30)</f>
        <v>34</v>
      </c>
    </row>
    <row r="31" spans="2:7" x14ac:dyDescent="0.2">
      <c r="B31" s="797"/>
      <c r="C31" s="174" t="s">
        <v>971</v>
      </c>
      <c r="D31" s="53">
        <f>D30*112.7</f>
        <v>1803.2</v>
      </c>
      <c r="E31" s="53">
        <f>E30*112.7</f>
        <v>901.6</v>
      </c>
      <c r="F31" s="53">
        <f>F30*119.6</f>
        <v>1196</v>
      </c>
      <c r="G31" s="715">
        <f t="shared" si="0"/>
        <v>3900.8</v>
      </c>
    </row>
    <row r="32" spans="2:7" x14ac:dyDescent="0.2">
      <c r="B32" s="797"/>
      <c r="C32" s="716" t="s">
        <v>89</v>
      </c>
      <c r="D32" s="3">
        <v>8</v>
      </c>
      <c r="E32" s="3">
        <v>2</v>
      </c>
      <c r="F32" s="3">
        <v>4</v>
      </c>
      <c r="G32" s="174">
        <f t="shared" ref="G32" si="4">SUM(D32:F32)</f>
        <v>14</v>
      </c>
    </row>
    <row r="33" spans="2:7" x14ac:dyDescent="0.2">
      <c r="B33" s="797"/>
      <c r="C33" s="716" t="s">
        <v>972</v>
      </c>
      <c r="D33" s="715">
        <f>D32*112.7</f>
        <v>901.6</v>
      </c>
      <c r="E33" s="715">
        <f>E32*112.7</f>
        <v>225.4</v>
      </c>
      <c r="F33" s="715">
        <f>F32*119.6</f>
        <v>478.4</v>
      </c>
      <c r="G33" s="715">
        <f t="shared" si="0"/>
        <v>1605.4</v>
      </c>
    </row>
    <row r="34" spans="2:7" x14ac:dyDescent="0.2">
      <c r="B34" s="798"/>
      <c r="C34" s="716" t="s">
        <v>973</v>
      </c>
      <c r="D34" s="715">
        <f>(D30-D32)*112.7</f>
        <v>901.6</v>
      </c>
      <c r="E34" s="715">
        <f>(E30-E32)*112.7</f>
        <v>676.2</v>
      </c>
      <c r="F34" s="715">
        <f>(F30-F32)*119.6</f>
        <v>717.59999999999991</v>
      </c>
      <c r="G34" s="715">
        <f>G31-G33</f>
        <v>2295.4</v>
      </c>
    </row>
    <row r="35" spans="2:7" x14ac:dyDescent="0.2">
      <c r="B35" s="717"/>
      <c r="C35" s="716"/>
      <c r="D35" s="715"/>
      <c r="E35" s="715"/>
      <c r="F35" s="715"/>
      <c r="G35" s="715"/>
    </row>
    <row r="36" spans="2:7" x14ac:dyDescent="0.2">
      <c r="B36" s="174" t="str">
        <f>B29</f>
        <v>31 MAR - 6 APR 2025</v>
      </c>
      <c r="C36" s="716"/>
      <c r="D36" s="174" t="s">
        <v>104</v>
      </c>
      <c r="E36" s="174" t="s">
        <v>86</v>
      </c>
      <c r="F36" s="174" t="s">
        <v>87</v>
      </c>
      <c r="G36" s="174" t="s">
        <v>19</v>
      </c>
    </row>
    <row r="37" spans="2:7" x14ac:dyDescent="0.2">
      <c r="B37" s="796" t="s">
        <v>111</v>
      </c>
      <c r="C37" s="174" t="s">
        <v>970</v>
      </c>
      <c r="D37" s="3">
        <v>32</v>
      </c>
      <c r="E37" s="3">
        <v>10</v>
      </c>
      <c r="F37" s="3">
        <v>10</v>
      </c>
      <c r="G37" s="174">
        <f t="shared" si="0"/>
        <v>52</v>
      </c>
    </row>
    <row r="38" spans="2:7" x14ac:dyDescent="0.2">
      <c r="B38" s="797"/>
      <c r="C38" s="174" t="s">
        <v>971</v>
      </c>
      <c r="D38" s="53">
        <f>D37*112.7</f>
        <v>3606.4</v>
      </c>
      <c r="E38" s="53">
        <f>E37*112.7</f>
        <v>1127</v>
      </c>
      <c r="F38" s="53">
        <f>F37*119.6</f>
        <v>1196</v>
      </c>
      <c r="G38" s="715">
        <f t="shared" si="0"/>
        <v>5929.4</v>
      </c>
    </row>
    <row r="39" spans="2:7" x14ac:dyDescent="0.2">
      <c r="B39" s="797"/>
      <c r="C39" s="716" t="s">
        <v>89</v>
      </c>
      <c r="D39" s="3">
        <v>1</v>
      </c>
      <c r="E39" s="3"/>
      <c r="F39" s="3"/>
      <c r="G39" s="174">
        <f t="shared" ref="G39" si="5">SUM(D39:F39)</f>
        <v>1</v>
      </c>
    </row>
    <row r="40" spans="2:7" x14ac:dyDescent="0.2">
      <c r="B40" s="797"/>
      <c r="C40" s="716" t="s">
        <v>972</v>
      </c>
      <c r="D40" s="715">
        <f>D39*112.7</f>
        <v>112.7</v>
      </c>
      <c r="E40" s="715">
        <f>E39*112.7</f>
        <v>0</v>
      </c>
      <c r="F40" s="715">
        <f>F39*119.6</f>
        <v>0</v>
      </c>
      <c r="G40" s="715">
        <f t="shared" si="0"/>
        <v>112.7</v>
      </c>
    </row>
    <row r="41" spans="2:7" x14ac:dyDescent="0.2">
      <c r="B41" s="798"/>
      <c r="C41" s="716" t="s">
        <v>973</v>
      </c>
      <c r="D41" s="715">
        <f>(D37-D39)*112.7</f>
        <v>3493.7000000000003</v>
      </c>
      <c r="E41" s="715">
        <f>(E37-E39)*112.7</f>
        <v>1127</v>
      </c>
      <c r="F41" s="715">
        <f>(F37-F39)*119.6</f>
        <v>1196</v>
      </c>
      <c r="G41" s="715">
        <f>G38-G40</f>
        <v>5816.7</v>
      </c>
    </row>
    <row r="42" spans="2:7" x14ac:dyDescent="0.2">
      <c r="B42" s="717"/>
      <c r="C42" s="716"/>
      <c r="D42" s="715"/>
      <c r="E42" s="715"/>
      <c r="F42" s="715"/>
      <c r="G42" s="715"/>
    </row>
    <row r="43" spans="2:7" x14ac:dyDescent="0.2">
      <c r="B43" s="174" t="str">
        <f>B36</f>
        <v>31 MAR - 6 APR 2025</v>
      </c>
      <c r="C43" s="716"/>
      <c r="D43" s="174" t="s">
        <v>104</v>
      </c>
      <c r="E43" s="174" t="s">
        <v>86</v>
      </c>
      <c r="F43" s="174" t="s">
        <v>87</v>
      </c>
      <c r="G43" s="174" t="s">
        <v>19</v>
      </c>
    </row>
    <row r="44" spans="2:7" x14ac:dyDescent="0.2">
      <c r="B44" s="796" t="s">
        <v>270</v>
      </c>
      <c r="C44" s="174" t="s">
        <v>970</v>
      </c>
      <c r="D44" s="3">
        <v>52</v>
      </c>
      <c r="E44" s="3">
        <v>12</v>
      </c>
      <c r="F44" s="3">
        <v>12</v>
      </c>
      <c r="G44" s="174">
        <f t="shared" si="0"/>
        <v>76</v>
      </c>
    </row>
    <row r="45" spans="2:7" x14ac:dyDescent="0.2">
      <c r="B45" s="797"/>
      <c r="C45" s="174" t="s">
        <v>971</v>
      </c>
      <c r="D45" s="53">
        <f>D44*112.7</f>
        <v>5860.4000000000005</v>
      </c>
      <c r="E45" s="53">
        <f>E44*112.7</f>
        <v>1352.4</v>
      </c>
      <c r="F45" s="53">
        <f>F44*119.6</f>
        <v>1435.1999999999998</v>
      </c>
      <c r="G45" s="715">
        <f t="shared" si="0"/>
        <v>8648</v>
      </c>
    </row>
    <row r="46" spans="2:7" x14ac:dyDescent="0.2">
      <c r="B46" s="797"/>
      <c r="C46" s="716" t="s">
        <v>89</v>
      </c>
      <c r="D46" s="3"/>
      <c r="E46" s="3"/>
      <c r="F46" s="3"/>
      <c r="G46" s="174">
        <f t="shared" ref="G46" si="6">SUM(D46:F46)</f>
        <v>0</v>
      </c>
    </row>
    <row r="47" spans="2:7" x14ac:dyDescent="0.2">
      <c r="B47" s="797"/>
      <c r="C47" s="716" t="s">
        <v>972</v>
      </c>
      <c r="D47" s="715">
        <f>D46*112.7</f>
        <v>0</v>
      </c>
      <c r="E47" s="715">
        <f>E46*112.7</f>
        <v>0</v>
      </c>
      <c r="F47" s="715">
        <f>F46*119.6</f>
        <v>0</v>
      </c>
      <c r="G47" s="715">
        <f t="shared" si="0"/>
        <v>0</v>
      </c>
    </row>
    <row r="48" spans="2:7" x14ac:dyDescent="0.2">
      <c r="B48" s="798"/>
      <c r="C48" s="716" t="s">
        <v>973</v>
      </c>
      <c r="D48" s="715">
        <f>(D44-D46)*112.7</f>
        <v>5860.4000000000005</v>
      </c>
      <c r="E48" s="715">
        <f>(E44-E46)*112.7</f>
        <v>1352.4</v>
      </c>
      <c r="F48" s="715">
        <f>(F44-F46)*119.6</f>
        <v>1435.1999999999998</v>
      </c>
      <c r="G48" s="715">
        <f>G45-G47</f>
        <v>8648</v>
      </c>
    </row>
    <row r="49" spans="2:7" x14ac:dyDescent="0.2">
      <c r="B49" s="717"/>
      <c r="C49" s="716"/>
      <c r="D49" s="715"/>
      <c r="E49" s="715"/>
      <c r="F49" s="715"/>
      <c r="G49" s="715"/>
    </row>
    <row r="50" spans="2:7" x14ac:dyDescent="0.2">
      <c r="B50" s="174" t="str">
        <f>B43</f>
        <v>31 MAR - 6 APR 2025</v>
      </c>
      <c r="C50" s="716"/>
      <c r="D50" s="174" t="s">
        <v>104</v>
      </c>
      <c r="E50" s="174" t="s">
        <v>86</v>
      </c>
      <c r="F50" s="174" t="s">
        <v>87</v>
      </c>
      <c r="G50" s="174" t="s">
        <v>19</v>
      </c>
    </row>
    <row r="51" spans="2:7" x14ac:dyDescent="0.2">
      <c r="B51" s="796" t="s">
        <v>274</v>
      </c>
      <c r="C51" s="174" t="s">
        <v>970</v>
      </c>
      <c r="D51" s="3">
        <v>32</v>
      </c>
      <c r="E51" s="3">
        <v>10</v>
      </c>
      <c r="F51" s="3">
        <v>10</v>
      </c>
      <c r="G51" s="174">
        <f t="shared" si="0"/>
        <v>52</v>
      </c>
    </row>
    <row r="52" spans="2:7" x14ac:dyDescent="0.2">
      <c r="B52" s="797"/>
      <c r="C52" s="174" t="s">
        <v>971</v>
      </c>
      <c r="D52" s="53">
        <f>D51*112.7</f>
        <v>3606.4</v>
      </c>
      <c r="E52" s="53">
        <f>E51*112.7</f>
        <v>1127</v>
      </c>
      <c r="F52" s="53">
        <f>F51*119.6</f>
        <v>1196</v>
      </c>
      <c r="G52" s="715">
        <f t="shared" si="0"/>
        <v>5929.4</v>
      </c>
    </row>
    <row r="53" spans="2:7" x14ac:dyDescent="0.2">
      <c r="B53" s="797"/>
      <c r="C53" s="716" t="s">
        <v>89</v>
      </c>
      <c r="D53" s="3">
        <v>7</v>
      </c>
      <c r="E53" s="3"/>
      <c r="F53" s="3"/>
      <c r="G53" s="174">
        <f t="shared" ref="G53" si="7">SUM(D53:F53)</f>
        <v>7</v>
      </c>
    </row>
    <row r="54" spans="2:7" x14ac:dyDescent="0.2">
      <c r="B54" s="797"/>
      <c r="C54" s="716" t="s">
        <v>972</v>
      </c>
      <c r="D54" s="715">
        <f>D53*112.7</f>
        <v>788.9</v>
      </c>
      <c r="E54" s="715">
        <f>E53*112.7</f>
        <v>0</v>
      </c>
      <c r="F54" s="715">
        <f>F53*119.6</f>
        <v>0</v>
      </c>
      <c r="G54" s="715">
        <f t="shared" si="0"/>
        <v>788.9</v>
      </c>
    </row>
    <row r="55" spans="2:7" x14ac:dyDescent="0.2">
      <c r="B55" s="798"/>
      <c r="C55" s="716" t="s">
        <v>973</v>
      </c>
      <c r="D55" s="715">
        <f>(D51-D53)*112.7</f>
        <v>2817.5</v>
      </c>
      <c r="E55" s="715">
        <f>(E51-E53)*112.7</f>
        <v>1127</v>
      </c>
      <c r="F55" s="715">
        <f>(F51-F53)*119.6</f>
        <v>1196</v>
      </c>
      <c r="G55" s="715">
        <f>G52-G54</f>
        <v>5140.5</v>
      </c>
    </row>
    <row r="56" spans="2:7" x14ac:dyDescent="0.2">
      <c r="B56" s="717"/>
      <c r="C56" s="716"/>
      <c r="D56" s="715"/>
      <c r="E56" s="715"/>
      <c r="F56" s="715"/>
      <c r="G56" s="715"/>
    </row>
    <row r="57" spans="2:7" x14ac:dyDescent="0.2">
      <c r="B57" s="174" t="str">
        <f>B50</f>
        <v>31 MAR - 6 APR 2025</v>
      </c>
      <c r="C57" s="716"/>
      <c r="D57" s="174" t="s">
        <v>104</v>
      </c>
      <c r="E57" s="174" t="s">
        <v>86</v>
      </c>
      <c r="F57" s="174" t="s">
        <v>87</v>
      </c>
      <c r="G57" s="174" t="s">
        <v>19</v>
      </c>
    </row>
    <row r="58" spans="2:7" x14ac:dyDescent="0.2">
      <c r="B58" s="796" t="s">
        <v>112</v>
      </c>
      <c r="C58" s="174" t="s">
        <v>970</v>
      </c>
      <c r="D58" s="3">
        <v>32</v>
      </c>
      <c r="E58" s="3">
        <v>10</v>
      </c>
      <c r="F58" s="3">
        <v>10</v>
      </c>
      <c r="G58" s="174">
        <f t="shared" si="0"/>
        <v>52</v>
      </c>
    </row>
    <row r="59" spans="2:7" x14ac:dyDescent="0.2">
      <c r="B59" s="797"/>
      <c r="C59" s="174" t="s">
        <v>971</v>
      </c>
      <c r="D59" s="53">
        <f>D58*112.7</f>
        <v>3606.4</v>
      </c>
      <c r="E59" s="53">
        <f>E58*112.7</f>
        <v>1127</v>
      </c>
      <c r="F59" s="53">
        <f>F58*119.6</f>
        <v>1196</v>
      </c>
      <c r="G59" s="715">
        <f t="shared" si="0"/>
        <v>5929.4</v>
      </c>
    </row>
    <row r="60" spans="2:7" x14ac:dyDescent="0.2">
      <c r="B60" s="797"/>
      <c r="C60" s="716" t="s">
        <v>89</v>
      </c>
      <c r="D60" s="3"/>
      <c r="E60" s="3"/>
      <c r="F60" s="3"/>
      <c r="G60" s="174">
        <f t="shared" ref="G60" si="8">SUM(D60:F60)</f>
        <v>0</v>
      </c>
    </row>
    <row r="61" spans="2:7" x14ac:dyDescent="0.2">
      <c r="B61" s="797"/>
      <c r="C61" s="716" t="s">
        <v>972</v>
      </c>
      <c r="D61" s="715">
        <f>D60*112.7</f>
        <v>0</v>
      </c>
      <c r="E61" s="715">
        <f>E60*112.7</f>
        <v>0</v>
      </c>
      <c r="F61" s="715">
        <f>F60*119.6</f>
        <v>0</v>
      </c>
      <c r="G61" s="715">
        <f t="shared" si="0"/>
        <v>0</v>
      </c>
    </row>
    <row r="62" spans="2:7" x14ac:dyDescent="0.2">
      <c r="B62" s="798"/>
      <c r="C62" s="716" t="s">
        <v>973</v>
      </c>
      <c r="D62" s="715">
        <f>(D58-D60)*112.7</f>
        <v>3606.4</v>
      </c>
      <c r="E62" s="715">
        <f>(E58-E60)*112.7</f>
        <v>1127</v>
      </c>
      <c r="F62" s="715">
        <f>(F58-F60)*119.6</f>
        <v>1196</v>
      </c>
      <c r="G62" s="715">
        <f>G59-G61</f>
        <v>5929.4</v>
      </c>
    </row>
    <row r="63" spans="2:7" x14ac:dyDescent="0.2">
      <c r="B63" s="717"/>
      <c r="C63" s="716"/>
      <c r="D63" s="715"/>
      <c r="E63" s="715"/>
      <c r="F63" s="715"/>
      <c r="G63" s="715"/>
    </row>
    <row r="64" spans="2:7" x14ac:dyDescent="0.2">
      <c r="B64" s="174" t="str">
        <f>B57</f>
        <v>31 MAR - 6 APR 2025</v>
      </c>
      <c r="C64" s="716"/>
      <c r="D64" s="174" t="s">
        <v>104</v>
      </c>
      <c r="E64" s="174" t="s">
        <v>86</v>
      </c>
      <c r="F64" s="174" t="s">
        <v>87</v>
      </c>
      <c r="G64" s="174" t="s">
        <v>19</v>
      </c>
    </row>
    <row r="65" spans="2:9" x14ac:dyDescent="0.2">
      <c r="B65" s="799" t="s">
        <v>72</v>
      </c>
      <c r="C65" s="174" t="s">
        <v>970</v>
      </c>
      <c r="D65" s="3">
        <v>30</v>
      </c>
      <c r="E65" s="3">
        <v>12</v>
      </c>
      <c r="F65" s="3">
        <v>10</v>
      </c>
      <c r="G65" s="174">
        <f t="shared" si="0"/>
        <v>52</v>
      </c>
    </row>
    <row r="66" spans="2:9" x14ac:dyDescent="0.2">
      <c r="B66" s="799"/>
      <c r="C66" s="174" t="s">
        <v>971</v>
      </c>
      <c r="D66" s="53">
        <f>D65*112.7</f>
        <v>3381</v>
      </c>
      <c r="E66" s="53">
        <f>E65*112.7</f>
        <v>1352.4</v>
      </c>
      <c r="F66" s="53">
        <f>F65*119.6</f>
        <v>1196</v>
      </c>
      <c r="G66" s="715">
        <f t="shared" si="0"/>
        <v>5929.4</v>
      </c>
    </row>
    <row r="67" spans="2:9" x14ac:dyDescent="0.2">
      <c r="B67" s="799"/>
      <c r="C67" s="716" t="s">
        <v>89</v>
      </c>
      <c r="D67" s="3">
        <v>7</v>
      </c>
      <c r="E67" s="3"/>
      <c r="F67" s="3">
        <v>6</v>
      </c>
      <c r="G67" s="174">
        <f t="shared" ref="G67" si="9">SUM(D67:F67)</f>
        <v>13</v>
      </c>
    </row>
    <row r="68" spans="2:9" x14ac:dyDescent="0.2">
      <c r="B68" s="799"/>
      <c r="C68" s="716" t="s">
        <v>972</v>
      </c>
      <c r="D68" s="715">
        <f>D67*112.7</f>
        <v>788.9</v>
      </c>
      <c r="E68" s="715">
        <f>E67*112.7</f>
        <v>0</v>
      </c>
      <c r="F68" s="715">
        <f>F67*119.6</f>
        <v>717.59999999999991</v>
      </c>
      <c r="G68" s="715">
        <f t="shared" si="0"/>
        <v>1506.5</v>
      </c>
    </row>
    <row r="69" spans="2:9" x14ac:dyDescent="0.2">
      <c r="B69" s="799"/>
      <c r="C69" s="716" t="s">
        <v>973</v>
      </c>
      <c r="D69" s="715">
        <f>(D65-D67)*112.7</f>
        <v>2592.1</v>
      </c>
      <c r="E69" s="715">
        <f>(E65-E67)*112.7</f>
        <v>1352.4</v>
      </c>
      <c r="F69" s="715">
        <f>(F65-F67)*119.6</f>
        <v>478.4</v>
      </c>
      <c r="G69" s="715">
        <f>G66-G68</f>
        <v>4422.8999999999996</v>
      </c>
    </row>
    <row r="70" spans="2:9" x14ac:dyDescent="0.2">
      <c r="B70" s="717"/>
      <c r="C70" s="716"/>
      <c r="D70" s="715"/>
      <c r="E70" s="715"/>
      <c r="F70" s="715"/>
      <c r="G70" s="715"/>
    </row>
    <row r="71" spans="2:9" x14ac:dyDescent="0.2">
      <c r="B71" s="174" t="str">
        <f>B64</f>
        <v>31 MAR - 6 APR 2025</v>
      </c>
      <c r="C71" s="716"/>
      <c r="D71" s="174" t="s">
        <v>104</v>
      </c>
      <c r="E71" s="174" t="s">
        <v>86</v>
      </c>
      <c r="F71" s="174" t="s">
        <v>88</v>
      </c>
      <c r="G71" s="174" t="s">
        <v>87</v>
      </c>
      <c r="H71" s="174" t="s">
        <v>983</v>
      </c>
      <c r="I71" s="174" t="s">
        <v>19</v>
      </c>
    </row>
    <row r="72" spans="2:9" x14ac:dyDescent="0.2">
      <c r="B72" s="796" t="s">
        <v>105</v>
      </c>
      <c r="C72" s="174" t="s">
        <v>970</v>
      </c>
      <c r="D72" s="3">
        <v>44</v>
      </c>
      <c r="E72" s="3">
        <v>53</v>
      </c>
      <c r="F72" s="3">
        <v>18</v>
      </c>
      <c r="G72" s="3">
        <v>33</v>
      </c>
      <c r="H72" s="3">
        <v>63</v>
      </c>
      <c r="I72" s="174">
        <f>SUM(D72:H72)</f>
        <v>211</v>
      </c>
    </row>
    <row r="73" spans="2:9" x14ac:dyDescent="0.2">
      <c r="B73" s="797"/>
      <c r="C73" s="174" t="s">
        <v>971</v>
      </c>
      <c r="D73" s="53">
        <f>D72*100</f>
        <v>4400</v>
      </c>
      <c r="E73" s="53">
        <f t="shared" ref="E73:F73" si="10">E72*100</f>
        <v>5300</v>
      </c>
      <c r="F73" s="53">
        <f t="shared" si="10"/>
        <v>1800</v>
      </c>
      <c r="G73" s="53">
        <f>G72*100</f>
        <v>3300</v>
      </c>
      <c r="H73" s="53">
        <f>H72*100</f>
        <v>6300</v>
      </c>
      <c r="I73" s="715">
        <f t="shared" ref="I73:I76" si="11">SUM(D73:H73)</f>
        <v>21100</v>
      </c>
    </row>
    <row r="74" spans="2:9" x14ac:dyDescent="0.2">
      <c r="B74" s="797"/>
      <c r="C74" s="716" t="s">
        <v>89</v>
      </c>
      <c r="D74" s="3">
        <v>1</v>
      </c>
      <c r="E74" s="3"/>
      <c r="F74" s="3">
        <v>1</v>
      </c>
      <c r="G74" s="3"/>
      <c r="H74" s="3"/>
      <c r="I74" s="174">
        <f t="shared" si="11"/>
        <v>2</v>
      </c>
    </row>
    <row r="75" spans="2:9" x14ac:dyDescent="0.2">
      <c r="B75" s="797"/>
      <c r="C75" s="716" t="s">
        <v>972</v>
      </c>
      <c r="D75" s="715">
        <f>D74*112.7</f>
        <v>112.7</v>
      </c>
      <c r="E75" s="715">
        <f>E74*112.7</f>
        <v>0</v>
      </c>
      <c r="F75" s="715">
        <f>F74*119.6</f>
        <v>119.6</v>
      </c>
      <c r="G75" s="715">
        <f>G74*112.7</f>
        <v>0</v>
      </c>
      <c r="H75" s="715">
        <f>H74*112.7</f>
        <v>0</v>
      </c>
      <c r="I75" s="715">
        <f t="shared" si="11"/>
        <v>232.3</v>
      </c>
    </row>
    <row r="76" spans="2:9" x14ac:dyDescent="0.2">
      <c r="B76" s="798"/>
      <c r="C76" s="716" t="s">
        <v>973</v>
      </c>
      <c r="D76" s="715">
        <f>(D72-D74)*112.7</f>
        <v>4846.1000000000004</v>
      </c>
      <c r="E76" s="715">
        <f>(E72-E74)*112.7</f>
        <v>5973.1</v>
      </c>
      <c r="F76" s="715">
        <f>(F72-F74)*119.6</f>
        <v>2033.1999999999998</v>
      </c>
      <c r="G76" s="715">
        <f>(G72-G74)*112.7</f>
        <v>3719.1</v>
      </c>
      <c r="H76" s="715">
        <f>(H72-H74)*112.7</f>
        <v>7100.1</v>
      </c>
      <c r="I76" s="715">
        <f t="shared" si="11"/>
        <v>23671.599999999999</v>
      </c>
    </row>
    <row r="77" spans="2:9" x14ac:dyDescent="0.2">
      <c r="B77" s="717"/>
      <c r="C77" s="716"/>
      <c r="D77" s="715"/>
      <c r="E77" s="715"/>
      <c r="F77" s="715"/>
      <c r="G77" s="715"/>
      <c r="H77" s="715"/>
      <c r="I77" s="715"/>
    </row>
    <row r="78" spans="2:9" x14ac:dyDescent="0.2">
      <c r="B78" s="174" t="str">
        <f>B71</f>
        <v>31 MAR - 6 APR 2025</v>
      </c>
      <c r="C78" s="716"/>
      <c r="D78" s="174" t="s">
        <v>104</v>
      </c>
      <c r="E78" s="174" t="s">
        <v>86</v>
      </c>
      <c r="F78" s="174" t="s">
        <v>88</v>
      </c>
      <c r="G78" s="174" t="s">
        <v>87</v>
      </c>
      <c r="H78" s="174" t="s">
        <v>983</v>
      </c>
      <c r="I78" s="174" t="s">
        <v>19</v>
      </c>
    </row>
    <row r="79" spans="2:9" x14ac:dyDescent="0.2">
      <c r="B79" s="796" t="s">
        <v>382</v>
      </c>
      <c r="C79" s="174" t="s">
        <v>970</v>
      </c>
      <c r="D79" s="3">
        <v>12</v>
      </c>
      <c r="E79" s="3">
        <v>4</v>
      </c>
      <c r="F79" s="3">
        <v>12</v>
      </c>
      <c r="G79" s="3"/>
      <c r="H79" s="3">
        <v>12</v>
      </c>
      <c r="I79" s="174">
        <f>SUM(D79:H79)</f>
        <v>40</v>
      </c>
    </row>
    <row r="80" spans="2:9" x14ac:dyDescent="0.2">
      <c r="B80" s="797"/>
      <c r="C80" s="174" t="s">
        <v>971</v>
      </c>
      <c r="D80" s="53">
        <f>D79*120</f>
        <v>1440</v>
      </c>
      <c r="E80" s="53">
        <f t="shared" ref="E80:H80" si="12">E79*120</f>
        <v>480</v>
      </c>
      <c r="F80" s="53">
        <f t="shared" si="12"/>
        <v>1440</v>
      </c>
      <c r="G80" s="53">
        <f t="shared" si="12"/>
        <v>0</v>
      </c>
      <c r="H80" s="53">
        <f t="shared" si="12"/>
        <v>1440</v>
      </c>
      <c r="I80" s="715">
        <f t="shared" ref="I80:I83" si="13">SUM(D80:H80)</f>
        <v>4800</v>
      </c>
    </row>
    <row r="81" spans="2:9" x14ac:dyDescent="0.2">
      <c r="B81" s="797"/>
      <c r="C81" s="716" t="s">
        <v>89</v>
      </c>
      <c r="D81" s="3"/>
      <c r="E81" s="3"/>
      <c r="F81" s="3"/>
      <c r="G81" s="3"/>
      <c r="H81" s="3"/>
      <c r="I81" s="174">
        <f t="shared" si="13"/>
        <v>0</v>
      </c>
    </row>
    <row r="82" spans="2:9" x14ac:dyDescent="0.2">
      <c r="B82" s="797"/>
      <c r="C82" s="716" t="s">
        <v>972</v>
      </c>
      <c r="D82" s="715">
        <f>D81*112.7</f>
        <v>0</v>
      </c>
      <c r="E82" s="715">
        <f>E81*112.7</f>
        <v>0</v>
      </c>
      <c r="F82" s="715">
        <f>F81*119.6</f>
        <v>0</v>
      </c>
      <c r="G82" s="715">
        <f>G81*112.7</f>
        <v>0</v>
      </c>
      <c r="H82" s="715">
        <f>H81*112.7</f>
        <v>0</v>
      </c>
      <c r="I82" s="715">
        <f t="shared" si="13"/>
        <v>0</v>
      </c>
    </row>
    <row r="83" spans="2:9" x14ac:dyDescent="0.2">
      <c r="B83" s="798"/>
      <c r="C83" s="716" t="s">
        <v>973</v>
      </c>
      <c r="D83" s="715">
        <f>(D79-D81)*112.7</f>
        <v>1352.4</v>
      </c>
      <c r="E83" s="715">
        <f>(E79-E81)*112.7</f>
        <v>450.8</v>
      </c>
      <c r="F83" s="715">
        <f>(F79-F81)*119.6</f>
        <v>1435.1999999999998</v>
      </c>
      <c r="G83" s="715">
        <f>(G79-G81)*112.7</f>
        <v>0</v>
      </c>
      <c r="H83" s="715">
        <f>(H79-H81)*112.7</f>
        <v>1352.4</v>
      </c>
      <c r="I83" s="715">
        <f t="shared" si="13"/>
        <v>4590.7999999999993</v>
      </c>
    </row>
    <row r="84" spans="2:9" x14ac:dyDescent="0.2">
      <c r="B84" s="717"/>
      <c r="C84" s="716"/>
      <c r="D84" s="715"/>
      <c r="E84" s="715"/>
      <c r="F84" s="715"/>
      <c r="G84" s="715"/>
      <c r="H84" s="715"/>
      <c r="I84" s="715"/>
    </row>
    <row r="85" spans="2:9" x14ac:dyDescent="0.2">
      <c r="B85" s="174" t="str">
        <f>B78</f>
        <v>31 MAR - 6 APR 2025</v>
      </c>
      <c r="C85" s="716"/>
      <c r="D85" s="174" t="s">
        <v>104</v>
      </c>
      <c r="E85" s="174" t="s">
        <v>86</v>
      </c>
      <c r="F85" s="174" t="s">
        <v>88</v>
      </c>
      <c r="G85" s="174" t="s">
        <v>87</v>
      </c>
      <c r="H85" s="174" t="s">
        <v>983</v>
      </c>
      <c r="I85" s="174" t="s">
        <v>19</v>
      </c>
    </row>
    <row r="86" spans="2:9" x14ac:dyDescent="0.2">
      <c r="B86" s="796" t="s">
        <v>200</v>
      </c>
      <c r="C86" s="174" t="s">
        <v>970</v>
      </c>
      <c r="D86" s="3"/>
      <c r="E86" s="3"/>
      <c r="F86" s="3"/>
      <c r="G86" s="3"/>
      <c r="H86" s="3"/>
      <c r="I86" s="174">
        <f>SUM(D86:H86)</f>
        <v>0</v>
      </c>
    </row>
    <row r="87" spans="2:9" x14ac:dyDescent="0.2">
      <c r="B87" s="797"/>
      <c r="C87" s="174" t="s">
        <v>971</v>
      </c>
      <c r="D87" s="53">
        <f>D86*120</f>
        <v>0</v>
      </c>
      <c r="E87" s="53">
        <f t="shared" ref="E87" si="14">E86*120</f>
        <v>0</v>
      </c>
      <c r="F87" s="53">
        <f t="shared" ref="F87" si="15">F86*120</f>
        <v>0</v>
      </c>
      <c r="G87" s="53">
        <f t="shared" ref="G87" si="16">G86*120</f>
        <v>0</v>
      </c>
      <c r="H87" s="53">
        <f t="shared" ref="H87" si="17">H86*120</f>
        <v>0</v>
      </c>
      <c r="I87" s="715">
        <f t="shared" ref="I87:I90" si="18">SUM(D87:H87)</f>
        <v>0</v>
      </c>
    </row>
    <row r="88" spans="2:9" x14ac:dyDescent="0.2">
      <c r="B88" s="797"/>
      <c r="C88" s="716" t="s">
        <v>89</v>
      </c>
      <c r="D88" s="3"/>
      <c r="E88" s="3"/>
      <c r="F88" s="3"/>
      <c r="G88" s="3"/>
      <c r="H88" s="3"/>
      <c r="I88" s="174">
        <f t="shared" si="18"/>
        <v>0</v>
      </c>
    </row>
    <row r="89" spans="2:9" x14ac:dyDescent="0.2">
      <c r="B89" s="797"/>
      <c r="C89" s="716" t="s">
        <v>972</v>
      </c>
      <c r="D89" s="715">
        <f>D88*112.7</f>
        <v>0</v>
      </c>
      <c r="E89" s="715">
        <f>E88*112.7</f>
        <v>0</v>
      </c>
      <c r="F89" s="715">
        <f>F88*119.6</f>
        <v>0</v>
      </c>
      <c r="G89" s="715">
        <f>G88*112.7</f>
        <v>0</v>
      </c>
      <c r="H89" s="715">
        <f>H88*112.7</f>
        <v>0</v>
      </c>
      <c r="I89" s="715">
        <f t="shared" si="18"/>
        <v>0</v>
      </c>
    </row>
    <row r="90" spans="2:9" x14ac:dyDescent="0.2">
      <c r="B90" s="798"/>
      <c r="C90" s="716" t="s">
        <v>973</v>
      </c>
      <c r="D90" s="715">
        <f>(D86-D88)*112.7</f>
        <v>0</v>
      </c>
      <c r="E90" s="715">
        <f>(E86-E88)*112.7</f>
        <v>0</v>
      </c>
      <c r="F90" s="715">
        <f>(F86-F88)*119.6</f>
        <v>0</v>
      </c>
      <c r="G90" s="715">
        <f>(G86-G88)*112.7</f>
        <v>0</v>
      </c>
      <c r="H90" s="715">
        <f>(H86-H88)*112.7</f>
        <v>0</v>
      </c>
      <c r="I90" s="715">
        <f t="shared" si="18"/>
        <v>0</v>
      </c>
    </row>
    <row r="91" spans="2:9" x14ac:dyDescent="0.2">
      <c r="B91" s="717"/>
      <c r="C91" s="716"/>
      <c r="D91" s="715"/>
      <c r="E91" s="715"/>
      <c r="F91" s="715"/>
      <c r="G91" s="715"/>
      <c r="H91" s="715"/>
      <c r="I91" s="715"/>
    </row>
    <row r="92" spans="2:9" x14ac:dyDescent="0.2">
      <c r="B92" s="717"/>
      <c r="C92" s="716"/>
      <c r="D92" s="715"/>
      <c r="E92" s="715"/>
      <c r="F92" s="715"/>
      <c r="G92" s="715"/>
      <c r="H92" s="715"/>
      <c r="I92" s="715"/>
    </row>
    <row r="93" spans="2:9" x14ac:dyDescent="0.2">
      <c r="B93" s="174" t="str">
        <f>B85</f>
        <v>31 MAR - 6 APR 2025</v>
      </c>
      <c r="C93" s="716"/>
      <c r="D93" s="174" t="s">
        <v>104</v>
      </c>
      <c r="E93" s="174" t="s">
        <v>86</v>
      </c>
      <c r="F93" s="174" t="s">
        <v>88</v>
      </c>
      <c r="G93" s="174" t="s">
        <v>87</v>
      </c>
      <c r="H93" s="174" t="s">
        <v>983</v>
      </c>
      <c r="I93" s="174" t="s">
        <v>19</v>
      </c>
    </row>
    <row r="94" spans="2:9" x14ac:dyDescent="0.2">
      <c r="B94" s="796" t="s">
        <v>269</v>
      </c>
      <c r="C94" s="174" t="s">
        <v>970</v>
      </c>
      <c r="D94" s="3">
        <v>10</v>
      </c>
      <c r="E94" s="3">
        <v>5</v>
      </c>
      <c r="F94" s="3">
        <v>5</v>
      </c>
      <c r="G94" s="3">
        <v>5</v>
      </c>
      <c r="H94" s="3">
        <v>10</v>
      </c>
      <c r="I94" s="174">
        <f>SUM(D94:H94)</f>
        <v>35</v>
      </c>
    </row>
    <row r="95" spans="2:9" x14ac:dyDescent="0.2">
      <c r="B95" s="797"/>
      <c r="C95" s="174" t="s">
        <v>971</v>
      </c>
      <c r="D95" s="53">
        <f>D94*120</f>
        <v>1200</v>
      </c>
      <c r="E95" s="53">
        <f t="shared" ref="E95" si="19">E94*120</f>
        <v>600</v>
      </c>
      <c r="F95" s="53">
        <f t="shared" ref="F95" si="20">F94*120</f>
        <v>600</v>
      </c>
      <c r="G95" s="53">
        <f t="shared" ref="G95" si="21">G94*120</f>
        <v>600</v>
      </c>
      <c r="H95" s="53">
        <f t="shared" ref="H95" si="22">H94*120</f>
        <v>1200</v>
      </c>
      <c r="I95" s="715">
        <f t="shared" ref="I95:I98" si="23">SUM(D95:H95)</f>
        <v>4200</v>
      </c>
    </row>
    <row r="96" spans="2:9" x14ac:dyDescent="0.2">
      <c r="B96" s="797"/>
      <c r="C96" s="716" t="s">
        <v>89</v>
      </c>
      <c r="D96" s="3"/>
      <c r="E96" s="3"/>
      <c r="F96" s="3"/>
      <c r="G96" s="3">
        <v>2</v>
      </c>
      <c r="H96" s="3">
        <v>1</v>
      </c>
      <c r="I96" s="174">
        <f t="shared" si="23"/>
        <v>3</v>
      </c>
    </row>
    <row r="97" spans="2:9" x14ac:dyDescent="0.2">
      <c r="B97" s="797"/>
      <c r="C97" s="716" t="s">
        <v>972</v>
      </c>
      <c r="D97" s="715">
        <f>D96*112.7</f>
        <v>0</v>
      </c>
      <c r="E97" s="715">
        <f>E96*112.7</f>
        <v>0</v>
      </c>
      <c r="F97" s="715">
        <f>F96*119.6</f>
        <v>0</v>
      </c>
      <c r="G97" s="715">
        <f>G96*112.7</f>
        <v>225.4</v>
      </c>
      <c r="H97" s="715">
        <f>H96*112.7</f>
        <v>112.7</v>
      </c>
      <c r="I97" s="715">
        <f t="shared" si="23"/>
        <v>338.1</v>
      </c>
    </row>
    <row r="98" spans="2:9" x14ac:dyDescent="0.2">
      <c r="B98" s="798"/>
      <c r="C98" s="716" t="s">
        <v>973</v>
      </c>
      <c r="D98" s="715">
        <f>(D94-D96)*112.7</f>
        <v>1127</v>
      </c>
      <c r="E98" s="715">
        <f>(E94-E96)*112.7</f>
        <v>563.5</v>
      </c>
      <c r="F98" s="715">
        <f>(F94-F96)*119.6</f>
        <v>598</v>
      </c>
      <c r="G98" s="715">
        <f>(G94-G96)*112.7</f>
        <v>338.1</v>
      </c>
      <c r="H98" s="715">
        <f>(H94-H96)*112.7</f>
        <v>1014.3000000000001</v>
      </c>
      <c r="I98" s="715">
        <f t="shared" si="23"/>
        <v>3640.9</v>
      </c>
    </row>
    <row r="99" spans="2:9" x14ac:dyDescent="0.2">
      <c r="B99" s="717"/>
      <c r="C99" s="716"/>
      <c r="D99" s="715"/>
      <c r="E99" s="715"/>
      <c r="F99" s="715"/>
      <c r="G99" s="715"/>
      <c r="H99" s="715"/>
      <c r="I99" s="715"/>
    </row>
    <row r="101" spans="2:9" x14ac:dyDescent="0.2">
      <c r="B101" s="174" t="s">
        <v>990</v>
      </c>
      <c r="C101" s="174"/>
      <c r="D101" s="174" t="s">
        <v>104</v>
      </c>
      <c r="E101" s="174" t="s">
        <v>86</v>
      </c>
      <c r="F101" s="174" t="s">
        <v>87</v>
      </c>
      <c r="G101" s="174" t="s">
        <v>19</v>
      </c>
    </row>
    <row r="102" spans="2:9" x14ac:dyDescent="0.2">
      <c r="B102" s="796" t="s">
        <v>106</v>
      </c>
      <c r="C102" s="174" t="s">
        <v>970</v>
      </c>
      <c r="D102" s="3">
        <v>34</v>
      </c>
      <c r="E102" s="3">
        <v>22</v>
      </c>
      <c r="F102" s="3">
        <v>10</v>
      </c>
      <c r="G102" s="174">
        <f t="shared" ref="G102:G105" si="24">SUM(D102:F102)</f>
        <v>66</v>
      </c>
    </row>
    <row r="103" spans="2:9" x14ac:dyDescent="0.2">
      <c r="B103" s="797"/>
      <c r="C103" s="174" t="s">
        <v>971</v>
      </c>
      <c r="D103" s="53">
        <f>D102*112.7</f>
        <v>3831.8</v>
      </c>
      <c r="E103" s="53">
        <f>E102*112.7</f>
        <v>2479.4</v>
      </c>
      <c r="F103" s="53">
        <f>F102*119.6</f>
        <v>1196</v>
      </c>
      <c r="G103" s="715">
        <f t="shared" si="24"/>
        <v>7507.2000000000007</v>
      </c>
    </row>
    <row r="104" spans="2:9" x14ac:dyDescent="0.2">
      <c r="B104" s="797"/>
      <c r="C104" s="716" t="s">
        <v>89</v>
      </c>
      <c r="D104" s="3">
        <v>1</v>
      </c>
      <c r="E104" s="3">
        <v>1</v>
      </c>
      <c r="F104" s="3"/>
      <c r="G104" s="174">
        <f t="shared" si="24"/>
        <v>2</v>
      </c>
    </row>
    <row r="105" spans="2:9" x14ac:dyDescent="0.2">
      <c r="B105" s="797"/>
      <c r="C105" s="716" t="s">
        <v>972</v>
      </c>
      <c r="D105" s="715">
        <f>D104*112.7</f>
        <v>112.7</v>
      </c>
      <c r="E105" s="715">
        <f>E104*112.7</f>
        <v>112.7</v>
      </c>
      <c r="F105" s="715">
        <f>F104*119.6</f>
        <v>0</v>
      </c>
      <c r="G105" s="715">
        <f t="shared" si="24"/>
        <v>225.4</v>
      </c>
    </row>
    <row r="106" spans="2:9" x14ac:dyDescent="0.2">
      <c r="B106" s="798"/>
      <c r="C106" s="716" t="s">
        <v>973</v>
      </c>
      <c r="D106" s="715">
        <f>(D102-D104)*112.7</f>
        <v>3719.1</v>
      </c>
      <c r="E106" s="715">
        <f>(E102-E104)*112.7</f>
        <v>2366.7000000000003</v>
      </c>
      <c r="F106" s="715">
        <f>(F102-F104)*119.6</f>
        <v>1196</v>
      </c>
      <c r="G106" s="715">
        <f>G103-G105</f>
        <v>7281.8000000000011</v>
      </c>
    </row>
    <row r="107" spans="2:9" x14ac:dyDescent="0.2">
      <c r="B107" s="717"/>
      <c r="C107" s="716"/>
      <c r="D107" s="715"/>
      <c r="E107" s="715"/>
      <c r="F107" s="715"/>
      <c r="G107" s="715"/>
    </row>
    <row r="108" spans="2:9" x14ac:dyDescent="0.2">
      <c r="B108" s="174" t="str">
        <f>B101</f>
        <v>7 - 13 APR 2025</v>
      </c>
      <c r="C108" s="716"/>
      <c r="D108" s="174" t="s">
        <v>104</v>
      </c>
      <c r="E108" s="174" t="s">
        <v>86</v>
      </c>
      <c r="F108" s="174" t="s">
        <v>87</v>
      </c>
      <c r="G108" s="174" t="s">
        <v>19</v>
      </c>
    </row>
    <row r="109" spans="2:9" x14ac:dyDescent="0.2">
      <c r="B109" s="796" t="s">
        <v>108</v>
      </c>
      <c r="C109" s="174" t="s">
        <v>970</v>
      </c>
      <c r="D109" s="3">
        <v>52</v>
      </c>
      <c r="E109" s="3">
        <v>26</v>
      </c>
      <c r="F109" s="3">
        <v>26</v>
      </c>
      <c r="G109" s="174">
        <f t="shared" ref="G109:G110" si="25">SUM(D109:F109)</f>
        <v>104</v>
      </c>
    </row>
    <row r="110" spans="2:9" x14ac:dyDescent="0.2">
      <c r="B110" s="797"/>
      <c r="C110" s="174" t="s">
        <v>971</v>
      </c>
      <c r="D110" s="53">
        <f>D109*112.7</f>
        <v>5860.4000000000005</v>
      </c>
      <c r="E110" s="53">
        <f>E109*112.7</f>
        <v>2930.2000000000003</v>
      </c>
      <c r="F110" s="53">
        <f>F109*119.6</f>
        <v>3109.6</v>
      </c>
      <c r="G110" s="715">
        <f t="shared" si="25"/>
        <v>11900.2</v>
      </c>
    </row>
    <row r="111" spans="2:9" x14ac:dyDescent="0.2">
      <c r="B111" s="797"/>
      <c r="C111" s="716" t="s">
        <v>89</v>
      </c>
      <c r="D111" s="3"/>
      <c r="E111" s="3"/>
      <c r="F111" s="3"/>
      <c r="G111" s="174">
        <f t="shared" ref="G111" si="26">SUM(D111:F111)</f>
        <v>0</v>
      </c>
    </row>
    <row r="112" spans="2:9" x14ac:dyDescent="0.2">
      <c r="B112" s="797"/>
      <c r="C112" s="716" t="s">
        <v>972</v>
      </c>
      <c r="D112" s="715">
        <f>D111*112.7</f>
        <v>0</v>
      </c>
      <c r="E112" s="715">
        <f>E111*112.7</f>
        <v>0</v>
      </c>
      <c r="F112" s="715">
        <f>F111*119.6</f>
        <v>0</v>
      </c>
      <c r="G112" s="715">
        <f t="shared" ref="G112" si="27">SUM(D112:F112)</f>
        <v>0</v>
      </c>
    </row>
    <row r="113" spans="2:7" x14ac:dyDescent="0.2">
      <c r="B113" s="798"/>
      <c r="C113" s="716" t="s">
        <v>973</v>
      </c>
      <c r="D113" s="715">
        <f>(D109-D111)*112.7</f>
        <v>5860.4000000000005</v>
      </c>
      <c r="E113" s="715">
        <f>(E109-E111)*112.7</f>
        <v>2930.2000000000003</v>
      </c>
      <c r="F113" s="715">
        <f>(F109-F111)*119.6</f>
        <v>3109.6</v>
      </c>
      <c r="G113" s="715">
        <f>G110-G112</f>
        <v>11900.2</v>
      </c>
    </row>
    <row r="114" spans="2:7" x14ac:dyDescent="0.2">
      <c r="B114" s="717"/>
      <c r="C114" s="716"/>
      <c r="D114" s="715"/>
      <c r="E114" s="715"/>
      <c r="F114" s="715"/>
      <c r="G114" s="715"/>
    </row>
    <row r="115" spans="2:7" x14ac:dyDescent="0.2">
      <c r="B115" s="174" t="str">
        <f>B108</f>
        <v>7 - 13 APR 2025</v>
      </c>
      <c r="C115" s="716"/>
      <c r="D115" s="174" t="s">
        <v>104</v>
      </c>
      <c r="E115" s="174" t="s">
        <v>86</v>
      </c>
      <c r="F115" s="174" t="s">
        <v>87</v>
      </c>
      <c r="G115" s="174" t="s">
        <v>19</v>
      </c>
    </row>
    <row r="116" spans="2:7" x14ac:dyDescent="0.2">
      <c r="B116" s="796" t="s">
        <v>109</v>
      </c>
      <c r="C116" s="174" t="s">
        <v>970</v>
      </c>
      <c r="D116" s="3">
        <v>40</v>
      </c>
      <c r="E116" s="3">
        <v>16</v>
      </c>
      <c r="F116" s="3">
        <v>16</v>
      </c>
      <c r="G116" s="174">
        <f t="shared" ref="G116:G117" si="28">SUM(D116:F116)</f>
        <v>72</v>
      </c>
    </row>
    <row r="117" spans="2:7" x14ac:dyDescent="0.2">
      <c r="B117" s="797"/>
      <c r="C117" s="174" t="s">
        <v>971</v>
      </c>
      <c r="D117" s="53">
        <f>D116*112.7</f>
        <v>4508</v>
      </c>
      <c r="E117" s="53">
        <f>E116*112.7</f>
        <v>1803.2</v>
      </c>
      <c r="F117" s="53">
        <f>F116*119.6</f>
        <v>1913.6</v>
      </c>
      <c r="G117" s="715">
        <f t="shared" si="28"/>
        <v>8224.7999999999993</v>
      </c>
    </row>
    <row r="118" spans="2:7" x14ac:dyDescent="0.2">
      <c r="B118" s="797"/>
      <c r="C118" s="716" t="s">
        <v>89</v>
      </c>
      <c r="D118" s="3"/>
      <c r="E118" s="3"/>
      <c r="F118" s="3"/>
      <c r="G118" s="174">
        <f t="shared" ref="G118" si="29">SUM(D118:F118)</f>
        <v>0</v>
      </c>
    </row>
    <row r="119" spans="2:7" x14ac:dyDescent="0.2">
      <c r="B119" s="797"/>
      <c r="C119" s="716" t="s">
        <v>972</v>
      </c>
      <c r="D119" s="715">
        <f>D118*112.7</f>
        <v>0</v>
      </c>
      <c r="E119" s="715">
        <f>E118*112.7</f>
        <v>0</v>
      </c>
      <c r="F119" s="715">
        <f>F118*119.6</f>
        <v>0</v>
      </c>
      <c r="G119" s="715">
        <f t="shared" ref="G119" si="30">SUM(D119:F119)</f>
        <v>0</v>
      </c>
    </row>
    <row r="120" spans="2:7" x14ac:dyDescent="0.2">
      <c r="B120" s="798"/>
      <c r="C120" s="716" t="s">
        <v>973</v>
      </c>
      <c r="D120" s="715">
        <f>(D116-D118)*112.7</f>
        <v>4508</v>
      </c>
      <c r="E120" s="715">
        <f>(E116-E118)*112.7</f>
        <v>1803.2</v>
      </c>
      <c r="F120" s="715">
        <f>(F116-F118)*119.6</f>
        <v>1913.6</v>
      </c>
      <c r="G120" s="715">
        <f>G117-G119</f>
        <v>8224.7999999999993</v>
      </c>
    </row>
    <row r="121" spans="2:7" x14ac:dyDescent="0.2">
      <c r="B121" s="717"/>
      <c r="C121" s="716"/>
      <c r="D121" s="715"/>
      <c r="E121" s="715"/>
      <c r="F121" s="715"/>
      <c r="G121" s="715"/>
    </row>
    <row r="122" spans="2:7" x14ac:dyDescent="0.2">
      <c r="B122" s="174" t="str">
        <f>B115</f>
        <v>7 - 13 APR 2025</v>
      </c>
      <c r="C122" s="716"/>
      <c r="D122" s="174" t="s">
        <v>104</v>
      </c>
      <c r="E122" s="174" t="s">
        <v>86</v>
      </c>
      <c r="F122" s="174" t="s">
        <v>87</v>
      </c>
      <c r="G122" s="174" t="s">
        <v>19</v>
      </c>
    </row>
    <row r="123" spans="2:7" x14ac:dyDescent="0.2">
      <c r="B123" s="796" t="s">
        <v>110</v>
      </c>
      <c r="C123" s="174" t="s">
        <v>970</v>
      </c>
      <c r="D123" s="3">
        <v>152</v>
      </c>
      <c r="E123" s="3">
        <v>36</v>
      </c>
      <c r="F123" s="3">
        <v>36</v>
      </c>
      <c r="G123" s="174">
        <f>SUM(D123:F123)</f>
        <v>224</v>
      </c>
    </row>
    <row r="124" spans="2:7" x14ac:dyDescent="0.2">
      <c r="B124" s="797"/>
      <c r="C124" s="174" t="s">
        <v>971</v>
      </c>
      <c r="D124" s="53">
        <f>D123*112.7</f>
        <v>17130.400000000001</v>
      </c>
      <c r="E124" s="53">
        <f>E123*112.7</f>
        <v>4057.2000000000003</v>
      </c>
      <c r="F124" s="53">
        <f>F123*119.6</f>
        <v>4305.5999999999995</v>
      </c>
      <c r="G124" s="715">
        <f>SUM(D124:F124)</f>
        <v>25493.200000000001</v>
      </c>
    </row>
    <row r="125" spans="2:7" x14ac:dyDescent="0.2">
      <c r="B125" s="797"/>
      <c r="C125" s="716" t="s">
        <v>89</v>
      </c>
      <c r="D125" s="3">
        <v>7</v>
      </c>
      <c r="E125" s="3"/>
      <c r="F125" s="3"/>
      <c r="G125" s="174">
        <f t="shared" ref="G125" si="31">SUM(D125:F125)</f>
        <v>7</v>
      </c>
    </row>
    <row r="126" spans="2:7" x14ac:dyDescent="0.2">
      <c r="B126" s="797"/>
      <c r="C126" s="716" t="s">
        <v>972</v>
      </c>
      <c r="D126" s="715">
        <f>D125*112.7</f>
        <v>788.9</v>
      </c>
      <c r="E126" s="715">
        <f>E125*112.7</f>
        <v>0</v>
      </c>
      <c r="F126" s="715">
        <f>F125*119.6</f>
        <v>0</v>
      </c>
      <c r="G126" s="715">
        <f>SUM(D126:F126)</f>
        <v>788.9</v>
      </c>
    </row>
    <row r="127" spans="2:7" x14ac:dyDescent="0.2">
      <c r="B127" s="798"/>
      <c r="C127" s="716" t="s">
        <v>973</v>
      </c>
      <c r="D127" s="715">
        <f>(D123-D125)*112.7</f>
        <v>16341.5</v>
      </c>
      <c r="E127" s="715">
        <f>(E123-E125)*112.7</f>
        <v>4057.2000000000003</v>
      </c>
      <c r="F127" s="715">
        <f>(F123-F125)*119.6</f>
        <v>4305.5999999999995</v>
      </c>
      <c r="G127" s="715">
        <f>G124-G126</f>
        <v>24704.3</v>
      </c>
    </row>
    <row r="128" spans="2:7" x14ac:dyDescent="0.2">
      <c r="B128" s="717"/>
      <c r="C128" s="716"/>
      <c r="D128" s="715"/>
      <c r="E128" s="715"/>
      <c r="F128" s="715"/>
      <c r="G128" s="715"/>
    </row>
    <row r="129" spans="2:7" x14ac:dyDescent="0.2">
      <c r="B129" s="174" t="str">
        <f>B122</f>
        <v>7 - 13 APR 2025</v>
      </c>
      <c r="C129" s="716"/>
      <c r="D129" s="174" t="s">
        <v>104</v>
      </c>
      <c r="E129" s="174" t="s">
        <v>86</v>
      </c>
      <c r="F129" s="174" t="s">
        <v>87</v>
      </c>
      <c r="G129" s="174" t="s">
        <v>19</v>
      </c>
    </row>
    <row r="130" spans="2:7" x14ac:dyDescent="0.2">
      <c r="B130" s="796" t="s">
        <v>276</v>
      </c>
      <c r="C130" s="174" t="s">
        <v>970</v>
      </c>
      <c r="D130" s="3">
        <v>16</v>
      </c>
      <c r="E130" s="3">
        <v>8</v>
      </c>
      <c r="F130" s="3">
        <v>10</v>
      </c>
      <c r="G130" s="174">
        <f>SUM(D130:F130)</f>
        <v>34</v>
      </c>
    </row>
    <row r="131" spans="2:7" x14ac:dyDescent="0.2">
      <c r="B131" s="797"/>
      <c r="C131" s="174" t="s">
        <v>971</v>
      </c>
      <c r="D131" s="53">
        <f>D130*112.7</f>
        <v>1803.2</v>
      </c>
      <c r="E131" s="53">
        <f>E130*112.7</f>
        <v>901.6</v>
      </c>
      <c r="F131" s="53">
        <f>F130*119.6</f>
        <v>1196</v>
      </c>
      <c r="G131" s="715">
        <f t="shared" ref="G131" si="32">SUM(D131:F131)</f>
        <v>3900.8</v>
      </c>
    </row>
    <row r="132" spans="2:7" x14ac:dyDescent="0.2">
      <c r="B132" s="797"/>
      <c r="C132" s="716" t="s">
        <v>89</v>
      </c>
      <c r="D132" s="3"/>
      <c r="E132" s="3">
        <v>8</v>
      </c>
      <c r="F132" s="3">
        <v>5</v>
      </c>
      <c r="G132" s="174">
        <f t="shared" ref="G132" si="33">SUM(D132:F132)</f>
        <v>13</v>
      </c>
    </row>
    <row r="133" spans="2:7" x14ac:dyDescent="0.2">
      <c r="B133" s="797"/>
      <c r="C133" s="716" t="s">
        <v>972</v>
      </c>
      <c r="D133" s="715">
        <f>D132*112.7</f>
        <v>0</v>
      </c>
      <c r="E133" s="715">
        <f>E132*112.7</f>
        <v>901.6</v>
      </c>
      <c r="F133" s="715">
        <f>F132*119.6</f>
        <v>598</v>
      </c>
      <c r="G133" s="715">
        <f t="shared" ref="G133" si="34">SUM(D133:F133)</f>
        <v>1499.6</v>
      </c>
    </row>
    <row r="134" spans="2:7" x14ac:dyDescent="0.2">
      <c r="B134" s="798"/>
      <c r="C134" s="716" t="s">
        <v>973</v>
      </c>
      <c r="D134" s="715">
        <f>(D130-D132)*112.7</f>
        <v>1803.2</v>
      </c>
      <c r="E134" s="715">
        <f>(E130-E132)*112.7</f>
        <v>0</v>
      </c>
      <c r="F134" s="715">
        <f>(F130-F132)*119.6</f>
        <v>598</v>
      </c>
      <c r="G134" s="715">
        <f>G131-G133</f>
        <v>2401.2000000000003</v>
      </c>
    </row>
    <row r="135" spans="2:7" x14ac:dyDescent="0.2">
      <c r="B135" s="717"/>
      <c r="C135" s="716"/>
      <c r="D135" s="715"/>
      <c r="E135" s="715"/>
      <c r="F135" s="715"/>
      <c r="G135" s="715"/>
    </row>
    <row r="136" spans="2:7" x14ac:dyDescent="0.2">
      <c r="B136" s="174" t="str">
        <f>B129</f>
        <v>7 - 13 APR 2025</v>
      </c>
      <c r="C136" s="716"/>
      <c r="D136" s="174" t="s">
        <v>104</v>
      </c>
      <c r="E136" s="174" t="s">
        <v>86</v>
      </c>
      <c r="F136" s="174" t="s">
        <v>87</v>
      </c>
      <c r="G136" s="174" t="s">
        <v>19</v>
      </c>
    </row>
    <row r="137" spans="2:7" x14ac:dyDescent="0.2">
      <c r="B137" s="796" t="s">
        <v>111</v>
      </c>
      <c r="C137" s="174" t="s">
        <v>970</v>
      </c>
      <c r="D137" s="3">
        <v>24</v>
      </c>
      <c r="E137" s="3">
        <v>10</v>
      </c>
      <c r="F137" s="3">
        <v>10</v>
      </c>
      <c r="G137" s="174">
        <f t="shared" ref="G137:G138" si="35">SUM(D137:F137)</f>
        <v>44</v>
      </c>
    </row>
    <row r="138" spans="2:7" x14ac:dyDescent="0.2">
      <c r="B138" s="797"/>
      <c r="C138" s="174" t="s">
        <v>971</v>
      </c>
      <c r="D138" s="53">
        <f>D137*112.7</f>
        <v>2704.8</v>
      </c>
      <c r="E138" s="53">
        <f>E137*112.7</f>
        <v>1127</v>
      </c>
      <c r="F138" s="53">
        <f>F137*119.6</f>
        <v>1196</v>
      </c>
      <c r="G138" s="715">
        <f t="shared" si="35"/>
        <v>5027.8</v>
      </c>
    </row>
    <row r="139" spans="2:7" x14ac:dyDescent="0.2">
      <c r="B139" s="797"/>
      <c r="C139" s="716" t="s">
        <v>89</v>
      </c>
      <c r="D139" s="3">
        <v>1</v>
      </c>
      <c r="E139" s="3"/>
      <c r="F139" s="3"/>
      <c r="G139" s="174">
        <f t="shared" ref="G139" si="36">SUM(D139:F139)</f>
        <v>1</v>
      </c>
    </row>
    <row r="140" spans="2:7" x14ac:dyDescent="0.2">
      <c r="B140" s="797"/>
      <c r="C140" s="716" t="s">
        <v>972</v>
      </c>
      <c r="D140" s="715">
        <f>D139*112.7</f>
        <v>112.7</v>
      </c>
      <c r="E140" s="715">
        <f>E139*112.7</f>
        <v>0</v>
      </c>
      <c r="F140" s="715">
        <f>F139*119.6</f>
        <v>0</v>
      </c>
      <c r="G140" s="715">
        <f t="shared" ref="G140" si="37">SUM(D140:F140)</f>
        <v>112.7</v>
      </c>
    </row>
    <row r="141" spans="2:7" x14ac:dyDescent="0.2">
      <c r="B141" s="798"/>
      <c r="C141" s="716" t="s">
        <v>973</v>
      </c>
      <c r="D141" s="715">
        <f>(D137-D139)*112.7</f>
        <v>2592.1</v>
      </c>
      <c r="E141" s="715">
        <f>(E137-E139)*112.7</f>
        <v>1127</v>
      </c>
      <c r="F141" s="715">
        <f>(F137-F139)*119.6</f>
        <v>1196</v>
      </c>
      <c r="G141" s="715">
        <f>G138-G140</f>
        <v>4915.1000000000004</v>
      </c>
    </row>
    <row r="142" spans="2:7" x14ac:dyDescent="0.2">
      <c r="B142" s="717"/>
      <c r="C142" s="716"/>
      <c r="D142" s="715"/>
      <c r="E142" s="715"/>
      <c r="F142" s="715"/>
      <c r="G142" s="715"/>
    </row>
    <row r="143" spans="2:7" x14ac:dyDescent="0.2">
      <c r="B143" s="174" t="str">
        <f>B136</f>
        <v>7 - 13 APR 2025</v>
      </c>
      <c r="C143" s="716"/>
      <c r="D143" s="174" t="s">
        <v>104</v>
      </c>
      <c r="E143" s="174" t="s">
        <v>86</v>
      </c>
      <c r="F143" s="174" t="s">
        <v>87</v>
      </c>
      <c r="G143" s="174" t="s">
        <v>19</v>
      </c>
    </row>
    <row r="144" spans="2:7" x14ac:dyDescent="0.2">
      <c r="B144" s="796" t="s">
        <v>270</v>
      </c>
      <c r="C144" s="174" t="s">
        <v>970</v>
      </c>
      <c r="D144" s="3">
        <v>44</v>
      </c>
      <c r="E144" s="3">
        <v>10</v>
      </c>
      <c r="F144" s="3">
        <v>10</v>
      </c>
      <c r="G144" s="174">
        <f t="shared" ref="G144:G145" si="38">SUM(D144:F144)</f>
        <v>64</v>
      </c>
    </row>
    <row r="145" spans="2:7" x14ac:dyDescent="0.2">
      <c r="B145" s="797"/>
      <c r="C145" s="174" t="s">
        <v>971</v>
      </c>
      <c r="D145" s="53">
        <f>D144*112.7</f>
        <v>4958.8</v>
      </c>
      <c r="E145" s="53">
        <f>E144*112.7</f>
        <v>1127</v>
      </c>
      <c r="F145" s="53">
        <f>F144*119.6</f>
        <v>1196</v>
      </c>
      <c r="G145" s="715">
        <f t="shared" si="38"/>
        <v>7281.8</v>
      </c>
    </row>
    <row r="146" spans="2:7" x14ac:dyDescent="0.2">
      <c r="B146" s="797"/>
      <c r="C146" s="716" t="s">
        <v>89</v>
      </c>
      <c r="D146" s="3">
        <v>1</v>
      </c>
      <c r="E146" s="3">
        <v>2</v>
      </c>
      <c r="F146" s="3"/>
      <c r="G146" s="174">
        <f t="shared" ref="G146" si="39">SUM(D146:F146)</f>
        <v>3</v>
      </c>
    </row>
    <row r="147" spans="2:7" x14ac:dyDescent="0.2">
      <c r="B147" s="797"/>
      <c r="C147" s="716" t="s">
        <v>972</v>
      </c>
      <c r="D147" s="715">
        <f>D146*112.7</f>
        <v>112.7</v>
      </c>
      <c r="E147" s="715">
        <f>E146*112.7</f>
        <v>225.4</v>
      </c>
      <c r="F147" s="715">
        <f>F146*119.6</f>
        <v>0</v>
      </c>
      <c r="G147" s="715">
        <f t="shared" ref="G147" si="40">SUM(D147:F147)</f>
        <v>338.1</v>
      </c>
    </row>
    <row r="148" spans="2:7" x14ac:dyDescent="0.2">
      <c r="B148" s="798"/>
      <c r="C148" s="716" t="s">
        <v>973</v>
      </c>
      <c r="D148" s="715">
        <f>(D144-D146)*112.7</f>
        <v>4846.1000000000004</v>
      </c>
      <c r="E148" s="715">
        <f>(E144-E146)*112.7</f>
        <v>901.6</v>
      </c>
      <c r="F148" s="715">
        <f>(F144-F146)*119.6</f>
        <v>1196</v>
      </c>
      <c r="G148" s="715">
        <f>G145-G147</f>
        <v>6943.7</v>
      </c>
    </row>
    <row r="149" spans="2:7" x14ac:dyDescent="0.2">
      <c r="B149" s="717"/>
      <c r="C149" s="716"/>
      <c r="D149" s="715"/>
      <c r="E149" s="715"/>
      <c r="F149" s="715"/>
      <c r="G149" s="715"/>
    </row>
    <row r="150" spans="2:7" x14ac:dyDescent="0.2">
      <c r="B150" s="174" t="str">
        <f>B143</f>
        <v>7 - 13 APR 2025</v>
      </c>
      <c r="C150" s="716"/>
      <c r="D150" s="174" t="s">
        <v>104</v>
      </c>
      <c r="E150" s="174" t="s">
        <v>86</v>
      </c>
      <c r="F150" s="174" t="s">
        <v>87</v>
      </c>
      <c r="G150" s="174" t="s">
        <v>19</v>
      </c>
    </row>
    <row r="151" spans="2:7" x14ac:dyDescent="0.2">
      <c r="B151" s="796" t="s">
        <v>274</v>
      </c>
      <c r="C151" s="174" t="s">
        <v>970</v>
      </c>
      <c r="D151" s="3">
        <v>24</v>
      </c>
      <c r="E151" s="3">
        <v>8</v>
      </c>
      <c r="F151" s="3">
        <v>10</v>
      </c>
      <c r="G151" s="174">
        <f t="shared" ref="G151:G152" si="41">SUM(D151:F151)</f>
        <v>42</v>
      </c>
    </row>
    <row r="152" spans="2:7" x14ac:dyDescent="0.2">
      <c r="B152" s="797"/>
      <c r="C152" s="174" t="s">
        <v>971</v>
      </c>
      <c r="D152" s="53">
        <f>D151*112.7</f>
        <v>2704.8</v>
      </c>
      <c r="E152" s="53">
        <f>E151*112.7</f>
        <v>901.6</v>
      </c>
      <c r="F152" s="53">
        <f>F151*119.6</f>
        <v>1196</v>
      </c>
      <c r="G152" s="715">
        <f t="shared" si="41"/>
        <v>4802.3999999999996</v>
      </c>
    </row>
    <row r="153" spans="2:7" x14ac:dyDescent="0.2">
      <c r="B153" s="797"/>
      <c r="C153" s="716" t="s">
        <v>89</v>
      </c>
      <c r="D153" s="3">
        <v>7</v>
      </c>
      <c r="E153" s="3"/>
      <c r="F153" s="3"/>
      <c r="G153" s="174">
        <f t="shared" ref="G153" si="42">SUM(D153:F153)</f>
        <v>7</v>
      </c>
    </row>
    <row r="154" spans="2:7" x14ac:dyDescent="0.2">
      <c r="B154" s="797"/>
      <c r="C154" s="716" t="s">
        <v>972</v>
      </c>
      <c r="D154" s="715">
        <f>D153*112.7</f>
        <v>788.9</v>
      </c>
      <c r="E154" s="715">
        <f>E153*112.7</f>
        <v>0</v>
      </c>
      <c r="F154" s="715">
        <f>F153*119.6</f>
        <v>0</v>
      </c>
      <c r="G154" s="715">
        <f t="shared" ref="G154" si="43">SUM(D154:F154)</f>
        <v>788.9</v>
      </c>
    </row>
    <row r="155" spans="2:7" x14ac:dyDescent="0.2">
      <c r="B155" s="798"/>
      <c r="C155" s="716" t="s">
        <v>973</v>
      </c>
      <c r="D155" s="715">
        <f>(D151-D153)*112.7</f>
        <v>1915.9</v>
      </c>
      <c r="E155" s="715">
        <f>(E151-E153)*112.7</f>
        <v>901.6</v>
      </c>
      <c r="F155" s="715">
        <f>(F151-F153)*119.6</f>
        <v>1196</v>
      </c>
      <c r="G155" s="715">
        <f>G152-G154</f>
        <v>4013.4999999999995</v>
      </c>
    </row>
    <row r="156" spans="2:7" x14ac:dyDescent="0.2">
      <c r="B156" s="717"/>
      <c r="C156" s="716"/>
      <c r="D156" s="715"/>
      <c r="E156" s="715"/>
      <c r="F156" s="715"/>
      <c r="G156" s="715"/>
    </row>
    <row r="157" spans="2:7" x14ac:dyDescent="0.2">
      <c r="B157" s="174" t="str">
        <f>B150</f>
        <v>7 - 13 APR 2025</v>
      </c>
      <c r="C157" s="716"/>
      <c r="D157" s="174" t="s">
        <v>104</v>
      </c>
      <c r="E157" s="174" t="s">
        <v>86</v>
      </c>
      <c r="F157" s="174" t="s">
        <v>87</v>
      </c>
      <c r="G157" s="174" t="s">
        <v>19</v>
      </c>
    </row>
    <row r="158" spans="2:7" x14ac:dyDescent="0.2">
      <c r="B158" s="796" t="s">
        <v>112</v>
      </c>
      <c r="C158" s="174" t="s">
        <v>970</v>
      </c>
      <c r="D158" s="3">
        <v>24</v>
      </c>
      <c r="E158" s="3">
        <v>10</v>
      </c>
      <c r="F158" s="3">
        <v>10</v>
      </c>
      <c r="G158" s="174">
        <f t="shared" ref="G158:G159" si="44">SUM(D158:F158)</f>
        <v>44</v>
      </c>
    </row>
    <row r="159" spans="2:7" x14ac:dyDescent="0.2">
      <c r="B159" s="797"/>
      <c r="C159" s="174" t="s">
        <v>971</v>
      </c>
      <c r="D159" s="53">
        <f>D158*112.7</f>
        <v>2704.8</v>
      </c>
      <c r="E159" s="53">
        <f>E158*112.7</f>
        <v>1127</v>
      </c>
      <c r="F159" s="53">
        <f>F158*119.6</f>
        <v>1196</v>
      </c>
      <c r="G159" s="715">
        <f t="shared" si="44"/>
        <v>5027.8</v>
      </c>
    </row>
    <row r="160" spans="2:7" x14ac:dyDescent="0.2">
      <c r="B160" s="797"/>
      <c r="C160" s="716" t="s">
        <v>89</v>
      </c>
      <c r="D160" s="3"/>
      <c r="E160" s="3"/>
      <c r="F160" s="3"/>
      <c r="G160" s="174">
        <f t="shared" ref="G160" si="45">SUM(D160:F160)</f>
        <v>0</v>
      </c>
    </row>
    <row r="161" spans="2:9" x14ac:dyDescent="0.2">
      <c r="B161" s="797"/>
      <c r="C161" s="716" t="s">
        <v>972</v>
      </c>
      <c r="D161" s="715">
        <f>D160*112.7</f>
        <v>0</v>
      </c>
      <c r="E161" s="715">
        <f>E160*112.7</f>
        <v>0</v>
      </c>
      <c r="F161" s="715">
        <f>F160*119.6</f>
        <v>0</v>
      </c>
      <c r="G161" s="715">
        <f t="shared" ref="G161" si="46">SUM(D161:F161)</f>
        <v>0</v>
      </c>
    </row>
    <row r="162" spans="2:9" x14ac:dyDescent="0.2">
      <c r="B162" s="798"/>
      <c r="C162" s="716" t="s">
        <v>973</v>
      </c>
      <c r="D162" s="715">
        <f>(D158-D160)*112.7</f>
        <v>2704.8</v>
      </c>
      <c r="E162" s="715">
        <f>(E158-E160)*112.7</f>
        <v>1127</v>
      </c>
      <c r="F162" s="715">
        <f>(F158-F160)*119.6</f>
        <v>1196</v>
      </c>
      <c r="G162" s="715">
        <f>G159-G161</f>
        <v>5027.8</v>
      </c>
    </row>
    <row r="163" spans="2:9" x14ac:dyDescent="0.2">
      <c r="B163" s="717"/>
      <c r="C163" s="716"/>
      <c r="D163" s="715"/>
      <c r="E163" s="715"/>
      <c r="F163" s="715"/>
      <c r="G163" s="715"/>
    </row>
    <row r="164" spans="2:9" x14ac:dyDescent="0.2">
      <c r="B164" s="174" t="str">
        <f>B157</f>
        <v>7 - 13 APR 2025</v>
      </c>
      <c r="C164" s="716"/>
      <c r="D164" s="174" t="s">
        <v>104</v>
      </c>
      <c r="E164" s="174" t="s">
        <v>86</v>
      </c>
      <c r="F164" s="174" t="s">
        <v>87</v>
      </c>
      <c r="G164" s="174" t="s">
        <v>19</v>
      </c>
    </row>
    <row r="165" spans="2:9" x14ac:dyDescent="0.2">
      <c r="B165" s="799" t="s">
        <v>72</v>
      </c>
      <c r="C165" s="174" t="s">
        <v>970</v>
      </c>
      <c r="D165" s="3">
        <v>25</v>
      </c>
      <c r="E165" s="3">
        <v>10</v>
      </c>
      <c r="F165" s="3">
        <v>10</v>
      </c>
      <c r="G165" s="174">
        <f t="shared" ref="G165:G166" si="47">SUM(D165:F165)</f>
        <v>45</v>
      </c>
    </row>
    <row r="166" spans="2:9" x14ac:dyDescent="0.2">
      <c r="B166" s="799"/>
      <c r="C166" s="174" t="s">
        <v>971</v>
      </c>
      <c r="D166" s="53">
        <f>D165*112.7</f>
        <v>2817.5</v>
      </c>
      <c r="E166" s="53">
        <f>E165*112.7</f>
        <v>1127</v>
      </c>
      <c r="F166" s="53">
        <f>F165*119.6</f>
        <v>1196</v>
      </c>
      <c r="G166" s="715">
        <f t="shared" si="47"/>
        <v>5140.5</v>
      </c>
    </row>
    <row r="167" spans="2:9" x14ac:dyDescent="0.2">
      <c r="B167" s="799"/>
      <c r="C167" s="716" t="s">
        <v>89</v>
      </c>
      <c r="D167" s="3">
        <v>5</v>
      </c>
      <c r="E167" s="3"/>
      <c r="F167" s="3"/>
      <c r="G167" s="174">
        <f t="shared" ref="G167" si="48">SUM(D167:F167)</f>
        <v>5</v>
      </c>
    </row>
    <row r="168" spans="2:9" x14ac:dyDescent="0.2">
      <c r="B168" s="799"/>
      <c r="C168" s="716" t="s">
        <v>972</v>
      </c>
      <c r="D168" s="715">
        <f>D167*112.7</f>
        <v>563.5</v>
      </c>
      <c r="E168" s="715">
        <f>E167*112.7</f>
        <v>0</v>
      </c>
      <c r="F168" s="715">
        <f>F167*119.6</f>
        <v>0</v>
      </c>
      <c r="G168" s="715">
        <f t="shared" ref="G168" si="49">SUM(D168:F168)</f>
        <v>563.5</v>
      </c>
    </row>
    <row r="169" spans="2:9" x14ac:dyDescent="0.2">
      <c r="B169" s="799"/>
      <c r="C169" s="716" t="s">
        <v>973</v>
      </c>
      <c r="D169" s="715">
        <f>(D165-D167)*112.7</f>
        <v>2254</v>
      </c>
      <c r="E169" s="715">
        <f>(E165-E167)*112.7</f>
        <v>1127</v>
      </c>
      <c r="F169" s="715">
        <f>(F165-F167)*119.6</f>
        <v>1196</v>
      </c>
      <c r="G169" s="715">
        <f>G166-G168</f>
        <v>4577</v>
      </c>
    </row>
    <row r="170" spans="2:9" x14ac:dyDescent="0.2">
      <c r="B170" s="717"/>
      <c r="C170" s="716"/>
      <c r="D170" s="715"/>
      <c r="E170" s="715"/>
      <c r="F170" s="715"/>
      <c r="G170" s="715"/>
    </row>
    <row r="171" spans="2:9" x14ac:dyDescent="0.2">
      <c r="B171" s="174" t="str">
        <f>B164</f>
        <v>7 - 13 APR 2025</v>
      </c>
      <c r="C171" s="716"/>
      <c r="D171" s="174" t="s">
        <v>104</v>
      </c>
      <c r="E171" s="174" t="s">
        <v>86</v>
      </c>
      <c r="F171" s="174" t="s">
        <v>88</v>
      </c>
      <c r="G171" s="174" t="s">
        <v>87</v>
      </c>
      <c r="H171" s="174" t="s">
        <v>983</v>
      </c>
      <c r="I171" s="174" t="s">
        <v>19</v>
      </c>
    </row>
    <row r="172" spans="2:9" x14ac:dyDescent="0.2">
      <c r="B172" s="796" t="s">
        <v>105</v>
      </c>
      <c r="C172" s="174" t="s">
        <v>970</v>
      </c>
      <c r="D172" s="3">
        <v>58</v>
      </c>
      <c r="E172" s="3">
        <v>32</v>
      </c>
      <c r="F172" s="3">
        <v>26</v>
      </c>
      <c r="G172" s="3">
        <v>34</v>
      </c>
      <c r="H172" s="3">
        <v>45</v>
      </c>
      <c r="I172" s="174">
        <f>SUM(D172:H172)</f>
        <v>195</v>
      </c>
    </row>
    <row r="173" spans="2:9" x14ac:dyDescent="0.2">
      <c r="B173" s="797"/>
      <c r="C173" s="174" t="s">
        <v>971</v>
      </c>
      <c r="D173" s="53">
        <f>D172*100</f>
        <v>5800</v>
      </c>
      <c r="E173" s="53">
        <f t="shared" ref="E173:F173" si="50">E172*100</f>
        <v>3200</v>
      </c>
      <c r="F173" s="53">
        <f t="shared" si="50"/>
        <v>2600</v>
      </c>
      <c r="G173" s="53">
        <f>G172*100</f>
        <v>3400</v>
      </c>
      <c r="H173" s="53">
        <f>H172*100</f>
        <v>4500</v>
      </c>
      <c r="I173" s="715">
        <f t="shared" ref="I173:I175" si="51">SUM(D173:H173)</f>
        <v>19500</v>
      </c>
    </row>
    <row r="174" spans="2:9" x14ac:dyDescent="0.2">
      <c r="B174" s="797"/>
      <c r="C174" s="716" t="s">
        <v>89</v>
      </c>
      <c r="D174" s="3">
        <v>4</v>
      </c>
      <c r="E174" s="3">
        <v>6</v>
      </c>
      <c r="F174" s="3">
        <v>7</v>
      </c>
      <c r="G174" s="3">
        <v>6</v>
      </c>
      <c r="H174" s="3">
        <v>1</v>
      </c>
      <c r="I174" s="174">
        <f t="shared" si="51"/>
        <v>24</v>
      </c>
    </row>
    <row r="175" spans="2:9" x14ac:dyDescent="0.2">
      <c r="B175" s="797"/>
      <c r="C175" s="716" t="s">
        <v>972</v>
      </c>
      <c r="D175" s="715">
        <f>D174*100</f>
        <v>400</v>
      </c>
      <c r="E175" s="715">
        <f t="shared" ref="E175:H175" si="52">E174*100</f>
        <v>600</v>
      </c>
      <c r="F175" s="715">
        <f t="shared" si="52"/>
        <v>700</v>
      </c>
      <c r="G175" s="715">
        <f t="shared" si="52"/>
        <v>600</v>
      </c>
      <c r="H175" s="715">
        <f t="shared" si="52"/>
        <v>100</v>
      </c>
      <c r="I175" s="715">
        <f t="shared" si="51"/>
        <v>2400</v>
      </c>
    </row>
    <row r="176" spans="2:9" x14ac:dyDescent="0.2">
      <c r="B176" s="798"/>
      <c r="C176" s="716" t="s">
        <v>973</v>
      </c>
      <c r="D176" s="715">
        <f>D173-D175</f>
        <v>5400</v>
      </c>
      <c r="E176" s="715">
        <f t="shared" ref="E176:H176" si="53">E173-E175</f>
        <v>2600</v>
      </c>
      <c r="F176" s="715">
        <f t="shared" si="53"/>
        <v>1900</v>
      </c>
      <c r="G176" s="715">
        <f t="shared" si="53"/>
        <v>2800</v>
      </c>
      <c r="H176" s="715">
        <f t="shared" si="53"/>
        <v>4400</v>
      </c>
      <c r="I176" s="715">
        <f>SUM(D176:H176)</f>
        <v>17100</v>
      </c>
    </row>
    <row r="177" spans="2:9" x14ac:dyDescent="0.2">
      <c r="B177" s="717"/>
      <c r="C177" s="716"/>
      <c r="D177" s="715"/>
      <c r="E177" s="715"/>
      <c r="F177" s="715"/>
      <c r="G177" s="715"/>
      <c r="H177" s="715"/>
      <c r="I177" s="715"/>
    </row>
    <row r="178" spans="2:9" x14ac:dyDescent="0.2">
      <c r="B178" s="174" t="str">
        <f>B171</f>
        <v>7 - 13 APR 2025</v>
      </c>
      <c r="C178" s="716"/>
      <c r="D178" s="174" t="s">
        <v>104</v>
      </c>
      <c r="E178" s="174" t="s">
        <v>86</v>
      </c>
      <c r="F178" s="174" t="s">
        <v>88</v>
      </c>
      <c r="G178" s="174" t="s">
        <v>87</v>
      </c>
      <c r="H178" s="174" t="s">
        <v>983</v>
      </c>
      <c r="I178" s="174" t="s">
        <v>19</v>
      </c>
    </row>
    <row r="179" spans="2:9" x14ac:dyDescent="0.2">
      <c r="B179" s="796" t="s">
        <v>382</v>
      </c>
      <c r="C179" s="174" t="s">
        <v>970</v>
      </c>
      <c r="D179" s="3">
        <v>5</v>
      </c>
      <c r="E179" s="3">
        <v>2</v>
      </c>
      <c r="F179" s="3">
        <v>5</v>
      </c>
      <c r="G179" s="3"/>
      <c r="H179" s="3">
        <v>5</v>
      </c>
      <c r="I179" s="174">
        <f>SUM(D179:H179)</f>
        <v>17</v>
      </c>
    </row>
    <row r="180" spans="2:9" x14ac:dyDescent="0.2">
      <c r="B180" s="797"/>
      <c r="C180" s="174" t="s">
        <v>971</v>
      </c>
      <c r="D180" s="53">
        <f>D179*120</f>
        <v>600</v>
      </c>
      <c r="E180" s="53">
        <f t="shared" ref="E180:H180" si="54">E179*120</f>
        <v>240</v>
      </c>
      <c r="F180" s="53">
        <f t="shared" si="54"/>
        <v>600</v>
      </c>
      <c r="G180" s="53">
        <f t="shared" si="54"/>
        <v>0</v>
      </c>
      <c r="H180" s="53">
        <f t="shared" si="54"/>
        <v>600</v>
      </c>
      <c r="I180" s="715">
        <f t="shared" ref="I180:I183" si="55">SUM(D180:H180)</f>
        <v>2040</v>
      </c>
    </row>
    <row r="181" spans="2:9" x14ac:dyDescent="0.2">
      <c r="B181" s="797"/>
      <c r="C181" s="716" t="s">
        <v>89</v>
      </c>
      <c r="D181" s="3"/>
      <c r="E181" s="3"/>
      <c r="F181" s="3"/>
      <c r="G181" s="3"/>
      <c r="H181" s="3"/>
      <c r="I181" s="174">
        <f t="shared" si="55"/>
        <v>0</v>
      </c>
    </row>
    <row r="182" spans="2:9" x14ac:dyDescent="0.2">
      <c r="B182" s="797"/>
      <c r="C182" s="716" t="s">
        <v>972</v>
      </c>
      <c r="D182" s="715">
        <f>D181*120</f>
        <v>0</v>
      </c>
      <c r="E182" s="715">
        <f t="shared" ref="E182:H182" si="56">E181*120</f>
        <v>0</v>
      </c>
      <c r="F182" s="715">
        <f t="shared" si="56"/>
        <v>0</v>
      </c>
      <c r="G182" s="715">
        <f t="shared" si="56"/>
        <v>0</v>
      </c>
      <c r="H182" s="715">
        <f t="shared" si="56"/>
        <v>0</v>
      </c>
      <c r="I182" s="715">
        <f t="shared" si="55"/>
        <v>0</v>
      </c>
    </row>
    <row r="183" spans="2:9" x14ac:dyDescent="0.2">
      <c r="B183" s="798"/>
      <c r="C183" s="716" t="s">
        <v>973</v>
      </c>
      <c r="D183" s="715">
        <f>D180-D182</f>
        <v>600</v>
      </c>
      <c r="E183" s="715">
        <f t="shared" ref="E183:H183" si="57">E180-E182</f>
        <v>240</v>
      </c>
      <c r="F183" s="715">
        <f t="shared" si="57"/>
        <v>600</v>
      </c>
      <c r="G183" s="715">
        <f t="shared" si="57"/>
        <v>0</v>
      </c>
      <c r="H183" s="715">
        <f t="shared" si="57"/>
        <v>600</v>
      </c>
      <c r="I183" s="715">
        <f t="shared" si="55"/>
        <v>2040</v>
      </c>
    </row>
    <row r="184" spans="2:9" x14ac:dyDescent="0.2">
      <c r="B184" s="717"/>
      <c r="C184" s="716"/>
      <c r="D184" s="715"/>
      <c r="E184" s="715"/>
      <c r="F184" s="715"/>
      <c r="G184" s="715"/>
      <c r="H184" s="715"/>
      <c r="I184" s="715"/>
    </row>
    <row r="185" spans="2:9" x14ac:dyDescent="0.2">
      <c r="B185" s="174" t="str">
        <f>B178</f>
        <v>7 - 13 APR 2025</v>
      </c>
      <c r="C185" s="716"/>
      <c r="D185" s="174" t="s">
        <v>104</v>
      </c>
      <c r="E185" s="174" t="s">
        <v>86</v>
      </c>
      <c r="F185" s="174" t="s">
        <v>88</v>
      </c>
      <c r="G185" s="174" t="s">
        <v>87</v>
      </c>
      <c r="H185" s="174" t="s">
        <v>983</v>
      </c>
      <c r="I185" s="174" t="s">
        <v>19</v>
      </c>
    </row>
    <row r="186" spans="2:9" x14ac:dyDescent="0.2">
      <c r="B186" s="796" t="s">
        <v>200</v>
      </c>
      <c r="C186" s="174" t="s">
        <v>970</v>
      </c>
      <c r="D186" s="3">
        <v>5</v>
      </c>
      <c r="E186" s="3">
        <v>5</v>
      </c>
      <c r="F186" s="3">
        <v>5</v>
      </c>
      <c r="G186" s="3">
        <v>5</v>
      </c>
      <c r="H186" s="3">
        <v>5</v>
      </c>
      <c r="I186" s="174">
        <f>SUM(D186:H186)</f>
        <v>25</v>
      </c>
    </row>
    <row r="187" spans="2:9" x14ac:dyDescent="0.2">
      <c r="B187" s="797"/>
      <c r="C187" s="174" t="s">
        <v>971</v>
      </c>
      <c r="D187" s="53">
        <f>D186*120</f>
        <v>600</v>
      </c>
      <c r="E187" s="53">
        <f t="shared" ref="E187:H187" si="58">E186*120</f>
        <v>600</v>
      </c>
      <c r="F187" s="53">
        <f t="shared" si="58"/>
        <v>600</v>
      </c>
      <c r="G187" s="53">
        <f t="shared" si="58"/>
        <v>600</v>
      </c>
      <c r="H187" s="53">
        <f t="shared" si="58"/>
        <v>600</v>
      </c>
      <c r="I187" s="715">
        <f t="shared" ref="I187:I190" si="59">SUM(D187:H187)</f>
        <v>3000</v>
      </c>
    </row>
    <row r="188" spans="2:9" x14ac:dyDescent="0.2">
      <c r="B188" s="797"/>
      <c r="C188" s="716" t="s">
        <v>89</v>
      </c>
      <c r="D188" s="3"/>
      <c r="E188" s="3"/>
      <c r="F188" s="3"/>
      <c r="G188" s="3"/>
      <c r="H188" s="3"/>
      <c r="I188" s="174">
        <f t="shared" si="59"/>
        <v>0</v>
      </c>
    </row>
    <row r="189" spans="2:9" x14ac:dyDescent="0.2">
      <c r="B189" s="797"/>
      <c r="C189" s="716" t="s">
        <v>972</v>
      </c>
      <c r="D189" s="715">
        <f>D188*120</f>
        <v>0</v>
      </c>
      <c r="E189" s="715">
        <f t="shared" ref="E189" si="60">E188*120</f>
        <v>0</v>
      </c>
      <c r="F189" s="715">
        <f t="shared" ref="F189" si="61">F188*120</f>
        <v>0</v>
      </c>
      <c r="G189" s="715">
        <f t="shared" ref="G189" si="62">G188*120</f>
        <v>0</v>
      </c>
      <c r="H189" s="715">
        <f t="shared" ref="H189" si="63">H188*120</f>
        <v>0</v>
      </c>
      <c r="I189" s="715">
        <f t="shared" si="59"/>
        <v>0</v>
      </c>
    </row>
    <row r="190" spans="2:9" x14ac:dyDescent="0.2">
      <c r="B190" s="798"/>
      <c r="C190" s="716" t="s">
        <v>973</v>
      </c>
      <c r="D190" s="715">
        <f>D187-D189</f>
        <v>600</v>
      </c>
      <c r="E190" s="715">
        <f t="shared" ref="E190" si="64">E187-E189</f>
        <v>600</v>
      </c>
      <c r="F190" s="715">
        <f t="shared" ref="F190" si="65">F187-F189</f>
        <v>600</v>
      </c>
      <c r="G190" s="715">
        <f t="shared" ref="G190" si="66">G187-G189</f>
        <v>600</v>
      </c>
      <c r="H190" s="715">
        <f t="shared" ref="H190" si="67">H187-H189</f>
        <v>600</v>
      </c>
      <c r="I190" s="715">
        <f t="shared" si="59"/>
        <v>3000</v>
      </c>
    </row>
    <row r="191" spans="2:9" x14ac:dyDescent="0.2">
      <c r="B191" s="717"/>
      <c r="C191" s="716"/>
      <c r="D191" s="715"/>
      <c r="E191" s="715"/>
      <c r="F191" s="715"/>
      <c r="G191" s="715"/>
      <c r="H191" s="715"/>
      <c r="I191" s="715"/>
    </row>
    <row r="192" spans="2:9" x14ac:dyDescent="0.2">
      <c r="B192" s="717"/>
      <c r="C192" s="716"/>
      <c r="D192" s="715"/>
      <c r="E192" s="715"/>
      <c r="F192" s="715"/>
      <c r="G192" s="715"/>
      <c r="H192" s="715"/>
      <c r="I192" s="715"/>
    </row>
    <row r="193" spans="2:9" x14ac:dyDescent="0.2">
      <c r="B193" s="174" t="str">
        <f>B185</f>
        <v>7 - 13 APR 2025</v>
      </c>
      <c r="C193" s="716"/>
      <c r="D193" s="174" t="s">
        <v>104</v>
      </c>
      <c r="E193" s="174" t="s">
        <v>86</v>
      </c>
      <c r="F193" s="174" t="s">
        <v>88</v>
      </c>
      <c r="G193" s="174" t="s">
        <v>87</v>
      </c>
      <c r="H193" s="174" t="s">
        <v>983</v>
      </c>
      <c r="I193" s="174" t="s">
        <v>19</v>
      </c>
    </row>
    <row r="194" spans="2:9" x14ac:dyDescent="0.2">
      <c r="B194" s="796" t="s">
        <v>269</v>
      </c>
      <c r="C194" s="174" t="s">
        <v>970</v>
      </c>
      <c r="D194" s="3">
        <v>10</v>
      </c>
      <c r="E194" s="3">
        <v>5</v>
      </c>
      <c r="F194" s="3">
        <v>5</v>
      </c>
      <c r="G194" s="3">
        <v>5</v>
      </c>
      <c r="H194" s="3">
        <v>10</v>
      </c>
      <c r="I194" s="174">
        <f>SUM(D194:H194)</f>
        <v>35</v>
      </c>
    </row>
    <row r="195" spans="2:9" x14ac:dyDescent="0.2">
      <c r="B195" s="797"/>
      <c r="C195" s="174" t="s">
        <v>971</v>
      </c>
      <c r="D195" s="53">
        <f>D194*120</f>
        <v>1200</v>
      </c>
      <c r="E195" s="53">
        <f t="shared" ref="E195:H195" si="68">E194*120</f>
        <v>600</v>
      </c>
      <c r="F195" s="53">
        <f t="shared" si="68"/>
        <v>600</v>
      </c>
      <c r="G195" s="53">
        <f t="shared" si="68"/>
        <v>600</v>
      </c>
      <c r="H195" s="53">
        <f t="shared" si="68"/>
        <v>1200</v>
      </c>
      <c r="I195" s="715">
        <f t="shared" ref="I195:I198" si="69">SUM(D195:H195)</f>
        <v>4200</v>
      </c>
    </row>
    <row r="196" spans="2:9" x14ac:dyDescent="0.2">
      <c r="B196" s="797"/>
      <c r="C196" s="716" t="s">
        <v>89</v>
      </c>
      <c r="D196" s="3"/>
      <c r="E196" s="3"/>
      <c r="F196" s="3"/>
      <c r="G196" s="3">
        <v>1</v>
      </c>
      <c r="H196" s="3"/>
      <c r="I196" s="174">
        <f t="shared" si="69"/>
        <v>1</v>
      </c>
    </row>
    <row r="197" spans="2:9" x14ac:dyDescent="0.2">
      <c r="B197" s="797"/>
      <c r="C197" s="716" t="s">
        <v>972</v>
      </c>
      <c r="D197" s="715">
        <f>D196*120</f>
        <v>0</v>
      </c>
      <c r="E197" s="715">
        <f t="shared" ref="E197" si="70">E196*120</f>
        <v>0</v>
      </c>
      <c r="F197" s="715">
        <f t="shared" ref="F197" si="71">F196*120</f>
        <v>0</v>
      </c>
      <c r="G197" s="715">
        <f t="shared" ref="G197" si="72">G196*120</f>
        <v>120</v>
      </c>
      <c r="H197" s="715">
        <f t="shared" ref="H197" si="73">H196*120</f>
        <v>0</v>
      </c>
      <c r="I197" s="715">
        <f t="shared" si="69"/>
        <v>120</v>
      </c>
    </row>
    <row r="198" spans="2:9" x14ac:dyDescent="0.2">
      <c r="B198" s="798"/>
      <c r="C198" s="716" t="s">
        <v>973</v>
      </c>
      <c r="D198" s="715">
        <f>D195-D197</f>
        <v>1200</v>
      </c>
      <c r="E198" s="715">
        <f t="shared" ref="E198" si="74">E195-E197</f>
        <v>600</v>
      </c>
      <c r="F198" s="715">
        <f t="shared" ref="F198" si="75">F195-F197</f>
        <v>600</v>
      </c>
      <c r="G198" s="715">
        <f t="shared" ref="G198" si="76">G195-G197</f>
        <v>480</v>
      </c>
      <c r="H198" s="715">
        <f t="shared" ref="H198" si="77">H195-H197</f>
        <v>1200</v>
      </c>
      <c r="I198" s="715">
        <f t="shared" si="69"/>
        <v>4080</v>
      </c>
    </row>
    <row r="199" spans="2:9" x14ac:dyDescent="0.2">
      <c r="B199" s="717"/>
      <c r="C199" s="716"/>
      <c r="D199" s="715"/>
      <c r="E199" s="715"/>
      <c r="F199" s="715"/>
      <c r="G199" s="715"/>
      <c r="H199" s="715"/>
      <c r="I199" s="715"/>
    </row>
    <row r="201" spans="2:9" x14ac:dyDescent="0.2">
      <c r="B201" s="174" t="s">
        <v>1026</v>
      </c>
      <c r="C201" s="174"/>
      <c r="D201" s="174" t="s">
        <v>104</v>
      </c>
      <c r="E201" s="174" t="s">
        <v>86</v>
      </c>
      <c r="F201" s="174" t="s">
        <v>87</v>
      </c>
      <c r="G201" s="174" t="s">
        <v>19</v>
      </c>
    </row>
    <row r="202" spans="2:9" x14ac:dyDescent="0.2">
      <c r="B202" s="796" t="s">
        <v>106</v>
      </c>
      <c r="C202" s="174" t="s">
        <v>970</v>
      </c>
      <c r="D202" s="3">
        <v>46</v>
      </c>
      <c r="E202" s="3">
        <v>24</v>
      </c>
      <c r="F202" s="3">
        <v>12</v>
      </c>
      <c r="G202" s="174">
        <f t="shared" ref="G202:G205" si="78">SUM(D202:F202)</f>
        <v>82</v>
      </c>
    </row>
    <row r="203" spans="2:9" x14ac:dyDescent="0.2">
      <c r="B203" s="797"/>
      <c r="C203" s="174" t="s">
        <v>971</v>
      </c>
      <c r="D203" s="53">
        <f>D202*112.7</f>
        <v>5184.2</v>
      </c>
      <c r="E203" s="53">
        <f>E202*112.7</f>
        <v>2704.8</v>
      </c>
      <c r="F203" s="53">
        <f>F202*119.6</f>
        <v>1435.1999999999998</v>
      </c>
      <c r="G203" s="715">
        <f t="shared" si="78"/>
        <v>9324.2000000000007</v>
      </c>
    </row>
    <row r="204" spans="2:9" x14ac:dyDescent="0.2">
      <c r="B204" s="797"/>
      <c r="C204" s="716" t="s">
        <v>89</v>
      </c>
      <c r="D204" s="3">
        <v>1</v>
      </c>
      <c r="E204" s="3">
        <v>6</v>
      </c>
      <c r="F204" s="3">
        <v>1</v>
      </c>
      <c r="G204" s="174">
        <f t="shared" si="78"/>
        <v>8</v>
      </c>
    </row>
    <row r="205" spans="2:9" x14ac:dyDescent="0.2">
      <c r="B205" s="797"/>
      <c r="C205" s="716" t="s">
        <v>972</v>
      </c>
      <c r="D205" s="715">
        <f>D204*112.7</f>
        <v>112.7</v>
      </c>
      <c r="E205" s="715">
        <f>E204*112.7</f>
        <v>676.2</v>
      </c>
      <c r="F205" s="715">
        <f>F204*119.6</f>
        <v>119.6</v>
      </c>
      <c r="G205" s="715">
        <f t="shared" si="78"/>
        <v>908.50000000000011</v>
      </c>
    </row>
    <row r="206" spans="2:9" x14ac:dyDescent="0.2">
      <c r="B206" s="798"/>
      <c r="C206" s="716" t="s">
        <v>973</v>
      </c>
      <c r="D206" s="715">
        <f>(D202-D204)*112.7</f>
        <v>5071.5</v>
      </c>
      <c r="E206" s="715">
        <f>(E202-E204)*112.7</f>
        <v>2028.6000000000001</v>
      </c>
      <c r="F206" s="715">
        <f>(F202-F204)*119.6</f>
        <v>1315.6</v>
      </c>
      <c r="G206" s="715">
        <f>G203-G205</f>
        <v>8415.7000000000007</v>
      </c>
    </row>
    <row r="207" spans="2:9" x14ac:dyDescent="0.2">
      <c r="B207" s="717"/>
      <c r="C207" s="716"/>
      <c r="D207" s="715"/>
      <c r="E207" s="715"/>
      <c r="F207" s="715"/>
      <c r="G207" s="715"/>
    </row>
    <row r="208" spans="2:9" x14ac:dyDescent="0.2">
      <c r="B208" s="174" t="str">
        <f>B201</f>
        <v>14 - 20 APR 2025</v>
      </c>
      <c r="C208" s="716"/>
      <c r="D208" s="174" t="s">
        <v>104</v>
      </c>
      <c r="E208" s="174" t="s">
        <v>86</v>
      </c>
      <c r="F208" s="174" t="s">
        <v>87</v>
      </c>
      <c r="G208" s="174" t="s">
        <v>19</v>
      </c>
    </row>
    <row r="209" spans="2:7" x14ac:dyDescent="0.2">
      <c r="B209" s="796" t="s">
        <v>108</v>
      </c>
      <c r="C209" s="174" t="s">
        <v>970</v>
      </c>
      <c r="D209" s="3">
        <v>68</v>
      </c>
      <c r="E209" s="3">
        <v>34</v>
      </c>
      <c r="F209" s="3">
        <v>34</v>
      </c>
      <c r="G209" s="174">
        <f t="shared" ref="G209:G210" si="79">SUM(D209:F209)</f>
        <v>136</v>
      </c>
    </row>
    <row r="210" spans="2:7" x14ac:dyDescent="0.2">
      <c r="B210" s="797"/>
      <c r="C210" s="174" t="s">
        <v>971</v>
      </c>
      <c r="D210" s="53">
        <f>D209*112.7</f>
        <v>7663.6</v>
      </c>
      <c r="E210" s="53">
        <f>E209*112.7</f>
        <v>3831.8</v>
      </c>
      <c r="F210" s="53">
        <f>F209*119.6</f>
        <v>4066.3999999999996</v>
      </c>
      <c r="G210" s="715">
        <f t="shared" si="79"/>
        <v>15561.800000000001</v>
      </c>
    </row>
    <row r="211" spans="2:7" x14ac:dyDescent="0.2">
      <c r="B211" s="797"/>
      <c r="C211" s="716" t="s">
        <v>89</v>
      </c>
      <c r="D211" s="3"/>
      <c r="E211" s="3"/>
      <c r="F211" s="3"/>
      <c r="G211" s="174">
        <f t="shared" ref="G211:G212" si="80">SUM(D211:F211)</f>
        <v>0</v>
      </c>
    </row>
    <row r="212" spans="2:7" x14ac:dyDescent="0.2">
      <c r="B212" s="797"/>
      <c r="C212" s="716" t="s">
        <v>972</v>
      </c>
      <c r="D212" s="715">
        <f>D211*112.7</f>
        <v>0</v>
      </c>
      <c r="E212" s="715">
        <f>E211*112.7</f>
        <v>0</v>
      </c>
      <c r="F212" s="715">
        <f>F211*119.6</f>
        <v>0</v>
      </c>
      <c r="G212" s="715">
        <f t="shared" si="80"/>
        <v>0</v>
      </c>
    </row>
    <row r="213" spans="2:7" x14ac:dyDescent="0.2">
      <c r="B213" s="798"/>
      <c r="C213" s="716" t="s">
        <v>973</v>
      </c>
      <c r="D213" s="715">
        <f>(D209-D211)*112.7</f>
        <v>7663.6</v>
      </c>
      <c r="E213" s="715">
        <f>(E209-E211)*112.7</f>
        <v>3831.8</v>
      </c>
      <c r="F213" s="715">
        <f>(F209-F211)*119.6</f>
        <v>4066.3999999999996</v>
      </c>
      <c r="G213" s="715">
        <f>G210-G212</f>
        <v>15561.800000000001</v>
      </c>
    </row>
    <row r="214" spans="2:7" x14ac:dyDescent="0.2">
      <c r="B214" s="717"/>
      <c r="C214" s="716"/>
      <c r="D214" s="715"/>
      <c r="E214" s="715"/>
      <c r="F214" s="715"/>
      <c r="G214" s="715"/>
    </row>
    <row r="215" spans="2:7" x14ac:dyDescent="0.2">
      <c r="B215" s="174" t="str">
        <f>B208</f>
        <v>14 - 20 APR 2025</v>
      </c>
      <c r="C215" s="716"/>
      <c r="D215" s="174" t="s">
        <v>104</v>
      </c>
      <c r="E215" s="174" t="s">
        <v>86</v>
      </c>
      <c r="F215" s="174" t="s">
        <v>87</v>
      </c>
      <c r="G215" s="174" t="s">
        <v>19</v>
      </c>
    </row>
    <row r="216" spans="2:7" x14ac:dyDescent="0.2">
      <c r="B216" s="796" t="s">
        <v>109</v>
      </c>
      <c r="C216" s="174" t="s">
        <v>970</v>
      </c>
      <c r="D216" s="3">
        <v>52</v>
      </c>
      <c r="E216" s="3">
        <v>22</v>
      </c>
      <c r="F216" s="3">
        <v>22</v>
      </c>
      <c r="G216" s="174">
        <f t="shared" ref="G216:G217" si="81">SUM(D216:F216)</f>
        <v>96</v>
      </c>
    </row>
    <row r="217" spans="2:7" x14ac:dyDescent="0.2">
      <c r="B217" s="797"/>
      <c r="C217" s="174" t="s">
        <v>971</v>
      </c>
      <c r="D217" s="53">
        <f>D216*112.7</f>
        <v>5860.4000000000005</v>
      </c>
      <c r="E217" s="53">
        <f>E216*112.7</f>
        <v>2479.4</v>
      </c>
      <c r="F217" s="53">
        <f>F216*119.6</f>
        <v>2631.2</v>
      </c>
      <c r="G217" s="715">
        <f t="shared" si="81"/>
        <v>10971</v>
      </c>
    </row>
    <row r="218" spans="2:7" x14ac:dyDescent="0.2">
      <c r="B218" s="797"/>
      <c r="C218" s="716" t="s">
        <v>89</v>
      </c>
      <c r="D218" s="3">
        <v>10</v>
      </c>
      <c r="E218" s="3">
        <v>6</v>
      </c>
      <c r="F218" s="3">
        <v>2</v>
      </c>
      <c r="G218" s="174">
        <f t="shared" ref="G218:G219" si="82">SUM(D218:F218)</f>
        <v>18</v>
      </c>
    </row>
    <row r="219" spans="2:7" x14ac:dyDescent="0.2">
      <c r="B219" s="797"/>
      <c r="C219" s="716" t="s">
        <v>972</v>
      </c>
      <c r="D219" s="715">
        <f>D218*112.7</f>
        <v>1127</v>
      </c>
      <c r="E219" s="715">
        <f>E218*112.7</f>
        <v>676.2</v>
      </c>
      <c r="F219" s="715">
        <f>F218*119.6</f>
        <v>239.2</v>
      </c>
      <c r="G219" s="715">
        <f t="shared" si="82"/>
        <v>2042.4</v>
      </c>
    </row>
    <row r="220" spans="2:7" x14ac:dyDescent="0.2">
      <c r="B220" s="798"/>
      <c r="C220" s="716" t="s">
        <v>973</v>
      </c>
      <c r="D220" s="715">
        <f>(D216-D218)*112.7</f>
        <v>4733.4000000000005</v>
      </c>
      <c r="E220" s="715">
        <f>(E216-E218)*112.7</f>
        <v>1803.2</v>
      </c>
      <c r="F220" s="715">
        <f>(F216-F218)*119.6</f>
        <v>2392</v>
      </c>
      <c r="G220" s="715">
        <f>G217-G219</f>
        <v>8928.6</v>
      </c>
    </row>
    <row r="221" spans="2:7" x14ac:dyDescent="0.2">
      <c r="B221" s="717"/>
      <c r="C221" s="716"/>
      <c r="D221" s="715"/>
      <c r="E221" s="715"/>
      <c r="F221" s="715"/>
      <c r="G221" s="715"/>
    </row>
    <row r="222" spans="2:7" x14ac:dyDescent="0.2">
      <c r="B222" s="174" t="str">
        <f>B215</f>
        <v>14 - 20 APR 2025</v>
      </c>
      <c r="C222" s="716"/>
      <c r="D222" s="174" t="s">
        <v>104</v>
      </c>
      <c r="E222" s="174" t="s">
        <v>86</v>
      </c>
      <c r="F222" s="174" t="s">
        <v>87</v>
      </c>
      <c r="G222" s="174" t="s">
        <v>19</v>
      </c>
    </row>
    <row r="223" spans="2:7" x14ac:dyDescent="0.2">
      <c r="B223" s="796" t="s">
        <v>110</v>
      </c>
      <c r="C223" s="174" t="s">
        <v>970</v>
      </c>
      <c r="D223" s="3">
        <v>254</v>
      </c>
      <c r="E223" s="3">
        <v>70</v>
      </c>
      <c r="F223" s="3">
        <v>70</v>
      </c>
      <c r="G223" s="174">
        <f>SUM(D223:F223)</f>
        <v>394</v>
      </c>
    </row>
    <row r="224" spans="2:7" x14ac:dyDescent="0.2">
      <c r="B224" s="797"/>
      <c r="C224" s="174" t="s">
        <v>971</v>
      </c>
      <c r="D224" s="53">
        <f>D223*112.7</f>
        <v>28625.8</v>
      </c>
      <c r="E224" s="53">
        <f>E223*112.7</f>
        <v>7889</v>
      </c>
      <c r="F224" s="53">
        <f>F223*119.6</f>
        <v>8372</v>
      </c>
      <c r="G224" s="715">
        <f>SUM(D224:F224)</f>
        <v>44886.8</v>
      </c>
    </row>
    <row r="225" spans="2:7" x14ac:dyDescent="0.2">
      <c r="B225" s="797"/>
      <c r="C225" s="716" t="s">
        <v>89</v>
      </c>
      <c r="D225" s="3">
        <v>20</v>
      </c>
      <c r="E225" s="3">
        <v>1</v>
      </c>
      <c r="F225" s="3">
        <v>1</v>
      </c>
      <c r="G225" s="174">
        <f t="shared" ref="G225" si="83">SUM(D225:F225)</f>
        <v>22</v>
      </c>
    </row>
    <row r="226" spans="2:7" x14ac:dyDescent="0.2">
      <c r="B226" s="797"/>
      <c r="C226" s="716" t="s">
        <v>972</v>
      </c>
      <c r="D226" s="715">
        <f>D225*112.7</f>
        <v>2254</v>
      </c>
      <c r="E226" s="715">
        <f>E225*112.7</f>
        <v>112.7</v>
      </c>
      <c r="F226" s="715">
        <f>F225*119.6</f>
        <v>119.6</v>
      </c>
      <c r="G226" s="715">
        <f>SUM(D226:F226)</f>
        <v>2486.2999999999997</v>
      </c>
    </row>
    <row r="227" spans="2:7" x14ac:dyDescent="0.2">
      <c r="B227" s="798"/>
      <c r="C227" s="716" t="s">
        <v>973</v>
      </c>
      <c r="D227" s="715">
        <f>(D223-D225)*112.7</f>
        <v>26371.8</v>
      </c>
      <c r="E227" s="715">
        <f>(E223-E225)*112.7</f>
        <v>7776.3</v>
      </c>
      <c r="F227" s="715">
        <f>(F223-F225)*119.6</f>
        <v>8252.4</v>
      </c>
      <c r="G227" s="715">
        <f>G224-G226</f>
        <v>42400.5</v>
      </c>
    </row>
    <row r="228" spans="2:7" x14ac:dyDescent="0.2">
      <c r="B228" s="717"/>
      <c r="C228" s="716"/>
      <c r="D228" s="715"/>
      <c r="E228" s="715"/>
      <c r="F228" s="715"/>
      <c r="G228" s="715"/>
    </row>
    <row r="229" spans="2:7" x14ac:dyDescent="0.2">
      <c r="B229" s="174" t="str">
        <f>B222</f>
        <v>14 - 20 APR 2025</v>
      </c>
      <c r="C229" s="716"/>
      <c r="D229" s="174" t="s">
        <v>104</v>
      </c>
      <c r="E229" s="174" t="s">
        <v>86</v>
      </c>
      <c r="F229" s="174" t="s">
        <v>87</v>
      </c>
      <c r="G229" s="174" t="s">
        <v>19</v>
      </c>
    </row>
    <row r="230" spans="2:7" x14ac:dyDescent="0.2">
      <c r="B230" s="796" t="s">
        <v>276</v>
      </c>
      <c r="C230" s="174" t="s">
        <v>970</v>
      </c>
      <c r="D230" s="3">
        <v>20</v>
      </c>
      <c r="E230" s="3">
        <v>10</v>
      </c>
      <c r="F230" s="3">
        <v>10</v>
      </c>
      <c r="G230" s="174">
        <f>SUM(D230:F230)</f>
        <v>40</v>
      </c>
    </row>
    <row r="231" spans="2:7" x14ac:dyDescent="0.2">
      <c r="B231" s="797"/>
      <c r="C231" s="174" t="s">
        <v>971</v>
      </c>
      <c r="D231" s="53">
        <f>D230*112.7</f>
        <v>2254</v>
      </c>
      <c r="E231" s="53">
        <f>E230*112.7</f>
        <v>1127</v>
      </c>
      <c r="F231" s="53">
        <f>F230*119.6</f>
        <v>1196</v>
      </c>
      <c r="G231" s="715">
        <f t="shared" ref="G231" si="84">SUM(D231:F231)</f>
        <v>4577</v>
      </c>
    </row>
    <row r="232" spans="2:7" x14ac:dyDescent="0.2">
      <c r="B232" s="797"/>
      <c r="C232" s="716" t="s">
        <v>89</v>
      </c>
      <c r="D232" s="3">
        <v>7</v>
      </c>
      <c r="E232" s="3">
        <v>6</v>
      </c>
      <c r="F232" s="3">
        <v>4</v>
      </c>
      <c r="G232" s="174">
        <f t="shared" ref="G232" si="85">SUM(D232:F232)</f>
        <v>17</v>
      </c>
    </row>
    <row r="233" spans="2:7" x14ac:dyDescent="0.2">
      <c r="B233" s="797"/>
      <c r="C233" s="716" t="s">
        <v>972</v>
      </c>
      <c r="D233" s="715">
        <f>D232*112.7</f>
        <v>788.9</v>
      </c>
      <c r="E233" s="715">
        <f>E232*112.7</f>
        <v>676.2</v>
      </c>
      <c r="F233" s="715">
        <f>F232*119.6</f>
        <v>478.4</v>
      </c>
      <c r="G233" s="715">
        <f t="shared" ref="G233" si="86">SUM(D233:F233)</f>
        <v>1943.5</v>
      </c>
    </row>
    <row r="234" spans="2:7" x14ac:dyDescent="0.2">
      <c r="B234" s="798"/>
      <c r="C234" s="716" t="s">
        <v>973</v>
      </c>
      <c r="D234" s="715">
        <f>(D230-D232)*112.7</f>
        <v>1465.1000000000001</v>
      </c>
      <c r="E234" s="715">
        <f>(E230-E232)*112.7</f>
        <v>450.8</v>
      </c>
      <c r="F234" s="715">
        <f>(F230-F232)*119.6</f>
        <v>717.59999999999991</v>
      </c>
      <c r="G234" s="715">
        <f>G231-G233</f>
        <v>2633.5</v>
      </c>
    </row>
    <row r="235" spans="2:7" x14ac:dyDescent="0.2">
      <c r="B235" s="717"/>
      <c r="C235" s="716"/>
      <c r="D235" s="715"/>
      <c r="E235" s="715"/>
      <c r="F235" s="715"/>
      <c r="G235" s="715"/>
    </row>
    <row r="236" spans="2:7" x14ac:dyDescent="0.2">
      <c r="B236" s="174" t="str">
        <f>B229</f>
        <v>14 - 20 APR 2025</v>
      </c>
      <c r="C236" s="716"/>
      <c r="D236" s="174" t="s">
        <v>104</v>
      </c>
      <c r="E236" s="174" t="s">
        <v>86</v>
      </c>
      <c r="F236" s="174" t="s">
        <v>87</v>
      </c>
      <c r="G236" s="174" t="s">
        <v>19</v>
      </c>
    </row>
    <row r="237" spans="2:7" x14ac:dyDescent="0.2">
      <c r="B237" s="796" t="s">
        <v>111</v>
      </c>
      <c r="C237" s="174" t="s">
        <v>970</v>
      </c>
      <c r="D237" s="3">
        <v>44</v>
      </c>
      <c r="E237" s="3">
        <v>18</v>
      </c>
      <c r="F237" s="3">
        <v>18</v>
      </c>
      <c r="G237" s="174">
        <f t="shared" ref="G237:G238" si="87">SUM(D237:F237)</f>
        <v>80</v>
      </c>
    </row>
    <row r="238" spans="2:7" x14ac:dyDescent="0.2">
      <c r="B238" s="797"/>
      <c r="C238" s="174" t="s">
        <v>971</v>
      </c>
      <c r="D238" s="53">
        <f>D237*112.7</f>
        <v>4958.8</v>
      </c>
      <c r="E238" s="53">
        <f>E237*112.7</f>
        <v>2028.6000000000001</v>
      </c>
      <c r="F238" s="53">
        <f>F237*119.6</f>
        <v>2152.7999999999997</v>
      </c>
      <c r="G238" s="715">
        <f t="shared" si="87"/>
        <v>9140.2000000000007</v>
      </c>
    </row>
    <row r="239" spans="2:7" x14ac:dyDescent="0.2">
      <c r="B239" s="797"/>
      <c r="C239" s="716" t="s">
        <v>89</v>
      </c>
      <c r="D239" s="3">
        <v>3</v>
      </c>
      <c r="E239" s="3"/>
      <c r="F239" s="3"/>
      <c r="G239" s="174">
        <f t="shared" ref="G239:G240" si="88">SUM(D239:F239)</f>
        <v>3</v>
      </c>
    </row>
    <row r="240" spans="2:7" x14ac:dyDescent="0.2">
      <c r="B240" s="797"/>
      <c r="C240" s="716" t="s">
        <v>972</v>
      </c>
      <c r="D240" s="715">
        <f>D239*112.7</f>
        <v>338.1</v>
      </c>
      <c r="E240" s="715">
        <f>E239*112.7</f>
        <v>0</v>
      </c>
      <c r="F240" s="715">
        <f>F239*119.6</f>
        <v>0</v>
      </c>
      <c r="G240" s="715">
        <f t="shared" si="88"/>
        <v>338.1</v>
      </c>
    </row>
    <row r="241" spans="2:7" x14ac:dyDescent="0.2">
      <c r="B241" s="798"/>
      <c r="C241" s="716" t="s">
        <v>973</v>
      </c>
      <c r="D241" s="715">
        <f>(D237-D239)*112.7</f>
        <v>4620.7</v>
      </c>
      <c r="E241" s="715">
        <f>(E237-E239)*112.7</f>
        <v>2028.6000000000001</v>
      </c>
      <c r="F241" s="715">
        <f>(F237-F239)*119.6</f>
        <v>2152.7999999999997</v>
      </c>
      <c r="G241" s="715">
        <f>G238-G240</f>
        <v>8802.1</v>
      </c>
    </row>
    <row r="242" spans="2:7" x14ac:dyDescent="0.2">
      <c r="B242" s="717"/>
      <c r="C242" s="716"/>
      <c r="D242" s="715"/>
      <c r="E242" s="715"/>
      <c r="F242" s="715"/>
      <c r="G242" s="715"/>
    </row>
    <row r="243" spans="2:7" x14ac:dyDescent="0.2">
      <c r="B243" s="174" t="str">
        <f>B236</f>
        <v>14 - 20 APR 2025</v>
      </c>
      <c r="C243" s="716"/>
      <c r="D243" s="174" t="s">
        <v>104</v>
      </c>
      <c r="E243" s="174" t="s">
        <v>86</v>
      </c>
      <c r="F243" s="174" t="s">
        <v>87</v>
      </c>
      <c r="G243" s="174" t="s">
        <v>19</v>
      </c>
    </row>
    <row r="244" spans="2:7" x14ac:dyDescent="0.2">
      <c r="B244" s="796" t="s">
        <v>270</v>
      </c>
      <c r="C244" s="174" t="s">
        <v>970</v>
      </c>
      <c r="D244" s="3">
        <v>100</v>
      </c>
      <c r="E244" s="3">
        <v>22</v>
      </c>
      <c r="F244" s="3">
        <v>22</v>
      </c>
      <c r="G244" s="174">
        <f t="shared" ref="G244:G245" si="89">SUM(D244:F244)</f>
        <v>144</v>
      </c>
    </row>
    <row r="245" spans="2:7" x14ac:dyDescent="0.2">
      <c r="B245" s="797"/>
      <c r="C245" s="174" t="s">
        <v>971</v>
      </c>
      <c r="D245" s="53">
        <f>D244*112.7</f>
        <v>11270</v>
      </c>
      <c r="E245" s="53">
        <f>E244*112.7</f>
        <v>2479.4</v>
      </c>
      <c r="F245" s="53">
        <f>F244*119.6</f>
        <v>2631.2</v>
      </c>
      <c r="G245" s="715">
        <f t="shared" si="89"/>
        <v>16380.599999999999</v>
      </c>
    </row>
    <row r="246" spans="2:7" x14ac:dyDescent="0.2">
      <c r="B246" s="797"/>
      <c r="C246" s="716" t="s">
        <v>89</v>
      </c>
      <c r="D246" s="3">
        <v>11</v>
      </c>
      <c r="E246" s="3">
        <v>3</v>
      </c>
      <c r="F246" s="3">
        <v>4</v>
      </c>
      <c r="G246" s="174">
        <f t="shared" ref="G246" si="90">SUM(D246:F246)</f>
        <v>18</v>
      </c>
    </row>
    <row r="247" spans="2:7" x14ac:dyDescent="0.2">
      <c r="B247" s="797"/>
      <c r="C247" s="716" t="s">
        <v>972</v>
      </c>
      <c r="D247" s="715">
        <f>D246*112.7</f>
        <v>1239.7</v>
      </c>
      <c r="E247" s="715">
        <f>E246*112.7</f>
        <v>338.1</v>
      </c>
      <c r="F247" s="715">
        <f>F246*119.6</f>
        <v>478.4</v>
      </c>
      <c r="G247" s="715">
        <f t="shared" ref="G247" si="91">SUM(D247:F247)</f>
        <v>2056.2000000000003</v>
      </c>
    </row>
    <row r="248" spans="2:7" x14ac:dyDescent="0.2">
      <c r="B248" s="798"/>
      <c r="C248" s="716" t="s">
        <v>973</v>
      </c>
      <c r="D248" s="715">
        <f>(D244-D246)*112.7</f>
        <v>10030.300000000001</v>
      </c>
      <c r="E248" s="715">
        <f>(E244-E246)*112.7</f>
        <v>2141.3000000000002</v>
      </c>
      <c r="F248" s="715">
        <f>(F244-F246)*119.6</f>
        <v>2152.7999999999997</v>
      </c>
      <c r="G248" s="715">
        <f>G245-G247</f>
        <v>14324.399999999998</v>
      </c>
    </row>
    <row r="249" spans="2:7" x14ac:dyDescent="0.2">
      <c r="B249" s="717"/>
      <c r="C249" s="716"/>
      <c r="D249" s="715"/>
      <c r="E249" s="715"/>
      <c r="F249" s="715"/>
      <c r="G249" s="715"/>
    </row>
    <row r="250" spans="2:7" x14ac:dyDescent="0.2">
      <c r="B250" s="174" t="str">
        <f>B243</f>
        <v>14 - 20 APR 2025</v>
      </c>
      <c r="C250" s="716"/>
      <c r="D250" s="174" t="s">
        <v>104</v>
      </c>
      <c r="E250" s="174" t="s">
        <v>86</v>
      </c>
      <c r="F250" s="174" t="s">
        <v>87</v>
      </c>
      <c r="G250" s="174" t="s">
        <v>19</v>
      </c>
    </row>
    <row r="251" spans="2:7" x14ac:dyDescent="0.2">
      <c r="B251" s="796" t="s">
        <v>274</v>
      </c>
      <c r="C251" s="174" t="s">
        <v>970</v>
      </c>
      <c r="D251" s="3">
        <v>40</v>
      </c>
      <c r="E251" s="3">
        <v>16</v>
      </c>
      <c r="F251" s="3">
        <v>18</v>
      </c>
      <c r="G251" s="174">
        <f t="shared" ref="G251:G252" si="92">SUM(D251:F251)</f>
        <v>74</v>
      </c>
    </row>
    <row r="252" spans="2:7" x14ac:dyDescent="0.2">
      <c r="B252" s="797"/>
      <c r="C252" s="174" t="s">
        <v>971</v>
      </c>
      <c r="D252" s="53">
        <f>D251*112.7</f>
        <v>4508</v>
      </c>
      <c r="E252" s="53">
        <f>E251*112.7</f>
        <v>1803.2</v>
      </c>
      <c r="F252" s="53">
        <f>F251*119.6</f>
        <v>2152.7999999999997</v>
      </c>
      <c r="G252" s="715">
        <f t="shared" si="92"/>
        <v>8464</v>
      </c>
    </row>
    <row r="253" spans="2:7" x14ac:dyDescent="0.2">
      <c r="B253" s="797"/>
      <c r="C253" s="716" t="s">
        <v>89</v>
      </c>
      <c r="D253" s="3">
        <v>8</v>
      </c>
      <c r="E253" s="3">
        <v>1</v>
      </c>
      <c r="F253" s="3">
        <v>4</v>
      </c>
      <c r="G253" s="174">
        <f t="shared" ref="G253:G254" si="93">SUM(D253:F253)</f>
        <v>13</v>
      </c>
    </row>
    <row r="254" spans="2:7" x14ac:dyDescent="0.2">
      <c r="B254" s="797"/>
      <c r="C254" s="716" t="s">
        <v>972</v>
      </c>
      <c r="D254" s="715">
        <f>D253*112.7</f>
        <v>901.6</v>
      </c>
      <c r="E254" s="715">
        <f>E253*112.7</f>
        <v>112.7</v>
      </c>
      <c r="F254" s="715">
        <f>F253*119.6</f>
        <v>478.4</v>
      </c>
      <c r="G254" s="715">
        <f t="shared" si="93"/>
        <v>1492.7</v>
      </c>
    </row>
    <row r="255" spans="2:7" x14ac:dyDescent="0.2">
      <c r="B255" s="798"/>
      <c r="C255" s="716" t="s">
        <v>973</v>
      </c>
      <c r="D255" s="715">
        <f>(D251-D253)*112.7</f>
        <v>3606.4</v>
      </c>
      <c r="E255" s="715">
        <f>(E251-E253)*112.7</f>
        <v>1690.5</v>
      </c>
      <c r="F255" s="715">
        <f>(F251-F253)*119.6</f>
        <v>1674.3999999999999</v>
      </c>
      <c r="G255" s="715">
        <f>G252-G254</f>
        <v>6971.3</v>
      </c>
    </row>
    <row r="256" spans="2:7" x14ac:dyDescent="0.2">
      <c r="B256" s="717"/>
      <c r="C256" s="716"/>
      <c r="D256" s="715"/>
      <c r="E256" s="715"/>
      <c r="F256" s="715"/>
      <c r="G256" s="715"/>
    </row>
    <row r="257" spans="2:9" x14ac:dyDescent="0.2">
      <c r="B257" s="174" t="str">
        <f>B250</f>
        <v>14 - 20 APR 2025</v>
      </c>
      <c r="C257" s="716"/>
      <c r="D257" s="174" t="s">
        <v>104</v>
      </c>
      <c r="E257" s="174" t="s">
        <v>86</v>
      </c>
      <c r="F257" s="174" t="s">
        <v>87</v>
      </c>
      <c r="G257" s="174" t="s">
        <v>19</v>
      </c>
    </row>
    <row r="258" spans="2:9" x14ac:dyDescent="0.2">
      <c r="B258" s="796" t="s">
        <v>112</v>
      </c>
      <c r="C258" s="174" t="s">
        <v>970</v>
      </c>
      <c r="D258" s="3">
        <v>44</v>
      </c>
      <c r="E258" s="3">
        <v>18</v>
      </c>
      <c r="F258" s="3">
        <v>18</v>
      </c>
      <c r="G258" s="174">
        <f t="shared" ref="G258:G259" si="94">SUM(D258:F258)</f>
        <v>80</v>
      </c>
    </row>
    <row r="259" spans="2:9" x14ac:dyDescent="0.2">
      <c r="B259" s="797"/>
      <c r="C259" s="174" t="s">
        <v>971</v>
      </c>
      <c r="D259" s="53">
        <f>D258*112.7</f>
        <v>4958.8</v>
      </c>
      <c r="E259" s="53">
        <f>E258*112.7</f>
        <v>2028.6000000000001</v>
      </c>
      <c r="F259" s="53">
        <f>F258*119.6</f>
        <v>2152.7999999999997</v>
      </c>
      <c r="G259" s="715">
        <f t="shared" si="94"/>
        <v>9140.2000000000007</v>
      </c>
    </row>
    <row r="260" spans="2:9" x14ac:dyDescent="0.2">
      <c r="B260" s="797"/>
      <c r="C260" s="716" t="s">
        <v>89</v>
      </c>
      <c r="D260" s="3"/>
      <c r="E260" s="3"/>
      <c r="F260" s="3"/>
      <c r="G260" s="174">
        <f t="shared" ref="G260:G261" si="95">SUM(D260:F260)</f>
        <v>0</v>
      </c>
    </row>
    <row r="261" spans="2:9" x14ac:dyDescent="0.2">
      <c r="B261" s="797"/>
      <c r="C261" s="716" t="s">
        <v>972</v>
      </c>
      <c r="D261" s="715">
        <f>D260*112.7</f>
        <v>0</v>
      </c>
      <c r="E261" s="715">
        <f>E260*112.7</f>
        <v>0</v>
      </c>
      <c r="F261" s="715">
        <f>F260*119.6</f>
        <v>0</v>
      </c>
      <c r="G261" s="715">
        <f t="shared" si="95"/>
        <v>0</v>
      </c>
    </row>
    <row r="262" spans="2:9" x14ac:dyDescent="0.2">
      <c r="B262" s="798"/>
      <c r="C262" s="716" t="s">
        <v>973</v>
      </c>
      <c r="D262" s="715">
        <f>(D258-D260)*112.7</f>
        <v>4958.8</v>
      </c>
      <c r="E262" s="715">
        <f>(E258-E260)*112.7</f>
        <v>2028.6000000000001</v>
      </c>
      <c r="F262" s="715">
        <f>(F258-F260)*119.6</f>
        <v>2152.7999999999997</v>
      </c>
      <c r="G262" s="715">
        <f>G259-G261</f>
        <v>9140.2000000000007</v>
      </c>
    </row>
    <row r="263" spans="2:9" x14ac:dyDescent="0.2">
      <c r="B263" s="717"/>
      <c r="C263" s="716"/>
      <c r="D263" s="715"/>
      <c r="E263" s="715"/>
      <c r="F263" s="715"/>
      <c r="G263" s="715"/>
    </row>
    <row r="264" spans="2:9" x14ac:dyDescent="0.2">
      <c r="B264" s="174" t="str">
        <f>B257</f>
        <v>14 - 20 APR 2025</v>
      </c>
      <c r="C264" s="716"/>
      <c r="D264" s="174" t="s">
        <v>104</v>
      </c>
      <c r="E264" s="174" t="s">
        <v>86</v>
      </c>
      <c r="F264" s="174" t="s">
        <v>87</v>
      </c>
      <c r="G264" s="174" t="s">
        <v>19</v>
      </c>
    </row>
    <row r="265" spans="2:9" x14ac:dyDescent="0.2">
      <c r="B265" s="799" t="s">
        <v>72</v>
      </c>
      <c r="C265" s="174" t="s">
        <v>970</v>
      </c>
      <c r="D265" s="3">
        <v>45</v>
      </c>
      <c r="E265" s="3">
        <v>18</v>
      </c>
      <c r="F265" s="3">
        <v>18</v>
      </c>
      <c r="G265" s="174">
        <f t="shared" ref="G265:G266" si="96">SUM(D265:F265)</f>
        <v>81</v>
      </c>
    </row>
    <row r="266" spans="2:9" x14ac:dyDescent="0.2">
      <c r="B266" s="799"/>
      <c r="C266" s="174" t="s">
        <v>971</v>
      </c>
      <c r="D266" s="53">
        <f>D265*112.7</f>
        <v>5071.5</v>
      </c>
      <c r="E266" s="53">
        <f>E265*112.7</f>
        <v>2028.6000000000001</v>
      </c>
      <c r="F266" s="53">
        <f>F265*119.6</f>
        <v>2152.7999999999997</v>
      </c>
      <c r="G266" s="715">
        <f t="shared" si="96"/>
        <v>9252.9</v>
      </c>
    </row>
    <row r="267" spans="2:9" x14ac:dyDescent="0.2">
      <c r="B267" s="799"/>
      <c r="C267" s="716" t="s">
        <v>89</v>
      </c>
      <c r="D267" s="3"/>
      <c r="E267" s="3"/>
      <c r="F267" s="3"/>
      <c r="G267" s="174">
        <f t="shared" ref="G267:G268" si="97">SUM(D267:F267)</f>
        <v>0</v>
      </c>
    </row>
    <row r="268" spans="2:9" x14ac:dyDescent="0.2">
      <c r="B268" s="799"/>
      <c r="C268" s="716" t="s">
        <v>972</v>
      </c>
      <c r="D268" s="715">
        <f>D267*112.7</f>
        <v>0</v>
      </c>
      <c r="E268" s="715">
        <f>E267*112.7</f>
        <v>0</v>
      </c>
      <c r="F268" s="715">
        <f>F267*119.6</f>
        <v>0</v>
      </c>
      <c r="G268" s="715">
        <f t="shared" si="97"/>
        <v>0</v>
      </c>
    </row>
    <row r="269" spans="2:9" x14ac:dyDescent="0.2">
      <c r="B269" s="799"/>
      <c r="C269" s="716" t="s">
        <v>973</v>
      </c>
      <c r="D269" s="715">
        <f>(D265-D267)*112.7</f>
        <v>5071.5</v>
      </c>
      <c r="E269" s="715">
        <f>(E265-E267)*112.7</f>
        <v>2028.6000000000001</v>
      </c>
      <c r="F269" s="715">
        <f>(F265-F267)*119.6</f>
        <v>2152.7999999999997</v>
      </c>
      <c r="G269" s="715">
        <f>G266-G268</f>
        <v>9252.9</v>
      </c>
    </row>
    <row r="270" spans="2:9" x14ac:dyDescent="0.2">
      <c r="B270" s="717"/>
      <c r="C270" s="716"/>
      <c r="D270" s="715"/>
      <c r="E270" s="715"/>
      <c r="F270" s="715"/>
      <c r="G270" s="715"/>
    </row>
    <row r="271" spans="2:9" x14ac:dyDescent="0.2">
      <c r="B271" s="174" t="str">
        <f>B264</f>
        <v>14 - 20 APR 2025</v>
      </c>
      <c r="C271" s="716"/>
      <c r="D271" s="174" t="s">
        <v>104</v>
      </c>
      <c r="E271" s="174" t="s">
        <v>86</v>
      </c>
      <c r="F271" s="174" t="s">
        <v>88</v>
      </c>
      <c r="G271" s="174" t="s">
        <v>87</v>
      </c>
      <c r="H271" s="174" t="s">
        <v>983</v>
      </c>
      <c r="I271" s="174" t="s">
        <v>19</v>
      </c>
    </row>
    <row r="272" spans="2:9" x14ac:dyDescent="0.2">
      <c r="B272" s="796" t="s">
        <v>105</v>
      </c>
      <c r="C272" s="174" t="s">
        <v>970</v>
      </c>
      <c r="D272" s="3">
        <v>54</v>
      </c>
      <c r="E272" s="3">
        <v>41</v>
      </c>
      <c r="F272" s="3">
        <v>16</v>
      </c>
      <c r="G272" s="3">
        <v>29</v>
      </c>
      <c r="H272" s="3">
        <v>58</v>
      </c>
      <c r="I272" s="174">
        <f>SUM(D272:H272)</f>
        <v>198</v>
      </c>
    </row>
    <row r="273" spans="2:9" x14ac:dyDescent="0.2">
      <c r="B273" s="797"/>
      <c r="C273" s="174" t="s">
        <v>971</v>
      </c>
      <c r="D273" s="53">
        <f>D272*100</f>
        <v>5400</v>
      </c>
      <c r="E273" s="53">
        <f t="shared" ref="E273:F273" si="98">E272*100</f>
        <v>4100</v>
      </c>
      <c r="F273" s="53">
        <f t="shared" si="98"/>
        <v>1600</v>
      </c>
      <c r="G273" s="53">
        <f>G272*100</f>
        <v>2900</v>
      </c>
      <c r="H273" s="53">
        <f>H272*100</f>
        <v>5800</v>
      </c>
      <c r="I273" s="715">
        <f t="shared" ref="I273:I275" si="99">SUM(D273:H273)</f>
        <v>19800</v>
      </c>
    </row>
    <row r="274" spans="2:9" x14ac:dyDescent="0.2">
      <c r="B274" s="797"/>
      <c r="C274" s="716" t="s">
        <v>89</v>
      </c>
      <c r="D274" s="3"/>
      <c r="E274" s="3">
        <v>2</v>
      </c>
      <c r="F274" s="3"/>
      <c r="G274" s="3">
        <v>3</v>
      </c>
      <c r="H274" s="3"/>
      <c r="I274" s="174">
        <f t="shared" si="99"/>
        <v>5</v>
      </c>
    </row>
    <row r="275" spans="2:9" x14ac:dyDescent="0.2">
      <c r="B275" s="797"/>
      <c r="C275" s="716" t="s">
        <v>972</v>
      </c>
      <c r="D275" s="715">
        <f>D274*100</f>
        <v>0</v>
      </c>
      <c r="E275" s="715">
        <f t="shared" ref="E275:H275" si="100">E274*100</f>
        <v>200</v>
      </c>
      <c r="F275" s="715">
        <f t="shared" si="100"/>
        <v>0</v>
      </c>
      <c r="G275" s="715">
        <f t="shared" si="100"/>
        <v>300</v>
      </c>
      <c r="H275" s="715">
        <f t="shared" si="100"/>
        <v>0</v>
      </c>
      <c r="I275" s="715">
        <f t="shared" si="99"/>
        <v>500</v>
      </c>
    </row>
    <row r="276" spans="2:9" x14ac:dyDescent="0.2">
      <c r="B276" s="798"/>
      <c r="C276" s="716" t="s">
        <v>973</v>
      </c>
      <c r="D276" s="715">
        <f>D273-D275</f>
        <v>5400</v>
      </c>
      <c r="E276" s="715">
        <f t="shared" ref="E276:H276" si="101">E273-E275</f>
        <v>3900</v>
      </c>
      <c r="F276" s="715">
        <f t="shared" si="101"/>
        <v>1600</v>
      </c>
      <c r="G276" s="715">
        <f t="shared" si="101"/>
        <v>2600</v>
      </c>
      <c r="H276" s="715">
        <f t="shared" si="101"/>
        <v>5800</v>
      </c>
      <c r="I276" s="715">
        <f>SUM(D276:H276)</f>
        <v>19300</v>
      </c>
    </row>
    <row r="277" spans="2:9" x14ac:dyDescent="0.2">
      <c r="B277" s="717"/>
      <c r="C277" s="716"/>
      <c r="D277" s="715"/>
      <c r="E277" s="715"/>
      <c r="F277" s="715"/>
      <c r="G277" s="715"/>
      <c r="H277" s="715"/>
      <c r="I277" s="715"/>
    </row>
    <row r="278" spans="2:9" x14ac:dyDescent="0.2">
      <c r="B278" s="174" t="str">
        <f>B271</f>
        <v>14 - 20 APR 2025</v>
      </c>
      <c r="C278" s="716"/>
      <c r="D278" s="174" t="s">
        <v>104</v>
      </c>
      <c r="E278" s="174" t="s">
        <v>86</v>
      </c>
      <c r="F278" s="174" t="s">
        <v>88</v>
      </c>
      <c r="G278" s="174" t="s">
        <v>87</v>
      </c>
      <c r="H278" s="174" t="s">
        <v>983</v>
      </c>
      <c r="I278" s="174" t="s">
        <v>19</v>
      </c>
    </row>
    <row r="279" spans="2:9" x14ac:dyDescent="0.2">
      <c r="B279" s="796" t="s">
        <v>382</v>
      </c>
      <c r="C279" s="174" t="s">
        <v>970</v>
      </c>
      <c r="D279" s="3">
        <v>11</v>
      </c>
      <c r="E279" s="3">
        <v>4</v>
      </c>
      <c r="F279" s="3">
        <v>12</v>
      </c>
      <c r="G279" s="3"/>
      <c r="H279" s="3">
        <v>11</v>
      </c>
      <c r="I279" s="174">
        <f>SUM(D279:H279)</f>
        <v>38</v>
      </c>
    </row>
    <row r="280" spans="2:9" x14ac:dyDescent="0.2">
      <c r="B280" s="797"/>
      <c r="C280" s="174" t="s">
        <v>971</v>
      </c>
      <c r="D280" s="53">
        <f>D279*120</f>
        <v>1320</v>
      </c>
      <c r="E280" s="53">
        <f t="shared" ref="E280:H280" si="102">E279*120</f>
        <v>480</v>
      </c>
      <c r="F280" s="53">
        <f t="shared" si="102"/>
        <v>1440</v>
      </c>
      <c r="G280" s="53">
        <f t="shared" si="102"/>
        <v>0</v>
      </c>
      <c r="H280" s="53">
        <f t="shared" si="102"/>
        <v>1320</v>
      </c>
      <c r="I280" s="715">
        <f t="shared" ref="I280:I283" si="103">SUM(D280:H280)</f>
        <v>4560</v>
      </c>
    </row>
    <row r="281" spans="2:9" x14ac:dyDescent="0.2">
      <c r="B281" s="797"/>
      <c r="C281" s="716" t="s">
        <v>89</v>
      </c>
      <c r="D281" s="3"/>
      <c r="E281" s="3"/>
      <c r="F281" s="3"/>
      <c r="G281" s="3"/>
      <c r="H281" s="3"/>
      <c r="I281" s="174">
        <f t="shared" si="103"/>
        <v>0</v>
      </c>
    </row>
    <row r="282" spans="2:9" x14ac:dyDescent="0.2">
      <c r="B282" s="797"/>
      <c r="C282" s="716" t="s">
        <v>972</v>
      </c>
      <c r="D282" s="715">
        <f>D281*120</f>
        <v>0</v>
      </c>
      <c r="E282" s="715">
        <f t="shared" ref="E282:H282" si="104">E281*120</f>
        <v>0</v>
      </c>
      <c r="F282" s="715">
        <f t="shared" si="104"/>
        <v>0</v>
      </c>
      <c r="G282" s="715">
        <f t="shared" si="104"/>
        <v>0</v>
      </c>
      <c r="H282" s="715">
        <f t="shared" si="104"/>
        <v>0</v>
      </c>
      <c r="I282" s="715">
        <f t="shared" si="103"/>
        <v>0</v>
      </c>
    </row>
    <row r="283" spans="2:9" x14ac:dyDescent="0.2">
      <c r="B283" s="798"/>
      <c r="C283" s="716" t="s">
        <v>973</v>
      </c>
      <c r="D283" s="715">
        <f>D280-D282</f>
        <v>1320</v>
      </c>
      <c r="E283" s="715">
        <f t="shared" ref="E283:H283" si="105">E280-E282</f>
        <v>480</v>
      </c>
      <c r="F283" s="715">
        <f t="shared" si="105"/>
        <v>1440</v>
      </c>
      <c r="G283" s="715">
        <f t="shared" si="105"/>
        <v>0</v>
      </c>
      <c r="H283" s="715">
        <f t="shared" si="105"/>
        <v>1320</v>
      </c>
      <c r="I283" s="715">
        <f t="shared" si="103"/>
        <v>4560</v>
      </c>
    </row>
    <row r="284" spans="2:9" x14ac:dyDescent="0.2">
      <c r="B284" s="717"/>
      <c r="C284" s="716"/>
      <c r="D284" s="715"/>
      <c r="E284" s="715"/>
      <c r="F284" s="715"/>
      <c r="G284" s="715"/>
      <c r="H284" s="715"/>
      <c r="I284" s="715"/>
    </row>
    <row r="285" spans="2:9" x14ac:dyDescent="0.2">
      <c r="B285" s="174" t="str">
        <f>B278</f>
        <v>14 - 20 APR 2025</v>
      </c>
      <c r="C285" s="716"/>
      <c r="D285" s="174" t="s">
        <v>104</v>
      </c>
      <c r="E285" s="174" t="s">
        <v>86</v>
      </c>
      <c r="F285" s="174" t="s">
        <v>88</v>
      </c>
      <c r="G285" s="174" t="s">
        <v>87</v>
      </c>
      <c r="H285" s="174" t="s">
        <v>983</v>
      </c>
      <c r="I285" s="174" t="s">
        <v>19</v>
      </c>
    </row>
    <row r="286" spans="2:9" x14ac:dyDescent="0.2">
      <c r="B286" s="796" t="s">
        <v>200</v>
      </c>
      <c r="C286" s="174" t="s">
        <v>970</v>
      </c>
      <c r="D286" s="3"/>
      <c r="E286" s="3"/>
      <c r="F286" s="3"/>
      <c r="G286" s="3"/>
      <c r="H286" s="3"/>
      <c r="I286" s="174">
        <f>SUM(D286:H286)</f>
        <v>0</v>
      </c>
    </row>
    <row r="287" spans="2:9" x14ac:dyDescent="0.2">
      <c r="B287" s="797"/>
      <c r="C287" s="174" t="s">
        <v>971</v>
      </c>
      <c r="D287" s="53">
        <f>D286*120</f>
        <v>0</v>
      </c>
      <c r="E287" s="53">
        <f t="shared" ref="E287:H287" si="106">E286*120</f>
        <v>0</v>
      </c>
      <c r="F287" s="53">
        <f t="shared" si="106"/>
        <v>0</v>
      </c>
      <c r="G287" s="53">
        <f t="shared" si="106"/>
        <v>0</v>
      </c>
      <c r="H287" s="53">
        <f t="shared" si="106"/>
        <v>0</v>
      </c>
      <c r="I287" s="715">
        <f t="shared" ref="I287:I290" si="107">SUM(D287:H287)</f>
        <v>0</v>
      </c>
    </row>
    <row r="288" spans="2:9" x14ac:dyDescent="0.2">
      <c r="B288" s="797"/>
      <c r="C288" s="716" t="s">
        <v>89</v>
      </c>
      <c r="D288" s="3"/>
      <c r="E288" s="3"/>
      <c r="F288" s="3"/>
      <c r="G288" s="3"/>
      <c r="H288" s="3"/>
      <c r="I288" s="174">
        <f t="shared" si="107"/>
        <v>0</v>
      </c>
    </row>
    <row r="289" spans="2:9" x14ac:dyDescent="0.2">
      <c r="B289" s="797"/>
      <c r="C289" s="716" t="s">
        <v>972</v>
      </c>
      <c r="D289" s="715">
        <f>D288*120</f>
        <v>0</v>
      </c>
      <c r="E289" s="715">
        <f t="shared" ref="E289:H289" si="108">E288*120</f>
        <v>0</v>
      </c>
      <c r="F289" s="715">
        <f t="shared" si="108"/>
        <v>0</v>
      </c>
      <c r="G289" s="715">
        <f t="shared" si="108"/>
        <v>0</v>
      </c>
      <c r="H289" s="715">
        <f t="shared" si="108"/>
        <v>0</v>
      </c>
      <c r="I289" s="715">
        <f t="shared" si="107"/>
        <v>0</v>
      </c>
    </row>
    <row r="290" spans="2:9" x14ac:dyDescent="0.2">
      <c r="B290" s="798"/>
      <c r="C290" s="716" t="s">
        <v>973</v>
      </c>
      <c r="D290" s="715">
        <f>D287-D289</f>
        <v>0</v>
      </c>
      <c r="E290" s="715">
        <f t="shared" ref="E290:H290" si="109">E287-E289</f>
        <v>0</v>
      </c>
      <c r="F290" s="715">
        <f t="shared" si="109"/>
        <v>0</v>
      </c>
      <c r="G290" s="715">
        <f t="shared" si="109"/>
        <v>0</v>
      </c>
      <c r="H290" s="715">
        <f t="shared" si="109"/>
        <v>0</v>
      </c>
      <c r="I290" s="715">
        <f t="shared" si="107"/>
        <v>0</v>
      </c>
    </row>
    <row r="291" spans="2:9" x14ac:dyDescent="0.2">
      <c r="B291" s="717"/>
      <c r="C291" s="716"/>
      <c r="D291" s="715"/>
      <c r="E291" s="715"/>
      <c r="F291" s="715"/>
      <c r="G291" s="715"/>
      <c r="H291" s="715"/>
      <c r="I291" s="715"/>
    </row>
    <row r="292" spans="2:9" x14ac:dyDescent="0.2">
      <c r="B292" s="717" t="str">
        <f>B285</f>
        <v>14 - 20 APR 2025</v>
      </c>
      <c r="C292" s="716"/>
      <c r="D292" s="715"/>
      <c r="E292" s="715"/>
      <c r="F292" s="715"/>
      <c r="G292" s="715"/>
      <c r="H292" s="715"/>
      <c r="I292" s="715"/>
    </row>
    <row r="293" spans="2:9" x14ac:dyDescent="0.2">
      <c r="B293" s="174" t="str">
        <f>B285</f>
        <v>14 - 20 APR 2025</v>
      </c>
      <c r="C293" s="716"/>
      <c r="D293" s="174" t="s">
        <v>104</v>
      </c>
      <c r="E293" s="174" t="s">
        <v>86</v>
      </c>
      <c r="F293" s="174" t="s">
        <v>88</v>
      </c>
      <c r="G293" s="174" t="s">
        <v>87</v>
      </c>
      <c r="H293" s="174" t="s">
        <v>983</v>
      </c>
      <c r="I293" s="174" t="s">
        <v>19</v>
      </c>
    </row>
    <row r="294" spans="2:9" x14ac:dyDescent="0.2">
      <c r="B294" s="796" t="s">
        <v>269</v>
      </c>
      <c r="C294" s="174" t="s">
        <v>970</v>
      </c>
      <c r="D294" s="3">
        <v>10</v>
      </c>
      <c r="E294" s="3">
        <v>5</v>
      </c>
      <c r="F294" s="3">
        <v>5</v>
      </c>
      <c r="G294" s="3">
        <v>5</v>
      </c>
      <c r="H294" s="3">
        <v>10</v>
      </c>
      <c r="I294" s="174">
        <f>SUM(D294:H294)</f>
        <v>35</v>
      </c>
    </row>
    <row r="295" spans="2:9" x14ac:dyDescent="0.2">
      <c r="B295" s="797"/>
      <c r="C295" s="174" t="s">
        <v>971</v>
      </c>
      <c r="D295" s="53">
        <f>D294*120</f>
        <v>1200</v>
      </c>
      <c r="E295" s="53">
        <f t="shared" ref="E295:H295" si="110">E294*120</f>
        <v>600</v>
      </c>
      <c r="F295" s="53">
        <f t="shared" si="110"/>
        <v>600</v>
      </c>
      <c r="G295" s="53">
        <f t="shared" si="110"/>
        <v>600</v>
      </c>
      <c r="H295" s="53">
        <f t="shared" si="110"/>
        <v>1200</v>
      </c>
      <c r="I295" s="715">
        <f t="shared" ref="I295:I298" si="111">SUM(D295:H295)</f>
        <v>4200</v>
      </c>
    </row>
    <row r="296" spans="2:9" x14ac:dyDescent="0.2">
      <c r="B296" s="797"/>
      <c r="C296" s="716" t="s">
        <v>89</v>
      </c>
      <c r="D296" s="3"/>
      <c r="E296" s="3">
        <v>1</v>
      </c>
      <c r="F296" s="3">
        <v>1</v>
      </c>
      <c r="G296" s="3">
        <v>1</v>
      </c>
      <c r="H296" s="3">
        <v>3</v>
      </c>
      <c r="I296" s="174">
        <f t="shared" si="111"/>
        <v>6</v>
      </c>
    </row>
    <row r="297" spans="2:9" x14ac:dyDescent="0.2">
      <c r="B297" s="797"/>
      <c r="C297" s="716" t="s">
        <v>972</v>
      </c>
      <c r="D297" s="715">
        <f>D296*120</f>
        <v>0</v>
      </c>
      <c r="E297" s="715">
        <f t="shared" ref="E297:H297" si="112">E296*120</f>
        <v>120</v>
      </c>
      <c r="F297" s="715">
        <f t="shared" si="112"/>
        <v>120</v>
      </c>
      <c r="G297" s="715">
        <f t="shared" si="112"/>
        <v>120</v>
      </c>
      <c r="H297" s="715">
        <f t="shared" si="112"/>
        <v>360</v>
      </c>
      <c r="I297" s="715">
        <f t="shared" si="111"/>
        <v>720</v>
      </c>
    </row>
    <row r="298" spans="2:9" x14ac:dyDescent="0.2">
      <c r="B298" s="798"/>
      <c r="C298" s="716" t="s">
        <v>973</v>
      </c>
      <c r="D298" s="715">
        <f>D295-D297</f>
        <v>1200</v>
      </c>
      <c r="E298" s="715">
        <f t="shared" ref="E298:H298" si="113">E295-E297</f>
        <v>480</v>
      </c>
      <c r="F298" s="715">
        <f t="shared" si="113"/>
        <v>480</v>
      </c>
      <c r="G298" s="715">
        <f t="shared" si="113"/>
        <v>480</v>
      </c>
      <c r="H298" s="715">
        <f t="shared" si="113"/>
        <v>840</v>
      </c>
      <c r="I298" s="715">
        <f t="shared" si="111"/>
        <v>3480</v>
      </c>
    </row>
    <row r="299" spans="2:9" x14ac:dyDescent="0.2">
      <c r="B299" s="717"/>
      <c r="C299" s="716"/>
      <c r="D299" s="715"/>
      <c r="E299" s="715"/>
      <c r="F299" s="715"/>
      <c r="G299" s="715"/>
      <c r="H299" s="715"/>
      <c r="I299" s="715"/>
    </row>
    <row r="301" spans="2:9" x14ac:dyDescent="0.2">
      <c r="B301" s="174" t="s">
        <v>1058</v>
      </c>
      <c r="C301" s="174"/>
      <c r="D301" s="174" t="s">
        <v>104</v>
      </c>
      <c r="E301" s="174" t="s">
        <v>86</v>
      </c>
      <c r="F301" s="174" t="s">
        <v>87</v>
      </c>
      <c r="G301" s="174" t="s">
        <v>19</v>
      </c>
    </row>
    <row r="302" spans="2:9" x14ac:dyDescent="0.2">
      <c r="B302" s="796" t="s">
        <v>106</v>
      </c>
      <c r="C302" s="174" t="s">
        <v>970</v>
      </c>
      <c r="D302" s="3">
        <v>36</v>
      </c>
      <c r="E302" s="3">
        <v>24</v>
      </c>
      <c r="F302" s="3">
        <v>12</v>
      </c>
      <c r="G302" s="174">
        <f t="shared" ref="G302:G305" si="114">SUM(D302:F302)</f>
        <v>72</v>
      </c>
    </row>
    <row r="303" spans="2:9" x14ac:dyDescent="0.2">
      <c r="B303" s="797"/>
      <c r="C303" s="174" t="s">
        <v>971</v>
      </c>
      <c r="D303" s="53">
        <f>D302*112.7</f>
        <v>4057.2000000000003</v>
      </c>
      <c r="E303" s="53">
        <f>E302*112.7</f>
        <v>2704.8</v>
      </c>
      <c r="F303" s="53">
        <f>F302*119.6</f>
        <v>1435.1999999999998</v>
      </c>
      <c r="G303" s="715">
        <f t="shared" si="114"/>
        <v>8197.2000000000007</v>
      </c>
    </row>
    <row r="304" spans="2:9" x14ac:dyDescent="0.2">
      <c r="B304" s="797"/>
      <c r="C304" s="716" t="s">
        <v>89</v>
      </c>
      <c r="D304" s="3">
        <v>4</v>
      </c>
      <c r="E304" s="3">
        <v>4</v>
      </c>
      <c r="F304" s="3">
        <v>4</v>
      </c>
      <c r="G304" s="174">
        <f t="shared" si="114"/>
        <v>12</v>
      </c>
    </row>
    <row r="305" spans="2:7" x14ac:dyDescent="0.2">
      <c r="B305" s="797"/>
      <c r="C305" s="716" t="s">
        <v>972</v>
      </c>
      <c r="D305" s="715">
        <f>D304*112.7</f>
        <v>450.8</v>
      </c>
      <c r="E305" s="715">
        <f>E304*112.7</f>
        <v>450.8</v>
      </c>
      <c r="F305" s="715">
        <f>F304*119.6</f>
        <v>478.4</v>
      </c>
      <c r="G305" s="715">
        <f t="shared" si="114"/>
        <v>1380</v>
      </c>
    </row>
    <row r="306" spans="2:7" x14ac:dyDescent="0.2">
      <c r="B306" s="798"/>
      <c r="C306" s="716" t="s">
        <v>973</v>
      </c>
      <c r="D306" s="715">
        <f>(D302-D304)*112.7</f>
        <v>3606.4</v>
      </c>
      <c r="E306" s="715">
        <f>(E302-E304)*112.7</f>
        <v>2254</v>
      </c>
      <c r="F306" s="715">
        <f>(F302-F304)*119.6</f>
        <v>956.8</v>
      </c>
      <c r="G306" s="715">
        <f>G303-G305</f>
        <v>6817.2000000000007</v>
      </c>
    </row>
    <row r="307" spans="2:7" x14ac:dyDescent="0.2">
      <c r="B307" s="717"/>
      <c r="C307" s="716"/>
      <c r="D307" s="715"/>
      <c r="E307" s="715"/>
      <c r="F307" s="715"/>
      <c r="G307" s="715"/>
    </row>
    <row r="308" spans="2:7" x14ac:dyDescent="0.2">
      <c r="B308" s="174" t="str">
        <f>B301</f>
        <v>21 - 27 APR 2025</v>
      </c>
      <c r="C308" s="716"/>
      <c r="D308" s="174" t="s">
        <v>104</v>
      </c>
      <c r="E308" s="174" t="s">
        <v>86</v>
      </c>
      <c r="F308" s="174" t="s">
        <v>87</v>
      </c>
      <c r="G308" s="174" t="s">
        <v>19</v>
      </c>
    </row>
    <row r="309" spans="2:7" x14ac:dyDescent="0.2">
      <c r="B309" s="796" t="s">
        <v>108</v>
      </c>
      <c r="C309" s="174" t="s">
        <v>970</v>
      </c>
      <c r="D309" s="3">
        <v>64</v>
      </c>
      <c r="E309" s="3">
        <v>32</v>
      </c>
      <c r="F309" s="3">
        <v>32</v>
      </c>
      <c r="G309" s="174">
        <f t="shared" ref="G309:G310" si="115">SUM(D309:F309)</f>
        <v>128</v>
      </c>
    </row>
    <row r="310" spans="2:7" x14ac:dyDescent="0.2">
      <c r="B310" s="797"/>
      <c r="C310" s="174" t="s">
        <v>971</v>
      </c>
      <c r="D310" s="53">
        <f>D309*112.7</f>
        <v>7212.8</v>
      </c>
      <c r="E310" s="53">
        <f>E309*112.7</f>
        <v>3606.4</v>
      </c>
      <c r="F310" s="53">
        <f>F309*119.6</f>
        <v>3827.2</v>
      </c>
      <c r="G310" s="715">
        <f t="shared" si="115"/>
        <v>14646.400000000001</v>
      </c>
    </row>
    <row r="311" spans="2:7" x14ac:dyDescent="0.2">
      <c r="B311" s="797"/>
      <c r="C311" s="716" t="s">
        <v>89</v>
      </c>
      <c r="D311" s="3"/>
      <c r="E311" s="3">
        <v>1</v>
      </c>
      <c r="F311" s="3">
        <v>1</v>
      </c>
      <c r="G311" s="174">
        <f t="shared" ref="G311:G312" si="116">SUM(D311:F311)</f>
        <v>2</v>
      </c>
    </row>
    <row r="312" spans="2:7" x14ac:dyDescent="0.2">
      <c r="B312" s="797"/>
      <c r="C312" s="716" t="s">
        <v>972</v>
      </c>
      <c r="D312" s="715">
        <f>D311*112.7</f>
        <v>0</v>
      </c>
      <c r="E312" s="715">
        <f>E311*112.7</f>
        <v>112.7</v>
      </c>
      <c r="F312" s="715">
        <f>F311*119.6</f>
        <v>119.6</v>
      </c>
      <c r="G312" s="715">
        <f t="shared" si="116"/>
        <v>232.3</v>
      </c>
    </row>
    <row r="313" spans="2:7" x14ac:dyDescent="0.2">
      <c r="B313" s="798"/>
      <c r="C313" s="716" t="s">
        <v>973</v>
      </c>
      <c r="D313" s="715">
        <f>(D309-D311)*112.7</f>
        <v>7212.8</v>
      </c>
      <c r="E313" s="715">
        <f>(E309-E311)*112.7</f>
        <v>3493.7000000000003</v>
      </c>
      <c r="F313" s="715">
        <f>(F309-F311)*119.6</f>
        <v>3707.6</v>
      </c>
      <c r="G313" s="715">
        <f>G310-G312</f>
        <v>14414.100000000002</v>
      </c>
    </row>
    <row r="314" spans="2:7" x14ac:dyDescent="0.2">
      <c r="B314" s="717"/>
      <c r="C314" s="716"/>
      <c r="D314" s="715"/>
      <c r="E314" s="715"/>
      <c r="F314" s="715"/>
      <c r="G314" s="715"/>
    </row>
    <row r="315" spans="2:7" x14ac:dyDescent="0.2">
      <c r="B315" s="174" t="str">
        <f>B308</f>
        <v>21 - 27 APR 2025</v>
      </c>
      <c r="C315" s="716"/>
      <c r="D315" s="174" t="s">
        <v>104</v>
      </c>
      <c r="E315" s="174" t="s">
        <v>86</v>
      </c>
      <c r="F315" s="174" t="s">
        <v>87</v>
      </c>
      <c r="G315" s="174" t="s">
        <v>19</v>
      </c>
    </row>
    <row r="316" spans="2:7" x14ac:dyDescent="0.2">
      <c r="B316" s="796" t="s">
        <v>109</v>
      </c>
      <c r="C316" s="174" t="s">
        <v>970</v>
      </c>
      <c r="D316" s="3">
        <v>40</v>
      </c>
      <c r="E316" s="3">
        <v>16</v>
      </c>
      <c r="F316" s="3">
        <v>16</v>
      </c>
      <c r="G316" s="174">
        <f t="shared" ref="G316:G317" si="117">SUM(D316:F316)</f>
        <v>72</v>
      </c>
    </row>
    <row r="317" spans="2:7" x14ac:dyDescent="0.2">
      <c r="B317" s="797"/>
      <c r="C317" s="174" t="s">
        <v>971</v>
      </c>
      <c r="D317" s="53">
        <f>D316*112.7</f>
        <v>4508</v>
      </c>
      <c r="E317" s="53">
        <f>E316*112.7</f>
        <v>1803.2</v>
      </c>
      <c r="F317" s="53">
        <f>F316*119.6</f>
        <v>1913.6</v>
      </c>
      <c r="G317" s="715">
        <f t="shared" si="117"/>
        <v>8224.7999999999993</v>
      </c>
    </row>
    <row r="318" spans="2:7" x14ac:dyDescent="0.2">
      <c r="B318" s="797"/>
      <c r="C318" s="716" t="s">
        <v>89</v>
      </c>
      <c r="D318" s="3"/>
      <c r="E318" s="3">
        <v>4</v>
      </c>
      <c r="F318" s="3">
        <v>2</v>
      </c>
      <c r="G318" s="174">
        <f t="shared" ref="G318:G319" si="118">SUM(D318:F318)</f>
        <v>6</v>
      </c>
    </row>
    <row r="319" spans="2:7" x14ac:dyDescent="0.2">
      <c r="B319" s="797"/>
      <c r="C319" s="716" t="s">
        <v>972</v>
      </c>
      <c r="D319" s="715">
        <f>D318*112.7</f>
        <v>0</v>
      </c>
      <c r="E319" s="715">
        <f>E318*112.7</f>
        <v>450.8</v>
      </c>
      <c r="F319" s="715">
        <f>F318*119.6</f>
        <v>239.2</v>
      </c>
      <c r="G319" s="715">
        <f t="shared" si="118"/>
        <v>690</v>
      </c>
    </row>
    <row r="320" spans="2:7" x14ac:dyDescent="0.2">
      <c r="B320" s="798"/>
      <c r="C320" s="716" t="s">
        <v>973</v>
      </c>
      <c r="D320" s="715">
        <f>(D316-D318)*112.7</f>
        <v>4508</v>
      </c>
      <c r="E320" s="715">
        <f>(E316-E318)*112.7</f>
        <v>1352.4</v>
      </c>
      <c r="F320" s="715">
        <f>(F316-F318)*119.6</f>
        <v>1674.3999999999999</v>
      </c>
      <c r="G320" s="715">
        <f>G317-G319</f>
        <v>7534.7999999999993</v>
      </c>
    </row>
    <row r="321" spans="2:7" x14ac:dyDescent="0.2">
      <c r="B321" s="717"/>
      <c r="C321" s="716"/>
      <c r="D321" s="715"/>
      <c r="E321" s="715"/>
      <c r="F321" s="715"/>
      <c r="G321" s="715"/>
    </row>
    <row r="322" spans="2:7" x14ac:dyDescent="0.2">
      <c r="B322" s="174" t="str">
        <f>B315</f>
        <v>21 - 27 APR 2025</v>
      </c>
      <c r="C322" s="716"/>
      <c r="D322" s="174" t="s">
        <v>104</v>
      </c>
      <c r="E322" s="174" t="s">
        <v>86</v>
      </c>
      <c r="F322" s="174" t="s">
        <v>87</v>
      </c>
      <c r="G322" s="174" t="s">
        <v>19</v>
      </c>
    </row>
    <row r="323" spans="2:7" x14ac:dyDescent="0.2">
      <c r="B323" s="796" t="s">
        <v>110</v>
      </c>
      <c r="C323" s="174" t="s">
        <v>970</v>
      </c>
      <c r="D323" s="3">
        <v>160</v>
      </c>
      <c r="E323" s="3">
        <v>48</v>
      </c>
      <c r="F323" s="3">
        <v>48</v>
      </c>
      <c r="G323" s="174">
        <f>SUM(D323:F323)</f>
        <v>256</v>
      </c>
    </row>
    <row r="324" spans="2:7" x14ac:dyDescent="0.2">
      <c r="B324" s="797"/>
      <c r="C324" s="174" t="s">
        <v>971</v>
      </c>
      <c r="D324" s="53">
        <f>D323*112.7</f>
        <v>18032</v>
      </c>
      <c r="E324" s="53">
        <f>E323*112.7</f>
        <v>5409.6</v>
      </c>
      <c r="F324" s="53">
        <f>F323*119.6</f>
        <v>5740.7999999999993</v>
      </c>
      <c r="G324" s="715">
        <f>SUM(D324:F324)</f>
        <v>29182.399999999998</v>
      </c>
    </row>
    <row r="325" spans="2:7" x14ac:dyDescent="0.2">
      <c r="B325" s="797"/>
      <c r="C325" s="716" t="s">
        <v>89</v>
      </c>
      <c r="D325" s="3">
        <v>36</v>
      </c>
      <c r="E325" s="3">
        <v>14</v>
      </c>
      <c r="F325" s="3">
        <v>6</v>
      </c>
      <c r="G325" s="174">
        <f t="shared" ref="G325" si="119">SUM(D325:F325)</f>
        <v>56</v>
      </c>
    </row>
    <row r="326" spans="2:7" x14ac:dyDescent="0.2">
      <c r="B326" s="797"/>
      <c r="C326" s="716" t="s">
        <v>972</v>
      </c>
      <c r="D326" s="715">
        <f>D325*112.7</f>
        <v>4057.2000000000003</v>
      </c>
      <c r="E326" s="715">
        <f>E325*112.7</f>
        <v>1577.8</v>
      </c>
      <c r="F326" s="715">
        <f>F325*119.6</f>
        <v>717.59999999999991</v>
      </c>
      <c r="G326" s="715">
        <f>SUM(D326:F326)</f>
        <v>6352.6</v>
      </c>
    </row>
    <row r="327" spans="2:7" x14ac:dyDescent="0.2">
      <c r="B327" s="798"/>
      <c r="C327" s="716" t="s">
        <v>973</v>
      </c>
      <c r="D327" s="715">
        <f>(D323-D325)*112.7</f>
        <v>13974.800000000001</v>
      </c>
      <c r="E327" s="715">
        <f>(E323-E325)*112.7</f>
        <v>3831.8</v>
      </c>
      <c r="F327" s="715">
        <f>(F323-F325)*119.6</f>
        <v>5023.2</v>
      </c>
      <c r="G327" s="715">
        <f>G324-G326</f>
        <v>22829.799999999996</v>
      </c>
    </row>
    <row r="328" spans="2:7" x14ac:dyDescent="0.2">
      <c r="B328" s="717"/>
      <c r="C328" s="716"/>
      <c r="D328" s="715"/>
      <c r="E328" s="715"/>
      <c r="F328" s="715"/>
      <c r="G328" s="715"/>
    </row>
    <row r="329" spans="2:7" x14ac:dyDescent="0.2">
      <c r="B329" s="174" t="str">
        <f>B322</f>
        <v>21 - 27 APR 2025</v>
      </c>
      <c r="C329" s="716"/>
      <c r="D329" s="174" t="s">
        <v>104</v>
      </c>
      <c r="E329" s="174" t="s">
        <v>86</v>
      </c>
      <c r="F329" s="174" t="s">
        <v>87</v>
      </c>
      <c r="G329" s="174" t="s">
        <v>19</v>
      </c>
    </row>
    <row r="330" spans="2:7" x14ac:dyDescent="0.2">
      <c r="B330" s="796" t="s">
        <v>276</v>
      </c>
      <c r="C330" s="174" t="s">
        <v>970</v>
      </c>
      <c r="D330" s="3">
        <v>20</v>
      </c>
      <c r="E330" s="3">
        <v>8</v>
      </c>
      <c r="F330" s="3">
        <v>8</v>
      </c>
      <c r="G330" s="174">
        <f>SUM(D330:F330)</f>
        <v>36</v>
      </c>
    </row>
    <row r="331" spans="2:7" x14ac:dyDescent="0.2">
      <c r="B331" s="797"/>
      <c r="C331" s="174" t="s">
        <v>971</v>
      </c>
      <c r="D331" s="53">
        <f>D330*112.7</f>
        <v>2254</v>
      </c>
      <c r="E331" s="53">
        <f>E330*112.7</f>
        <v>901.6</v>
      </c>
      <c r="F331" s="53">
        <f>F330*119.6</f>
        <v>956.8</v>
      </c>
      <c r="G331" s="715">
        <f t="shared" ref="G331" si="120">SUM(D331:F331)</f>
        <v>4112.3999999999996</v>
      </c>
    </row>
    <row r="332" spans="2:7" x14ac:dyDescent="0.2">
      <c r="B332" s="797"/>
      <c r="C332" s="716" t="s">
        <v>89</v>
      </c>
      <c r="D332" s="3">
        <v>1</v>
      </c>
      <c r="E332" s="3">
        <v>4</v>
      </c>
      <c r="F332" s="3"/>
      <c r="G332" s="174">
        <f t="shared" ref="G332" si="121">SUM(D332:F332)</f>
        <v>5</v>
      </c>
    </row>
    <row r="333" spans="2:7" x14ac:dyDescent="0.2">
      <c r="B333" s="797"/>
      <c r="C333" s="716" t="s">
        <v>972</v>
      </c>
      <c r="D333" s="715">
        <f>D332*112.7</f>
        <v>112.7</v>
      </c>
      <c r="E333" s="715">
        <f>E332*112.7</f>
        <v>450.8</v>
      </c>
      <c r="F333" s="715">
        <f>F332*119.6</f>
        <v>0</v>
      </c>
      <c r="G333" s="715">
        <f t="shared" ref="G333" si="122">SUM(D333:F333)</f>
        <v>563.5</v>
      </c>
    </row>
    <row r="334" spans="2:7" x14ac:dyDescent="0.2">
      <c r="B334" s="798"/>
      <c r="C334" s="716" t="s">
        <v>973</v>
      </c>
      <c r="D334" s="715">
        <f>(D330-D332)*112.7</f>
        <v>2141.3000000000002</v>
      </c>
      <c r="E334" s="715">
        <f>(E330-E332)*112.7</f>
        <v>450.8</v>
      </c>
      <c r="F334" s="715">
        <f>(F330-F332)*119.6</f>
        <v>956.8</v>
      </c>
      <c r="G334" s="715">
        <f>G331-G333</f>
        <v>3548.8999999999996</v>
      </c>
    </row>
    <row r="335" spans="2:7" x14ac:dyDescent="0.2">
      <c r="B335" s="717"/>
      <c r="C335" s="716"/>
      <c r="D335" s="715"/>
      <c r="E335" s="715"/>
      <c r="F335" s="715"/>
      <c r="G335" s="715"/>
    </row>
    <row r="336" spans="2:7" x14ac:dyDescent="0.2">
      <c r="B336" s="174" t="str">
        <f>B329</f>
        <v>21 - 27 APR 2025</v>
      </c>
      <c r="C336" s="716"/>
      <c r="D336" s="174" t="s">
        <v>104</v>
      </c>
      <c r="E336" s="174" t="s">
        <v>86</v>
      </c>
      <c r="F336" s="174" t="s">
        <v>87</v>
      </c>
      <c r="G336" s="174" t="s">
        <v>19</v>
      </c>
    </row>
    <row r="337" spans="2:7" x14ac:dyDescent="0.2">
      <c r="B337" s="796" t="s">
        <v>111</v>
      </c>
      <c r="C337" s="174" t="s">
        <v>970</v>
      </c>
      <c r="D337" s="3">
        <v>28</v>
      </c>
      <c r="E337" s="3">
        <v>10</v>
      </c>
      <c r="F337" s="3">
        <v>10</v>
      </c>
      <c r="G337" s="174">
        <f t="shared" ref="G337:G338" si="123">SUM(D337:F337)</f>
        <v>48</v>
      </c>
    </row>
    <row r="338" spans="2:7" x14ac:dyDescent="0.2">
      <c r="B338" s="797"/>
      <c r="C338" s="174" t="s">
        <v>971</v>
      </c>
      <c r="D338" s="53">
        <f>D337*112.7</f>
        <v>3155.6</v>
      </c>
      <c r="E338" s="53">
        <f>E337*112.7</f>
        <v>1127</v>
      </c>
      <c r="F338" s="53">
        <f>F337*119.6</f>
        <v>1196</v>
      </c>
      <c r="G338" s="715">
        <f t="shared" si="123"/>
        <v>5478.6</v>
      </c>
    </row>
    <row r="339" spans="2:7" x14ac:dyDescent="0.2">
      <c r="B339" s="797"/>
      <c r="C339" s="716" t="s">
        <v>89</v>
      </c>
      <c r="D339" s="3"/>
      <c r="E339" s="3"/>
      <c r="F339" s="3"/>
      <c r="G339" s="174">
        <f t="shared" ref="G339:G340" si="124">SUM(D339:F339)</f>
        <v>0</v>
      </c>
    </row>
    <row r="340" spans="2:7" x14ac:dyDescent="0.2">
      <c r="B340" s="797"/>
      <c r="C340" s="716" t="s">
        <v>972</v>
      </c>
      <c r="D340" s="715">
        <f>D339*112.7</f>
        <v>0</v>
      </c>
      <c r="E340" s="715">
        <f>E339*112.7</f>
        <v>0</v>
      </c>
      <c r="F340" s="715">
        <f>F339*119.6</f>
        <v>0</v>
      </c>
      <c r="G340" s="715">
        <f t="shared" si="124"/>
        <v>0</v>
      </c>
    </row>
    <row r="341" spans="2:7" x14ac:dyDescent="0.2">
      <c r="B341" s="798"/>
      <c r="C341" s="716" t="s">
        <v>973</v>
      </c>
      <c r="D341" s="715">
        <f>(D337-D339)*112.7</f>
        <v>3155.6</v>
      </c>
      <c r="E341" s="715">
        <f>(E337-E339)*112.7</f>
        <v>1127</v>
      </c>
      <c r="F341" s="715">
        <f>(F337-F339)*119.6</f>
        <v>1196</v>
      </c>
      <c r="G341" s="715">
        <f>G338-G340</f>
        <v>5478.6</v>
      </c>
    </row>
    <row r="342" spans="2:7" x14ac:dyDescent="0.2">
      <c r="B342" s="717"/>
      <c r="C342" s="716"/>
      <c r="D342" s="715"/>
      <c r="E342" s="715"/>
      <c r="F342" s="715"/>
      <c r="G342" s="715"/>
    </row>
    <row r="343" spans="2:7" x14ac:dyDescent="0.2">
      <c r="B343" s="174" t="str">
        <f>B336</f>
        <v>21 - 27 APR 2025</v>
      </c>
      <c r="C343" s="716"/>
      <c r="D343" s="174" t="s">
        <v>104</v>
      </c>
      <c r="E343" s="174" t="s">
        <v>86</v>
      </c>
      <c r="F343" s="174" t="s">
        <v>87</v>
      </c>
      <c r="G343" s="174" t="s">
        <v>19</v>
      </c>
    </row>
    <row r="344" spans="2:7" x14ac:dyDescent="0.2">
      <c r="B344" s="796" t="s">
        <v>270</v>
      </c>
      <c r="C344" s="174" t="s">
        <v>970</v>
      </c>
      <c r="D344" s="3">
        <v>52</v>
      </c>
      <c r="E344" s="3">
        <v>10</v>
      </c>
      <c r="F344" s="3">
        <v>10</v>
      </c>
      <c r="G344" s="174">
        <f t="shared" ref="G344:G345" si="125">SUM(D344:F344)</f>
        <v>72</v>
      </c>
    </row>
    <row r="345" spans="2:7" x14ac:dyDescent="0.2">
      <c r="B345" s="797"/>
      <c r="C345" s="174" t="s">
        <v>971</v>
      </c>
      <c r="D345" s="53">
        <f>D344*112.7</f>
        <v>5860.4000000000005</v>
      </c>
      <c r="E345" s="53">
        <f>E344*112.7</f>
        <v>1127</v>
      </c>
      <c r="F345" s="53">
        <f>F344*119.6</f>
        <v>1196</v>
      </c>
      <c r="G345" s="715">
        <f t="shared" si="125"/>
        <v>8183.4000000000005</v>
      </c>
    </row>
    <row r="346" spans="2:7" x14ac:dyDescent="0.2">
      <c r="B346" s="797"/>
      <c r="C346" s="716" t="s">
        <v>89</v>
      </c>
      <c r="D346" s="3">
        <v>17</v>
      </c>
      <c r="E346" s="3"/>
      <c r="F346" s="3"/>
      <c r="G346" s="174">
        <f t="shared" ref="G346:G347" si="126">SUM(D346:F346)</f>
        <v>17</v>
      </c>
    </row>
    <row r="347" spans="2:7" x14ac:dyDescent="0.2">
      <c r="B347" s="797"/>
      <c r="C347" s="716" t="s">
        <v>972</v>
      </c>
      <c r="D347" s="715">
        <f>D346*112.7</f>
        <v>1915.9</v>
      </c>
      <c r="E347" s="715">
        <f>E346*112.7</f>
        <v>0</v>
      </c>
      <c r="F347" s="715">
        <f>F346*119.6</f>
        <v>0</v>
      </c>
      <c r="G347" s="715">
        <f t="shared" si="126"/>
        <v>1915.9</v>
      </c>
    </row>
    <row r="348" spans="2:7" x14ac:dyDescent="0.2">
      <c r="B348" s="798"/>
      <c r="C348" s="716" t="s">
        <v>973</v>
      </c>
      <c r="D348" s="715">
        <f>(D344-D346)*112.7</f>
        <v>3944.5</v>
      </c>
      <c r="E348" s="715">
        <f>(E344-E346)*112.7</f>
        <v>1127</v>
      </c>
      <c r="F348" s="715">
        <f>(F344-F346)*119.6</f>
        <v>1196</v>
      </c>
      <c r="G348" s="715">
        <f>G345-G347</f>
        <v>6267.5</v>
      </c>
    </row>
    <row r="349" spans="2:7" x14ac:dyDescent="0.2">
      <c r="B349" s="717"/>
      <c r="C349" s="716"/>
      <c r="D349" s="715"/>
      <c r="E349" s="715"/>
      <c r="F349" s="715"/>
      <c r="G349" s="715"/>
    </row>
    <row r="350" spans="2:7" x14ac:dyDescent="0.2">
      <c r="B350" s="174" t="str">
        <f>B343</f>
        <v>21 - 27 APR 2025</v>
      </c>
      <c r="C350" s="716"/>
      <c r="D350" s="174" t="s">
        <v>104</v>
      </c>
      <c r="E350" s="174" t="s">
        <v>86</v>
      </c>
      <c r="F350" s="174" t="s">
        <v>87</v>
      </c>
      <c r="G350" s="174" t="s">
        <v>19</v>
      </c>
    </row>
    <row r="351" spans="2:7" x14ac:dyDescent="0.2">
      <c r="B351" s="796" t="s">
        <v>274</v>
      </c>
      <c r="C351" s="174" t="s">
        <v>970</v>
      </c>
      <c r="D351" s="3">
        <v>20</v>
      </c>
      <c r="E351" s="3">
        <v>8</v>
      </c>
      <c r="F351" s="3">
        <v>10</v>
      </c>
      <c r="G351" s="174">
        <f t="shared" ref="G351:G352" si="127">SUM(D351:F351)</f>
        <v>38</v>
      </c>
    </row>
    <row r="352" spans="2:7" x14ac:dyDescent="0.2">
      <c r="B352" s="797"/>
      <c r="C352" s="174" t="s">
        <v>971</v>
      </c>
      <c r="D352" s="53">
        <f>D351*112.7</f>
        <v>2254</v>
      </c>
      <c r="E352" s="53">
        <f>E351*112.7</f>
        <v>901.6</v>
      </c>
      <c r="F352" s="53">
        <f>F351*119.6</f>
        <v>1196</v>
      </c>
      <c r="G352" s="715">
        <f t="shared" si="127"/>
        <v>4351.6000000000004</v>
      </c>
    </row>
    <row r="353" spans="2:7" x14ac:dyDescent="0.2">
      <c r="B353" s="797"/>
      <c r="C353" s="716" t="s">
        <v>89</v>
      </c>
      <c r="D353" s="3">
        <v>9</v>
      </c>
      <c r="E353" s="3">
        <v>4</v>
      </c>
      <c r="F353" s="3">
        <v>5</v>
      </c>
      <c r="G353" s="174">
        <f t="shared" ref="G353:G354" si="128">SUM(D353:F353)</f>
        <v>18</v>
      </c>
    </row>
    <row r="354" spans="2:7" x14ac:dyDescent="0.2">
      <c r="B354" s="797"/>
      <c r="C354" s="716" t="s">
        <v>972</v>
      </c>
      <c r="D354" s="715">
        <f>D353*112.7</f>
        <v>1014.3000000000001</v>
      </c>
      <c r="E354" s="715">
        <f>E353*112.7</f>
        <v>450.8</v>
      </c>
      <c r="F354" s="715">
        <f>F353*119.6</f>
        <v>598</v>
      </c>
      <c r="G354" s="715">
        <f t="shared" si="128"/>
        <v>2063.1000000000004</v>
      </c>
    </row>
    <row r="355" spans="2:7" x14ac:dyDescent="0.2">
      <c r="B355" s="798"/>
      <c r="C355" s="716" t="s">
        <v>973</v>
      </c>
      <c r="D355" s="715">
        <f>(D351-D353)*112.7</f>
        <v>1239.7</v>
      </c>
      <c r="E355" s="715">
        <f>(E351-E353)*112.7</f>
        <v>450.8</v>
      </c>
      <c r="F355" s="715">
        <f>(F351-F353)*119.6</f>
        <v>598</v>
      </c>
      <c r="G355" s="715">
        <f>G352-G354</f>
        <v>2288.5</v>
      </c>
    </row>
    <row r="356" spans="2:7" x14ac:dyDescent="0.2">
      <c r="B356" s="717"/>
      <c r="C356" s="716"/>
      <c r="D356" s="715"/>
      <c r="E356" s="715"/>
      <c r="F356" s="715"/>
      <c r="G356" s="715"/>
    </row>
    <row r="357" spans="2:7" x14ac:dyDescent="0.2">
      <c r="B357" s="174" t="str">
        <f>B350</f>
        <v>21 - 27 APR 2025</v>
      </c>
      <c r="C357" s="716"/>
      <c r="D357" s="174" t="s">
        <v>104</v>
      </c>
      <c r="E357" s="174" t="s">
        <v>86</v>
      </c>
      <c r="F357" s="174" t="s">
        <v>87</v>
      </c>
      <c r="G357" s="174" t="s">
        <v>19</v>
      </c>
    </row>
    <row r="358" spans="2:7" x14ac:dyDescent="0.2">
      <c r="B358" s="796" t="s">
        <v>112</v>
      </c>
      <c r="C358" s="174" t="s">
        <v>970</v>
      </c>
      <c r="D358" s="3">
        <v>28</v>
      </c>
      <c r="E358" s="3">
        <v>10</v>
      </c>
      <c r="F358" s="3">
        <v>10</v>
      </c>
      <c r="G358" s="174">
        <f t="shared" ref="G358:G359" si="129">SUM(D358:F358)</f>
        <v>48</v>
      </c>
    </row>
    <row r="359" spans="2:7" x14ac:dyDescent="0.2">
      <c r="B359" s="797"/>
      <c r="C359" s="174" t="s">
        <v>971</v>
      </c>
      <c r="D359" s="53">
        <f>D358*112.7</f>
        <v>3155.6</v>
      </c>
      <c r="E359" s="53">
        <f>E358*112.7</f>
        <v>1127</v>
      </c>
      <c r="F359" s="53">
        <f>F358*119.6</f>
        <v>1196</v>
      </c>
      <c r="G359" s="715">
        <f t="shared" si="129"/>
        <v>5478.6</v>
      </c>
    </row>
    <row r="360" spans="2:7" x14ac:dyDescent="0.2">
      <c r="B360" s="797"/>
      <c r="C360" s="716" t="s">
        <v>89</v>
      </c>
      <c r="D360" s="3"/>
      <c r="E360" s="3"/>
      <c r="F360" s="3"/>
      <c r="G360" s="174">
        <f t="shared" ref="G360:G361" si="130">SUM(D360:F360)</f>
        <v>0</v>
      </c>
    </row>
    <row r="361" spans="2:7" x14ac:dyDescent="0.2">
      <c r="B361" s="797"/>
      <c r="C361" s="716" t="s">
        <v>972</v>
      </c>
      <c r="D361" s="715">
        <f>D360*112.7</f>
        <v>0</v>
      </c>
      <c r="E361" s="715">
        <f>E360*112.7</f>
        <v>0</v>
      </c>
      <c r="F361" s="715">
        <f>F360*119.6</f>
        <v>0</v>
      </c>
      <c r="G361" s="715">
        <f t="shared" si="130"/>
        <v>0</v>
      </c>
    </row>
    <row r="362" spans="2:7" x14ac:dyDescent="0.2">
      <c r="B362" s="798"/>
      <c r="C362" s="716" t="s">
        <v>973</v>
      </c>
      <c r="D362" s="715">
        <f>(D358-D360)*112.7</f>
        <v>3155.6</v>
      </c>
      <c r="E362" s="715">
        <f>(E358-E360)*112.7</f>
        <v>1127</v>
      </c>
      <c r="F362" s="715">
        <f>(F358-F360)*119.6</f>
        <v>1196</v>
      </c>
      <c r="G362" s="715">
        <f>G359-G361</f>
        <v>5478.6</v>
      </c>
    </row>
    <row r="363" spans="2:7" x14ac:dyDescent="0.2">
      <c r="B363" s="717"/>
      <c r="C363" s="716"/>
      <c r="D363" s="715"/>
      <c r="E363" s="715"/>
      <c r="F363" s="715"/>
      <c r="G363" s="715"/>
    </row>
    <row r="364" spans="2:7" x14ac:dyDescent="0.2">
      <c r="B364" s="174" t="str">
        <f>B357</f>
        <v>21 - 27 APR 2025</v>
      </c>
      <c r="C364" s="716"/>
      <c r="D364" s="174" t="s">
        <v>104</v>
      </c>
      <c r="E364" s="174" t="s">
        <v>86</v>
      </c>
      <c r="F364" s="174" t="s">
        <v>87</v>
      </c>
      <c r="G364" s="174" t="s">
        <v>19</v>
      </c>
    </row>
    <row r="365" spans="2:7" x14ac:dyDescent="0.2">
      <c r="B365" s="799" t="s">
        <v>72</v>
      </c>
      <c r="C365" s="174" t="s">
        <v>970</v>
      </c>
      <c r="D365" s="3">
        <v>28</v>
      </c>
      <c r="E365" s="3">
        <v>10</v>
      </c>
      <c r="F365" s="3">
        <v>10</v>
      </c>
      <c r="G365" s="174">
        <f t="shared" ref="G365:G366" si="131">SUM(D365:F365)</f>
        <v>48</v>
      </c>
    </row>
    <row r="366" spans="2:7" x14ac:dyDescent="0.2">
      <c r="B366" s="799"/>
      <c r="C366" s="174" t="s">
        <v>971</v>
      </c>
      <c r="D366" s="53">
        <f>D365*112.7</f>
        <v>3155.6</v>
      </c>
      <c r="E366" s="53">
        <f>E365*112.7</f>
        <v>1127</v>
      </c>
      <c r="F366" s="53">
        <f>F365*119.6</f>
        <v>1196</v>
      </c>
      <c r="G366" s="715">
        <f t="shared" si="131"/>
        <v>5478.6</v>
      </c>
    </row>
    <row r="367" spans="2:7" x14ac:dyDescent="0.2">
      <c r="B367" s="799"/>
      <c r="C367" s="716" t="s">
        <v>89</v>
      </c>
      <c r="D367" s="3"/>
      <c r="E367" s="3"/>
      <c r="F367" s="3"/>
      <c r="G367" s="174">
        <f t="shared" ref="G367:G368" si="132">SUM(D367:F367)</f>
        <v>0</v>
      </c>
    </row>
    <row r="368" spans="2:7" x14ac:dyDescent="0.2">
      <c r="B368" s="799"/>
      <c r="C368" s="716" t="s">
        <v>972</v>
      </c>
      <c r="D368" s="715">
        <f>D367*112.7</f>
        <v>0</v>
      </c>
      <c r="E368" s="715">
        <f>E367*112.7</f>
        <v>0</v>
      </c>
      <c r="F368" s="715">
        <f>F367*119.6</f>
        <v>0</v>
      </c>
      <c r="G368" s="715">
        <f t="shared" si="132"/>
        <v>0</v>
      </c>
    </row>
    <row r="369" spans="2:9" x14ac:dyDescent="0.2">
      <c r="B369" s="799"/>
      <c r="C369" s="716" t="s">
        <v>973</v>
      </c>
      <c r="D369" s="715">
        <f>(D365-D367)*112.7</f>
        <v>3155.6</v>
      </c>
      <c r="E369" s="715">
        <f>(E365-E367)*112.7</f>
        <v>1127</v>
      </c>
      <c r="F369" s="715">
        <f>(F365-F367)*119.6</f>
        <v>1196</v>
      </c>
      <c r="G369" s="715">
        <f>G366-G368</f>
        <v>5478.6</v>
      </c>
    </row>
    <row r="370" spans="2:9" x14ac:dyDescent="0.2">
      <c r="B370" s="717"/>
      <c r="C370" s="716"/>
      <c r="D370" s="715"/>
      <c r="E370" s="715"/>
      <c r="F370" s="715"/>
      <c r="G370" s="715"/>
    </row>
    <row r="371" spans="2:9" x14ac:dyDescent="0.2">
      <c r="B371" s="174" t="str">
        <f>B364</f>
        <v>21 - 27 APR 2025</v>
      </c>
      <c r="C371" s="716"/>
      <c r="D371" s="174" t="s">
        <v>104</v>
      </c>
      <c r="E371" s="174" t="s">
        <v>86</v>
      </c>
      <c r="F371" s="174" t="s">
        <v>88</v>
      </c>
      <c r="G371" s="174" t="s">
        <v>87</v>
      </c>
      <c r="H371" s="174" t="s">
        <v>983</v>
      </c>
      <c r="I371" s="174" t="s">
        <v>19</v>
      </c>
    </row>
    <row r="372" spans="2:9" x14ac:dyDescent="0.2">
      <c r="B372" s="796" t="s">
        <v>105</v>
      </c>
      <c r="C372" s="174" t="s">
        <v>970</v>
      </c>
      <c r="D372" s="3">
        <v>77</v>
      </c>
      <c r="E372" s="3">
        <v>33</v>
      </c>
      <c r="F372" s="3">
        <v>17</v>
      </c>
      <c r="G372" s="3">
        <v>20</v>
      </c>
      <c r="H372" s="3">
        <v>30</v>
      </c>
      <c r="I372" s="174">
        <f>SUM(D372:H372)</f>
        <v>177</v>
      </c>
    </row>
    <row r="373" spans="2:9" x14ac:dyDescent="0.2">
      <c r="B373" s="797"/>
      <c r="C373" s="174" t="s">
        <v>971</v>
      </c>
      <c r="D373" s="53">
        <f>D372*100</f>
        <v>7700</v>
      </c>
      <c r="E373" s="53">
        <f t="shared" ref="E373:F373" si="133">E372*100</f>
        <v>3300</v>
      </c>
      <c r="F373" s="53">
        <f t="shared" si="133"/>
        <v>1700</v>
      </c>
      <c r="G373" s="53">
        <f>G372*100</f>
        <v>2000</v>
      </c>
      <c r="H373" s="53">
        <f>H372*100</f>
        <v>3000</v>
      </c>
      <c r="I373" s="715">
        <f t="shared" ref="I373:I375" si="134">SUM(D373:H373)</f>
        <v>17700</v>
      </c>
    </row>
    <row r="374" spans="2:9" x14ac:dyDescent="0.2">
      <c r="B374" s="797"/>
      <c r="C374" s="716" t="s">
        <v>89</v>
      </c>
      <c r="D374" s="3">
        <v>14</v>
      </c>
      <c r="E374" s="3">
        <v>3</v>
      </c>
      <c r="F374" s="3">
        <v>2</v>
      </c>
      <c r="G374" s="3">
        <v>10</v>
      </c>
      <c r="H374" s="3">
        <v>2</v>
      </c>
      <c r="I374" s="174">
        <f t="shared" si="134"/>
        <v>31</v>
      </c>
    </row>
    <row r="375" spans="2:9" x14ac:dyDescent="0.2">
      <c r="B375" s="797"/>
      <c r="C375" s="716" t="s">
        <v>972</v>
      </c>
      <c r="D375" s="715">
        <f>D374*100</f>
        <v>1400</v>
      </c>
      <c r="E375" s="715">
        <f t="shared" ref="E375:H375" si="135">E374*100</f>
        <v>300</v>
      </c>
      <c r="F375" s="715">
        <f t="shared" si="135"/>
        <v>200</v>
      </c>
      <c r="G375" s="715">
        <f t="shared" si="135"/>
        <v>1000</v>
      </c>
      <c r="H375" s="715">
        <f t="shared" si="135"/>
        <v>200</v>
      </c>
      <c r="I375" s="715">
        <f t="shared" si="134"/>
        <v>3100</v>
      </c>
    </row>
    <row r="376" spans="2:9" x14ac:dyDescent="0.2">
      <c r="B376" s="798"/>
      <c r="C376" s="716" t="s">
        <v>973</v>
      </c>
      <c r="D376" s="715">
        <f>D373-D375</f>
        <v>6300</v>
      </c>
      <c r="E376" s="715">
        <f t="shared" ref="E376:H376" si="136">E373-E375</f>
        <v>3000</v>
      </c>
      <c r="F376" s="715">
        <f t="shared" si="136"/>
        <v>1500</v>
      </c>
      <c r="G376" s="715">
        <f t="shared" si="136"/>
        <v>1000</v>
      </c>
      <c r="H376" s="715">
        <f t="shared" si="136"/>
        <v>2800</v>
      </c>
      <c r="I376" s="715">
        <f>SUM(D376:H376)</f>
        <v>14600</v>
      </c>
    </row>
    <row r="377" spans="2:9" x14ac:dyDescent="0.2">
      <c r="B377" s="717"/>
      <c r="C377" s="716"/>
      <c r="D377" s="715"/>
      <c r="E377" s="715"/>
      <c r="F377" s="715"/>
      <c r="G377" s="715"/>
      <c r="H377" s="715"/>
      <c r="I377" s="715"/>
    </row>
    <row r="378" spans="2:9" x14ac:dyDescent="0.2">
      <c r="B378" s="174" t="str">
        <f>B371</f>
        <v>21 - 27 APR 2025</v>
      </c>
      <c r="C378" s="716"/>
      <c r="D378" s="174" t="s">
        <v>104</v>
      </c>
      <c r="E378" s="174" t="s">
        <v>86</v>
      </c>
      <c r="F378" s="174" t="s">
        <v>88</v>
      </c>
      <c r="G378" s="174" t="s">
        <v>87</v>
      </c>
      <c r="H378" s="174" t="s">
        <v>983</v>
      </c>
      <c r="I378" s="174" t="s">
        <v>19</v>
      </c>
    </row>
    <row r="379" spans="2:9" x14ac:dyDescent="0.2">
      <c r="B379" s="796" t="s">
        <v>382</v>
      </c>
      <c r="C379" s="174" t="s">
        <v>970</v>
      </c>
      <c r="D379" s="3">
        <v>5</v>
      </c>
      <c r="E379" s="3">
        <v>2</v>
      </c>
      <c r="F379" s="3">
        <v>5</v>
      </c>
      <c r="G379" s="3"/>
      <c r="H379" s="3">
        <v>5</v>
      </c>
      <c r="I379" s="174">
        <f>SUM(D379:H379)</f>
        <v>17</v>
      </c>
    </row>
    <row r="380" spans="2:9" x14ac:dyDescent="0.2">
      <c r="B380" s="797"/>
      <c r="C380" s="174" t="s">
        <v>971</v>
      </c>
      <c r="D380" s="53">
        <f>D379*120</f>
        <v>600</v>
      </c>
      <c r="E380" s="53">
        <f t="shared" ref="E380:H380" si="137">E379*120</f>
        <v>240</v>
      </c>
      <c r="F380" s="53">
        <f t="shared" si="137"/>
        <v>600</v>
      </c>
      <c r="G380" s="53">
        <f t="shared" si="137"/>
        <v>0</v>
      </c>
      <c r="H380" s="53">
        <f t="shared" si="137"/>
        <v>600</v>
      </c>
      <c r="I380" s="715">
        <f t="shared" ref="I380:I383" si="138">SUM(D380:H380)</f>
        <v>2040</v>
      </c>
    </row>
    <row r="381" spans="2:9" x14ac:dyDescent="0.2">
      <c r="B381" s="797"/>
      <c r="C381" s="716" t="s">
        <v>89</v>
      </c>
      <c r="D381" s="3"/>
      <c r="E381" s="3"/>
      <c r="F381" s="3"/>
      <c r="G381" s="3"/>
      <c r="H381" s="3"/>
      <c r="I381" s="174">
        <f t="shared" si="138"/>
        <v>0</v>
      </c>
    </row>
    <row r="382" spans="2:9" x14ac:dyDescent="0.2">
      <c r="B382" s="797"/>
      <c r="C382" s="716" t="s">
        <v>972</v>
      </c>
      <c r="D382" s="715">
        <f>D381*120</f>
        <v>0</v>
      </c>
      <c r="E382" s="715">
        <f t="shared" ref="E382:H382" si="139">E381*120</f>
        <v>0</v>
      </c>
      <c r="F382" s="715">
        <f t="shared" si="139"/>
        <v>0</v>
      </c>
      <c r="G382" s="715">
        <f t="shared" si="139"/>
        <v>0</v>
      </c>
      <c r="H382" s="715">
        <f t="shared" si="139"/>
        <v>0</v>
      </c>
      <c r="I382" s="715">
        <f t="shared" si="138"/>
        <v>0</v>
      </c>
    </row>
    <row r="383" spans="2:9" x14ac:dyDescent="0.2">
      <c r="B383" s="798"/>
      <c r="C383" s="716" t="s">
        <v>973</v>
      </c>
      <c r="D383" s="715">
        <f>D380-D382</f>
        <v>600</v>
      </c>
      <c r="E383" s="715">
        <f t="shared" ref="E383:H383" si="140">E380-E382</f>
        <v>240</v>
      </c>
      <c r="F383" s="715">
        <f t="shared" si="140"/>
        <v>600</v>
      </c>
      <c r="G383" s="715">
        <f t="shared" si="140"/>
        <v>0</v>
      </c>
      <c r="H383" s="715">
        <f t="shared" si="140"/>
        <v>600</v>
      </c>
      <c r="I383" s="715">
        <f t="shared" si="138"/>
        <v>2040</v>
      </c>
    </row>
    <row r="384" spans="2:9" x14ac:dyDescent="0.2">
      <c r="B384" s="717"/>
      <c r="C384" s="716"/>
      <c r="D384" s="715"/>
      <c r="E384" s="715"/>
      <c r="F384" s="715"/>
      <c r="G384" s="715"/>
      <c r="H384" s="715"/>
      <c r="I384" s="715"/>
    </row>
    <row r="385" spans="2:9" x14ac:dyDescent="0.2">
      <c r="B385" s="174" t="str">
        <f>B378</f>
        <v>21 - 27 APR 2025</v>
      </c>
      <c r="C385" s="716"/>
      <c r="D385" s="174" t="s">
        <v>104</v>
      </c>
      <c r="E385" s="174" t="s">
        <v>86</v>
      </c>
      <c r="F385" s="174" t="s">
        <v>88</v>
      </c>
      <c r="G385" s="174" t="s">
        <v>87</v>
      </c>
      <c r="H385" s="174" t="s">
        <v>983</v>
      </c>
      <c r="I385" s="174" t="s">
        <v>19</v>
      </c>
    </row>
    <row r="386" spans="2:9" x14ac:dyDescent="0.2">
      <c r="B386" s="796" t="s">
        <v>200</v>
      </c>
      <c r="C386" s="174" t="s">
        <v>970</v>
      </c>
      <c r="D386" s="3">
        <v>1</v>
      </c>
      <c r="E386" s="3">
        <v>2</v>
      </c>
      <c r="F386" s="3">
        <v>4</v>
      </c>
      <c r="G386" s="3">
        <v>5</v>
      </c>
      <c r="H386" s="3">
        <v>5</v>
      </c>
      <c r="I386" s="174">
        <f>SUM(D386:H386)</f>
        <v>17</v>
      </c>
    </row>
    <row r="387" spans="2:9" x14ac:dyDescent="0.2">
      <c r="B387" s="797"/>
      <c r="C387" s="174" t="s">
        <v>971</v>
      </c>
      <c r="D387" s="53">
        <f>D386*120</f>
        <v>120</v>
      </c>
      <c r="E387" s="53">
        <f t="shared" ref="E387:H387" si="141">E386*120</f>
        <v>240</v>
      </c>
      <c r="F387" s="53">
        <f t="shared" si="141"/>
        <v>480</v>
      </c>
      <c r="G387" s="53">
        <f t="shared" si="141"/>
        <v>600</v>
      </c>
      <c r="H387" s="53">
        <f t="shared" si="141"/>
        <v>600</v>
      </c>
      <c r="I387" s="715">
        <f t="shared" ref="I387:I390" si="142">SUM(D387:H387)</f>
        <v>2040</v>
      </c>
    </row>
    <row r="388" spans="2:9" x14ac:dyDescent="0.2">
      <c r="B388" s="797"/>
      <c r="C388" s="716" t="s">
        <v>89</v>
      </c>
      <c r="D388" s="3">
        <v>4</v>
      </c>
      <c r="E388" s="3">
        <v>3</v>
      </c>
      <c r="F388" s="3">
        <v>1</v>
      </c>
      <c r="G388" s="3"/>
      <c r="H388" s="3"/>
      <c r="I388" s="174">
        <f t="shared" si="142"/>
        <v>8</v>
      </c>
    </row>
    <row r="389" spans="2:9" x14ac:dyDescent="0.2">
      <c r="B389" s="797"/>
      <c r="C389" s="716" t="s">
        <v>972</v>
      </c>
      <c r="D389" s="715">
        <f>D388*120</f>
        <v>480</v>
      </c>
      <c r="E389" s="715">
        <f t="shared" ref="E389:H389" si="143">E388*120</f>
        <v>360</v>
      </c>
      <c r="F389" s="715">
        <f t="shared" si="143"/>
        <v>120</v>
      </c>
      <c r="G389" s="715">
        <f t="shared" si="143"/>
        <v>0</v>
      </c>
      <c r="H389" s="715">
        <f t="shared" si="143"/>
        <v>0</v>
      </c>
      <c r="I389" s="715">
        <f t="shared" si="142"/>
        <v>960</v>
      </c>
    </row>
    <row r="390" spans="2:9" x14ac:dyDescent="0.2">
      <c r="B390" s="798"/>
      <c r="C390" s="716" t="s">
        <v>973</v>
      </c>
      <c r="D390" s="715">
        <f>D387-D389</f>
        <v>-360</v>
      </c>
      <c r="E390" s="715">
        <f t="shared" ref="E390:H390" si="144">E387-E389</f>
        <v>-120</v>
      </c>
      <c r="F390" s="715">
        <f t="shared" si="144"/>
        <v>360</v>
      </c>
      <c r="G390" s="715">
        <f t="shared" si="144"/>
        <v>600</v>
      </c>
      <c r="H390" s="715">
        <f t="shared" si="144"/>
        <v>600</v>
      </c>
      <c r="I390" s="715">
        <f t="shared" si="142"/>
        <v>1080</v>
      </c>
    </row>
    <row r="391" spans="2:9" x14ac:dyDescent="0.2">
      <c r="B391" s="717"/>
      <c r="C391" s="716"/>
      <c r="D391" s="715"/>
      <c r="E391" s="715"/>
      <c r="F391" s="715"/>
      <c r="G391" s="715"/>
      <c r="H391" s="715"/>
      <c r="I391" s="715"/>
    </row>
    <row r="392" spans="2:9" x14ac:dyDescent="0.2">
      <c r="B392" s="717"/>
      <c r="C392" s="716"/>
      <c r="D392" s="715"/>
      <c r="E392" s="715"/>
      <c r="F392" s="715"/>
      <c r="G392" s="715"/>
      <c r="H392" s="715"/>
      <c r="I392" s="715"/>
    </row>
    <row r="393" spans="2:9" x14ac:dyDescent="0.2">
      <c r="B393" s="174" t="str">
        <f>B385</f>
        <v>21 - 27 APR 2025</v>
      </c>
      <c r="C393" s="716"/>
      <c r="D393" s="174" t="s">
        <v>104</v>
      </c>
      <c r="E393" s="174" t="s">
        <v>86</v>
      </c>
      <c r="F393" s="174" t="s">
        <v>88</v>
      </c>
      <c r="G393" s="174" t="s">
        <v>87</v>
      </c>
      <c r="H393" s="174" t="s">
        <v>983</v>
      </c>
      <c r="I393" s="174" t="s">
        <v>19</v>
      </c>
    </row>
    <row r="394" spans="2:9" x14ac:dyDescent="0.2">
      <c r="B394" s="796" t="s">
        <v>269</v>
      </c>
      <c r="C394" s="174" t="s">
        <v>970</v>
      </c>
      <c r="D394" s="3">
        <v>10</v>
      </c>
      <c r="E394" s="3">
        <v>5</v>
      </c>
      <c r="F394" s="3">
        <v>5</v>
      </c>
      <c r="G394" s="3">
        <v>5</v>
      </c>
      <c r="H394" s="3">
        <v>10</v>
      </c>
      <c r="I394" s="174">
        <f>SUM(D394:H394)</f>
        <v>35</v>
      </c>
    </row>
    <row r="395" spans="2:9" x14ac:dyDescent="0.2">
      <c r="B395" s="797"/>
      <c r="C395" s="174" t="s">
        <v>971</v>
      </c>
      <c r="D395" s="53">
        <f>D394*120</f>
        <v>1200</v>
      </c>
      <c r="E395" s="53">
        <f t="shared" ref="E395:H395" si="145">E394*120</f>
        <v>600</v>
      </c>
      <c r="F395" s="53">
        <f t="shared" si="145"/>
        <v>600</v>
      </c>
      <c r="G395" s="53">
        <f t="shared" si="145"/>
        <v>600</v>
      </c>
      <c r="H395" s="53">
        <f t="shared" si="145"/>
        <v>1200</v>
      </c>
      <c r="I395" s="715">
        <f t="shared" ref="I395:I398" si="146">SUM(D395:H395)</f>
        <v>4200</v>
      </c>
    </row>
    <row r="396" spans="2:9" x14ac:dyDescent="0.2">
      <c r="B396" s="797"/>
      <c r="C396" s="716" t="s">
        <v>89</v>
      </c>
      <c r="D396" s="3"/>
      <c r="E396" s="3"/>
      <c r="F396" s="3"/>
      <c r="G396" s="3"/>
      <c r="H396" s="3"/>
      <c r="I396" s="174">
        <f t="shared" si="146"/>
        <v>0</v>
      </c>
    </row>
    <row r="397" spans="2:9" x14ac:dyDescent="0.2">
      <c r="B397" s="797"/>
      <c r="C397" s="716" t="s">
        <v>972</v>
      </c>
      <c r="D397" s="715">
        <f>D396*120</f>
        <v>0</v>
      </c>
      <c r="E397" s="715">
        <f t="shared" ref="E397:H397" si="147">E396*120</f>
        <v>0</v>
      </c>
      <c r="F397" s="715">
        <f t="shared" si="147"/>
        <v>0</v>
      </c>
      <c r="G397" s="715">
        <f t="shared" si="147"/>
        <v>0</v>
      </c>
      <c r="H397" s="715">
        <f t="shared" si="147"/>
        <v>0</v>
      </c>
      <c r="I397" s="715">
        <f t="shared" si="146"/>
        <v>0</v>
      </c>
    </row>
    <row r="398" spans="2:9" x14ac:dyDescent="0.2">
      <c r="B398" s="798"/>
      <c r="C398" s="716" t="s">
        <v>973</v>
      </c>
      <c r="D398" s="715">
        <f>D395-D397</f>
        <v>1200</v>
      </c>
      <c r="E398" s="715">
        <f t="shared" ref="E398:H398" si="148">E395-E397</f>
        <v>600</v>
      </c>
      <c r="F398" s="715">
        <f t="shared" si="148"/>
        <v>600</v>
      </c>
      <c r="G398" s="715">
        <f t="shared" si="148"/>
        <v>600</v>
      </c>
      <c r="H398" s="715">
        <f t="shared" si="148"/>
        <v>1200</v>
      </c>
      <c r="I398" s="715">
        <f t="shared" si="146"/>
        <v>4200</v>
      </c>
    </row>
    <row r="399" spans="2:9" x14ac:dyDescent="0.2">
      <c r="B399" s="717"/>
      <c r="C399" s="716"/>
      <c r="D399" s="715"/>
      <c r="E399" s="715"/>
      <c r="F399" s="715"/>
      <c r="G399" s="715"/>
      <c r="H399" s="715"/>
      <c r="I399" s="715"/>
    </row>
    <row r="401" spans="2:7" x14ac:dyDescent="0.2">
      <c r="B401" s="174" t="s">
        <v>1092</v>
      </c>
      <c r="C401" s="174"/>
      <c r="D401" s="174" t="s">
        <v>104</v>
      </c>
      <c r="E401" s="174" t="s">
        <v>86</v>
      </c>
      <c r="F401" s="174" t="s">
        <v>87</v>
      </c>
      <c r="G401" s="174" t="s">
        <v>19</v>
      </c>
    </row>
    <row r="402" spans="2:7" x14ac:dyDescent="0.2">
      <c r="B402" s="796" t="s">
        <v>106</v>
      </c>
      <c r="C402" s="174" t="s">
        <v>970</v>
      </c>
      <c r="D402" s="3">
        <v>40</v>
      </c>
      <c r="E402" s="3">
        <v>22</v>
      </c>
      <c r="F402" s="3">
        <v>12</v>
      </c>
      <c r="G402" s="174">
        <f t="shared" ref="G402:G405" si="149">SUM(D402:F402)</f>
        <v>74</v>
      </c>
    </row>
    <row r="403" spans="2:7" x14ac:dyDescent="0.2">
      <c r="B403" s="797"/>
      <c r="C403" s="174" t="s">
        <v>971</v>
      </c>
      <c r="D403" s="53">
        <f>D402*112.7</f>
        <v>4508</v>
      </c>
      <c r="E403" s="53">
        <f>E402*112.7</f>
        <v>2479.4</v>
      </c>
      <c r="F403" s="53">
        <f>F402*119.6</f>
        <v>1435.1999999999998</v>
      </c>
      <c r="G403" s="715">
        <f t="shared" si="149"/>
        <v>8422.5999999999985</v>
      </c>
    </row>
    <row r="404" spans="2:7" x14ac:dyDescent="0.2">
      <c r="B404" s="797"/>
      <c r="C404" s="716" t="s">
        <v>89</v>
      </c>
      <c r="D404" s="3">
        <v>1</v>
      </c>
      <c r="E404" s="3">
        <v>4</v>
      </c>
      <c r="F404" s="3">
        <v>2</v>
      </c>
      <c r="G404" s="174">
        <f t="shared" si="149"/>
        <v>7</v>
      </c>
    </row>
    <row r="405" spans="2:7" x14ac:dyDescent="0.2">
      <c r="B405" s="797"/>
      <c r="C405" s="716" t="s">
        <v>972</v>
      </c>
      <c r="D405" s="715">
        <f>D404*112.7</f>
        <v>112.7</v>
      </c>
      <c r="E405" s="715">
        <f>E404*112.7</f>
        <v>450.8</v>
      </c>
      <c r="F405" s="715">
        <f>F404*119.6</f>
        <v>239.2</v>
      </c>
      <c r="G405" s="715">
        <f t="shared" si="149"/>
        <v>802.7</v>
      </c>
    </row>
    <row r="406" spans="2:7" x14ac:dyDescent="0.2">
      <c r="B406" s="798"/>
      <c r="C406" s="716" t="s">
        <v>973</v>
      </c>
      <c r="D406" s="715">
        <f>(D402-D404)*112.7</f>
        <v>4395.3</v>
      </c>
      <c r="E406" s="715">
        <f>(E402-E404)*112.7</f>
        <v>2028.6000000000001</v>
      </c>
      <c r="F406" s="715">
        <f>(F402-F404)*119.6</f>
        <v>1196</v>
      </c>
      <c r="G406" s="715">
        <f>G403-G405</f>
        <v>7619.8999999999987</v>
      </c>
    </row>
    <row r="407" spans="2:7" x14ac:dyDescent="0.2">
      <c r="B407" s="717"/>
      <c r="C407" s="716"/>
      <c r="D407" s="715"/>
      <c r="E407" s="715"/>
      <c r="F407" s="715"/>
      <c r="G407" s="715"/>
    </row>
    <row r="408" spans="2:7" x14ac:dyDescent="0.2">
      <c r="B408" s="174" t="str">
        <f>B401</f>
        <v>28 APR - 4 MAY 2025</v>
      </c>
      <c r="C408" s="716"/>
      <c r="D408" s="174" t="s">
        <v>104</v>
      </c>
      <c r="E408" s="174" t="s">
        <v>86</v>
      </c>
      <c r="F408" s="174" t="s">
        <v>87</v>
      </c>
      <c r="G408" s="174" t="s">
        <v>19</v>
      </c>
    </row>
    <row r="409" spans="2:7" x14ac:dyDescent="0.2">
      <c r="B409" s="796" t="s">
        <v>108</v>
      </c>
      <c r="C409" s="174" t="s">
        <v>970</v>
      </c>
      <c r="D409" s="3">
        <v>60</v>
      </c>
      <c r="E409" s="3">
        <v>28</v>
      </c>
      <c r="F409" s="3">
        <v>28</v>
      </c>
      <c r="G409" s="174">
        <f t="shared" ref="G409:G410" si="150">SUM(D409:F409)</f>
        <v>116</v>
      </c>
    </row>
    <row r="410" spans="2:7" x14ac:dyDescent="0.2">
      <c r="B410" s="797"/>
      <c r="C410" s="174" t="s">
        <v>971</v>
      </c>
      <c r="D410" s="53">
        <f>D409*112.7</f>
        <v>6762</v>
      </c>
      <c r="E410" s="53">
        <f>E409*112.7</f>
        <v>3155.6</v>
      </c>
      <c r="F410" s="53">
        <f>F409*119.6</f>
        <v>3348.7999999999997</v>
      </c>
      <c r="G410" s="715">
        <f t="shared" si="150"/>
        <v>13266.4</v>
      </c>
    </row>
    <row r="411" spans="2:7" x14ac:dyDescent="0.2">
      <c r="B411" s="797"/>
      <c r="C411" s="716" t="s">
        <v>89</v>
      </c>
      <c r="D411" s="3"/>
      <c r="E411" s="3"/>
      <c r="F411" s="3"/>
      <c r="G411" s="174">
        <f t="shared" ref="G411:G412" si="151">SUM(D411:F411)</f>
        <v>0</v>
      </c>
    </row>
    <row r="412" spans="2:7" x14ac:dyDescent="0.2">
      <c r="B412" s="797"/>
      <c r="C412" s="716" t="s">
        <v>972</v>
      </c>
      <c r="D412" s="715">
        <f>D411*112.7</f>
        <v>0</v>
      </c>
      <c r="E412" s="715">
        <f>E411*112.7</f>
        <v>0</v>
      </c>
      <c r="F412" s="715">
        <f>F411*119.6</f>
        <v>0</v>
      </c>
      <c r="G412" s="715">
        <f t="shared" si="151"/>
        <v>0</v>
      </c>
    </row>
    <row r="413" spans="2:7" x14ac:dyDescent="0.2">
      <c r="B413" s="798"/>
      <c r="C413" s="716" t="s">
        <v>973</v>
      </c>
      <c r="D413" s="715">
        <f>(D409-D411)*112.7</f>
        <v>6762</v>
      </c>
      <c r="E413" s="715">
        <f>(E409-E411)*112.7</f>
        <v>3155.6</v>
      </c>
      <c r="F413" s="715">
        <f>(F409-F411)*119.6</f>
        <v>3348.7999999999997</v>
      </c>
      <c r="G413" s="715">
        <f>G410-G412</f>
        <v>13266.4</v>
      </c>
    </row>
    <row r="414" spans="2:7" x14ac:dyDescent="0.2">
      <c r="B414" s="717"/>
      <c r="C414" s="716"/>
      <c r="D414" s="715"/>
      <c r="E414" s="715"/>
      <c r="F414" s="715"/>
      <c r="G414" s="715"/>
    </row>
    <row r="415" spans="2:7" x14ac:dyDescent="0.2">
      <c r="B415" s="174" t="str">
        <f>B408</f>
        <v>28 APR - 4 MAY 2025</v>
      </c>
      <c r="C415" s="716"/>
      <c r="D415" s="174" t="s">
        <v>104</v>
      </c>
      <c r="E415" s="174" t="s">
        <v>86</v>
      </c>
      <c r="F415" s="174" t="s">
        <v>87</v>
      </c>
      <c r="G415" s="174" t="s">
        <v>19</v>
      </c>
    </row>
    <row r="416" spans="2:7" x14ac:dyDescent="0.2">
      <c r="B416" s="796" t="s">
        <v>109</v>
      </c>
      <c r="C416" s="174" t="s">
        <v>970</v>
      </c>
      <c r="D416" s="3">
        <v>40</v>
      </c>
      <c r="E416" s="3">
        <v>16</v>
      </c>
      <c r="F416" s="3">
        <v>16</v>
      </c>
      <c r="G416" s="174">
        <f t="shared" ref="G416:G417" si="152">SUM(D416:F416)</f>
        <v>72</v>
      </c>
    </row>
    <row r="417" spans="2:7" x14ac:dyDescent="0.2">
      <c r="B417" s="797"/>
      <c r="C417" s="174" t="s">
        <v>971</v>
      </c>
      <c r="D417" s="53">
        <f>D416*112.7</f>
        <v>4508</v>
      </c>
      <c r="E417" s="53">
        <f>E416*112.7</f>
        <v>1803.2</v>
      </c>
      <c r="F417" s="53">
        <f>F416*119.6</f>
        <v>1913.6</v>
      </c>
      <c r="G417" s="715">
        <f t="shared" si="152"/>
        <v>8224.7999999999993</v>
      </c>
    </row>
    <row r="418" spans="2:7" x14ac:dyDescent="0.2">
      <c r="B418" s="797"/>
      <c r="C418" s="716" t="s">
        <v>89</v>
      </c>
      <c r="D418" s="3">
        <v>1</v>
      </c>
      <c r="E418" s="3">
        <v>4</v>
      </c>
      <c r="F418" s="3">
        <v>2</v>
      </c>
      <c r="G418" s="174">
        <f t="shared" ref="G418:G419" si="153">SUM(D418:F418)</f>
        <v>7</v>
      </c>
    </row>
    <row r="419" spans="2:7" x14ac:dyDescent="0.2">
      <c r="B419" s="797"/>
      <c r="C419" s="716" t="s">
        <v>972</v>
      </c>
      <c r="D419" s="715">
        <f>D418*112.7</f>
        <v>112.7</v>
      </c>
      <c r="E419" s="715">
        <f>E418*112.7</f>
        <v>450.8</v>
      </c>
      <c r="F419" s="715">
        <f>F418*119.6</f>
        <v>239.2</v>
      </c>
      <c r="G419" s="715">
        <f t="shared" si="153"/>
        <v>802.7</v>
      </c>
    </row>
    <row r="420" spans="2:7" x14ac:dyDescent="0.2">
      <c r="B420" s="798"/>
      <c r="C420" s="716" t="s">
        <v>973</v>
      </c>
      <c r="D420" s="715">
        <f>(D416-D418)*112.7</f>
        <v>4395.3</v>
      </c>
      <c r="E420" s="715">
        <f>(E416-E418)*112.7</f>
        <v>1352.4</v>
      </c>
      <c r="F420" s="715">
        <f>(F416-F418)*119.6</f>
        <v>1674.3999999999999</v>
      </c>
      <c r="G420" s="715">
        <f>G417-G419</f>
        <v>7422.0999999999995</v>
      </c>
    </row>
    <row r="421" spans="2:7" x14ac:dyDescent="0.2">
      <c r="B421" s="717"/>
      <c r="C421" s="716"/>
      <c r="D421" s="715"/>
      <c r="E421" s="715"/>
      <c r="F421" s="715"/>
      <c r="G421" s="715"/>
    </row>
    <row r="422" spans="2:7" x14ac:dyDescent="0.2">
      <c r="B422" s="174" t="str">
        <f>B415</f>
        <v>28 APR - 4 MAY 2025</v>
      </c>
      <c r="C422" s="716"/>
      <c r="D422" s="174" t="s">
        <v>104</v>
      </c>
      <c r="E422" s="174" t="s">
        <v>86</v>
      </c>
      <c r="F422" s="174" t="s">
        <v>87</v>
      </c>
      <c r="G422" s="174" t="s">
        <v>19</v>
      </c>
    </row>
    <row r="423" spans="2:7" x14ac:dyDescent="0.2">
      <c r="B423" s="796" t="s">
        <v>110</v>
      </c>
      <c r="C423" s="174" t="s">
        <v>970</v>
      </c>
      <c r="D423" s="3">
        <f>72+172</f>
        <v>244</v>
      </c>
      <c r="E423" s="3">
        <v>74</v>
      </c>
      <c r="F423" s="3">
        <v>72</v>
      </c>
      <c r="G423" s="174">
        <f>SUM(D423:F423)</f>
        <v>390</v>
      </c>
    </row>
    <row r="424" spans="2:7" x14ac:dyDescent="0.2">
      <c r="B424" s="797"/>
      <c r="C424" s="174" t="s">
        <v>971</v>
      </c>
      <c r="D424" s="53">
        <f>D423*112.7</f>
        <v>27498.799999999999</v>
      </c>
      <c r="E424" s="53">
        <f>E423*112.7</f>
        <v>8339.8000000000011</v>
      </c>
      <c r="F424" s="53">
        <f>F423*119.6</f>
        <v>8611.1999999999989</v>
      </c>
      <c r="G424" s="715">
        <f>SUM(D424:F424)</f>
        <v>44449.799999999996</v>
      </c>
    </row>
    <row r="425" spans="2:7" x14ac:dyDescent="0.2">
      <c r="B425" s="797"/>
      <c r="C425" s="716" t="s">
        <v>89</v>
      </c>
      <c r="D425" s="3">
        <v>44</v>
      </c>
      <c r="E425" s="3"/>
      <c r="F425" s="3">
        <v>4</v>
      </c>
      <c r="G425" s="174">
        <f t="shared" ref="G425" si="154">SUM(D425:F425)</f>
        <v>48</v>
      </c>
    </row>
    <row r="426" spans="2:7" x14ac:dyDescent="0.2">
      <c r="B426" s="797"/>
      <c r="C426" s="716" t="s">
        <v>972</v>
      </c>
      <c r="D426" s="715">
        <f>D425*112.7</f>
        <v>4958.8</v>
      </c>
      <c r="E426" s="715">
        <f>E425*112.7</f>
        <v>0</v>
      </c>
      <c r="F426" s="715">
        <f>F425*119.6</f>
        <v>478.4</v>
      </c>
      <c r="G426" s="715">
        <f>SUM(D426:F426)</f>
        <v>5437.2</v>
      </c>
    </row>
    <row r="427" spans="2:7" x14ac:dyDescent="0.2">
      <c r="B427" s="798"/>
      <c r="C427" s="716" t="s">
        <v>973</v>
      </c>
      <c r="D427" s="715">
        <f>(D423-D425)*112.7</f>
        <v>22540</v>
      </c>
      <c r="E427" s="715">
        <f>(E423-E425)*112.7</f>
        <v>8339.8000000000011</v>
      </c>
      <c r="F427" s="715">
        <f>(F423-F425)*119.6</f>
        <v>8132.7999999999993</v>
      </c>
      <c r="G427" s="715">
        <f>G424-G426</f>
        <v>39012.6</v>
      </c>
    </row>
    <row r="428" spans="2:7" x14ac:dyDescent="0.2">
      <c r="B428" s="717"/>
      <c r="C428" s="716"/>
      <c r="D428" s="715"/>
      <c r="E428" s="715"/>
      <c r="F428" s="715"/>
      <c r="G428" s="715"/>
    </row>
    <row r="429" spans="2:7" x14ac:dyDescent="0.2">
      <c r="B429" s="174" t="str">
        <f>B422</f>
        <v>28 APR - 4 MAY 2025</v>
      </c>
      <c r="C429" s="716"/>
      <c r="D429" s="174" t="s">
        <v>104</v>
      </c>
      <c r="E429" s="174" t="s">
        <v>86</v>
      </c>
      <c r="F429" s="174" t="s">
        <v>87</v>
      </c>
      <c r="G429" s="174" t="s">
        <v>19</v>
      </c>
    </row>
    <row r="430" spans="2:7" x14ac:dyDescent="0.2">
      <c r="B430" s="796" t="s">
        <v>276</v>
      </c>
      <c r="C430" s="174" t="s">
        <v>970</v>
      </c>
      <c r="D430" s="3">
        <v>16</v>
      </c>
      <c r="E430" s="3">
        <v>7</v>
      </c>
      <c r="F430" s="3">
        <v>7</v>
      </c>
      <c r="G430" s="174">
        <f>SUM(D430:F430)</f>
        <v>30</v>
      </c>
    </row>
    <row r="431" spans="2:7" x14ac:dyDescent="0.2">
      <c r="B431" s="797"/>
      <c r="C431" s="174" t="s">
        <v>971</v>
      </c>
      <c r="D431" s="53">
        <f>D430*112.7</f>
        <v>1803.2</v>
      </c>
      <c r="E431" s="53">
        <f>E430*112.7</f>
        <v>788.9</v>
      </c>
      <c r="F431" s="53">
        <f>F430*119.6</f>
        <v>837.19999999999993</v>
      </c>
      <c r="G431" s="715">
        <f t="shared" ref="G431" si="155">SUM(D431:F431)</f>
        <v>3429.2999999999997</v>
      </c>
    </row>
    <row r="432" spans="2:7" x14ac:dyDescent="0.2">
      <c r="B432" s="797"/>
      <c r="C432" s="716" t="s">
        <v>89</v>
      </c>
      <c r="D432" s="3">
        <v>9</v>
      </c>
      <c r="E432" s="3">
        <v>2</v>
      </c>
      <c r="F432" s="3">
        <v>1</v>
      </c>
      <c r="G432" s="174">
        <f t="shared" ref="G432" si="156">SUM(D432:F432)</f>
        <v>12</v>
      </c>
    </row>
    <row r="433" spans="2:7" x14ac:dyDescent="0.2">
      <c r="B433" s="797"/>
      <c r="C433" s="716" t="s">
        <v>972</v>
      </c>
      <c r="D433" s="715">
        <f>D432*112.7</f>
        <v>1014.3000000000001</v>
      </c>
      <c r="E433" s="715">
        <f>E432*112.7</f>
        <v>225.4</v>
      </c>
      <c r="F433" s="715">
        <f>F432*119.6</f>
        <v>119.6</v>
      </c>
      <c r="G433" s="715">
        <f t="shared" ref="G433" si="157">SUM(D433:F433)</f>
        <v>1359.3</v>
      </c>
    </row>
    <row r="434" spans="2:7" x14ac:dyDescent="0.2">
      <c r="B434" s="798"/>
      <c r="C434" s="716" t="s">
        <v>973</v>
      </c>
      <c r="D434" s="715">
        <f>(D430-D432)*112.7</f>
        <v>788.9</v>
      </c>
      <c r="E434" s="715">
        <f>(E430-E432)*112.7</f>
        <v>563.5</v>
      </c>
      <c r="F434" s="715">
        <f>(F430-F432)*119.6</f>
        <v>717.59999999999991</v>
      </c>
      <c r="G434" s="715">
        <f>G431-G433</f>
        <v>2070</v>
      </c>
    </row>
    <row r="435" spans="2:7" x14ac:dyDescent="0.2">
      <c r="B435" s="717"/>
      <c r="C435" s="716"/>
      <c r="D435" s="715"/>
      <c r="E435" s="715"/>
      <c r="F435" s="715"/>
      <c r="G435" s="715"/>
    </row>
    <row r="436" spans="2:7" x14ac:dyDescent="0.2">
      <c r="B436" s="174" t="str">
        <f>B429</f>
        <v>28 APR - 4 MAY 2025</v>
      </c>
      <c r="C436" s="716"/>
      <c r="D436" s="174" t="s">
        <v>104</v>
      </c>
      <c r="E436" s="174" t="s">
        <v>86</v>
      </c>
      <c r="F436" s="174" t="s">
        <v>87</v>
      </c>
      <c r="G436" s="174" t="s">
        <v>19</v>
      </c>
    </row>
    <row r="437" spans="2:7" x14ac:dyDescent="0.2">
      <c r="B437" s="796" t="s">
        <v>111</v>
      </c>
      <c r="C437" s="174" t="s">
        <v>970</v>
      </c>
      <c r="D437" s="3">
        <v>28</v>
      </c>
      <c r="E437" s="3">
        <v>10</v>
      </c>
      <c r="F437" s="3">
        <v>10</v>
      </c>
      <c r="G437" s="174">
        <f t="shared" ref="G437:G438" si="158">SUM(D437:F437)</f>
        <v>48</v>
      </c>
    </row>
    <row r="438" spans="2:7" x14ac:dyDescent="0.2">
      <c r="B438" s="797"/>
      <c r="C438" s="174" t="s">
        <v>971</v>
      </c>
      <c r="D438" s="53">
        <f>D437*112.7</f>
        <v>3155.6</v>
      </c>
      <c r="E438" s="53">
        <f>E437*112.7</f>
        <v>1127</v>
      </c>
      <c r="F438" s="53">
        <f>F437*119.6</f>
        <v>1196</v>
      </c>
      <c r="G438" s="715">
        <f t="shared" si="158"/>
        <v>5478.6</v>
      </c>
    </row>
    <row r="439" spans="2:7" x14ac:dyDescent="0.2">
      <c r="B439" s="797"/>
      <c r="C439" s="716" t="s">
        <v>89</v>
      </c>
      <c r="D439" s="3">
        <v>19</v>
      </c>
      <c r="E439" s="3">
        <v>2</v>
      </c>
      <c r="F439" s="3">
        <v>6</v>
      </c>
      <c r="G439" s="174">
        <f t="shared" ref="G439:G440" si="159">SUM(D439:F439)</f>
        <v>27</v>
      </c>
    </row>
    <row r="440" spans="2:7" x14ac:dyDescent="0.2">
      <c r="B440" s="797"/>
      <c r="C440" s="716" t="s">
        <v>972</v>
      </c>
      <c r="D440" s="715">
        <f>D439*112.7</f>
        <v>2141.3000000000002</v>
      </c>
      <c r="E440" s="715">
        <f>E439*112.7</f>
        <v>225.4</v>
      </c>
      <c r="F440" s="715">
        <f>F439*119.6</f>
        <v>717.59999999999991</v>
      </c>
      <c r="G440" s="715">
        <f t="shared" si="159"/>
        <v>3084.3</v>
      </c>
    </row>
    <row r="441" spans="2:7" x14ac:dyDescent="0.2">
      <c r="B441" s="798"/>
      <c r="C441" s="716" t="s">
        <v>973</v>
      </c>
      <c r="D441" s="715">
        <f>(D437-D439)*112.7</f>
        <v>1014.3000000000001</v>
      </c>
      <c r="E441" s="715">
        <f>(E437-E439)*112.7</f>
        <v>901.6</v>
      </c>
      <c r="F441" s="715">
        <f>(F437-F439)*119.6</f>
        <v>478.4</v>
      </c>
      <c r="G441" s="715">
        <f>G438-G440</f>
        <v>2394.3000000000002</v>
      </c>
    </row>
    <row r="442" spans="2:7" x14ac:dyDescent="0.2">
      <c r="B442" s="717"/>
      <c r="C442" s="716"/>
      <c r="D442" s="715"/>
      <c r="E442" s="715"/>
      <c r="F442" s="715"/>
      <c r="G442" s="715"/>
    </row>
    <row r="443" spans="2:7" x14ac:dyDescent="0.2">
      <c r="B443" s="174" t="str">
        <f>B436</f>
        <v>28 APR - 4 MAY 2025</v>
      </c>
      <c r="C443" s="716"/>
      <c r="D443" s="174" t="s">
        <v>104</v>
      </c>
      <c r="E443" s="174" t="s">
        <v>86</v>
      </c>
      <c r="F443" s="174" t="s">
        <v>87</v>
      </c>
      <c r="G443" s="174" t="s">
        <v>19</v>
      </c>
    </row>
    <row r="444" spans="2:7" x14ac:dyDescent="0.2">
      <c r="B444" s="796" t="s">
        <v>270</v>
      </c>
      <c r="C444" s="174" t="s">
        <v>970</v>
      </c>
      <c r="D444" s="3">
        <v>52</v>
      </c>
      <c r="E444" s="3">
        <v>10</v>
      </c>
      <c r="F444" s="3">
        <v>10</v>
      </c>
      <c r="G444" s="174">
        <f t="shared" ref="G444:G445" si="160">SUM(D444:F444)</f>
        <v>72</v>
      </c>
    </row>
    <row r="445" spans="2:7" x14ac:dyDescent="0.2">
      <c r="B445" s="797"/>
      <c r="C445" s="174" t="s">
        <v>971</v>
      </c>
      <c r="D445" s="53">
        <f>D444*112.7</f>
        <v>5860.4000000000005</v>
      </c>
      <c r="E445" s="53">
        <f>E444*112.7</f>
        <v>1127</v>
      </c>
      <c r="F445" s="53">
        <f>F444*119.6</f>
        <v>1196</v>
      </c>
      <c r="G445" s="715">
        <f t="shared" si="160"/>
        <v>8183.4000000000005</v>
      </c>
    </row>
    <row r="446" spans="2:7" x14ac:dyDescent="0.2">
      <c r="B446" s="797"/>
      <c r="C446" s="716" t="s">
        <v>89</v>
      </c>
      <c r="D446" s="3">
        <v>18</v>
      </c>
      <c r="E446" s="3">
        <v>7</v>
      </c>
      <c r="F446" s="3">
        <v>1</v>
      </c>
      <c r="G446" s="174">
        <f t="shared" ref="G446:G447" si="161">SUM(D446:F446)</f>
        <v>26</v>
      </c>
    </row>
    <row r="447" spans="2:7" x14ac:dyDescent="0.2">
      <c r="B447" s="797"/>
      <c r="C447" s="716" t="s">
        <v>972</v>
      </c>
      <c r="D447" s="715">
        <f>D446*112.7</f>
        <v>2028.6000000000001</v>
      </c>
      <c r="E447" s="715">
        <f>E446*112.7</f>
        <v>788.9</v>
      </c>
      <c r="F447" s="715">
        <f>F446*119.6</f>
        <v>119.6</v>
      </c>
      <c r="G447" s="715">
        <f t="shared" si="161"/>
        <v>2937.1</v>
      </c>
    </row>
    <row r="448" spans="2:7" x14ac:dyDescent="0.2">
      <c r="B448" s="798"/>
      <c r="C448" s="716" t="s">
        <v>973</v>
      </c>
      <c r="D448" s="715">
        <f>(D444-D446)*112.7</f>
        <v>3831.8</v>
      </c>
      <c r="E448" s="715">
        <f>(E444-E446)*112.7</f>
        <v>338.1</v>
      </c>
      <c r="F448" s="715">
        <f>(F444-F446)*119.6</f>
        <v>1076.3999999999999</v>
      </c>
      <c r="G448" s="715">
        <f>G445-G447</f>
        <v>5246.3000000000011</v>
      </c>
    </row>
    <row r="449" spans="2:7" x14ac:dyDescent="0.2">
      <c r="B449" s="717"/>
      <c r="C449" s="716"/>
      <c r="D449" s="715"/>
      <c r="E449" s="715"/>
      <c r="F449" s="715"/>
      <c r="G449" s="715"/>
    </row>
    <row r="450" spans="2:7" x14ac:dyDescent="0.2">
      <c r="B450" s="174" t="str">
        <f>B443</f>
        <v>28 APR - 4 MAY 2025</v>
      </c>
      <c r="C450" s="716"/>
      <c r="D450" s="174" t="s">
        <v>104</v>
      </c>
      <c r="E450" s="174" t="s">
        <v>86</v>
      </c>
      <c r="F450" s="174" t="s">
        <v>87</v>
      </c>
      <c r="G450" s="174" t="s">
        <v>19</v>
      </c>
    </row>
    <row r="451" spans="2:7" x14ac:dyDescent="0.2">
      <c r="B451" s="796" t="s">
        <v>274</v>
      </c>
      <c r="C451" s="174" t="s">
        <v>970</v>
      </c>
      <c r="D451" s="3">
        <v>20</v>
      </c>
      <c r="E451" s="3">
        <v>8</v>
      </c>
      <c r="F451" s="3">
        <v>10</v>
      </c>
      <c r="G451" s="174">
        <f t="shared" ref="G451:G452" si="162">SUM(D451:F451)</f>
        <v>38</v>
      </c>
    </row>
    <row r="452" spans="2:7" x14ac:dyDescent="0.2">
      <c r="B452" s="797"/>
      <c r="C452" s="174" t="s">
        <v>971</v>
      </c>
      <c r="D452" s="53">
        <f>D451*112.7</f>
        <v>2254</v>
      </c>
      <c r="E452" s="53">
        <f>E451*112.7</f>
        <v>901.6</v>
      </c>
      <c r="F452" s="53">
        <f>F451*119.6</f>
        <v>1196</v>
      </c>
      <c r="G452" s="715">
        <f t="shared" si="162"/>
        <v>4351.6000000000004</v>
      </c>
    </row>
    <row r="453" spans="2:7" x14ac:dyDescent="0.2">
      <c r="B453" s="797"/>
      <c r="C453" s="716" t="s">
        <v>89</v>
      </c>
      <c r="D453" s="3">
        <v>10</v>
      </c>
      <c r="E453" s="3">
        <v>6</v>
      </c>
      <c r="F453" s="3">
        <v>6</v>
      </c>
      <c r="G453" s="174">
        <f t="shared" ref="G453:G454" si="163">SUM(D453:F453)</f>
        <v>22</v>
      </c>
    </row>
    <row r="454" spans="2:7" x14ac:dyDescent="0.2">
      <c r="B454" s="797"/>
      <c r="C454" s="716" t="s">
        <v>972</v>
      </c>
      <c r="D454" s="715">
        <f>D453*112.7</f>
        <v>1127</v>
      </c>
      <c r="E454" s="715">
        <f>E453*112.7</f>
        <v>676.2</v>
      </c>
      <c r="F454" s="715">
        <f>F453*119.6</f>
        <v>717.59999999999991</v>
      </c>
      <c r="G454" s="715">
        <f t="shared" si="163"/>
        <v>2520.8000000000002</v>
      </c>
    </row>
    <row r="455" spans="2:7" x14ac:dyDescent="0.2">
      <c r="B455" s="798"/>
      <c r="C455" s="716" t="s">
        <v>973</v>
      </c>
      <c r="D455" s="715">
        <f>(D451-D453)*112.7</f>
        <v>1127</v>
      </c>
      <c r="E455" s="715">
        <f>(E451-E453)*112.7</f>
        <v>225.4</v>
      </c>
      <c r="F455" s="715">
        <f>(F451-F453)*119.6</f>
        <v>478.4</v>
      </c>
      <c r="G455" s="715">
        <f>G452-G454</f>
        <v>1830.8000000000002</v>
      </c>
    </row>
    <row r="456" spans="2:7" x14ac:dyDescent="0.2">
      <c r="B456" s="717"/>
      <c r="C456" s="716"/>
      <c r="D456" s="715"/>
      <c r="E456" s="715"/>
      <c r="F456" s="715"/>
      <c r="G456" s="715"/>
    </row>
    <row r="457" spans="2:7" x14ac:dyDescent="0.2">
      <c r="B457" s="174" t="str">
        <f>B450</f>
        <v>28 APR - 4 MAY 2025</v>
      </c>
      <c r="C457" s="716"/>
      <c r="D457" s="174" t="s">
        <v>104</v>
      </c>
      <c r="E457" s="174" t="s">
        <v>86</v>
      </c>
      <c r="F457" s="174" t="s">
        <v>87</v>
      </c>
      <c r="G457" s="174" t="s">
        <v>19</v>
      </c>
    </row>
    <row r="458" spans="2:7" x14ac:dyDescent="0.2">
      <c r="B458" s="796" t="s">
        <v>112</v>
      </c>
      <c r="C458" s="174" t="s">
        <v>970</v>
      </c>
      <c r="D458" s="3">
        <v>28</v>
      </c>
      <c r="E458" s="3">
        <v>10</v>
      </c>
      <c r="F458" s="3">
        <v>10</v>
      </c>
      <c r="G458" s="174">
        <f t="shared" ref="G458:G459" si="164">SUM(D458:F458)</f>
        <v>48</v>
      </c>
    </row>
    <row r="459" spans="2:7" x14ac:dyDescent="0.2">
      <c r="B459" s="797"/>
      <c r="C459" s="174" t="s">
        <v>971</v>
      </c>
      <c r="D459" s="53">
        <f>D458*112.7</f>
        <v>3155.6</v>
      </c>
      <c r="E459" s="53">
        <f>E458*112.7</f>
        <v>1127</v>
      </c>
      <c r="F459" s="53">
        <f>F458*119.6</f>
        <v>1196</v>
      </c>
      <c r="G459" s="715">
        <f t="shared" si="164"/>
        <v>5478.6</v>
      </c>
    </row>
    <row r="460" spans="2:7" x14ac:dyDescent="0.2">
      <c r="B460" s="797"/>
      <c r="C460" s="716" t="s">
        <v>89</v>
      </c>
      <c r="D460" s="3"/>
      <c r="E460" s="3"/>
      <c r="F460" s="3"/>
      <c r="G460" s="174">
        <f t="shared" ref="G460:G461" si="165">SUM(D460:F460)</f>
        <v>0</v>
      </c>
    </row>
    <row r="461" spans="2:7" x14ac:dyDescent="0.2">
      <c r="B461" s="797"/>
      <c r="C461" s="716" t="s">
        <v>972</v>
      </c>
      <c r="D461" s="715">
        <f>D460*112.7</f>
        <v>0</v>
      </c>
      <c r="E461" s="715">
        <f>E460*112.7</f>
        <v>0</v>
      </c>
      <c r="F461" s="715">
        <f>F460*119.6</f>
        <v>0</v>
      </c>
      <c r="G461" s="715">
        <f t="shared" si="165"/>
        <v>0</v>
      </c>
    </row>
    <row r="462" spans="2:7" x14ac:dyDescent="0.2">
      <c r="B462" s="798"/>
      <c r="C462" s="716" t="s">
        <v>973</v>
      </c>
      <c r="D462" s="715">
        <f>(D458-D460)*112.7</f>
        <v>3155.6</v>
      </c>
      <c r="E462" s="715">
        <f>(E458-E460)*112.7</f>
        <v>1127</v>
      </c>
      <c r="F462" s="715">
        <f>(F458-F460)*119.6</f>
        <v>1196</v>
      </c>
      <c r="G462" s="715">
        <f>G459-G461</f>
        <v>5478.6</v>
      </c>
    </row>
    <row r="463" spans="2:7" x14ac:dyDescent="0.2">
      <c r="B463" s="717"/>
      <c r="C463" s="716"/>
      <c r="D463" s="715"/>
      <c r="E463" s="715"/>
      <c r="F463" s="715"/>
      <c r="G463" s="715"/>
    </row>
    <row r="464" spans="2:7" x14ac:dyDescent="0.2">
      <c r="B464" s="174" t="str">
        <f>B457</f>
        <v>28 APR - 4 MAY 2025</v>
      </c>
      <c r="C464" s="716"/>
      <c r="D464" s="174" t="s">
        <v>104</v>
      </c>
      <c r="E464" s="174" t="s">
        <v>86</v>
      </c>
      <c r="F464" s="174" t="s">
        <v>87</v>
      </c>
      <c r="G464" s="174" t="s">
        <v>19</v>
      </c>
    </row>
    <row r="465" spans="2:9" x14ac:dyDescent="0.2">
      <c r="B465" s="799" t="s">
        <v>72</v>
      </c>
      <c r="C465" s="174" t="s">
        <v>970</v>
      </c>
      <c r="D465" s="3">
        <v>24</v>
      </c>
      <c r="E465" s="3">
        <v>10</v>
      </c>
      <c r="F465" s="3">
        <v>10</v>
      </c>
      <c r="G465" s="174">
        <f t="shared" ref="G465:G466" si="166">SUM(D465:F465)</f>
        <v>44</v>
      </c>
    </row>
    <row r="466" spans="2:9" x14ac:dyDescent="0.2">
      <c r="B466" s="799"/>
      <c r="C466" s="174" t="s">
        <v>971</v>
      </c>
      <c r="D466" s="53">
        <f>D465*112.7</f>
        <v>2704.8</v>
      </c>
      <c r="E466" s="53">
        <f>E465*112.7</f>
        <v>1127</v>
      </c>
      <c r="F466" s="53">
        <f>F465*119.6</f>
        <v>1196</v>
      </c>
      <c r="G466" s="715">
        <f t="shared" si="166"/>
        <v>5027.8</v>
      </c>
    </row>
    <row r="467" spans="2:9" x14ac:dyDescent="0.2">
      <c r="B467" s="799"/>
      <c r="C467" s="716" t="s">
        <v>89</v>
      </c>
      <c r="D467" s="3"/>
      <c r="E467" s="3"/>
      <c r="F467" s="3"/>
      <c r="G467" s="174">
        <f t="shared" ref="G467:G468" si="167">SUM(D467:F467)</f>
        <v>0</v>
      </c>
    </row>
    <row r="468" spans="2:9" x14ac:dyDescent="0.2">
      <c r="B468" s="799"/>
      <c r="C468" s="716" t="s">
        <v>972</v>
      </c>
      <c r="D468" s="715">
        <f>D467*112.7</f>
        <v>0</v>
      </c>
      <c r="E468" s="715">
        <f>E467*112.7</f>
        <v>0</v>
      </c>
      <c r="F468" s="715">
        <f>F467*119.6</f>
        <v>0</v>
      </c>
      <c r="G468" s="715">
        <f t="shared" si="167"/>
        <v>0</v>
      </c>
    </row>
    <row r="469" spans="2:9" x14ac:dyDescent="0.2">
      <c r="B469" s="799"/>
      <c r="C469" s="716" t="s">
        <v>973</v>
      </c>
      <c r="D469" s="715">
        <f>(D465-D467)*112.7</f>
        <v>2704.8</v>
      </c>
      <c r="E469" s="715">
        <f>(E465-E467)*112.7</f>
        <v>1127</v>
      </c>
      <c r="F469" s="715">
        <f>(F465-F467)*119.6</f>
        <v>1196</v>
      </c>
      <c r="G469" s="715">
        <f>G466-G468</f>
        <v>5027.8</v>
      </c>
    </row>
    <row r="470" spans="2:9" x14ac:dyDescent="0.2">
      <c r="B470" s="717"/>
      <c r="C470" s="716"/>
      <c r="D470" s="715"/>
      <c r="E470" s="715"/>
      <c r="F470" s="715"/>
      <c r="G470" s="715"/>
    </row>
    <row r="471" spans="2:9" x14ac:dyDescent="0.2">
      <c r="B471" s="174" t="str">
        <f>B464</f>
        <v>28 APR - 4 MAY 2025</v>
      </c>
      <c r="C471" s="716"/>
      <c r="D471" s="174" t="s">
        <v>104</v>
      </c>
      <c r="E471" s="174" t="s">
        <v>86</v>
      </c>
      <c r="F471" s="174" t="s">
        <v>88</v>
      </c>
      <c r="G471" s="174" t="s">
        <v>87</v>
      </c>
      <c r="H471" s="174" t="s">
        <v>983</v>
      </c>
      <c r="I471" s="174" t="s">
        <v>19</v>
      </c>
    </row>
    <row r="472" spans="2:9" x14ac:dyDescent="0.2">
      <c r="B472" s="796" t="s">
        <v>105</v>
      </c>
      <c r="C472" s="174" t="s">
        <v>970</v>
      </c>
      <c r="D472" s="3">
        <v>80</v>
      </c>
      <c r="E472" s="3">
        <v>42</v>
      </c>
      <c r="F472" s="3">
        <v>37</v>
      </c>
      <c r="G472" s="3">
        <v>34</v>
      </c>
      <c r="H472" s="3">
        <v>70</v>
      </c>
      <c r="I472" s="174">
        <f>SUM(D472:H472)</f>
        <v>263</v>
      </c>
    </row>
    <row r="473" spans="2:9" x14ac:dyDescent="0.2">
      <c r="B473" s="797"/>
      <c r="C473" s="174" t="s">
        <v>971</v>
      </c>
      <c r="D473" s="53">
        <f>D472*100</f>
        <v>8000</v>
      </c>
      <c r="E473" s="53">
        <f t="shared" ref="E473:F473" si="168">E472*100</f>
        <v>4200</v>
      </c>
      <c r="F473" s="53">
        <f t="shared" si="168"/>
        <v>3700</v>
      </c>
      <c r="G473" s="53">
        <f>G472*100</f>
        <v>3400</v>
      </c>
      <c r="H473" s="53">
        <f>H472*100</f>
        <v>7000</v>
      </c>
      <c r="I473" s="715">
        <f t="shared" ref="I473:I475" si="169">SUM(D473:H473)</f>
        <v>26300</v>
      </c>
    </row>
    <row r="474" spans="2:9" x14ac:dyDescent="0.2">
      <c r="B474" s="797"/>
      <c r="C474" s="716" t="s">
        <v>89</v>
      </c>
      <c r="D474" s="3">
        <v>6</v>
      </c>
      <c r="E474" s="3"/>
      <c r="F474" s="3"/>
      <c r="G474" s="3">
        <v>1</v>
      </c>
      <c r="H474" s="3"/>
      <c r="I474" s="174">
        <f t="shared" si="169"/>
        <v>7</v>
      </c>
    </row>
    <row r="475" spans="2:9" x14ac:dyDescent="0.2">
      <c r="B475" s="797"/>
      <c r="C475" s="716" t="s">
        <v>972</v>
      </c>
      <c r="D475" s="715">
        <f>D474*100</f>
        <v>600</v>
      </c>
      <c r="E475" s="715">
        <f t="shared" ref="E475:H475" si="170">E474*100</f>
        <v>0</v>
      </c>
      <c r="F475" s="715">
        <f t="shared" si="170"/>
        <v>0</v>
      </c>
      <c r="G475" s="715">
        <f t="shared" si="170"/>
        <v>100</v>
      </c>
      <c r="H475" s="715">
        <f t="shared" si="170"/>
        <v>0</v>
      </c>
      <c r="I475" s="715">
        <f t="shared" si="169"/>
        <v>700</v>
      </c>
    </row>
    <row r="476" spans="2:9" x14ac:dyDescent="0.2">
      <c r="B476" s="798"/>
      <c r="C476" s="716" t="s">
        <v>973</v>
      </c>
      <c r="D476" s="715">
        <f>D473-D475</f>
        <v>7400</v>
      </c>
      <c r="E476" s="715">
        <f t="shared" ref="E476:H476" si="171">E473-E475</f>
        <v>4200</v>
      </c>
      <c r="F476" s="715">
        <f t="shared" si="171"/>
        <v>3700</v>
      </c>
      <c r="G476" s="715">
        <f t="shared" si="171"/>
        <v>3300</v>
      </c>
      <c r="H476" s="715">
        <f t="shared" si="171"/>
        <v>7000</v>
      </c>
      <c r="I476" s="715">
        <f>SUM(D476:H476)</f>
        <v>25600</v>
      </c>
    </row>
    <row r="477" spans="2:9" x14ac:dyDescent="0.2">
      <c r="B477" s="717"/>
      <c r="C477" s="716"/>
      <c r="D477" s="715"/>
      <c r="E477" s="715"/>
      <c r="F477" s="715"/>
      <c r="G477" s="715"/>
      <c r="H477" s="715"/>
      <c r="I477" s="715"/>
    </row>
    <row r="478" spans="2:9" x14ac:dyDescent="0.2">
      <c r="B478" s="174" t="str">
        <f>B471</f>
        <v>28 APR - 4 MAY 2025</v>
      </c>
      <c r="C478" s="716"/>
      <c r="D478" s="174" t="s">
        <v>104</v>
      </c>
      <c r="E478" s="174" t="s">
        <v>86</v>
      </c>
      <c r="F478" s="174" t="s">
        <v>88</v>
      </c>
      <c r="G478" s="174" t="s">
        <v>87</v>
      </c>
      <c r="H478" s="174" t="s">
        <v>983</v>
      </c>
      <c r="I478" s="174" t="s">
        <v>19</v>
      </c>
    </row>
    <row r="479" spans="2:9" x14ac:dyDescent="0.2">
      <c r="B479" s="796" t="s">
        <v>382</v>
      </c>
      <c r="C479" s="174" t="s">
        <v>970</v>
      </c>
      <c r="D479" s="3">
        <v>10</v>
      </c>
      <c r="E479" s="3">
        <v>4</v>
      </c>
      <c r="F479" s="3">
        <v>10</v>
      </c>
      <c r="G479" s="3">
        <v>0</v>
      </c>
      <c r="H479" s="3">
        <v>10</v>
      </c>
      <c r="I479" s="174">
        <f>SUM(D479:H479)</f>
        <v>34</v>
      </c>
    </row>
    <row r="480" spans="2:9" x14ac:dyDescent="0.2">
      <c r="B480" s="797"/>
      <c r="C480" s="174" t="s">
        <v>971</v>
      </c>
      <c r="D480" s="53">
        <f>D479*120</f>
        <v>1200</v>
      </c>
      <c r="E480" s="53">
        <f t="shared" ref="E480:H480" si="172">E479*120</f>
        <v>480</v>
      </c>
      <c r="F480" s="53">
        <f t="shared" si="172"/>
        <v>1200</v>
      </c>
      <c r="G480" s="53">
        <f t="shared" si="172"/>
        <v>0</v>
      </c>
      <c r="H480" s="53">
        <f t="shared" si="172"/>
        <v>1200</v>
      </c>
      <c r="I480" s="715">
        <f t="shared" ref="I480:I483" si="173">SUM(D480:H480)</f>
        <v>4080</v>
      </c>
    </row>
    <row r="481" spans="2:9" x14ac:dyDescent="0.2">
      <c r="B481" s="797"/>
      <c r="C481" s="716" t="s">
        <v>89</v>
      </c>
      <c r="D481" s="3"/>
      <c r="E481" s="3"/>
      <c r="F481" s="3">
        <v>1</v>
      </c>
      <c r="G481" s="3"/>
      <c r="H481" s="3">
        <v>2</v>
      </c>
      <c r="I481" s="174">
        <f t="shared" si="173"/>
        <v>3</v>
      </c>
    </row>
    <row r="482" spans="2:9" x14ac:dyDescent="0.2">
      <c r="B482" s="797"/>
      <c r="C482" s="716" t="s">
        <v>972</v>
      </c>
      <c r="D482" s="715">
        <f>D481*120</f>
        <v>0</v>
      </c>
      <c r="E482" s="715">
        <f t="shared" ref="E482:H482" si="174">E481*120</f>
        <v>0</v>
      </c>
      <c r="F482" s="715">
        <f t="shared" si="174"/>
        <v>120</v>
      </c>
      <c r="G482" s="715">
        <f t="shared" si="174"/>
        <v>0</v>
      </c>
      <c r="H482" s="715">
        <f t="shared" si="174"/>
        <v>240</v>
      </c>
      <c r="I482" s="715">
        <f t="shared" si="173"/>
        <v>360</v>
      </c>
    </row>
    <row r="483" spans="2:9" x14ac:dyDescent="0.2">
      <c r="B483" s="798"/>
      <c r="C483" s="716" t="s">
        <v>973</v>
      </c>
      <c r="D483" s="715">
        <f>D480-D482</f>
        <v>1200</v>
      </c>
      <c r="E483" s="715">
        <f t="shared" ref="E483:H483" si="175">E480-E482</f>
        <v>480</v>
      </c>
      <c r="F483" s="715">
        <f t="shared" si="175"/>
        <v>1080</v>
      </c>
      <c r="G483" s="715">
        <f t="shared" si="175"/>
        <v>0</v>
      </c>
      <c r="H483" s="715">
        <f t="shared" si="175"/>
        <v>960</v>
      </c>
      <c r="I483" s="715">
        <f t="shared" si="173"/>
        <v>3720</v>
      </c>
    </row>
    <row r="484" spans="2:9" x14ac:dyDescent="0.2">
      <c r="B484" s="717"/>
      <c r="C484" s="716"/>
      <c r="D484" s="715"/>
      <c r="E484" s="715"/>
      <c r="F484" s="715"/>
      <c r="G484" s="715"/>
      <c r="H484" s="715"/>
      <c r="I484" s="715"/>
    </row>
    <row r="485" spans="2:9" x14ac:dyDescent="0.2">
      <c r="B485" s="174" t="str">
        <f>B478</f>
        <v>28 APR - 4 MAY 2025</v>
      </c>
      <c r="C485" s="716"/>
      <c r="D485" s="174" t="s">
        <v>104</v>
      </c>
      <c r="E485" s="174" t="s">
        <v>86</v>
      </c>
      <c r="F485" s="174" t="s">
        <v>88</v>
      </c>
      <c r="G485" s="174" t="s">
        <v>87</v>
      </c>
      <c r="H485" s="174" t="s">
        <v>983</v>
      </c>
      <c r="I485" s="174" t="s">
        <v>19</v>
      </c>
    </row>
    <row r="486" spans="2:9" x14ac:dyDescent="0.2">
      <c r="B486" s="796" t="s">
        <v>200</v>
      </c>
      <c r="C486" s="174" t="s">
        <v>970</v>
      </c>
      <c r="D486" s="3">
        <v>5</v>
      </c>
      <c r="E486" s="3">
        <v>5</v>
      </c>
      <c r="F486" s="3">
        <v>5</v>
      </c>
      <c r="G486" s="3">
        <v>5</v>
      </c>
      <c r="H486" s="3">
        <v>5</v>
      </c>
      <c r="I486" s="174">
        <f>SUM(D486:H486)</f>
        <v>25</v>
      </c>
    </row>
    <row r="487" spans="2:9" x14ac:dyDescent="0.2">
      <c r="B487" s="797"/>
      <c r="C487" s="174" t="s">
        <v>971</v>
      </c>
      <c r="D487" s="53">
        <f>D486*120</f>
        <v>600</v>
      </c>
      <c r="E487" s="53">
        <f t="shared" ref="E487:H487" si="176">E486*120</f>
        <v>600</v>
      </c>
      <c r="F487" s="53">
        <f t="shared" si="176"/>
        <v>600</v>
      </c>
      <c r="G487" s="53">
        <f t="shared" si="176"/>
        <v>600</v>
      </c>
      <c r="H487" s="53">
        <f t="shared" si="176"/>
        <v>600</v>
      </c>
      <c r="I487" s="715">
        <f t="shared" ref="I487:I490" si="177">SUM(D487:H487)</f>
        <v>3000</v>
      </c>
    </row>
    <row r="488" spans="2:9" x14ac:dyDescent="0.2">
      <c r="B488" s="797"/>
      <c r="C488" s="716" t="s">
        <v>89</v>
      </c>
      <c r="D488" s="3"/>
      <c r="E488" s="3"/>
      <c r="F488" s="3"/>
      <c r="G488" s="3"/>
      <c r="H488" s="3"/>
      <c r="I488" s="174">
        <f t="shared" si="177"/>
        <v>0</v>
      </c>
    </row>
    <row r="489" spans="2:9" x14ac:dyDescent="0.2">
      <c r="B489" s="797"/>
      <c r="C489" s="716" t="s">
        <v>972</v>
      </c>
      <c r="D489" s="715">
        <f>D488*120</f>
        <v>0</v>
      </c>
      <c r="E489" s="715">
        <f t="shared" ref="E489:H489" si="178">E488*120</f>
        <v>0</v>
      </c>
      <c r="F489" s="715">
        <f t="shared" si="178"/>
        <v>0</v>
      </c>
      <c r="G489" s="715">
        <f t="shared" si="178"/>
        <v>0</v>
      </c>
      <c r="H489" s="715">
        <f t="shared" si="178"/>
        <v>0</v>
      </c>
      <c r="I489" s="715">
        <f t="shared" si="177"/>
        <v>0</v>
      </c>
    </row>
    <row r="490" spans="2:9" x14ac:dyDescent="0.2">
      <c r="B490" s="798"/>
      <c r="C490" s="716" t="s">
        <v>973</v>
      </c>
      <c r="D490" s="715">
        <f>D487-D489</f>
        <v>600</v>
      </c>
      <c r="E490" s="715">
        <f t="shared" ref="E490:H490" si="179">E487-E489</f>
        <v>600</v>
      </c>
      <c r="F490" s="715">
        <f t="shared" si="179"/>
        <v>600</v>
      </c>
      <c r="G490" s="715">
        <f t="shared" si="179"/>
        <v>600</v>
      </c>
      <c r="H490" s="715">
        <f t="shared" si="179"/>
        <v>600</v>
      </c>
      <c r="I490" s="715">
        <f t="shared" si="177"/>
        <v>3000</v>
      </c>
    </row>
    <row r="491" spans="2:9" x14ac:dyDescent="0.2">
      <c r="B491" s="717"/>
      <c r="C491" s="716"/>
      <c r="D491" s="715"/>
      <c r="E491" s="715"/>
      <c r="F491" s="715"/>
      <c r="G491" s="715"/>
      <c r="H491" s="715"/>
      <c r="I491" s="715"/>
    </row>
    <row r="492" spans="2:9" x14ac:dyDescent="0.2">
      <c r="B492" s="174" t="str">
        <f>B485</f>
        <v>28 APR - 4 MAY 2025</v>
      </c>
      <c r="C492" s="716"/>
      <c r="D492" s="174" t="s">
        <v>104</v>
      </c>
      <c r="E492" s="174" t="s">
        <v>86</v>
      </c>
      <c r="F492" s="174" t="s">
        <v>88</v>
      </c>
      <c r="G492" s="174" t="s">
        <v>87</v>
      </c>
      <c r="H492" s="174" t="s">
        <v>983</v>
      </c>
      <c r="I492" s="174" t="s">
        <v>19</v>
      </c>
    </row>
    <row r="493" spans="2:9" x14ac:dyDescent="0.2">
      <c r="B493" s="796" t="s">
        <v>269</v>
      </c>
      <c r="C493" s="174" t="s">
        <v>970</v>
      </c>
      <c r="D493" s="3">
        <v>10</v>
      </c>
      <c r="E493" s="3">
        <v>5</v>
      </c>
      <c r="F493" s="3">
        <v>5</v>
      </c>
      <c r="G493" s="3">
        <v>5</v>
      </c>
      <c r="H493" s="3">
        <v>10</v>
      </c>
      <c r="I493" s="174">
        <f>SUM(D493:H493)</f>
        <v>35</v>
      </c>
    </row>
    <row r="494" spans="2:9" x14ac:dyDescent="0.2">
      <c r="B494" s="797"/>
      <c r="C494" s="174" t="s">
        <v>971</v>
      </c>
      <c r="D494" s="53">
        <f>D493*120</f>
        <v>1200</v>
      </c>
      <c r="E494" s="53">
        <f t="shared" ref="E494:H494" si="180">E493*120</f>
        <v>600</v>
      </c>
      <c r="F494" s="53">
        <f t="shared" si="180"/>
        <v>600</v>
      </c>
      <c r="G494" s="53">
        <f t="shared" si="180"/>
        <v>600</v>
      </c>
      <c r="H494" s="53">
        <f t="shared" si="180"/>
        <v>1200</v>
      </c>
      <c r="I494" s="715">
        <f t="shared" ref="I494:I497" si="181">SUM(D494:H494)</f>
        <v>4200</v>
      </c>
    </row>
    <row r="495" spans="2:9" x14ac:dyDescent="0.2">
      <c r="B495" s="797"/>
      <c r="C495" s="716" t="s">
        <v>89</v>
      </c>
      <c r="D495" s="3"/>
      <c r="E495" s="3">
        <v>1</v>
      </c>
      <c r="F495" s="3">
        <v>1</v>
      </c>
      <c r="G495" s="3">
        <v>1</v>
      </c>
      <c r="H495" s="3"/>
      <c r="I495" s="174">
        <f t="shared" si="181"/>
        <v>3</v>
      </c>
    </row>
    <row r="496" spans="2:9" x14ac:dyDescent="0.2">
      <c r="B496" s="797"/>
      <c r="C496" s="716" t="s">
        <v>972</v>
      </c>
      <c r="D496" s="715">
        <f>D495*120</f>
        <v>0</v>
      </c>
      <c r="E496" s="715">
        <f t="shared" ref="E496:H496" si="182">E495*120</f>
        <v>120</v>
      </c>
      <c r="F496" s="715">
        <f t="shared" si="182"/>
        <v>120</v>
      </c>
      <c r="G496" s="715">
        <f t="shared" si="182"/>
        <v>120</v>
      </c>
      <c r="H496" s="715">
        <f t="shared" si="182"/>
        <v>0</v>
      </c>
      <c r="I496" s="715">
        <f t="shared" si="181"/>
        <v>360</v>
      </c>
    </row>
    <row r="497" spans="2:9" x14ac:dyDescent="0.2">
      <c r="B497" s="798"/>
      <c r="C497" s="716" t="s">
        <v>973</v>
      </c>
      <c r="D497" s="715">
        <f>D494-D496</f>
        <v>1200</v>
      </c>
      <c r="E497" s="715">
        <f t="shared" ref="E497:H497" si="183">E494-E496</f>
        <v>480</v>
      </c>
      <c r="F497" s="715">
        <f t="shared" si="183"/>
        <v>480</v>
      </c>
      <c r="G497" s="715">
        <f t="shared" si="183"/>
        <v>480</v>
      </c>
      <c r="H497" s="715">
        <f t="shared" si="183"/>
        <v>1200</v>
      </c>
      <c r="I497" s="715">
        <f t="shared" si="181"/>
        <v>3840</v>
      </c>
    </row>
    <row r="498" spans="2:9" x14ac:dyDescent="0.2">
      <c r="B498" s="717"/>
      <c r="C498" s="716"/>
      <c r="D498" s="715"/>
      <c r="E498" s="715"/>
      <c r="F498" s="715"/>
      <c r="G498" s="715"/>
      <c r="H498" s="715"/>
      <c r="I498" s="715"/>
    </row>
  </sheetData>
  <mergeCells count="70">
    <mergeCell ref="B472:B476"/>
    <mergeCell ref="B479:B483"/>
    <mergeCell ref="B486:B490"/>
    <mergeCell ref="B493:B497"/>
    <mergeCell ref="B437:B441"/>
    <mergeCell ref="B444:B448"/>
    <mergeCell ref="B451:B455"/>
    <mergeCell ref="B458:B462"/>
    <mergeCell ref="B465:B469"/>
    <mergeCell ref="B402:B406"/>
    <mergeCell ref="B409:B413"/>
    <mergeCell ref="B416:B420"/>
    <mergeCell ref="B423:B427"/>
    <mergeCell ref="B430:B434"/>
    <mergeCell ref="B372:B376"/>
    <mergeCell ref="B379:B383"/>
    <mergeCell ref="B386:B390"/>
    <mergeCell ref="B394:B398"/>
    <mergeCell ref="B337:B341"/>
    <mergeCell ref="B344:B348"/>
    <mergeCell ref="B351:B355"/>
    <mergeCell ref="B358:B362"/>
    <mergeCell ref="B365:B369"/>
    <mergeCell ref="B302:B306"/>
    <mergeCell ref="B309:B313"/>
    <mergeCell ref="B316:B320"/>
    <mergeCell ref="B323:B327"/>
    <mergeCell ref="B330:B334"/>
    <mergeCell ref="B272:B276"/>
    <mergeCell ref="B279:B283"/>
    <mergeCell ref="B286:B290"/>
    <mergeCell ref="B294:B298"/>
    <mergeCell ref="B237:B241"/>
    <mergeCell ref="B244:B248"/>
    <mergeCell ref="B251:B255"/>
    <mergeCell ref="B258:B262"/>
    <mergeCell ref="B265:B269"/>
    <mergeCell ref="B202:B206"/>
    <mergeCell ref="B209:B213"/>
    <mergeCell ref="B216:B220"/>
    <mergeCell ref="B223:B227"/>
    <mergeCell ref="B230:B234"/>
    <mergeCell ref="B72:B76"/>
    <mergeCell ref="B79:B83"/>
    <mergeCell ref="B86:B90"/>
    <mergeCell ref="B94:B98"/>
    <mergeCell ref="B37:B41"/>
    <mergeCell ref="B44:B48"/>
    <mergeCell ref="B51:B55"/>
    <mergeCell ref="B58:B62"/>
    <mergeCell ref="B65:B69"/>
    <mergeCell ref="B2:B6"/>
    <mergeCell ref="B9:B13"/>
    <mergeCell ref="B16:B20"/>
    <mergeCell ref="B23:B27"/>
    <mergeCell ref="B30:B34"/>
    <mergeCell ref="B102:B106"/>
    <mergeCell ref="B109:B113"/>
    <mergeCell ref="B116:B120"/>
    <mergeCell ref="B123:B127"/>
    <mergeCell ref="B130:B134"/>
    <mergeCell ref="B172:B176"/>
    <mergeCell ref="B179:B183"/>
    <mergeCell ref="B186:B190"/>
    <mergeCell ref="B194:B198"/>
    <mergeCell ref="B137:B141"/>
    <mergeCell ref="B144:B148"/>
    <mergeCell ref="B151:B155"/>
    <mergeCell ref="B158:B162"/>
    <mergeCell ref="B165:B169"/>
  </mergeCells>
  <pageMargins left="0.7" right="0.7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C1:L4402"/>
  <sheetViews>
    <sheetView topLeftCell="A4357" zoomScale="115" zoomScaleNormal="85" workbookViewId="0">
      <selection activeCell="A4368" sqref="A4368"/>
    </sheetView>
  </sheetViews>
  <sheetFormatPr baseColWidth="10" defaultColWidth="8.83203125" defaultRowHeight="15" x14ac:dyDescent="0.2"/>
  <cols>
    <col min="3" max="3" width="20.6640625" customWidth="1"/>
    <col min="4" max="4" width="33.1640625" customWidth="1"/>
    <col min="5" max="5" width="12" customWidth="1"/>
    <col min="6" max="6" width="10.6640625" customWidth="1"/>
    <col min="7" max="10" width="9" bestFit="1" customWidth="1"/>
    <col min="11" max="11" width="10.83203125" customWidth="1"/>
    <col min="12" max="12" width="8.1640625" customWidth="1"/>
    <col min="13" max="13" width="5" customWidth="1"/>
    <col min="14" max="14" width="31.5" bestFit="1" customWidth="1"/>
    <col min="15" max="15" width="12.5" bestFit="1" customWidth="1"/>
    <col min="16" max="17" width="9.1640625" bestFit="1" customWidth="1"/>
    <col min="18" max="18" width="9" bestFit="1" customWidth="1"/>
    <col min="19" max="22" width="9.1640625" bestFit="1" customWidth="1"/>
  </cols>
  <sheetData>
    <row r="1" spans="3:12" ht="18" x14ac:dyDescent="0.2">
      <c r="C1" s="685" t="s">
        <v>412</v>
      </c>
      <c r="D1" s="582">
        <v>45656</v>
      </c>
      <c r="E1" s="800"/>
      <c r="F1" s="685" t="s">
        <v>83</v>
      </c>
      <c r="G1" s="801" t="s">
        <v>63</v>
      </c>
      <c r="H1" s="802"/>
      <c r="I1" s="802"/>
      <c r="J1" s="802"/>
      <c r="K1" s="803"/>
    </row>
    <row r="2" spans="3:12" x14ac:dyDescent="0.2">
      <c r="C2" s="804"/>
      <c r="D2" s="805"/>
      <c r="E2" s="800"/>
      <c r="F2" s="683" t="s">
        <v>93</v>
      </c>
      <c r="G2" s="683" t="s">
        <v>93</v>
      </c>
      <c r="H2" s="683"/>
      <c r="I2" s="806"/>
      <c r="J2" s="806"/>
      <c r="K2" s="806"/>
    </row>
    <row r="3" spans="3:12" x14ac:dyDescent="0.2">
      <c r="C3" s="804"/>
      <c r="D3" s="805"/>
      <c r="E3" s="800"/>
      <c r="F3" s="683" t="s">
        <v>94</v>
      </c>
      <c r="G3" s="683" t="s">
        <v>95</v>
      </c>
      <c r="H3" s="683" t="s">
        <v>96</v>
      </c>
      <c r="I3" s="806"/>
      <c r="J3" s="806"/>
      <c r="K3" s="806"/>
    </row>
    <row r="4" spans="3:12" x14ac:dyDescent="0.2">
      <c r="C4" s="804"/>
      <c r="D4" s="805"/>
      <c r="E4" s="800"/>
      <c r="F4" s="683"/>
      <c r="G4" s="683"/>
      <c r="H4" s="683"/>
      <c r="I4" s="806"/>
      <c r="J4" s="806"/>
      <c r="K4" s="806"/>
    </row>
    <row r="5" spans="3:12" ht="16" x14ac:dyDescent="0.2">
      <c r="C5" s="683"/>
      <c r="D5" s="583" t="s">
        <v>97</v>
      </c>
      <c r="E5" s="584"/>
      <c r="F5" s="581"/>
      <c r="G5" s="585"/>
      <c r="H5" s="585"/>
      <c r="I5" s="586"/>
      <c r="J5" s="586"/>
      <c r="K5" s="586"/>
    </row>
    <row r="6" spans="3:12" ht="26" x14ac:dyDescent="0.2">
      <c r="C6" s="804"/>
      <c r="D6" s="587"/>
      <c r="E6" s="588"/>
      <c r="F6" s="585" t="s">
        <v>383</v>
      </c>
      <c r="G6" s="585" t="s">
        <v>384</v>
      </c>
      <c r="H6" s="585" t="s">
        <v>385</v>
      </c>
      <c r="I6" s="585" t="s">
        <v>386</v>
      </c>
      <c r="J6" s="585" t="s">
        <v>387</v>
      </c>
      <c r="K6" s="585" t="s">
        <v>84</v>
      </c>
    </row>
    <row r="7" spans="3:12" x14ac:dyDescent="0.2">
      <c r="C7" s="804"/>
      <c r="D7" s="684" t="s">
        <v>167</v>
      </c>
      <c r="E7" s="588"/>
      <c r="F7" s="580">
        <v>15</v>
      </c>
      <c r="G7" s="579">
        <v>9</v>
      </c>
      <c r="H7" s="580">
        <v>4</v>
      </c>
      <c r="I7" s="580">
        <v>5</v>
      </c>
      <c r="J7" s="580">
        <v>9</v>
      </c>
      <c r="K7" s="580">
        <f>SUM(F7:J7)</f>
        <v>42</v>
      </c>
    </row>
    <row r="8" spans="3:12" x14ac:dyDescent="0.2">
      <c r="C8" s="804"/>
      <c r="D8" s="684" t="s">
        <v>207</v>
      </c>
      <c r="E8" s="588"/>
      <c r="F8" s="618">
        <v>105</v>
      </c>
      <c r="G8" s="619">
        <v>63</v>
      </c>
      <c r="H8" s="618">
        <v>28</v>
      </c>
      <c r="I8" s="618">
        <v>55</v>
      </c>
      <c r="J8" s="618">
        <v>81</v>
      </c>
      <c r="K8" s="618">
        <f>SUM(F8:J8)</f>
        <v>332</v>
      </c>
    </row>
    <row r="9" spans="3:12" x14ac:dyDescent="0.2">
      <c r="C9" s="683"/>
      <c r="D9" s="684" t="s">
        <v>100</v>
      </c>
      <c r="E9" s="588"/>
      <c r="F9" s="581"/>
      <c r="G9" s="581"/>
      <c r="H9" s="581"/>
      <c r="I9" s="581"/>
      <c r="J9" s="581"/>
      <c r="K9" s="581">
        <f>SUM(F9:J9)</f>
        <v>0</v>
      </c>
    </row>
    <row r="10" spans="3:12" x14ac:dyDescent="0.2">
      <c r="C10" s="683"/>
      <c r="D10" s="684" t="s">
        <v>101</v>
      </c>
      <c r="E10" s="588"/>
      <c r="F10" s="581">
        <v>1</v>
      </c>
      <c r="G10" s="581">
        <v>1</v>
      </c>
      <c r="H10" s="581"/>
      <c r="I10" s="581"/>
      <c r="J10" s="581">
        <v>2</v>
      </c>
      <c r="K10" s="581">
        <f>SUM(F10:J10)</f>
        <v>4</v>
      </c>
    </row>
    <row r="11" spans="3:12" ht="16" thickBot="1" x14ac:dyDescent="0.25">
      <c r="C11" s="683"/>
      <c r="D11" s="597" t="s">
        <v>102</v>
      </c>
      <c r="E11" s="598"/>
      <c r="F11" s="599">
        <v>52</v>
      </c>
      <c r="G11" s="600">
        <v>24</v>
      </c>
      <c r="H11" s="600">
        <v>21</v>
      </c>
      <c r="I11" s="600">
        <v>31</v>
      </c>
      <c r="J11" s="600">
        <v>42</v>
      </c>
      <c r="K11" s="600">
        <f>SUM(F11:J11)</f>
        <v>170</v>
      </c>
    </row>
    <row r="12" spans="3:12" ht="17" thickBot="1" x14ac:dyDescent="0.25">
      <c r="C12" s="605"/>
      <c r="D12" s="612" t="s">
        <v>84</v>
      </c>
      <c r="E12" s="613"/>
      <c r="F12" s="614">
        <f>(F8+F11)-F10-F9</f>
        <v>156</v>
      </c>
      <c r="G12" s="615">
        <f>(G8+G11)-G10-G9</f>
        <v>86</v>
      </c>
      <c r="H12" s="616">
        <f>(H8+H11)-H10</f>
        <v>49</v>
      </c>
      <c r="I12" s="615">
        <f>(I8+I11)-I10-I9</f>
        <v>86</v>
      </c>
      <c r="J12" s="622">
        <f>(J8+J11)-J10-J9</f>
        <v>121</v>
      </c>
      <c r="K12" s="617">
        <f>(K8+K11)-K10-K9</f>
        <v>498</v>
      </c>
    </row>
    <row r="13" spans="3:12" ht="16" x14ac:dyDescent="0.2">
      <c r="C13" s="683"/>
      <c r="D13" s="608"/>
      <c r="E13" s="609"/>
      <c r="F13" s="610"/>
      <c r="G13" s="595"/>
      <c r="H13" s="611"/>
      <c r="I13" s="595"/>
      <c r="J13" s="595"/>
      <c r="K13" s="595"/>
    </row>
    <row r="14" spans="3:12" ht="16" thickBot="1" x14ac:dyDescent="0.25">
      <c r="C14" s="606" t="s">
        <v>388</v>
      </c>
      <c r="D14" s="607" t="s">
        <v>103</v>
      </c>
      <c r="E14" s="603" t="s">
        <v>84</v>
      </c>
      <c r="F14" s="602" t="s">
        <v>78</v>
      </c>
      <c r="G14" s="602" t="s">
        <v>79</v>
      </c>
      <c r="H14" s="602" t="s">
        <v>88</v>
      </c>
      <c r="I14" s="601" t="s">
        <v>87</v>
      </c>
      <c r="J14" s="601" t="s">
        <v>85</v>
      </c>
      <c r="K14" s="601" t="s">
        <v>84</v>
      </c>
      <c r="L14" s="174" t="s">
        <v>389</v>
      </c>
    </row>
    <row r="15" spans="3:12" x14ac:dyDescent="0.2">
      <c r="C15" s="589" t="s">
        <v>427</v>
      </c>
      <c r="D15" s="604" t="s">
        <v>105</v>
      </c>
      <c r="E15" s="591">
        <f>(F15+G15+H15+I15+J15)*100+(0*230)</f>
        <v>8600</v>
      </c>
      <c r="F15" s="3">
        <v>25</v>
      </c>
      <c r="G15" s="3">
        <v>15</v>
      </c>
      <c r="H15" s="3">
        <v>9</v>
      </c>
      <c r="I15" s="3">
        <v>12</v>
      </c>
      <c r="J15" s="3">
        <v>25</v>
      </c>
      <c r="K15" s="628">
        <f>SUM(F15:J15)</f>
        <v>86</v>
      </c>
      <c r="L15" s="630">
        <f>K15/4</f>
        <v>21.5</v>
      </c>
    </row>
    <row r="16" spans="3:12" x14ac:dyDescent="0.2">
      <c r="C16" s="589"/>
      <c r="D16" s="590" t="s">
        <v>390</v>
      </c>
      <c r="E16" s="591">
        <f>(F16+G16+H16+I16+J16)*120</f>
        <v>0</v>
      </c>
      <c r="F16" s="3"/>
      <c r="G16" s="3"/>
      <c r="H16" s="3"/>
      <c r="I16" s="3"/>
      <c r="J16" s="3"/>
      <c r="K16" s="628">
        <f>SUM(F16:J16)</f>
        <v>0</v>
      </c>
      <c r="L16" s="630">
        <f t="shared" ref="L16:L37" si="0">K16/4</f>
        <v>0</v>
      </c>
    </row>
    <row r="17" spans="3:12" x14ac:dyDescent="0.2">
      <c r="C17" s="589"/>
      <c r="D17" s="590" t="s">
        <v>391</v>
      </c>
      <c r="E17" s="591">
        <f>(F17+G17+H17+I17+J17)*120</f>
        <v>0</v>
      </c>
      <c r="F17" s="3"/>
      <c r="G17" s="3"/>
      <c r="H17" s="3"/>
      <c r="I17" s="3"/>
      <c r="J17" s="3"/>
      <c r="K17" s="628">
        <f>SUM(F17:J17)</f>
        <v>0</v>
      </c>
      <c r="L17" s="630">
        <f t="shared" si="0"/>
        <v>0</v>
      </c>
    </row>
    <row r="18" spans="3:12" x14ac:dyDescent="0.2">
      <c r="C18" s="589" t="s">
        <v>408</v>
      </c>
      <c r="D18" s="590" t="s">
        <v>392</v>
      </c>
      <c r="E18" s="591">
        <f>(F18+G18+H18+I18+J18)*120</f>
        <v>2400</v>
      </c>
      <c r="F18" s="3">
        <v>6</v>
      </c>
      <c r="G18" s="3">
        <v>2</v>
      </c>
      <c r="H18" s="3">
        <v>6</v>
      </c>
      <c r="I18" s="3"/>
      <c r="J18" s="3">
        <v>6</v>
      </c>
      <c r="K18" s="628">
        <f>SUM(F18:J18)</f>
        <v>20</v>
      </c>
      <c r="L18" s="630">
        <f t="shared" si="0"/>
        <v>5</v>
      </c>
    </row>
    <row r="19" spans="3:12" x14ac:dyDescent="0.2">
      <c r="C19" s="589"/>
      <c r="D19" s="590" t="s">
        <v>425</v>
      </c>
      <c r="E19" s="591">
        <f>(F19+G19+H19+I19+J19)*120</f>
        <v>0</v>
      </c>
      <c r="F19" s="3"/>
      <c r="G19" s="3"/>
      <c r="H19" s="3"/>
      <c r="I19" s="3"/>
      <c r="J19" s="3"/>
      <c r="K19" s="628">
        <f>SUM(F19:J19)</f>
        <v>0</v>
      </c>
      <c r="L19" s="630">
        <f t="shared" si="0"/>
        <v>0</v>
      </c>
    </row>
    <row r="20" spans="3:12" x14ac:dyDescent="0.2">
      <c r="C20" s="589"/>
      <c r="D20" s="590"/>
      <c r="E20" s="591"/>
      <c r="F20" s="3"/>
      <c r="G20" s="3"/>
      <c r="H20" s="3"/>
      <c r="I20" s="3"/>
      <c r="J20" s="3"/>
      <c r="K20" s="628"/>
      <c r="L20" s="630">
        <f t="shared" si="0"/>
        <v>0</v>
      </c>
    </row>
    <row r="21" spans="3:12" x14ac:dyDescent="0.2">
      <c r="C21" s="589" t="s">
        <v>440</v>
      </c>
      <c r="D21" s="590" t="s">
        <v>108</v>
      </c>
      <c r="E21" s="591">
        <f>(F21+G21+H21+J21)*112.7+(I21*119.6)</f>
        <v>5041.6000000000004</v>
      </c>
      <c r="F21" s="3">
        <v>10</v>
      </c>
      <c r="G21" s="3">
        <v>12</v>
      </c>
      <c r="H21" s="3"/>
      <c r="I21" s="3">
        <v>12</v>
      </c>
      <c r="J21" s="3">
        <v>10</v>
      </c>
      <c r="K21" s="628">
        <f>SUM(F21:J21)</f>
        <v>44</v>
      </c>
      <c r="L21" s="630">
        <f t="shared" si="0"/>
        <v>11</v>
      </c>
    </row>
    <row r="22" spans="3:12" x14ac:dyDescent="0.2">
      <c r="C22" s="589" t="s">
        <v>441</v>
      </c>
      <c r="D22" s="590" t="s">
        <v>393</v>
      </c>
      <c r="E22" s="591">
        <f>(F22+G22+H22+J22)*112.7+(I22*119.6)</f>
        <v>2732.4</v>
      </c>
      <c r="F22" s="3">
        <v>6</v>
      </c>
      <c r="G22" s="3">
        <v>4</v>
      </c>
      <c r="H22" s="3">
        <v>4</v>
      </c>
      <c r="I22" s="3">
        <v>4</v>
      </c>
      <c r="J22" s="3">
        <v>6</v>
      </c>
      <c r="K22" s="628">
        <f>SUM(F22:J22)</f>
        <v>24</v>
      </c>
      <c r="L22" s="630">
        <f t="shared" si="0"/>
        <v>6</v>
      </c>
    </row>
    <row r="23" spans="3:12" x14ac:dyDescent="0.2">
      <c r="C23" s="589" t="s">
        <v>442</v>
      </c>
      <c r="D23" s="590" t="s">
        <v>216</v>
      </c>
      <c r="E23" s="591">
        <f>(F23+G23+H23+J23)*112.7+(I23*119.6)</f>
        <v>3661.6000000000004</v>
      </c>
      <c r="F23" s="3">
        <v>8</v>
      </c>
      <c r="G23" s="3">
        <v>8</v>
      </c>
      <c r="H23" s="3"/>
      <c r="I23" s="3">
        <v>8</v>
      </c>
      <c r="J23" s="3">
        <v>8</v>
      </c>
      <c r="K23" s="628">
        <f>SUM(F23:J23)</f>
        <v>32</v>
      </c>
      <c r="L23" s="630">
        <f t="shared" si="0"/>
        <v>8</v>
      </c>
    </row>
    <row r="24" spans="3:12" x14ac:dyDescent="0.2">
      <c r="C24" s="589"/>
      <c r="D24" s="590"/>
      <c r="E24" s="591"/>
      <c r="F24" s="3"/>
      <c r="G24" s="3"/>
      <c r="H24" s="3"/>
      <c r="I24" s="3"/>
      <c r="J24" s="3"/>
      <c r="K24" s="628"/>
      <c r="L24" s="630">
        <f t="shared" si="0"/>
        <v>0</v>
      </c>
    </row>
    <row r="25" spans="3:12" x14ac:dyDescent="0.2">
      <c r="C25" s="589"/>
      <c r="D25" s="590" t="s">
        <v>394</v>
      </c>
      <c r="E25" s="591">
        <f>(F25+G25+H25+I25+J25)*120</f>
        <v>0</v>
      </c>
      <c r="F25" s="3"/>
      <c r="G25" s="3"/>
      <c r="H25" s="3"/>
      <c r="I25" s="3"/>
      <c r="J25" s="3"/>
      <c r="K25" s="628">
        <f>SUM(F25:J25)</f>
        <v>0</v>
      </c>
      <c r="L25" s="630">
        <f t="shared" si="0"/>
        <v>0</v>
      </c>
    </row>
    <row r="26" spans="3:12" x14ac:dyDescent="0.2">
      <c r="C26" s="589" t="s">
        <v>443</v>
      </c>
      <c r="D26" s="590" t="s">
        <v>110</v>
      </c>
      <c r="E26" s="591">
        <f>(F26+G26+H26+J26)*112.7+(I26*119.6)</f>
        <v>10957.2</v>
      </c>
      <c r="F26" s="3">
        <v>40</v>
      </c>
      <c r="G26" s="3">
        <v>16</v>
      </c>
      <c r="H26" s="3"/>
      <c r="I26" s="3">
        <v>20</v>
      </c>
      <c r="J26" s="3">
        <v>20</v>
      </c>
      <c r="K26" s="628">
        <f>SUM(F26:J26)</f>
        <v>96</v>
      </c>
      <c r="L26" s="630">
        <f t="shared" si="0"/>
        <v>24</v>
      </c>
    </row>
    <row r="27" spans="3:12" x14ac:dyDescent="0.2">
      <c r="C27" s="589"/>
      <c r="D27" s="590"/>
      <c r="E27" s="591"/>
      <c r="F27" s="3"/>
      <c r="G27" s="3"/>
      <c r="H27" s="3"/>
      <c r="I27" s="3"/>
      <c r="J27" s="3"/>
      <c r="K27" s="628">
        <f>SUM(F27:J27)</f>
        <v>0</v>
      </c>
      <c r="L27" s="630">
        <f t="shared" si="0"/>
        <v>0</v>
      </c>
    </row>
    <row r="28" spans="3:12" x14ac:dyDescent="0.2">
      <c r="C28" s="589"/>
      <c r="D28" s="590" t="s">
        <v>381</v>
      </c>
      <c r="E28" s="591">
        <f>(F28+G28+H28+I28+J28)*120+(240*0)+(0*45)</f>
        <v>0</v>
      </c>
      <c r="F28" s="3"/>
      <c r="G28" s="3"/>
      <c r="H28" s="3"/>
      <c r="I28" s="3"/>
      <c r="J28" s="3"/>
      <c r="K28" s="628">
        <f>SUM(F28:J28)</f>
        <v>0</v>
      </c>
      <c r="L28" s="630">
        <f t="shared" si="0"/>
        <v>0</v>
      </c>
    </row>
    <row r="29" spans="3:12" x14ac:dyDescent="0.2">
      <c r="C29" s="589"/>
      <c r="D29" s="590" t="s">
        <v>276</v>
      </c>
      <c r="E29" s="591">
        <f>(F29+G29+H29+J29)*112.7+(I29*119.6)</f>
        <v>0</v>
      </c>
      <c r="F29" s="3"/>
      <c r="G29" s="3"/>
      <c r="H29" s="3"/>
      <c r="I29" s="3"/>
      <c r="J29" s="3"/>
      <c r="K29" s="628">
        <f>SUM(F29:J29)</f>
        <v>0</v>
      </c>
      <c r="L29" s="630">
        <f t="shared" si="0"/>
        <v>0</v>
      </c>
    </row>
    <row r="30" spans="3:12" x14ac:dyDescent="0.2">
      <c r="C30" s="589"/>
      <c r="D30" s="590"/>
      <c r="E30" s="591"/>
      <c r="F30" s="3"/>
      <c r="G30" s="3"/>
      <c r="H30" s="3"/>
      <c r="I30" s="3"/>
      <c r="J30" s="3"/>
      <c r="K30" s="628"/>
      <c r="L30" s="630">
        <f t="shared" si="0"/>
        <v>0</v>
      </c>
    </row>
    <row r="31" spans="3:12" x14ac:dyDescent="0.2">
      <c r="C31" s="589"/>
      <c r="D31" s="590" t="s">
        <v>75</v>
      </c>
      <c r="E31" s="591">
        <f>(F31+G31+H31+I31+J31)*120</f>
        <v>0</v>
      </c>
      <c r="F31" s="3"/>
      <c r="G31" s="3"/>
      <c r="H31" s="3"/>
      <c r="I31" s="3"/>
      <c r="J31" s="3"/>
      <c r="K31" s="628">
        <f t="shared" ref="K31:K37" si="1">SUM(F31:J31)</f>
        <v>0</v>
      </c>
      <c r="L31" s="630">
        <f t="shared" si="0"/>
        <v>0</v>
      </c>
    </row>
    <row r="32" spans="3:12" x14ac:dyDescent="0.2">
      <c r="C32" s="589"/>
      <c r="D32" s="590" t="s">
        <v>278</v>
      </c>
      <c r="E32" s="591">
        <f>(F32+G32+H32+I32+J32)*120</f>
        <v>0</v>
      </c>
      <c r="F32" s="3"/>
      <c r="G32" s="3"/>
      <c r="H32" s="3"/>
      <c r="I32" s="3"/>
      <c r="J32" s="3"/>
      <c r="K32" s="628">
        <f t="shared" si="1"/>
        <v>0</v>
      </c>
      <c r="L32" s="630">
        <f t="shared" si="0"/>
        <v>0</v>
      </c>
    </row>
    <row r="33" spans="3:12" x14ac:dyDescent="0.2">
      <c r="C33" s="589"/>
      <c r="D33" s="590" t="s">
        <v>270</v>
      </c>
      <c r="E33" s="591">
        <f>(F33+G33+H33+I33)*112.7+(J33*119.6)</f>
        <v>0</v>
      </c>
      <c r="F33" s="3"/>
      <c r="G33" s="3"/>
      <c r="H33" s="3"/>
      <c r="I33" s="3"/>
      <c r="J33" s="3"/>
      <c r="K33" s="628">
        <f t="shared" si="1"/>
        <v>0</v>
      </c>
      <c r="L33" s="630">
        <f t="shared" si="0"/>
        <v>0</v>
      </c>
    </row>
    <row r="34" spans="3:12" x14ac:dyDescent="0.2">
      <c r="C34" s="589"/>
      <c r="D34" s="590" t="s">
        <v>274</v>
      </c>
      <c r="E34" s="591">
        <f>(F34+G34+H34+I34)*112.7+(J34*119.6)</f>
        <v>0</v>
      </c>
      <c r="F34" s="3"/>
      <c r="G34" s="3"/>
      <c r="H34" s="3"/>
      <c r="I34" s="3"/>
      <c r="J34" s="3"/>
      <c r="K34" s="628">
        <f t="shared" si="1"/>
        <v>0</v>
      </c>
      <c r="L34" s="630">
        <f t="shared" si="0"/>
        <v>0</v>
      </c>
    </row>
    <row r="35" spans="3:12" x14ac:dyDescent="0.2">
      <c r="C35" s="589"/>
      <c r="D35" s="590" t="s">
        <v>395</v>
      </c>
      <c r="E35" s="591">
        <f>(F35+G35+H35+I35)*112.7+(J35*119.6)</f>
        <v>0</v>
      </c>
      <c r="F35" s="3"/>
      <c r="G35" s="3"/>
      <c r="H35" s="3"/>
      <c r="I35" s="3"/>
      <c r="J35" s="3"/>
      <c r="K35" s="628">
        <f t="shared" si="1"/>
        <v>0</v>
      </c>
      <c r="L35" s="630">
        <f t="shared" si="0"/>
        <v>0</v>
      </c>
    </row>
    <row r="36" spans="3:12" x14ac:dyDescent="0.2">
      <c r="C36" s="683"/>
      <c r="D36" s="590" t="s">
        <v>112</v>
      </c>
      <c r="E36" s="591">
        <f>(F36+G36+H36+I36)*112.7+(J36*119.6)</f>
        <v>0</v>
      </c>
      <c r="F36" s="3"/>
      <c r="G36" s="3"/>
      <c r="H36" s="3"/>
      <c r="I36" s="3"/>
      <c r="J36" s="3"/>
      <c r="K36" s="628">
        <f t="shared" si="1"/>
        <v>0</v>
      </c>
      <c r="L36" s="630">
        <f t="shared" si="0"/>
        <v>0</v>
      </c>
    </row>
    <row r="37" spans="3:12" x14ac:dyDescent="0.2">
      <c r="C37" s="683"/>
      <c r="D37" s="590" t="s">
        <v>72</v>
      </c>
      <c r="E37" s="591">
        <f>(F37+G37+H37+I37)*112.7+(J37*119.6)</f>
        <v>0</v>
      </c>
      <c r="F37" s="3"/>
      <c r="G37" s="3"/>
      <c r="H37" s="3"/>
      <c r="I37" s="3"/>
      <c r="J37" s="3"/>
      <c r="K37" s="628">
        <f t="shared" si="1"/>
        <v>0</v>
      </c>
      <c r="L37" s="630">
        <f t="shared" si="0"/>
        <v>0</v>
      </c>
    </row>
    <row r="38" spans="3:12" x14ac:dyDescent="0.2">
      <c r="C38" s="683"/>
      <c r="D38" s="590" t="s">
        <v>187</v>
      </c>
      <c r="E38" s="591"/>
      <c r="F38" s="3"/>
      <c r="G38" s="3"/>
      <c r="H38" s="3"/>
      <c r="I38" s="3"/>
      <c r="J38" s="3"/>
      <c r="K38" s="628">
        <f>SUM(F38:J38)</f>
        <v>0</v>
      </c>
      <c r="L38" s="3"/>
    </row>
    <row r="39" spans="3:12" ht="16" x14ac:dyDescent="0.2">
      <c r="C39" s="683"/>
      <c r="D39" s="590"/>
      <c r="E39" s="592"/>
      <c r="F39" s="3"/>
      <c r="G39" s="3"/>
      <c r="H39" s="3"/>
      <c r="I39" s="3"/>
      <c r="J39" s="3"/>
      <c r="K39" s="628">
        <f>SUM(F39:J39)</f>
        <v>0</v>
      </c>
      <c r="L39" s="3"/>
    </row>
    <row r="40" spans="3:12" ht="17" thickBot="1" x14ac:dyDescent="0.25">
      <c r="C40" s="683"/>
      <c r="D40" s="590"/>
      <c r="E40" s="624"/>
      <c r="F40" s="69"/>
      <c r="G40" s="69"/>
      <c r="H40" s="69"/>
      <c r="I40" s="69"/>
      <c r="J40" s="69"/>
      <c r="K40" s="629"/>
      <c r="L40" s="3"/>
    </row>
    <row r="41" spans="3:12" ht="16" thickBot="1" x14ac:dyDescent="0.25">
      <c r="C41" s="596"/>
      <c r="D41" s="623" t="s">
        <v>19</v>
      </c>
      <c r="E41" s="625">
        <f>SUM(E15:E37)</f>
        <v>33392.800000000003</v>
      </c>
      <c r="F41" s="614">
        <f>SUM(F15:F40)</f>
        <v>95</v>
      </c>
      <c r="G41" s="614">
        <f>SUM(G15:G40)</f>
        <v>57</v>
      </c>
      <c r="H41" s="614">
        <f>SUM(H15:H40)</f>
        <v>19</v>
      </c>
      <c r="I41" s="614">
        <f>SUM(I15:I40)</f>
        <v>56</v>
      </c>
      <c r="J41" s="614">
        <f>SUM(J15:J40)</f>
        <v>75</v>
      </c>
      <c r="K41" s="626">
        <f>SUM(F41:J41)</f>
        <v>302</v>
      </c>
      <c r="L41" s="631">
        <f>SUM(L15:L40)</f>
        <v>75.5</v>
      </c>
    </row>
    <row r="42" spans="3:12" x14ac:dyDescent="0.2">
      <c r="C42" s="596"/>
      <c r="D42" s="593" t="s">
        <v>113</v>
      </c>
      <c r="E42" s="620"/>
      <c r="F42" s="610">
        <f>F12-F41</f>
        <v>61</v>
      </c>
      <c r="G42" s="610">
        <f>G12-G41</f>
        <v>29</v>
      </c>
      <c r="H42" s="610">
        <f>H12-H41</f>
        <v>30</v>
      </c>
      <c r="I42" s="610">
        <f>I12-I41</f>
        <v>30</v>
      </c>
      <c r="J42" s="610">
        <f>J12-J41</f>
        <v>46</v>
      </c>
      <c r="K42" s="636">
        <f>SUM(F42:J42)</f>
        <v>196</v>
      </c>
      <c r="L42" s="3"/>
    </row>
    <row r="43" spans="3:12" x14ac:dyDescent="0.2">
      <c r="C43" s="683"/>
      <c r="D43" s="593" t="s">
        <v>436</v>
      </c>
      <c r="E43" s="594"/>
      <c r="F43" s="581"/>
      <c r="G43" s="581"/>
      <c r="H43" s="581"/>
      <c r="I43" s="581"/>
      <c r="J43" s="581"/>
      <c r="K43" s="637">
        <f>K41+K42</f>
        <v>498</v>
      </c>
      <c r="L43" s="3"/>
    </row>
    <row r="45" spans="3:12" ht="18" x14ac:dyDescent="0.2">
      <c r="C45" s="685" t="s">
        <v>412</v>
      </c>
      <c r="D45" s="582">
        <v>45657</v>
      </c>
      <c r="E45" s="800"/>
      <c r="F45" s="685" t="s">
        <v>83</v>
      </c>
      <c r="G45" s="801" t="s">
        <v>64</v>
      </c>
      <c r="H45" s="802"/>
      <c r="I45" s="802"/>
      <c r="J45" s="802"/>
      <c r="K45" s="803"/>
    </row>
    <row r="46" spans="3:12" x14ac:dyDescent="0.2">
      <c r="C46" s="804"/>
      <c r="D46" s="805"/>
      <c r="E46" s="800"/>
      <c r="F46" s="683" t="s">
        <v>93</v>
      </c>
      <c r="G46" s="683" t="s">
        <v>93</v>
      </c>
      <c r="H46" s="683"/>
      <c r="I46" s="806"/>
      <c r="J46" s="806"/>
      <c r="K46" s="806"/>
    </row>
    <row r="47" spans="3:12" x14ac:dyDescent="0.2">
      <c r="C47" s="804"/>
      <c r="D47" s="805"/>
      <c r="E47" s="800"/>
      <c r="F47" s="683" t="s">
        <v>94</v>
      </c>
      <c r="G47" s="683" t="s">
        <v>95</v>
      </c>
      <c r="H47" s="683" t="s">
        <v>96</v>
      </c>
      <c r="I47" s="806"/>
      <c r="J47" s="806"/>
      <c r="K47" s="806"/>
    </row>
    <row r="48" spans="3:12" x14ac:dyDescent="0.2">
      <c r="C48" s="804"/>
      <c r="D48" s="805"/>
      <c r="E48" s="800"/>
      <c r="F48" s="683"/>
      <c r="G48" s="683"/>
      <c r="H48" s="683"/>
      <c r="I48" s="806"/>
      <c r="J48" s="806"/>
      <c r="K48" s="806"/>
    </row>
    <row r="49" spans="3:12" ht="16" x14ac:dyDescent="0.2">
      <c r="C49" s="683"/>
      <c r="D49" s="583" t="s">
        <v>97</v>
      </c>
      <c r="E49" s="584"/>
      <c r="F49" s="581"/>
      <c r="G49" s="585"/>
      <c r="H49" s="585"/>
      <c r="I49" s="586"/>
      <c r="J49" s="586"/>
      <c r="K49" s="586"/>
    </row>
    <row r="50" spans="3:12" ht="26" x14ac:dyDescent="0.2">
      <c r="C50" s="804"/>
      <c r="D50" s="587"/>
      <c r="E50" s="588"/>
      <c r="F50" s="585" t="s">
        <v>383</v>
      </c>
      <c r="G50" s="585" t="s">
        <v>384</v>
      </c>
      <c r="H50" s="585" t="s">
        <v>385</v>
      </c>
      <c r="I50" s="585" t="s">
        <v>386</v>
      </c>
      <c r="J50" s="585" t="s">
        <v>387</v>
      </c>
      <c r="K50" s="585" t="s">
        <v>84</v>
      </c>
    </row>
    <row r="51" spans="3:12" x14ac:dyDescent="0.2">
      <c r="C51" s="804"/>
      <c r="D51" s="684" t="s">
        <v>167</v>
      </c>
      <c r="E51" s="588"/>
      <c r="F51" s="580">
        <v>9</v>
      </c>
      <c r="G51" s="579">
        <v>11</v>
      </c>
      <c r="H51" s="580"/>
      <c r="I51" s="580">
        <v>6</v>
      </c>
      <c r="J51" s="580">
        <v>9</v>
      </c>
      <c r="K51" s="580">
        <f>SUM(F51:J51)</f>
        <v>35</v>
      </c>
    </row>
    <row r="52" spans="3:12" x14ac:dyDescent="0.2">
      <c r="C52" s="804"/>
      <c r="D52" s="684" t="s">
        <v>207</v>
      </c>
      <c r="E52" s="588"/>
      <c r="F52" s="618">
        <v>61</v>
      </c>
      <c r="G52" s="619">
        <v>77</v>
      </c>
      <c r="H52" s="618"/>
      <c r="I52" s="618">
        <v>66</v>
      </c>
      <c r="J52" s="618">
        <v>76</v>
      </c>
      <c r="K52" s="618">
        <f>SUM(F52:J52)</f>
        <v>280</v>
      </c>
    </row>
    <row r="53" spans="3:12" x14ac:dyDescent="0.2">
      <c r="C53" s="683"/>
      <c r="D53" s="684" t="s">
        <v>100</v>
      </c>
      <c r="E53" s="588"/>
      <c r="F53" s="581"/>
      <c r="G53" s="581"/>
      <c r="H53" s="581"/>
      <c r="I53" s="581"/>
      <c r="J53" s="581"/>
      <c r="K53" s="581">
        <f>SUM(F53:J53)</f>
        <v>0</v>
      </c>
    </row>
    <row r="54" spans="3:12" x14ac:dyDescent="0.2">
      <c r="C54" s="683"/>
      <c r="D54" s="684" t="s">
        <v>101</v>
      </c>
      <c r="E54" s="588"/>
      <c r="F54" s="581"/>
      <c r="G54" s="581"/>
      <c r="H54" s="581"/>
      <c r="I54" s="581">
        <v>2</v>
      </c>
      <c r="J54" s="581">
        <v>1</v>
      </c>
      <c r="K54" s="581">
        <f>SUM(F54:J54)</f>
        <v>3</v>
      </c>
    </row>
    <row r="55" spans="3:12" ht="16" thickBot="1" x14ac:dyDescent="0.25">
      <c r="C55" s="683"/>
      <c r="D55" s="597" t="s">
        <v>102</v>
      </c>
      <c r="E55" s="598"/>
      <c r="F55" s="599">
        <v>62</v>
      </c>
      <c r="G55" s="600">
        <v>25</v>
      </c>
      <c r="H55" s="600"/>
      <c r="I55" s="600">
        <v>22</v>
      </c>
      <c r="J55" s="600">
        <v>50</v>
      </c>
      <c r="K55" s="600">
        <f>SUM(F55:J55)</f>
        <v>159</v>
      </c>
    </row>
    <row r="56" spans="3:12" ht="17" thickBot="1" x14ac:dyDescent="0.25">
      <c r="C56" s="605"/>
      <c r="D56" s="612" t="s">
        <v>84</v>
      </c>
      <c r="E56" s="613"/>
      <c r="F56" s="614">
        <f>(F52+F55)-F54-F53</f>
        <v>123</v>
      </c>
      <c r="G56" s="615">
        <f>(G52+G55)-G54-G53</f>
        <v>102</v>
      </c>
      <c r="H56" s="616">
        <f>(H52+H55)-H54</f>
        <v>0</v>
      </c>
      <c r="I56" s="615">
        <f>(I52+I55)-I54-I53</f>
        <v>86</v>
      </c>
      <c r="J56" s="622">
        <f>(J52+J55)-J54-J53</f>
        <v>125</v>
      </c>
      <c r="K56" s="617">
        <f>(K52+K55)-K54-K53</f>
        <v>436</v>
      </c>
    </row>
    <row r="57" spans="3:12" ht="16" x14ac:dyDescent="0.2">
      <c r="C57" s="683"/>
      <c r="D57" s="608"/>
      <c r="E57" s="609"/>
      <c r="F57" s="610"/>
      <c r="G57" s="595"/>
      <c r="H57" s="611"/>
      <c r="I57" s="595"/>
      <c r="J57" s="595"/>
      <c r="K57" s="595"/>
    </row>
    <row r="58" spans="3:12" ht="16" thickBot="1" x14ac:dyDescent="0.25">
      <c r="C58" s="606" t="s">
        <v>388</v>
      </c>
      <c r="D58" s="607" t="s">
        <v>103</v>
      </c>
      <c r="E58" s="603" t="s">
        <v>84</v>
      </c>
      <c r="F58" s="602" t="s">
        <v>78</v>
      </c>
      <c r="G58" s="602" t="s">
        <v>79</v>
      </c>
      <c r="H58" s="602" t="s">
        <v>88</v>
      </c>
      <c r="I58" s="601" t="s">
        <v>87</v>
      </c>
      <c r="J58" s="601" t="s">
        <v>85</v>
      </c>
      <c r="K58" s="601" t="s">
        <v>84</v>
      </c>
      <c r="L58" s="174" t="s">
        <v>389</v>
      </c>
    </row>
    <row r="59" spans="3:12" x14ac:dyDescent="0.2">
      <c r="C59" s="589"/>
      <c r="D59" s="604" t="s">
        <v>105</v>
      </c>
      <c r="E59" s="591">
        <f>(F59+G59+H59+I59+J59)*100+(0*230)</f>
        <v>0</v>
      </c>
      <c r="F59" s="3"/>
      <c r="G59" s="3"/>
      <c r="H59" s="3"/>
      <c r="I59" s="3"/>
      <c r="J59" s="3"/>
      <c r="K59" s="628">
        <f>SUM(F59:J59)</f>
        <v>0</v>
      </c>
      <c r="L59" s="630">
        <f>K59/4</f>
        <v>0</v>
      </c>
    </row>
    <row r="60" spans="3:12" x14ac:dyDescent="0.2">
      <c r="C60" s="589"/>
      <c r="D60" s="590" t="s">
        <v>390</v>
      </c>
      <c r="E60" s="591">
        <f>(F60+G60+H60+I60+J60)*120</f>
        <v>0</v>
      </c>
      <c r="F60" s="3"/>
      <c r="G60" s="3"/>
      <c r="H60" s="3"/>
      <c r="I60" s="3"/>
      <c r="J60" s="3"/>
      <c r="K60" s="628">
        <f>SUM(F60:J60)</f>
        <v>0</v>
      </c>
      <c r="L60" s="630">
        <f t="shared" ref="L60:L81" si="2">K60/4</f>
        <v>0</v>
      </c>
    </row>
    <row r="61" spans="3:12" x14ac:dyDescent="0.2">
      <c r="C61" s="589"/>
      <c r="D61" s="590" t="s">
        <v>391</v>
      </c>
      <c r="E61" s="591">
        <f>(F61+G61+H61+I61+J61)*120</f>
        <v>0</v>
      </c>
      <c r="F61" s="3"/>
      <c r="G61" s="3"/>
      <c r="H61" s="3"/>
      <c r="I61" s="3"/>
      <c r="J61" s="3"/>
      <c r="K61" s="628">
        <f>SUM(F61:J61)</f>
        <v>0</v>
      </c>
      <c r="L61" s="630">
        <f t="shared" si="2"/>
        <v>0</v>
      </c>
    </row>
    <row r="62" spans="3:12" x14ac:dyDescent="0.2">
      <c r="C62" s="589"/>
      <c r="D62" s="590" t="s">
        <v>392</v>
      </c>
      <c r="E62" s="591">
        <f>(F62+G62+H62+I62+J62)*120</f>
        <v>0</v>
      </c>
      <c r="F62" s="3"/>
      <c r="G62" s="3"/>
      <c r="H62" s="3"/>
      <c r="I62" s="3"/>
      <c r="J62" s="3"/>
      <c r="K62" s="628">
        <f>SUM(F62:J62)</f>
        <v>0</v>
      </c>
      <c r="L62" s="630">
        <f t="shared" si="2"/>
        <v>0</v>
      </c>
    </row>
    <row r="63" spans="3:12" x14ac:dyDescent="0.2">
      <c r="C63" s="589"/>
      <c r="D63" s="590" t="s">
        <v>425</v>
      </c>
      <c r="E63" s="591">
        <f>(F63+G63+H63+I63+J63)*120</f>
        <v>0</v>
      </c>
      <c r="F63" s="3"/>
      <c r="G63" s="3"/>
      <c r="H63" s="3"/>
      <c r="I63" s="3"/>
      <c r="J63" s="3"/>
      <c r="K63" s="628">
        <f>SUM(F63:J63)</f>
        <v>0</v>
      </c>
      <c r="L63" s="630">
        <f t="shared" si="2"/>
        <v>0</v>
      </c>
    </row>
    <row r="64" spans="3:12" x14ac:dyDescent="0.2">
      <c r="C64" s="589"/>
      <c r="D64" s="590"/>
      <c r="E64" s="591"/>
      <c r="F64" s="3"/>
      <c r="G64" s="3"/>
      <c r="H64" s="3"/>
      <c r="I64" s="3"/>
      <c r="J64" s="3"/>
      <c r="K64" s="628"/>
      <c r="L64" s="630">
        <f t="shared" si="2"/>
        <v>0</v>
      </c>
    </row>
    <row r="65" spans="3:12" x14ac:dyDescent="0.2">
      <c r="C65" s="589"/>
      <c r="D65" s="590" t="s">
        <v>108</v>
      </c>
      <c r="E65" s="591">
        <f>(F65+G65+H65+J65)*112.7+(I65*119.6)</f>
        <v>0</v>
      </c>
      <c r="F65" s="3"/>
      <c r="G65" s="3"/>
      <c r="H65" s="3"/>
      <c r="I65" s="3"/>
      <c r="J65" s="3"/>
      <c r="K65" s="628">
        <f>SUM(F65:J65)</f>
        <v>0</v>
      </c>
      <c r="L65" s="630">
        <f t="shared" si="2"/>
        <v>0</v>
      </c>
    </row>
    <row r="66" spans="3:12" x14ac:dyDescent="0.2">
      <c r="C66" s="589"/>
      <c r="D66" s="590" t="s">
        <v>393</v>
      </c>
      <c r="E66" s="591">
        <f>(F66+G66+H66+J66)*112.7+(I66*119.6)</f>
        <v>0</v>
      </c>
      <c r="F66" s="3"/>
      <c r="G66" s="3"/>
      <c r="H66" s="3"/>
      <c r="I66" s="3"/>
      <c r="J66" s="3"/>
      <c r="K66" s="628">
        <f>SUM(F66:J66)</f>
        <v>0</v>
      </c>
      <c r="L66" s="630">
        <f t="shared" si="2"/>
        <v>0</v>
      </c>
    </row>
    <row r="67" spans="3:12" x14ac:dyDescent="0.2">
      <c r="C67" s="589"/>
      <c r="D67" s="590" t="s">
        <v>216</v>
      </c>
      <c r="E67" s="591">
        <f>(F67+G67+H67+J67)*112.7+(I67*119.6)</f>
        <v>0</v>
      </c>
      <c r="F67" s="3"/>
      <c r="G67" s="3"/>
      <c r="H67" s="3"/>
      <c r="I67" s="3"/>
      <c r="J67" s="3"/>
      <c r="K67" s="628">
        <f>SUM(F67:J67)</f>
        <v>0</v>
      </c>
      <c r="L67" s="630">
        <f t="shared" si="2"/>
        <v>0</v>
      </c>
    </row>
    <row r="68" spans="3:12" x14ac:dyDescent="0.2">
      <c r="C68" s="589"/>
      <c r="D68" s="590"/>
      <c r="E68" s="591"/>
      <c r="F68" s="3"/>
      <c r="G68" s="3"/>
      <c r="H68" s="3"/>
      <c r="I68" s="3"/>
      <c r="J68" s="3"/>
      <c r="K68" s="628"/>
      <c r="L68" s="630">
        <f t="shared" si="2"/>
        <v>0</v>
      </c>
    </row>
    <row r="69" spans="3:12" x14ac:dyDescent="0.2">
      <c r="C69" s="589"/>
      <c r="D69" s="590" t="s">
        <v>394</v>
      </c>
      <c r="E69" s="591">
        <f>(F69+G69+H69+I69+J69)*120</f>
        <v>0</v>
      </c>
      <c r="F69" s="3"/>
      <c r="G69" s="3"/>
      <c r="H69" s="3"/>
      <c r="I69" s="3"/>
      <c r="J69" s="3"/>
      <c r="K69" s="628">
        <f>SUM(F69:J69)</f>
        <v>0</v>
      </c>
      <c r="L69" s="630">
        <f t="shared" si="2"/>
        <v>0</v>
      </c>
    </row>
    <row r="70" spans="3:12" x14ac:dyDescent="0.2">
      <c r="C70" s="589" t="s">
        <v>446</v>
      </c>
      <c r="D70" s="590" t="s">
        <v>110</v>
      </c>
      <c r="E70" s="591">
        <f>(F70+G70+H70+J70)*112.7+(I70*119.6)</f>
        <v>8576.7000000000007</v>
      </c>
      <c r="F70" s="3">
        <v>28</v>
      </c>
      <c r="G70" s="3">
        <v>16</v>
      </c>
      <c r="H70" s="3"/>
      <c r="I70" s="3">
        <v>18</v>
      </c>
      <c r="J70" s="3">
        <v>13</v>
      </c>
      <c r="K70" s="628">
        <f>SUM(F70:J70)</f>
        <v>75</v>
      </c>
      <c r="L70" s="630">
        <f t="shared" si="2"/>
        <v>18.75</v>
      </c>
    </row>
    <row r="71" spans="3:12" x14ac:dyDescent="0.2">
      <c r="C71" s="589"/>
      <c r="D71" s="590"/>
      <c r="E71" s="591"/>
      <c r="F71" s="3"/>
      <c r="G71" s="3"/>
      <c r="H71" s="3"/>
      <c r="I71" s="3"/>
      <c r="J71" s="3"/>
      <c r="K71" s="628">
        <f>SUM(F71:J71)</f>
        <v>0</v>
      </c>
      <c r="L71" s="630">
        <f t="shared" si="2"/>
        <v>0</v>
      </c>
    </row>
    <row r="72" spans="3:12" x14ac:dyDescent="0.2">
      <c r="C72" s="589"/>
      <c r="D72" s="590" t="s">
        <v>381</v>
      </c>
      <c r="E72" s="591">
        <f>(F72+G72+H72+I72+J72)*120+(240*0)+(0*45)</f>
        <v>0</v>
      </c>
      <c r="F72" s="3"/>
      <c r="G72" s="3"/>
      <c r="H72" s="3"/>
      <c r="I72" s="3"/>
      <c r="J72" s="3"/>
      <c r="K72" s="628">
        <f>SUM(F72:J72)</f>
        <v>0</v>
      </c>
      <c r="L72" s="630">
        <f t="shared" si="2"/>
        <v>0</v>
      </c>
    </row>
    <row r="73" spans="3:12" x14ac:dyDescent="0.2">
      <c r="C73" s="589"/>
      <c r="D73" s="590" t="s">
        <v>276</v>
      </c>
      <c r="E73" s="591">
        <f>(F73+G73+H73+J73)*112.7+(I73*119.6)</f>
        <v>0</v>
      </c>
      <c r="F73" s="3"/>
      <c r="G73" s="3"/>
      <c r="H73" s="3"/>
      <c r="I73" s="3"/>
      <c r="J73" s="3"/>
      <c r="K73" s="628">
        <f>SUM(F73:J73)</f>
        <v>0</v>
      </c>
      <c r="L73" s="630">
        <f t="shared" si="2"/>
        <v>0</v>
      </c>
    </row>
    <row r="74" spans="3:12" x14ac:dyDescent="0.2">
      <c r="C74" s="589"/>
      <c r="D74" s="590"/>
      <c r="E74" s="591"/>
      <c r="F74" s="3"/>
      <c r="G74" s="3"/>
      <c r="H74" s="3"/>
      <c r="I74" s="3"/>
      <c r="J74" s="3"/>
      <c r="K74" s="628"/>
      <c r="L74" s="630">
        <f t="shared" si="2"/>
        <v>0</v>
      </c>
    </row>
    <row r="75" spans="3:12" x14ac:dyDescent="0.2">
      <c r="C75" s="589" t="s">
        <v>416</v>
      </c>
      <c r="D75" s="590" t="s">
        <v>75</v>
      </c>
      <c r="E75" s="591">
        <f>(F75+G75+H75+I75+J75)*120</f>
        <v>2400</v>
      </c>
      <c r="F75" s="3">
        <v>7</v>
      </c>
      <c r="G75" s="3">
        <v>3</v>
      </c>
      <c r="H75" s="3"/>
      <c r="I75" s="3">
        <v>3</v>
      </c>
      <c r="J75" s="3">
        <v>7</v>
      </c>
      <c r="K75" s="628">
        <f t="shared" ref="K75:K81" si="3">SUM(F75:J75)</f>
        <v>20</v>
      </c>
      <c r="L75" s="630">
        <f t="shared" si="2"/>
        <v>5</v>
      </c>
    </row>
    <row r="76" spans="3:12" x14ac:dyDescent="0.2">
      <c r="C76" s="589"/>
      <c r="D76" s="590" t="s">
        <v>278</v>
      </c>
      <c r="E76" s="591">
        <f>(F76+G76+H76+I76+J76)*120</f>
        <v>0</v>
      </c>
      <c r="F76" s="3"/>
      <c r="G76" s="3"/>
      <c r="H76" s="3"/>
      <c r="I76" s="3"/>
      <c r="J76" s="3"/>
      <c r="K76" s="628">
        <f t="shared" si="3"/>
        <v>0</v>
      </c>
      <c r="L76" s="630">
        <f t="shared" si="2"/>
        <v>0</v>
      </c>
    </row>
    <row r="77" spans="3:12" x14ac:dyDescent="0.2">
      <c r="C77" s="589"/>
      <c r="D77" s="590" t="s">
        <v>270</v>
      </c>
      <c r="E77" s="591">
        <f>(F77+G77+H77+I77)*112.7+(J77*119.6)</f>
        <v>8280</v>
      </c>
      <c r="F77" s="3">
        <v>24</v>
      </c>
      <c r="G77" s="3">
        <v>12</v>
      </c>
      <c r="H77" s="3"/>
      <c r="I77" s="3">
        <v>12</v>
      </c>
      <c r="J77" s="3">
        <v>24</v>
      </c>
      <c r="K77" s="628">
        <f t="shared" si="3"/>
        <v>72</v>
      </c>
      <c r="L77" s="630">
        <f t="shared" si="2"/>
        <v>18</v>
      </c>
    </row>
    <row r="78" spans="3:12" x14ac:dyDescent="0.2">
      <c r="C78" s="589" t="s">
        <v>444</v>
      </c>
      <c r="D78" s="590" t="s">
        <v>274</v>
      </c>
      <c r="E78" s="591">
        <f>(F78+G78+H78+I78)*112.7+(J78*119.6)</f>
        <v>6189.3</v>
      </c>
      <c r="F78" s="3">
        <v>15</v>
      </c>
      <c r="G78" s="3">
        <v>12</v>
      </c>
      <c r="H78" s="3"/>
      <c r="I78" s="3">
        <v>12</v>
      </c>
      <c r="J78" s="3">
        <v>15</v>
      </c>
      <c r="K78" s="628">
        <f t="shared" si="3"/>
        <v>54</v>
      </c>
      <c r="L78" s="630">
        <f t="shared" si="2"/>
        <v>13.5</v>
      </c>
    </row>
    <row r="79" spans="3:12" x14ac:dyDescent="0.2">
      <c r="C79" s="589" t="s">
        <v>445</v>
      </c>
      <c r="D79" s="590" t="s">
        <v>395</v>
      </c>
      <c r="E79" s="591">
        <f>(F79+G79+H79+I79)*112.7+(J79*119.6)</f>
        <v>6189.3</v>
      </c>
      <c r="F79" s="3">
        <v>15</v>
      </c>
      <c r="G79" s="3">
        <v>12</v>
      </c>
      <c r="H79" s="3"/>
      <c r="I79" s="3">
        <v>12</v>
      </c>
      <c r="J79" s="3">
        <v>15</v>
      </c>
      <c r="K79" s="628">
        <f t="shared" si="3"/>
        <v>54</v>
      </c>
      <c r="L79" s="630">
        <f t="shared" si="2"/>
        <v>13.5</v>
      </c>
    </row>
    <row r="80" spans="3:12" x14ac:dyDescent="0.2">
      <c r="C80" s="683">
        <v>1168944430</v>
      </c>
      <c r="D80" s="590" t="s">
        <v>112</v>
      </c>
      <c r="E80" s="591">
        <f>(F80+G80+H80+I80)*112.7+(J80*119.6)</f>
        <v>6189.3</v>
      </c>
      <c r="F80" s="3">
        <v>15</v>
      </c>
      <c r="G80" s="3">
        <v>12</v>
      </c>
      <c r="H80" s="3"/>
      <c r="I80" s="3">
        <v>12</v>
      </c>
      <c r="J80" s="3">
        <v>15</v>
      </c>
      <c r="K80" s="628">
        <f t="shared" si="3"/>
        <v>54</v>
      </c>
      <c r="L80" s="630">
        <f t="shared" si="2"/>
        <v>13.5</v>
      </c>
    </row>
    <row r="81" spans="3:12" x14ac:dyDescent="0.2">
      <c r="C81" s="683">
        <v>1168944427</v>
      </c>
      <c r="D81" s="590" t="s">
        <v>72</v>
      </c>
      <c r="E81" s="591">
        <f>(F81+G81+H81+I81)*112.7+(J81*119.6)</f>
        <v>7090.9000000000005</v>
      </c>
      <c r="F81" s="3">
        <v>15</v>
      </c>
      <c r="G81" s="3">
        <v>20</v>
      </c>
      <c r="H81" s="3"/>
      <c r="I81" s="3">
        <v>12</v>
      </c>
      <c r="J81" s="3">
        <v>15</v>
      </c>
      <c r="K81" s="628">
        <f t="shared" si="3"/>
        <v>62</v>
      </c>
      <c r="L81" s="630">
        <f t="shared" si="2"/>
        <v>15.5</v>
      </c>
    </row>
    <row r="82" spans="3:12" x14ac:dyDescent="0.2">
      <c r="C82" s="683"/>
      <c r="D82" s="590" t="s">
        <v>187</v>
      </c>
      <c r="E82" s="591"/>
      <c r="F82" s="3"/>
      <c r="G82" s="3"/>
      <c r="H82" s="3"/>
      <c r="I82" s="3"/>
      <c r="J82" s="3"/>
      <c r="K82" s="628">
        <f>SUM(F82:J82)</f>
        <v>0</v>
      </c>
      <c r="L82" s="3"/>
    </row>
    <row r="83" spans="3:12" ht="13.5" customHeight="1" x14ac:dyDescent="0.2">
      <c r="C83" s="683"/>
      <c r="D83" s="590" t="s">
        <v>439</v>
      </c>
      <c r="E83" s="592"/>
      <c r="F83" s="3">
        <v>3</v>
      </c>
      <c r="G83" s="3">
        <v>5</v>
      </c>
      <c r="H83" s="3"/>
      <c r="I83" s="3">
        <v>2</v>
      </c>
      <c r="J83" s="3">
        <v>3</v>
      </c>
      <c r="K83" s="628">
        <f>SUM(F83:J83)</f>
        <v>13</v>
      </c>
      <c r="L83" s="3"/>
    </row>
    <row r="84" spans="3:12" ht="17" thickBot="1" x14ac:dyDescent="0.25">
      <c r="C84" s="683"/>
      <c r="D84" s="590"/>
      <c r="E84" s="624"/>
      <c r="F84" s="69"/>
      <c r="G84" s="69"/>
      <c r="H84" s="69"/>
      <c r="I84" s="69"/>
      <c r="J84" s="69"/>
      <c r="K84" s="629"/>
      <c r="L84" s="3"/>
    </row>
    <row r="85" spans="3:12" ht="16" thickBot="1" x14ac:dyDescent="0.25">
      <c r="C85" s="596"/>
      <c r="D85" s="623" t="s">
        <v>19</v>
      </c>
      <c r="E85" s="625">
        <f>SUM(E59:E81)</f>
        <v>44915.5</v>
      </c>
      <c r="F85" s="614">
        <f>SUM(F59:F84)</f>
        <v>122</v>
      </c>
      <c r="G85" s="614">
        <f>SUM(G59:G84)</f>
        <v>92</v>
      </c>
      <c r="H85" s="614">
        <f>SUM(H59:H84)</f>
        <v>0</v>
      </c>
      <c r="I85" s="614">
        <f>SUM(I59:I84)</f>
        <v>83</v>
      </c>
      <c r="J85" s="614">
        <f>SUM(J59:J84)</f>
        <v>107</v>
      </c>
      <c r="K85" s="626">
        <f>SUM(F85:J85)</f>
        <v>404</v>
      </c>
      <c r="L85" s="631">
        <f>SUM(L59:L84)</f>
        <v>97.75</v>
      </c>
    </row>
    <row r="86" spans="3:12" x14ac:dyDescent="0.2">
      <c r="C86" s="596"/>
      <c r="D86" s="593" t="s">
        <v>113</v>
      </c>
      <c r="E86" s="620"/>
      <c r="F86" s="610">
        <f>F56-F85</f>
        <v>1</v>
      </c>
      <c r="G86" s="610">
        <f>G56-G85</f>
        <v>10</v>
      </c>
      <c r="H86" s="610">
        <f>H56-H85</f>
        <v>0</v>
      </c>
      <c r="I86" s="610">
        <f>I56-I85</f>
        <v>3</v>
      </c>
      <c r="J86" s="610">
        <f>J56-J85</f>
        <v>18</v>
      </c>
      <c r="K86" s="636">
        <f>SUM(F86:J86)</f>
        <v>32</v>
      </c>
      <c r="L86" s="3"/>
    </row>
    <row r="87" spans="3:12" x14ac:dyDescent="0.2">
      <c r="C87" s="683"/>
      <c r="D87" s="593" t="s">
        <v>436</v>
      </c>
      <c r="E87" s="594"/>
      <c r="F87" s="581"/>
      <c r="G87" s="581"/>
      <c r="H87" s="581"/>
      <c r="I87" s="581"/>
      <c r="J87" s="581"/>
      <c r="K87" s="637">
        <f>K85+K86</f>
        <v>436</v>
      </c>
      <c r="L87" s="3"/>
    </row>
    <row r="89" spans="3:12" ht="18" x14ac:dyDescent="0.2">
      <c r="C89" s="685" t="s">
        <v>412</v>
      </c>
      <c r="D89" s="582">
        <v>45658</v>
      </c>
      <c r="E89" s="800"/>
      <c r="F89" s="685" t="s">
        <v>83</v>
      </c>
      <c r="G89" s="801" t="s">
        <v>65</v>
      </c>
      <c r="H89" s="802"/>
      <c r="I89" s="802"/>
      <c r="J89" s="802"/>
      <c r="K89" s="803"/>
    </row>
    <row r="90" spans="3:12" x14ac:dyDescent="0.2">
      <c r="C90" s="804"/>
      <c r="D90" s="805"/>
      <c r="E90" s="800"/>
      <c r="F90" s="683" t="s">
        <v>93</v>
      </c>
      <c r="G90" s="683" t="s">
        <v>93</v>
      </c>
      <c r="H90" s="683"/>
      <c r="I90" s="806"/>
      <c r="J90" s="806"/>
      <c r="K90" s="806"/>
    </row>
    <row r="91" spans="3:12" x14ac:dyDescent="0.2">
      <c r="C91" s="804"/>
      <c r="D91" s="805"/>
      <c r="E91" s="800"/>
      <c r="F91" s="683" t="s">
        <v>94</v>
      </c>
      <c r="G91" s="683" t="s">
        <v>95</v>
      </c>
      <c r="H91" s="683" t="s">
        <v>96</v>
      </c>
      <c r="I91" s="806"/>
      <c r="J91" s="806"/>
      <c r="K91" s="806"/>
    </row>
    <row r="92" spans="3:12" x14ac:dyDescent="0.2">
      <c r="C92" s="804"/>
      <c r="D92" s="805"/>
      <c r="E92" s="800"/>
      <c r="F92" s="683"/>
      <c r="G92" s="683"/>
      <c r="H92" s="683"/>
      <c r="I92" s="806"/>
      <c r="J92" s="806"/>
      <c r="K92" s="806"/>
    </row>
    <row r="93" spans="3:12" ht="16" x14ac:dyDescent="0.2">
      <c r="C93" s="683"/>
      <c r="D93" s="583" t="s">
        <v>97</v>
      </c>
      <c r="E93" s="584"/>
      <c r="F93" s="581"/>
      <c r="G93" s="585"/>
      <c r="H93" s="585"/>
      <c r="I93" s="586"/>
      <c r="J93" s="586"/>
      <c r="K93" s="586"/>
    </row>
    <row r="94" spans="3:12" ht="26" x14ac:dyDescent="0.2">
      <c r="C94" s="804"/>
      <c r="D94" s="587"/>
      <c r="E94" s="588"/>
      <c r="F94" s="585" t="s">
        <v>383</v>
      </c>
      <c r="G94" s="585" t="s">
        <v>384</v>
      </c>
      <c r="H94" s="585" t="s">
        <v>385</v>
      </c>
      <c r="I94" s="585" t="s">
        <v>386</v>
      </c>
      <c r="J94" s="585" t="s">
        <v>387</v>
      </c>
      <c r="K94" s="585" t="s">
        <v>84</v>
      </c>
    </row>
    <row r="95" spans="3:12" x14ac:dyDescent="0.2">
      <c r="C95" s="804"/>
      <c r="D95" s="684" t="s">
        <v>167</v>
      </c>
      <c r="E95" s="588"/>
      <c r="F95" s="580">
        <v>12</v>
      </c>
      <c r="G95" s="579">
        <v>7</v>
      </c>
      <c r="H95" s="580"/>
      <c r="I95" s="580">
        <v>5</v>
      </c>
      <c r="J95" s="580">
        <v>7</v>
      </c>
      <c r="K95" s="580">
        <f>SUM(F95:J95)</f>
        <v>31</v>
      </c>
    </row>
    <row r="96" spans="3:12" x14ac:dyDescent="0.2">
      <c r="C96" s="804"/>
      <c r="D96" s="684" t="s">
        <v>207</v>
      </c>
      <c r="E96" s="588"/>
      <c r="F96" s="618">
        <v>82</v>
      </c>
      <c r="G96" s="619">
        <v>49</v>
      </c>
      <c r="H96" s="618"/>
      <c r="I96" s="618">
        <v>55</v>
      </c>
      <c r="J96" s="618">
        <v>63</v>
      </c>
      <c r="K96" s="618">
        <f>SUM(F96:J96)</f>
        <v>249</v>
      </c>
    </row>
    <row r="97" spans="3:12" x14ac:dyDescent="0.2">
      <c r="C97" s="683"/>
      <c r="D97" s="684" t="s">
        <v>100</v>
      </c>
      <c r="E97" s="588"/>
      <c r="F97" s="581"/>
      <c r="G97" s="581"/>
      <c r="H97" s="581"/>
      <c r="I97" s="581"/>
      <c r="J97" s="581"/>
      <c r="K97" s="581">
        <f>SUM(F97:J97)</f>
        <v>0</v>
      </c>
    </row>
    <row r="98" spans="3:12" x14ac:dyDescent="0.2">
      <c r="C98" s="683"/>
      <c r="D98" s="684" t="s">
        <v>101</v>
      </c>
      <c r="E98" s="588"/>
      <c r="F98" s="581">
        <v>8</v>
      </c>
      <c r="G98" s="581">
        <v>5</v>
      </c>
      <c r="H98" s="581"/>
      <c r="I98" s="581"/>
      <c r="J98" s="581">
        <v>3</v>
      </c>
      <c r="K98" s="581">
        <f>SUM(F98:J98)</f>
        <v>16</v>
      </c>
    </row>
    <row r="99" spans="3:12" ht="16" thickBot="1" x14ac:dyDescent="0.25">
      <c r="C99" s="683"/>
      <c r="D99" s="597" t="s">
        <v>102</v>
      </c>
      <c r="E99" s="598"/>
      <c r="F99" s="599"/>
      <c r="G99" s="600"/>
      <c r="H99" s="600">
        <v>17</v>
      </c>
      <c r="I99" s="600">
        <v>4</v>
      </c>
      <c r="J99" s="600"/>
      <c r="K99" s="600">
        <f>SUM(F99:J99)</f>
        <v>21</v>
      </c>
    </row>
    <row r="100" spans="3:12" ht="17" thickBot="1" x14ac:dyDescent="0.25">
      <c r="C100" s="605"/>
      <c r="D100" s="612" t="s">
        <v>84</v>
      </c>
      <c r="E100" s="613"/>
      <c r="F100" s="614">
        <f>(F96+F99)-F98-F97</f>
        <v>74</v>
      </c>
      <c r="G100" s="615">
        <f>(G96+G99)-G98-G97</f>
        <v>44</v>
      </c>
      <c r="H100" s="616">
        <f>(H96+H99)-H98</f>
        <v>17</v>
      </c>
      <c r="I100" s="615">
        <f>(I96+I99)-I98-I97</f>
        <v>59</v>
      </c>
      <c r="J100" s="622">
        <f>(J96+J99)-J98-J97</f>
        <v>60</v>
      </c>
      <c r="K100" s="617">
        <f>(K96+K99)-K98-K97</f>
        <v>254</v>
      </c>
    </row>
    <row r="101" spans="3:12" ht="16" x14ac:dyDescent="0.2">
      <c r="C101" s="683"/>
      <c r="D101" s="608"/>
      <c r="E101" s="609"/>
      <c r="F101" s="610"/>
      <c r="G101" s="595"/>
      <c r="H101" s="611"/>
      <c r="I101" s="595"/>
      <c r="J101" s="595"/>
      <c r="K101" s="595"/>
    </row>
    <row r="102" spans="3:12" ht="16" thickBot="1" x14ac:dyDescent="0.25">
      <c r="C102" s="606" t="s">
        <v>388</v>
      </c>
      <c r="D102" s="607" t="s">
        <v>103</v>
      </c>
      <c r="E102" s="603" t="s">
        <v>84</v>
      </c>
      <c r="F102" s="602" t="s">
        <v>78</v>
      </c>
      <c r="G102" s="602" t="s">
        <v>79</v>
      </c>
      <c r="H102" s="602" t="s">
        <v>88</v>
      </c>
      <c r="I102" s="601" t="s">
        <v>87</v>
      </c>
      <c r="J102" s="601" t="s">
        <v>85</v>
      </c>
      <c r="K102" s="601" t="s">
        <v>84</v>
      </c>
      <c r="L102" s="174" t="s">
        <v>389</v>
      </c>
    </row>
    <row r="103" spans="3:12" x14ac:dyDescent="0.2">
      <c r="C103" s="589" t="s">
        <v>405</v>
      </c>
      <c r="D103" s="604" t="s">
        <v>105</v>
      </c>
      <c r="E103" s="591">
        <f>(F103+G103+H103+I103+J103)*100+(0*230)</f>
        <v>6400</v>
      </c>
      <c r="F103" s="3">
        <v>14</v>
      </c>
      <c r="G103" s="3">
        <v>12</v>
      </c>
      <c r="H103" s="3">
        <v>9</v>
      </c>
      <c r="I103" s="3">
        <v>9</v>
      </c>
      <c r="J103" s="3">
        <v>20</v>
      </c>
      <c r="K103" s="628">
        <f>SUM(F103:J103)</f>
        <v>64</v>
      </c>
      <c r="L103" s="630">
        <f>K103/4</f>
        <v>16</v>
      </c>
    </row>
    <row r="104" spans="3:12" x14ac:dyDescent="0.2">
      <c r="C104" s="589"/>
      <c r="D104" s="590" t="s">
        <v>390</v>
      </c>
      <c r="E104" s="591">
        <f>(F104+G104+H104+I104+J104)*120</f>
        <v>0</v>
      </c>
      <c r="F104" s="3"/>
      <c r="G104" s="3"/>
      <c r="H104" s="3"/>
      <c r="I104" s="3"/>
      <c r="J104" s="3"/>
      <c r="K104" s="628">
        <f>SUM(F104:J104)</f>
        <v>0</v>
      </c>
      <c r="L104" s="630">
        <f t="shared" ref="L104:L125" si="4">K104/4</f>
        <v>0</v>
      </c>
    </row>
    <row r="105" spans="3:12" x14ac:dyDescent="0.2">
      <c r="C105" s="589"/>
      <c r="D105" s="590" t="s">
        <v>391</v>
      </c>
      <c r="E105" s="591">
        <f>(F105+G105+H105+I105+J105)*120</f>
        <v>0</v>
      </c>
      <c r="F105" s="3"/>
      <c r="G105" s="3"/>
      <c r="H105" s="3"/>
      <c r="I105" s="3"/>
      <c r="J105" s="3"/>
      <c r="K105" s="628">
        <f>SUM(F105:J105)</f>
        <v>0</v>
      </c>
      <c r="L105" s="630">
        <f t="shared" si="4"/>
        <v>0</v>
      </c>
    </row>
    <row r="106" spans="3:12" x14ac:dyDescent="0.2">
      <c r="C106" s="589"/>
      <c r="D106" s="590" t="s">
        <v>392</v>
      </c>
      <c r="E106" s="591">
        <f>(F106+G106+H106+I106+J106)*120</f>
        <v>0</v>
      </c>
      <c r="F106" s="3"/>
      <c r="G106" s="3"/>
      <c r="H106" s="3"/>
      <c r="I106" s="3"/>
      <c r="J106" s="3"/>
      <c r="K106" s="628">
        <f>SUM(F106:J106)</f>
        <v>0</v>
      </c>
      <c r="L106" s="630">
        <f t="shared" si="4"/>
        <v>0</v>
      </c>
    </row>
    <row r="107" spans="3:12" x14ac:dyDescent="0.2">
      <c r="C107" s="589"/>
      <c r="D107" s="590" t="s">
        <v>425</v>
      </c>
      <c r="E107" s="591">
        <f>(F107+G107+H107+I107+J107)*120</f>
        <v>0</v>
      </c>
      <c r="F107" s="3"/>
      <c r="G107" s="3"/>
      <c r="H107" s="3"/>
      <c r="I107" s="3"/>
      <c r="J107" s="3"/>
      <c r="K107" s="628">
        <f>SUM(F107:J107)</f>
        <v>0</v>
      </c>
      <c r="L107" s="630">
        <f t="shared" si="4"/>
        <v>0</v>
      </c>
    </row>
    <row r="108" spans="3:12" x14ac:dyDescent="0.2">
      <c r="C108" s="589"/>
      <c r="D108" s="590"/>
      <c r="E108" s="591"/>
      <c r="F108" s="3"/>
      <c r="G108" s="3"/>
      <c r="H108" s="3"/>
      <c r="I108" s="3"/>
      <c r="J108" s="3"/>
      <c r="K108" s="628"/>
      <c r="L108" s="630">
        <f t="shared" si="4"/>
        <v>0</v>
      </c>
    </row>
    <row r="109" spans="3:12" x14ac:dyDescent="0.2">
      <c r="C109" s="589" t="s">
        <v>447</v>
      </c>
      <c r="D109" s="590" t="s">
        <v>108</v>
      </c>
      <c r="E109" s="591">
        <f>(F109+G109+H109+J109)*112.7+(I109*119.6)</f>
        <v>3661.6000000000004</v>
      </c>
      <c r="F109" s="3">
        <v>8</v>
      </c>
      <c r="G109" s="3">
        <v>4</v>
      </c>
      <c r="H109" s="3">
        <v>4</v>
      </c>
      <c r="I109" s="3">
        <v>8</v>
      </c>
      <c r="J109" s="3">
        <v>8</v>
      </c>
      <c r="K109" s="628">
        <f>SUM(F109:J109)</f>
        <v>32</v>
      </c>
      <c r="L109" s="630">
        <f t="shared" si="4"/>
        <v>8</v>
      </c>
    </row>
    <row r="110" spans="3:12" x14ac:dyDescent="0.2">
      <c r="C110" s="589" t="s">
        <v>448</v>
      </c>
      <c r="D110" s="590" t="s">
        <v>393</v>
      </c>
      <c r="E110" s="591">
        <f>(F110+G110+H110+J110)*112.7+(I110*119.6)</f>
        <v>2732.4</v>
      </c>
      <c r="F110" s="3">
        <v>6</v>
      </c>
      <c r="G110" s="3">
        <v>4</v>
      </c>
      <c r="H110" s="3">
        <v>4</v>
      </c>
      <c r="I110" s="3">
        <v>4</v>
      </c>
      <c r="J110" s="3">
        <v>6</v>
      </c>
      <c r="K110" s="628">
        <f>SUM(F110:J110)</f>
        <v>24</v>
      </c>
      <c r="L110" s="630">
        <f t="shared" si="4"/>
        <v>6</v>
      </c>
    </row>
    <row r="111" spans="3:12" x14ac:dyDescent="0.2">
      <c r="C111" s="589" t="s">
        <v>449</v>
      </c>
      <c r="D111" s="590" t="s">
        <v>216</v>
      </c>
      <c r="E111" s="591">
        <f>(F111+G111+H111+J111)*112.7+(I111*119.6)</f>
        <v>3210.8</v>
      </c>
      <c r="F111" s="3">
        <v>6</v>
      </c>
      <c r="G111" s="3">
        <v>8</v>
      </c>
      <c r="H111" s="3"/>
      <c r="I111" s="3">
        <v>8</v>
      </c>
      <c r="J111" s="3">
        <v>6</v>
      </c>
      <c r="K111" s="628">
        <f>SUM(F111:J111)</f>
        <v>28</v>
      </c>
      <c r="L111" s="630">
        <f t="shared" si="4"/>
        <v>7</v>
      </c>
    </row>
    <row r="112" spans="3:12" x14ac:dyDescent="0.2">
      <c r="C112" s="589"/>
      <c r="D112" s="590"/>
      <c r="E112" s="591"/>
      <c r="F112" s="3"/>
      <c r="G112" s="3"/>
      <c r="H112" s="3"/>
      <c r="I112" s="3"/>
      <c r="J112" s="3"/>
      <c r="K112" s="628"/>
      <c r="L112" s="630">
        <f t="shared" si="4"/>
        <v>0</v>
      </c>
    </row>
    <row r="113" spans="3:12" x14ac:dyDescent="0.2">
      <c r="C113" s="589"/>
      <c r="D113" s="590" t="s">
        <v>394</v>
      </c>
      <c r="E113" s="591">
        <f>(F113+G113+H113+I113+J113)*120</f>
        <v>0</v>
      </c>
      <c r="F113" s="3"/>
      <c r="G113" s="3"/>
      <c r="H113" s="3"/>
      <c r="I113" s="3"/>
      <c r="J113" s="3"/>
      <c r="K113" s="628">
        <f>SUM(F113:J113)</f>
        <v>0</v>
      </c>
      <c r="L113" s="630">
        <f t="shared" si="4"/>
        <v>0</v>
      </c>
    </row>
    <row r="114" spans="3:12" x14ac:dyDescent="0.2">
      <c r="C114" s="589" t="s">
        <v>450</v>
      </c>
      <c r="D114" s="590" t="s">
        <v>110</v>
      </c>
      <c r="E114" s="591">
        <f>(F114+G114+H114+J114)*112.7+(I114*119.6)</f>
        <v>10957.2</v>
      </c>
      <c r="F114" s="3">
        <v>40</v>
      </c>
      <c r="G114" s="3">
        <v>16</v>
      </c>
      <c r="H114" s="3"/>
      <c r="I114" s="3">
        <v>20</v>
      </c>
      <c r="J114" s="3">
        <v>20</v>
      </c>
      <c r="K114" s="628">
        <f>SUM(F114:J114)</f>
        <v>96</v>
      </c>
      <c r="L114" s="630">
        <f t="shared" si="4"/>
        <v>24</v>
      </c>
    </row>
    <row r="115" spans="3:12" x14ac:dyDescent="0.2">
      <c r="C115" s="589"/>
      <c r="D115" s="590"/>
      <c r="E115" s="591"/>
      <c r="F115" s="3"/>
      <c r="G115" s="3"/>
      <c r="H115" s="3"/>
      <c r="I115" s="3"/>
      <c r="J115" s="3"/>
      <c r="K115" s="628">
        <f>SUM(F115:J115)</f>
        <v>0</v>
      </c>
      <c r="L115" s="630">
        <f t="shared" si="4"/>
        <v>0</v>
      </c>
    </row>
    <row r="116" spans="3:12" x14ac:dyDescent="0.2">
      <c r="C116" s="589"/>
      <c r="D116" s="590" t="s">
        <v>381</v>
      </c>
      <c r="E116" s="591">
        <f>(F116+G116+H116+I116+J116)*120+(240*0)+(0*45)</f>
        <v>0</v>
      </c>
      <c r="F116" s="3"/>
      <c r="G116" s="3"/>
      <c r="H116" s="3"/>
      <c r="I116" s="3"/>
      <c r="J116" s="3"/>
      <c r="K116" s="628">
        <f>SUM(F116:J116)</f>
        <v>0</v>
      </c>
      <c r="L116" s="630">
        <f t="shared" si="4"/>
        <v>0</v>
      </c>
    </row>
    <row r="117" spans="3:12" x14ac:dyDescent="0.2">
      <c r="C117" s="589"/>
      <c r="D117" s="590" t="s">
        <v>276</v>
      </c>
      <c r="E117" s="591">
        <f>(F117+G117+H117+J117)*112.7+(I117*119.6)</f>
        <v>0</v>
      </c>
      <c r="F117" s="3"/>
      <c r="G117" s="3"/>
      <c r="H117" s="3"/>
      <c r="I117" s="3"/>
      <c r="J117" s="3"/>
      <c r="K117" s="628">
        <f>SUM(F117:J117)</f>
        <v>0</v>
      </c>
      <c r="L117" s="630">
        <f t="shared" si="4"/>
        <v>0</v>
      </c>
    </row>
    <row r="118" spans="3:12" x14ac:dyDescent="0.2">
      <c r="C118" s="589"/>
      <c r="D118" s="590"/>
      <c r="E118" s="591"/>
      <c r="F118" s="3"/>
      <c r="G118" s="3"/>
      <c r="H118" s="3"/>
      <c r="I118" s="3"/>
      <c r="J118" s="3"/>
      <c r="K118" s="628"/>
      <c r="L118" s="630">
        <f t="shared" si="4"/>
        <v>0</v>
      </c>
    </row>
    <row r="119" spans="3:12" x14ac:dyDescent="0.2">
      <c r="C119" s="589"/>
      <c r="D119" s="590" t="s">
        <v>75</v>
      </c>
      <c r="E119" s="591">
        <f>(F119+G119+H119+I119+J119)*120</f>
        <v>0</v>
      </c>
      <c r="F119" s="3"/>
      <c r="G119" s="3"/>
      <c r="H119" s="3"/>
      <c r="I119" s="3"/>
      <c r="J119" s="3"/>
      <c r="K119" s="628">
        <f t="shared" ref="K119:K125" si="5">SUM(F119:J119)</f>
        <v>0</v>
      </c>
      <c r="L119" s="630">
        <f t="shared" si="4"/>
        <v>0</v>
      </c>
    </row>
    <row r="120" spans="3:12" x14ac:dyDescent="0.2">
      <c r="C120" s="589"/>
      <c r="D120" s="590" t="s">
        <v>278</v>
      </c>
      <c r="E120" s="591">
        <f>(F120+G120+H120+I120+J120)*120</f>
        <v>0</v>
      </c>
      <c r="F120" s="3"/>
      <c r="G120" s="3"/>
      <c r="H120" s="3"/>
      <c r="I120" s="3"/>
      <c r="J120" s="3"/>
      <c r="K120" s="628">
        <f t="shared" si="5"/>
        <v>0</v>
      </c>
      <c r="L120" s="630">
        <f t="shared" si="4"/>
        <v>0</v>
      </c>
    </row>
    <row r="121" spans="3:12" x14ac:dyDescent="0.2">
      <c r="C121" s="589"/>
      <c r="D121" s="590" t="s">
        <v>270</v>
      </c>
      <c r="E121" s="591">
        <f>(F121+G121+H121+I121)*112.7+(J121*119.6)</f>
        <v>0</v>
      </c>
      <c r="F121" s="3"/>
      <c r="G121" s="3"/>
      <c r="H121" s="3"/>
      <c r="I121" s="3"/>
      <c r="J121" s="3"/>
      <c r="K121" s="628">
        <f t="shared" si="5"/>
        <v>0</v>
      </c>
      <c r="L121" s="630">
        <f t="shared" si="4"/>
        <v>0</v>
      </c>
    </row>
    <row r="122" spans="3:12" x14ac:dyDescent="0.2">
      <c r="C122" s="589"/>
      <c r="D122" s="590" t="s">
        <v>274</v>
      </c>
      <c r="E122" s="591">
        <f>(F122+G122+H122+I122)*112.7+(J122*119.6)</f>
        <v>0</v>
      </c>
      <c r="F122" s="3"/>
      <c r="G122" s="3"/>
      <c r="H122" s="3"/>
      <c r="I122" s="3"/>
      <c r="J122" s="3"/>
      <c r="K122" s="628">
        <f t="shared" si="5"/>
        <v>0</v>
      </c>
      <c r="L122" s="630">
        <f t="shared" si="4"/>
        <v>0</v>
      </c>
    </row>
    <row r="123" spans="3:12" x14ac:dyDescent="0.2">
      <c r="C123" s="589"/>
      <c r="D123" s="590" t="s">
        <v>395</v>
      </c>
      <c r="E123" s="591">
        <f>(F123+G123+H123+I123)*112.7+(J123*119.6)</f>
        <v>0</v>
      </c>
      <c r="F123" s="3"/>
      <c r="G123" s="3"/>
      <c r="H123" s="3"/>
      <c r="I123" s="3"/>
      <c r="J123" s="3"/>
      <c r="K123" s="628">
        <f t="shared" si="5"/>
        <v>0</v>
      </c>
      <c r="L123" s="630">
        <f t="shared" si="4"/>
        <v>0</v>
      </c>
    </row>
    <row r="124" spans="3:12" x14ac:dyDescent="0.2">
      <c r="C124" s="683"/>
      <c r="D124" s="590" t="s">
        <v>112</v>
      </c>
      <c r="E124" s="591">
        <f>(F124+G124+H124+I124)*112.7+(J124*119.6)</f>
        <v>0</v>
      </c>
      <c r="F124" s="3"/>
      <c r="G124" s="3"/>
      <c r="H124" s="3"/>
      <c r="I124" s="3"/>
      <c r="J124" s="3"/>
      <c r="K124" s="628">
        <f t="shared" si="5"/>
        <v>0</v>
      </c>
      <c r="L124" s="630">
        <f t="shared" si="4"/>
        <v>0</v>
      </c>
    </row>
    <row r="125" spans="3:12" x14ac:dyDescent="0.2">
      <c r="C125" s="683"/>
      <c r="D125" s="590" t="s">
        <v>72</v>
      </c>
      <c r="E125" s="591">
        <f>(F125+G125+H125+I125)*112.7+(J125*119.6)</f>
        <v>0</v>
      </c>
      <c r="F125" s="3"/>
      <c r="G125" s="3"/>
      <c r="H125" s="3"/>
      <c r="I125" s="3"/>
      <c r="J125" s="3"/>
      <c r="K125" s="628">
        <f t="shared" si="5"/>
        <v>0</v>
      </c>
      <c r="L125" s="630">
        <f t="shared" si="4"/>
        <v>0</v>
      </c>
    </row>
    <row r="126" spans="3:12" x14ac:dyDescent="0.2">
      <c r="C126" s="683"/>
      <c r="D126" s="590" t="s">
        <v>187</v>
      </c>
      <c r="E126" s="591"/>
      <c r="F126" s="3"/>
      <c r="G126" s="3"/>
      <c r="H126" s="3"/>
      <c r="I126" s="3"/>
      <c r="J126" s="3"/>
      <c r="K126" s="628">
        <f>SUM(F126:J126)</f>
        <v>0</v>
      </c>
      <c r="L126" s="3"/>
    </row>
    <row r="127" spans="3:12" ht="16" x14ac:dyDescent="0.2">
      <c r="C127" s="683"/>
      <c r="D127" s="590"/>
      <c r="E127" s="592"/>
      <c r="F127" s="3"/>
      <c r="G127" s="3"/>
      <c r="H127" s="3"/>
      <c r="I127" s="3"/>
      <c r="J127" s="3"/>
      <c r="K127" s="628">
        <f>SUM(F127:J127)</f>
        <v>0</v>
      </c>
      <c r="L127" s="3"/>
    </row>
    <row r="128" spans="3:12" ht="17" thickBot="1" x14ac:dyDescent="0.25">
      <c r="C128" s="683"/>
      <c r="D128" s="590"/>
      <c r="E128" s="624"/>
      <c r="F128" s="69"/>
      <c r="G128" s="69"/>
      <c r="H128" s="69"/>
      <c r="I128" s="69"/>
      <c r="J128" s="69"/>
      <c r="K128" s="629"/>
      <c r="L128" s="3"/>
    </row>
    <row r="129" spans="3:12" ht="16" thickBot="1" x14ac:dyDescent="0.25">
      <c r="C129" s="596"/>
      <c r="D129" s="623" t="s">
        <v>19</v>
      </c>
      <c r="E129" s="625">
        <f>SUM(E103:E125)</f>
        <v>26962</v>
      </c>
      <c r="F129" s="614">
        <f>SUM(F103:F128)</f>
        <v>74</v>
      </c>
      <c r="G129" s="614">
        <f>SUM(G103:G128)</f>
        <v>44</v>
      </c>
      <c r="H129" s="614">
        <f>SUM(H103:H128)</f>
        <v>17</v>
      </c>
      <c r="I129" s="614">
        <f>SUM(I103:I128)</f>
        <v>49</v>
      </c>
      <c r="J129" s="614">
        <f>SUM(J103:J128)</f>
        <v>60</v>
      </c>
      <c r="K129" s="626">
        <f>SUM(F129:J129)</f>
        <v>244</v>
      </c>
      <c r="L129" s="631">
        <f>SUM(L103:L128)</f>
        <v>61</v>
      </c>
    </row>
    <row r="130" spans="3:12" x14ac:dyDescent="0.2">
      <c r="C130" s="596"/>
      <c r="D130" s="593" t="s">
        <v>113</v>
      </c>
      <c r="E130" s="620"/>
      <c r="F130" s="610">
        <f>F100-F129</f>
        <v>0</v>
      </c>
      <c r="G130" s="610">
        <f>G100-G129</f>
        <v>0</v>
      </c>
      <c r="H130" s="610">
        <f>H100-H129</f>
        <v>0</v>
      </c>
      <c r="I130" s="610">
        <f>I100-I129</f>
        <v>10</v>
      </c>
      <c r="J130" s="610">
        <f>J100-J129</f>
        <v>0</v>
      </c>
      <c r="K130" s="636">
        <f>SUM(F130:J130)</f>
        <v>10</v>
      </c>
      <c r="L130" s="3"/>
    </row>
    <row r="131" spans="3:12" x14ac:dyDescent="0.2">
      <c r="C131" s="683"/>
      <c r="D131" s="593" t="s">
        <v>436</v>
      </c>
      <c r="E131" s="594"/>
      <c r="F131" s="581"/>
      <c r="G131" s="581"/>
      <c r="H131" s="581"/>
      <c r="I131" s="581"/>
      <c r="J131" s="581"/>
      <c r="K131" s="637">
        <f>K129+K130</f>
        <v>254</v>
      </c>
      <c r="L131" s="3"/>
    </row>
    <row r="133" spans="3:12" ht="18" x14ac:dyDescent="0.2">
      <c r="C133" s="685" t="s">
        <v>412</v>
      </c>
      <c r="D133" s="582">
        <v>45660</v>
      </c>
      <c r="E133" s="800"/>
      <c r="F133" s="685" t="s">
        <v>83</v>
      </c>
      <c r="G133" s="801" t="s">
        <v>67</v>
      </c>
      <c r="H133" s="802"/>
      <c r="I133" s="802"/>
      <c r="J133" s="802"/>
      <c r="K133" s="803"/>
    </row>
    <row r="134" spans="3:12" x14ac:dyDescent="0.2">
      <c r="C134" s="804"/>
      <c r="D134" s="805"/>
      <c r="E134" s="800"/>
      <c r="F134" s="683" t="s">
        <v>93</v>
      </c>
      <c r="G134" s="683" t="s">
        <v>93</v>
      </c>
      <c r="H134" s="683"/>
      <c r="I134" s="806"/>
      <c r="J134" s="806"/>
      <c r="K134" s="806"/>
    </row>
    <row r="135" spans="3:12" x14ac:dyDescent="0.2">
      <c r="C135" s="804"/>
      <c r="D135" s="805"/>
      <c r="E135" s="800"/>
      <c r="F135" s="683" t="s">
        <v>94</v>
      </c>
      <c r="G135" s="683" t="s">
        <v>95</v>
      </c>
      <c r="H135" s="683" t="s">
        <v>96</v>
      </c>
      <c r="I135" s="806"/>
      <c r="J135" s="806"/>
      <c r="K135" s="806"/>
    </row>
    <row r="136" spans="3:12" x14ac:dyDescent="0.2">
      <c r="C136" s="804"/>
      <c r="D136" s="805"/>
      <c r="E136" s="800"/>
      <c r="F136" s="683"/>
      <c r="G136" s="683"/>
      <c r="H136" s="683"/>
      <c r="I136" s="806"/>
      <c r="J136" s="806"/>
      <c r="K136" s="806"/>
    </row>
    <row r="137" spans="3:12" ht="16" x14ac:dyDescent="0.2">
      <c r="C137" s="683"/>
      <c r="D137" s="583" t="s">
        <v>97</v>
      </c>
      <c r="E137" s="584"/>
      <c r="F137" s="581"/>
      <c r="G137" s="585"/>
      <c r="H137" s="585"/>
      <c r="I137" s="586"/>
      <c r="J137" s="586"/>
      <c r="K137" s="586"/>
    </row>
    <row r="138" spans="3:12" ht="26" x14ac:dyDescent="0.2">
      <c r="C138" s="804"/>
      <c r="D138" s="587"/>
      <c r="E138" s="588"/>
      <c r="F138" s="585" t="s">
        <v>383</v>
      </c>
      <c r="G138" s="585" t="s">
        <v>384</v>
      </c>
      <c r="H138" s="585" t="s">
        <v>385</v>
      </c>
      <c r="I138" s="585" t="s">
        <v>386</v>
      </c>
      <c r="J138" s="585" t="s">
        <v>387</v>
      </c>
      <c r="K138" s="585" t="s">
        <v>84</v>
      </c>
    </row>
    <row r="139" spans="3:12" x14ac:dyDescent="0.2">
      <c r="C139" s="804"/>
      <c r="D139" s="684" t="s">
        <v>167</v>
      </c>
      <c r="E139" s="588"/>
      <c r="F139" s="580">
        <v>13</v>
      </c>
      <c r="G139" s="579">
        <v>9</v>
      </c>
      <c r="H139" s="580">
        <v>4</v>
      </c>
      <c r="I139" s="580">
        <v>4</v>
      </c>
      <c r="J139" s="580">
        <v>10</v>
      </c>
      <c r="K139" s="580">
        <f>SUM(F139:J139)</f>
        <v>40</v>
      </c>
    </row>
    <row r="140" spans="3:12" x14ac:dyDescent="0.2">
      <c r="C140" s="804"/>
      <c r="D140" s="684" t="s">
        <v>207</v>
      </c>
      <c r="E140" s="588"/>
      <c r="F140" s="618">
        <f>63+28</f>
        <v>91</v>
      </c>
      <c r="G140" s="619">
        <v>63</v>
      </c>
      <c r="H140" s="618">
        <v>28</v>
      </c>
      <c r="I140" s="618">
        <v>44</v>
      </c>
      <c r="J140" s="618">
        <v>89</v>
      </c>
      <c r="K140" s="618">
        <f>SUM(F140:J140)</f>
        <v>315</v>
      </c>
    </row>
    <row r="141" spans="3:12" x14ac:dyDescent="0.2">
      <c r="C141" s="683"/>
      <c r="D141" s="684" t="s">
        <v>100</v>
      </c>
      <c r="E141" s="588"/>
      <c r="F141" s="581"/>
      <c r="G141" s="581"/>
      <c r="H141" s="581"/>
      <c r="I141" s="581"/>
      <c r="J141" s="581"/>
      <c r="K141" s="581">
        <f>SUM(F141:J141)</f>
        <v>0</v>
      </c>
    </row>
    <row r="142" spans="3:12" x14ac:dyDescent="0.2">
      <c r="C142" s="683"/>
      <c r="D142" s="684" t="s">
        <v>101</v>
      </c>
      <c r="E142" s="588"/>
      <c r="F142" s="581">
        <v>1</v>
      </c>
      <c r="G142" s="581"/>
      <c r="H142" s="581"/>
      <c r="I142" s="581"/>
      <c r="J142" s="581"/>
      <c r="K142" s="581">
        <f>SUM(F142:J142)</f>
        <v>1</v>
      </c>
    </row>
    <row r="143" spans="3:12" ht="16" thickBot="1" x14ac:dyDescent="0.25">
      <c r="C143" s="683"/>
      <c r="D143" s="597" t="s">
        <v>102</v>
      </c>
      <c r="E143" s="598"/>
      <c r="F143" s="599"/>
      <c r="G143" s="600"/>
      <c r="H143" s="600"/>
      <c r="I143" s="600">
        <v>10</v>
      </c>
      <c r="J143" s="600"/>
      <c r="K143" s="600">
        <f>SUM(F143:J143)</f>
        <v>10</v>
      </c>
    </row>
    <row r="144" spans="3:12" ht="17" thickBot="1" x14ac:dyDescent="0.25">
      <c r="C144" s="605"/>
      <c r="D144" s="612" t="s">
        <v>84</v>
      </c>
      <c r="E144" s="613"/>
      <c r="F144" s="614">
        <f>(F140+F143)-F142-F141</f>
        <v>90</v>
      </c>
      <c r="G144" s="615">
        <f>(G140+G143)-G142-G141</f>
        <v>63</v>
      </c>
      <c r="H144" s="616">
        <f>(H140+H143)-H142</f>
        <v>28</v>
      </c>
      <c r="I144" s="615">
        <f>(I140+I143)-I142-I141</f>
        <v>54</v>
      </c>
      <c r="J144" s="622">
        <f>(J140+J143)-J142-J141</f>
        <v>89</v>
      </c>
      <c r="K144" s="617">
        <f>(K140+K143)-K142-K141</f>
        <v>324</v>
      </c>
    </row>
    <row r="145" spans="3:12" ht="16" x14ac:dyDescent="0.2">
      <c r="C145" s="683"/>
      <c r="D145" s="608"/>
      <c r="E145" s="609"/>
      <c r="F145" s="610"/>
      <c r="G145" s="595"/>
      <c r="H145" s="611"/>
      <c r="I145" s="595"/>
      <c r="J145" s="595"/>
      <c r="K145" s="595"/>
    </row>
    <row r="146" spans="3:12" ht="16" thickBot="1" x14ac:dyDescent="0.25">
      <c r="C146" s="606" t="s">
        <v>388</v>
      </c>
      <c r="D146" s="607" t="s">
        <v>103</v>
      </c>
      <c r="E146" s="603" t="s">
        <v>84</v>
      </c>
      <c r="F146" s="602" t="s">
        <v>78</v>
      </c>
      <c r="G146" s="602" t="s">
        <v>79</v>
      </c>
      <c r="H146" s="602" t="s">
        <v>88</v>
      </c>
      <c r="I146" s="601" t="s">
        <v>87</v>
      </c>
      <c r="J146" s="601" t="s">
        <v>85</v>
      </c>
      <c r="K146" s="601" t="s">
        <v>84</v>
      </c>
      <c r="L146" s="174" t="s">
        <v>389</v>
      </c>
    </row>
    <row r="147" spans="3:12" x14ac:dyDescent="0.2">
      <c r="C147" s="589"/>
      <c r="D147" s="604" t="s">
        <v>105</v>
      </c>
      <c r="E147" s="591">
        <f>(F147+G147+H147+I147+J147)*100+(0*230)</f>
        <v>7500</v>
      </c>
      <c r="F147" s="3">
        <v>25</v>
      </c>
      <c r="G147" s="3">
        <v>18</v>
      </c>
      <c r="H147" s="3">
        <v>7</v>
      </c>
      <c r="I147" s="3">
        <v>6</v>
      </c>
      <c r="J147" s="3">
        <v>19</v>
      </c>
      <c r="K147" s="628">
        <f>SUM(F147:J147)</f>
        <v>75</v>
      </c>
      <c r="L147" s="630">
        <f>K147/4</f>
        <v>18.75</v>
      </c>
    </row>
    <row r="148" spans="3:12" x14ac:dyDescent="0.2">
      <c r="C148" s="589"/>
      <c r="D148" s="590" t="s">
        <v>390</v>
      </c>
      <c r="E148" s="591">
        <f>(F148+G148+H148+I148+J148)*120</f>
        <v>1200</v>
      </c>
      <c r="F148" s="3">
        <v>2</v>
      </c>
      <c r="G148" s="3">
        <v>2</v>
      </c>
      <c r="H148" s="3">
        <v>2</v>
      </c>
      <c r="I148" s="3">
        <v>2</v>
      </c>
      <c r="J148" s="3">
        <v>2</v>
      </c>
      <c r="K148" s="628">
        <f>SUM(F148:J148)</f>
        <v>10</v>
      </c>
      <c r="L148" s="630">
        <f t="shared" ref="L148:L169" si="6">K148/4</f>
        <v>2.5</v>
      </c>
    </row>
    <row r="149" spans="3:12" x14ac:dyDescent="0.2">
      <c r="C149" s="589"/>
      <c r="D149" s="590" t="s">
        <v>391</v>
      </c>
      <c r="E149" s="591">
        <f>(F149+G149+H149+I149+J149)*120</f>
        <v>0</v>
      </c>
      <c r="F149" s="3"/>
      <c r="G149" s="3"/>
      <c r="H149" s="3"/>
      <c r="I149" s="3"/>
      <c r="J149" s="3"/>
      <c r="K149" s="628">
        <f>SUM(F149:J149)</f>
        <v>0</v>
      </c>
      <c r="L149" s="630">
        <f t="shared" si="6"/>
        <v>0</v>
      </c>
    </row>
    <row r="150" spans="3:12" x14ac:dyDescent="0.2">
      <c r="C150" s="589" t="s">
        <v>404</v>
      </c>
      <c r="D150" s="590" t="s">
        <v>392</v>
      </c>
      <c r="E150" s="591">
        <f>(F150+G150+H150+I150+J150)*120</f>
        <v>2400</v>
      </c>
      <c r="F150" s="3">
        <v>6</v>
      </c>
      <c r="G150" s="3">
        <v>2</v>
      </c>
      <c r="H150" s="3">
        <v>6</v>
      </c>
      <c r="I150" s="3"/>
      <c r="J150" s="3">
        <v>6</v>
      </c>
      <c r="K150" s="628">
        <f>SUM(F150:J150)</f>
        <v>20</v>
      </c>
      <c r="L150" s="630">
        <f t="shared" si="6"/>
        <v>5</v>
      </c>
    </row>
    <row r="151" spans="3:12" x14ac:dyDescent="0.2">
      <c r="C151" s="589"/>
      <c r="D151" s="590" t="s">
        <v>425</v>
      </c>
      <c r="E151" s="591">
        <f>(F151+G151+H151+I151+J151)*120</f>
        <v>0</v>
      </c>
      <c r="F151" s="3"/>
      <c r="G151" s="3"/>
      <c r="H151" s="3"/>
      <c r="I151" s="3"/>
      <c r="J151" s="3"/>
      <c r="K151" s="628">
        <f>SUM(F151:J151)</f>
        <v>0</v>
      </c>
      <c r="L151" s="630">
        <f t="shared" si="6"/>
        <v>0</v>
      </c>
    </row>
    <row r="152" spans="3:12" x14ac:dyDescent="0.2">
      <c r="C152" s="589"/>
      <c r="D152" s="590"/>
      <c r="E152" s="591"/>
      <c r="F152" s="3"/>
      <c r="G152" s="3"/>
      <c r="H152" s="3"/>
      <c r="I152" s="3"/>
      <c r="J152" s="3"/>
      <c r="K152" s="628"/>
      <c r="L152" s="630">
        <f t="shared" si="6"/>
        <v>0</v>
      </c>
    </row>
    <row r="153" spans="3:12" x14ac:dyDescent="0.2">
      <c r="C153" s="589" t="s">
        <v>454</v>
      </c>
      <c r="D153" s="590" t="s">
        <v>108</v>
      </c>
      <c r="E153" s="591">
        <f>(F153+G153+H153+J153)*112.7+(I153*119.6)</f>
        <v>3661.6000000000004</v>
      </c>
      <c r="F153" s="3">
        <v>8</v>
      </c>
      <c r="G153" s="3">
        <v>4</v>
      </c>
      <c r="H153" s="3">
        <v>4</v>
      </c>
      <c r="I153" s="3">
        <v>8</v>
      </c>
      <c r="J153" s="3">
        <v>8</v>
      </c>
      <c r="K153" s="628">
        <f>SUM(F153:J153)</f>
        <v>32</v>
      </c>
      <c r="L153" s="630">
        <f t="shared" si="6"/>
        <v>8</v>
      </c>
    </row>
    <row r="154" spans="3:12" x14ac:dyDescent="0.2">
      <c r="C154" s="589" t="s">
        <v>452</v>
      </c>
      <c r="D154" s="590" t="s">
        <v>393</v>
      </c>
      <c r="E154" s="591">
        <f>(F154+G154+H154+J154)*112.7+(I154*119.6)</f>
        <v>2281.6</v>
      </c>
      <c r="F154" s="3">
        <v>4</v>
      </c>
      <c r="G154" s="3">
        <v>4</v>
      </c>
      <c r="H154" s="3">
        <v>4</v>
      </c>
      <c r="I154" s="3">
        <v>4</v>
      </c>
      <c r="J154" s="3">
        <v>4</v>
      </c>
      <c r="K154" s="628">
        <f>SUM(F154:J154)</f>
        <v>20</v>
      </c>
      <c r="L154" s="630">
        <f t="shared" si="6"/>
        <v>5</v>
      </c>
    </row>
    <row r="155" spans="3:12" x14ac:dyDescent="0.2">
      <c r="C155" s="589" t="s">
        <v>451</v>
      </c>
      <c r="D155" s="590" t="s">
        <v>216</v>
      </c>
      <c r="E155" s="591">
        <f>(F155+G155+H155+J155)*112.7+(I155*119.6)</f>
        <v>3210.8</v>
      </c>
      <c r="F155" s="3">
        <v>6</v>
      </c>
      <c r="G155" s="3">
        <v>8</v>
      </c>
      <c r="H155" s="3"/>
      <c r="I155" s="3">
        <v>8</v>
      </c>
      <c r="J155" s="3">
        <v>6</v>
      </c>
      <c r="K155" s="628">
        <f>SUM(F155:J155)</f>
        <v>28</v>
      </c>
      <c r="L155" s="630">
        <f t="shared" si="6"/>
        <v>7</v>
      </c>
    </row>
    <row r="156" spans="3:12" x14ac:dyDescent="0.2">
      <c r="C156" s="589"/>
      <c r="D156" s="590"/>
      <c r="E156" s="591"/>
      <c r="F156" s="3"/>
      <c r="G156" s="3"/>
      <c r="H156" s="3"/>
      <c r="I156" s="3"/>
      <c r="J156" s="3"/>
      <c r="K156" s="628"/>
      <c r="L156" s="630">
        <f t="shared" si="6"/>
        <v>0</v>
      </c>
    </row>
    <row r="157" spans="3:12" x14ac:dyDescent="0.2">
      <c r="C157" s="589"/>
      <c r="D157" s="590" t="s">
        <v>394</v>
      </c>
      <c r="E157" s="591">
        <f>(F157+G157+H157+I157+J157)*120</f>
        <v>3000</v>
      </c>
      <c r="F157" s="3">
        <v>5</v>
      </c>
      <c r="G157" s="3">
        <v>5</v>
      </c>
      <c r="H157" s="3">
        <v>5</v>
      </c>
      <c r="I157" s="3">
        <v>5</v>
      </c>
      <c r="J157" s="3">
        <v>5</v>
      </c>
      <c r="K157" s="628">
        <f>SUM(F157:J157)</f>
        <v>25</v>
      </c>
      <c r="L157" s="630">
        <f t="shared" si="6"/>
        <v>6.25</v>
      </c>
    </row>
    <row r="158" spans="3:12" x14ac:dyDescent="0.2">
      <c r="C158" s="589" t="s">
        <v>453</v>
      </c>
      <c r="D158" s="590" t="s">
        <v>110</v>
      </c>
      <c r="E158" s="591">
        <f>(F158+G158+H158+J158)*112.7+(I158*119.6)</f>
        <v>11527.6</v>
      </c>
      <c r="F158" s="3">
        <v>32</v>
      </c>
      <c r="G158" s="3">
        <v>20</v>
      </c>
      <c r="H158" s="3"/>
      <c r="I158" s="3">
        <v>21</v>
      </c>
      <c r="J158" s="3">
        <v>28</v>
      </c>
      <c r="K158" s="628">
        <f>SUM(F158:J158)</f>
        <v>101</v>
      </c>
      <c r="L158" s="630">
        <f t="shared" si="6"/>
        <v>25.25</v>
      </c>
    </row>
    <row r="159" spans="3:12" x14ac:dyDescent="0.2">
      <c r="C159" s="589"/>
      <c r="D159" s="590"/>
      <c r="E159" s="591"/>
      <c r="F159" s="3"/>
      <c r="G159" s="3"/>
      <c r="H159" s="3"/>
      <c r="I159" s="3"/>
      <c r="J159" s="3"/>
      <c r="K159" s="628">
        <f>SUM(F159:J159)</f>
        <v>0</v>
      </c>
      <c r="L159" s="630">
        <f t="shared" si="6"/>
        <v>0</v>
      </c>
    </row>
    <row r="160" spans="3:12" x14ac:dyDescent="0.2">
      <c r="C160" s="589"/>
      <c r="D160" s="590" t="s">
        <v>381</v>
      </c>
      <c r="E160" s="591">
        <f>(F160+G160+H160+I160+J160)*120+(240*0)+(0*45)</f>
        <v>0</v>
      </c>
      <c r="F160" s="3"/>
      <c r="G160" s="3"/>
      <c r="H160" s="3"/>
      <c r="I160" s="3"/>
      <c r="J160" s="3"/>
      <c r="K160" s="628">
        <f>SUM(F160:J160)</f>
        <v>0</v>
      </c>
      <c r="L160" s="630">
        <f t="shared" si="6"/>
        <v>0</v>
      </c>
    </row>
    <row r="161" spans="3:12" x14ac:dyDescent="0.2">
      <c r="C161" s="589"/>
      <c r="D161" s="590" t="s">
        <v>276</v>
      </c>
      <c r="E161" s="591">
        <f>(F161+G161+H161+J161)*112.7+(I161*119.6)</f>
        <v>0</v>
      </c>
      <c r="F161" s="3"/>
      <c r="G161" s="3"/>
      <c r="H161" s="3"/>
      <c r="I161" s="3"/>
      <c r="J161" s="3"/>
      <c r="K161" s="628">
        <f>SUM(F161:J161)</f>
        <v>0</v>
      </c>
      <c r="L161" s="630">
        <f t="shared" si="6"/>
        <v>0</v>
      </c>
    </row>
    <row r="162" spans="3:12" x14ac:dyDescent="0.2">
      <c r="C162" s="589"/>
      <c r="D162" s="590"/>
      <c r="E162" s="591"/>
      <c r="F162" s="3"/>
      <c r="G162" s="3"/>
      <c r="H162" s="3"/>
      <c r="I162" s="3"/>
      <c r="J162" s="3"/>
      <c r="K162" s="628"/>
      <c r="L162" s="630">
        <f t="shared" si="6"/>
        <v>0</v>
      </c>
    </row>
    <row r="163" spans="3:12" x14ac:dyDescent="0.2">
      <c r="C163" s="589"/>
      <c r="D163" s="590" t="s">
        <v>75</v>
      </c>
      <c r="E163" s="591">
        <f>(F163+G163+H163+I163+J163)*120</f>
        <v>0</v>
      </c>
      <c r="F163" s="3"/>
      <c r="G163" s="3"/>
      <c r="H163" s="3"/>
      <c r="I163" s="3"/>
      <c r="J163" s="3"/>
      <c r="K163" s="628">
        <f t="shared" ref="K163:K169" si="7">SUM(F163:J163)</f>
        <v>0</v>
      </c>
      <c r="L163" s="630">
        <f t="shared" si="6"/>
        <v>0</v>
      </c>
    </row>
    <row r="164" spans="3:12" x14ac:dyDescent="0.2">
      <c r="C164" s="589"/>
      <c r="D164" s="590" t="s">
        <v>278</v>
      </c>
      <c r="E164" s="591">
        <f>(F164+G164+H164+I164+J164)*120</f>
        <v>0</v>
      </c>
      <c r="F164" s="3"/>
      <c r="G164" s="3"/>
      <c r="H164" s="3"/>
      <c r="I164" s="3"/>
      <c r="J164" s="3"/>
      <c r="K164" s="628">
        <f t="shared" si="7"/>
        <v>0</v>
      </c>
      <c r="L164" s="630">
        <f t="shared" si="6"/>
        <v>0</v>
      </c>
    </row>
    <row r="165" spans="3:12" x14ac:dyDescent="0.2">
      <c r="C165" s="589"/>
      <c r="D165" s="590" t="s">
        <v>270</v>
      </c>
      <c r="E165" s="591">
        <f>(F165+G165+H165+I165)*112.7+(J165*119.6)</f>
        <v>0</v>
      </c>
      <c r="F165" s="3"/>
      <c r="G165" s="3"/>
      <c r="H165" s="3"/>
      <c r="I165" s="3"/>
      <c r="J165" s="3"/>
      <c r="K165" s="628">
        <f t="shared" si="7"/>
        <v>0</v>
      </c>
      <c r="L165" s="630">
        <f t="shared" si="6"/>
        <v>0</v>
      </c>
    </row>
    <row r="166" spans="3:12" x14ac:dyDescent="0.2">
      <c r="C166" s="589"/>
      <c r="D166" s="590" t="s">
        <v>274</v>
      </c>
      <c r="E166" s="591">
        <f>(F166+G166+H166+I166)*112.7+(J166*119.6)</f>
        <v>0</v>
      </c>
      <c r="F166" s="3"/>
      <c r="G166" s="3"/>
      <c r="H166" s="3"/>
      <c r="I166" s="3"/>
      <c r="J166" s="3"/>
      <c r="K166" s="628">
        <f t="shared" si="7"/>
        <v>0</v>
      </c>
      <c r="L166" s="630">
        <f t="shared" si="6"/>
        <v>0</v>
      </c>
    </row>
    <row r="167" spans="3:12" x14ac:dyDescent="0.2">
      <c r="C167" s="589"/>
      <c r="D167" s="590" t="s">
        <v>395</v>
      </c>
      <c r="E167" s="591">
        <f>(F167+G167+H167+I167)*112.7+(J167*119.6)</f>
        <v>0</v>
      </c>
      <c r="F167" s="3"/>
      <c r="G167" s="3"/>
      <c r="H167" s="3"/>
      <c r="I167" s="3"/>
      <c r="J167" s="3"/>
      <c r="K167" s="628">
        <f t="shared" si="7"/>
        <v>0</v>
      </c>
      <c r="L167" s="630">
        <f t="shared" si="6"/>
        <v>0</v>
      </c>
    </row>
    <row r="168" spans="3:12" x14ac:dyDescent="0.2">
      <c r="C168" s="683"/>
      <c r="D168" s="590" t="s">
        <v>112</v>
      </c>
      <c r="E168" s="591">
        <f>(F168+G168+H168+I168)*112.7+(J168*119.6)</f>
        <v>0</v>
      </c>
      <c r="F168" s="3"/>
      <c r="G168" s="3"/>
      <c r="H168" s="3"/>
      <c r="I168" s="3"/>
      <c r="J168" s="3"/>
      <c r="K168" s="628">
        <f t="shared" si="7"/>
        <v>0</v>
      </c>
      <c r="L168" s="630">
        <f t="shared" si="6"/>
        <v>0</v>
      </c>
    </row>
    <row r="169" spans="3:12" x14ac:dyDescent="0.2">
      <c r="C169" s="683"/>
      <c r="D169" s="590" t="s">
        <v>72</v>
      </c>
      <c r="E169" s="591">
        <f>(F169+G169+H169+I169)*112.7+(J169*119.6)</f>
        <v>0</v>
      </c>
      <c r="F169" s="3"/>
      <c r="G169" s="3"/>
      <c r="H169" s="3"/>
      <c r="I169" s="3"/>
      <c r="J169" s="3"/>
      <c r="K169" s="628">
        <f t="shared" si="7"/>
        <v>0</v>
      </c>
      <c r="L169" s="630">
        <f t="shared" si="6"/>
        <v>0</v>
      </c>
    </row>
    <row r="170" spans="3:12" x14ac:dyDescent="0.2">
      <c r="C170" s="683"/>
      <c r="D170" s="590" t="s">
        <v>187</v>
      </c>
      <c r="E170" s="591"/>
      <c r="F170" s="3">
        <v>2</v>
      </c>
      <c r="G170" s="3"/>
      <c r="H170" s="3"/>
      <c r="I170" s="3"/>
      <c r="J170" s="3">
        <v>11</v>
      </c>
      <c r="K170" s="628">
        <f>SUM(F170:J170)</f>
        <v>13</v>
      </c>
      <c r="L170" s="3"/>
    </row>
    <row r="171" spans="3:12" ht="16" x14ac:dyDescent="0.2">
      <c r="C171" s="683"/>
      <c r="D171" s="590"/>
      <c r="E171" s="592"/>
      <c r="F171" s="3"/>
      <c r="G171" s="3"/>
      <c r="H171" s="3"/>
      <c r="I171" s="3"/>
      <c r="J171" s="3"/>
      <c r="K171" s="628">
        <f>SUM(F171:J171)</f>
        <v>0</v>
      </c>
      <c r="L171" s="3"/>
    </row>
    <row r="172" spans="3:12" ht="17" thickBot="1" x14ac:dyDescent="0.25">
      <c r="C172" s="683"/>
      <c r="D172" s="590"/>
      <c r="E172" s="624"/>
      <c r="F172" s="69"/>
      <c r="G172" s="69"/>
      <c r="H172" s="69"/>
      <c r="I172" s="69"/>
      <c r="J172" s="69"/>
      <c r="K172" s="629"/>
      <c r="L172" s="3"/>
    </row>
    <row r="173" spans="3:12" ht="16" thickBot="1" x14ac:dyDescent="0.25">
      <c r="C173" s="596"/>
      <c r="D173" s="623" t="s">
        <v>19</v>
      </c>
      <c r="E173" s="625">
        <f>SUM(E147:E169)</f>
        <v>34781.599999999999</v>
      </c>
      <c r="F173" s="614">
        <f>SUM(F147:F172)</f>
        <v>90</v>
      </c>
      <c r="G173" s="614">
        <f>SUM(G147:G172)</f>
        <v>63</v>
      </c>
      <c r="H173" s="614">
        <f>SUM(H147:H172)</f>
        <v>28</v>
      </c>
      <c r="I173" s="614">
        <f>SUM(I147:I172)</f>
        <v>54</v>
      </c>
      <c r="J173" s="614">
        <f>SUM(J147:J172)</f>
        <v>89</v>
      </c>
      <c r="K173" s="626">
        <f>SUM(F173:J173)</f>
        <v>324</v>
      </c>
      <c r="L173" s="631">
        <f>SUM(L147:L172)</f>
        <v>77.75</v>
      </c>
    </row>
    <row r="174" spans="3:12" x14ac:dyDescent="0.2">
      <c r="C174" s="596"/>
      <c r="D174" s="593" t="s">
        <v>113</v>
      </c>
      <c r="E174" s="620"/>
      <c r="F174" s="610">
        <f>F144-F173</f>
        <v>0</v>
      </c>
      <c r="G174" s="610">
        <f>G144-G173</f>
        <v>0</v>
      </c>
      <c r="H174" s="610">
        <f>H144-H173</f>
        <v>0</v>
      </c>
      <c r="I174" s="610">
        <f>I144-I173</f>
        <v>0</v>
      </c>
      <c r="J174" s="610">
        <f>J144-J173</f>
        <v>0</v>
      </c>
      <c r="K174" s="636">
        <f>SUM(F174:J174)</f>
        <v>0</v>
      </c>
      <c r="L174" s="3"/>
    </row>
    <row r="175" spans="3:12" x14ac:dyDescent="0.2">
      <c r="C175" s="683"/>
      <c r="D175" s="593" t="s">
        <v>436</v>
      </c>
      <c r="E175" s="594"/>
      <c r="F175" s="581"/>
      <c r="G175" s="581"/>
      <c r="H175" s="581"/>
      <c r="I175" s="581"/>
      <c r="J175" s="581"/>
      <c r="K175" s="637">
        <f>K173+K174</f>
        <v>324</v>
      </c>
      <c r="L175" s="3"/>
    </row>
    <row r="177" spans="3:12" ht="18" x14ac:dyDescent="0.2">
      <c r="C177" s="685" t="s">
        <v>412</v>
      </c>
      <c r="D177" s="582">
        <v>45661</v>
      </c>
      <c r="E177" s="800"/>
      <c r="F177" s="685" t="s">
        <v>83</v>
      </c>
      <c r="G177" s="801" t="s">
        <v>68</v>
      </c>
      <c r="H177" s="802"/>
      <c r="I177" s="802"/>
      <c r="J177" s="802"/>
      <c r="K177" s="803"/>
    </row>
    <row r="178" spans="3:12" x14ac:dyDescent="0.2">
      <c r="C178" s="804"/>
      <c r="D178" s="805"/>
      <c r="E178" s="800"/>
      <c r="F178" s="683" t="s">
        <v>93</v>
      </c>
      <c r="G178" s="683" t="s">
        <v>93</v>
      </c>
      <c r="H178" s="683"/>
      <c r="I178" s="806"/>
      <c r="J178" s="806"/>
      <c r="K178" s="806"/>
    </row>
    <row r="179" spans="3:12" x14ac:dyDescent="0.2">
      <c r="C179" s="804"/>
      <c r="D179" s="805"/>
      <c r="E179" s="800"/>
      <c r="F179" s="683" t="s">
        <v>94</v>
      </c>
      <c r="G179" s="683" t="s">
        <v>95</v>
      </c>
      <c r="H179" s="683" t="s">
        <v>96</v>
      </c>
      <c r="I179" s="806"/>
      <c r="J179" s="806"/>
      <c r="K179" s="806"/>
    </row>
    <row r="180" spans="3:12" x14ac:dyDescent="0.2">
      <c r="C180" s="804"/>
      <c r="D180" s="805"/>
      <c r="E180" s="800"/>
      <c r="F180" s="683"/>
      <c r="G180" s="683"/>
      <c r="H180" s="683"/>
      <c r="I180" s="806"/>
      <c r="J180" s="806"/>
      <c r="K180" s="806"/>
    </row>
    <row r="181" spans="3:12" ht="16" x14ac:dyDescent="0.2">
      <c r="C181" s="683"/>
      <c r="D181" s="583" t="s">
        <v>97</v>
      </c>
      <c r="E181" s="584"/>
      <c r="F181" s="581"/>
      <c r="G181" s="585"/>
      <c r="H181" s="585"/>
      <c r="I181" s="586"/>
      <c r="J181" s="586"/>
      <c r="K181" s="586"/>
    </row>
    <row r="182" spans="3:12" ht="26" x14ac:dyDescent="0.2">
      <c r="C182" s="804"/>
      <c r="D182" s="587"/>
      <c r="E182" s="588"/>
      <c r="F182" s="585" t="s">
        <v>383</v>
      </c>
      <c r="G182" s="585" t="s">
        <v>384</v>
      </c>
      <c r="H182" s="585" t="s">
        <v>385</v>
      </c>
      <c r="I182" s="585" t="s">
        <v>386</v>
      </c>
      <c r="J182" s="585" t="s">
        <v>387</v>
      </c>
      <c r="K182" s="585" t="s">
        <v>84</v>
      </c>
    </row>
    <row r="183" spans="3:12" x14ac:dyDescent="0.2">
      <c r="C183" s="804"/>
      <c r="D183" s="684" t="s">
        <v>167</v>
      </c>
      <c r="E183" s="588"/>
      <c r="F183" s="580">
        <v>10</v>
      </c>
      <c r="G183" s="579">
        <v>4</v>
      </c>
      <c r="H183" s="580"/>
      <c r="I183" s="580">
        <v>3</v>
      </c>
      <c r="J183" s="580"/>
      <c r="K183" s="580">
        <f>SUM(F183:J183)</f>
        <v>17</v>
      </c>
    </row>
    <row r="184" spans="3:12" x14ac:dyDescent="0.2">
      <c r="C184" s="804"/>
      <c r="D184" s="684" t="s">
        <v>207</v>
      </c>
      <c r="E184" s="588"/>
      <c r="F184" s="618">
        <v>70</v>
      </c>
      <c r="G184" s="619">
        <v>28</v>
      </c>
      <c r="H184" s="618"/>
      <c r="I184" s="618">
        <v>33</v>
      </c>
      <c r="J184" s="618"/>
      <c r="K184" s="618">
        <f>SUM(F184:J184)</f>
        <v>131</v>
      </c>
    </row>
    <row r="185" spans="3:12" x14ac:dyDescent="0.2">
      <c r="C185" s="683"/>
      <c r="D185" s="684" t="s">
        <v>100</v>
      </c>
      <c r="E185" s="588"/>
      <c r="F185" s="581"/>
      <c r="G185" s="581"/>
      <c r="H185" s="581"/>
      <c r="I185" s="581"/>
      <c r="J185" s="581"/>
      <c r="K185" s="581">
        <f>SUM(F185:J185)</f>
        <v>0</v>
      </c>
    </row>
    <row r="186" spans="3:12" x14ac:dyDescent="0.2">
      <c r="C186" s="683"/>
      <c r="D186" s="684" t="s">
        <v>101</v>
      </c>
      <c r="E186" s="588"/>
      <c r="F186" s="581"/>
      <c r="G186" s="581"/>
      <c r="H186" s="581"/>
      <c r="I186" s="581"/>
      <c r="J186" s="581"/>
      <c r="K186" s="581">
        <f>SUM(F186:J186)</f>
        <v>0</v>
      </c>
    </row>
    <row r="187" spans="3:12" ht="16" thickBot="1" x14ac:dyDescent="0.25">
      <c r="C187" s="683"/>
      <c r="D187" s="597" t="s">
        <v>102</v>
      </c>
      <c r="E187" s="598"/>
      <c r="F187" s="599"/>
      <c r="G187" s="600"/>
      <c r="H187" s="600"/>
      <c r="I187" s="600"/>
      <c r="J187" s="600"/>
      <c r="K187" s="600">
        <f>SUM(F187:J187)</f>
        <v>0</v>
      </c>
    </row>
    <row r="188" spans="3:12" ht="17" thickBot="1" x14ac:dyDescent="0.25">
      <c r="C188" s="605"/>
      <c r="D188" s="612" t="s">
        <v>84</v>
      </c>
      <c r="E188" s="613"/>
      <c r="F188" s="614">
        <f>(F184+F187)-F186-F185</f>
        <v>70</v>
      </c>
      <c r="G188" s="615">
        <f>(G184+G187)-G186-G185</f>
        <v>28</v>
      </c>
      <c r="H188" s="616">
        <f>(H184+H187)-H186</f>
        <v>0</v>
      </c>
      <c r="I188" s="615">
        <f>(I184+I187)-I186-I185</f>
        <v>33</v>
      </c>
      <c r="J188" s="622">
        <f>(J184+J187)-J186-J185</f>
        <v>0</v>
      </c>
      <c r="K188" s="617">
        <f>(K184+K187)-K186-K185</f>
        <v>131</v>
      </c>
    </row>
    <row r="189" spans="3:12" ht="16" x14ac:dyDescent="0.2">
      <c r="C189" s="683"/>
      <c r="D189" s="608"/>
      <c r="E189" s="609"/>
      <c r="F189" s="610"/>
      <c r="G189" s="595"/>
      <c r="H189" s="611"/>
      <c r="I189" s="595"/>
      <c r="J189" s="595"/>
      <c r="K189" s="595"/>
    </row>
    <row r="190" spans="3:12" ht="16" thickBot="1" x14ac:dyDescent="0.25">
      <c r="C190" s="606" t="s">
        <v>388</v>
      </c>
      <c r="D190" s="607" t="s">
        <v>103</v>
      </c>
      <c r="E190" s="603" t="s">
        <v>84</v>
      </c>
      <c r="F190" s="602" t="s">
        <v>78</v>
      </c>
      <c r="G190" s="602" t="s">
        <v>79</v>
      </c>
      <c r="H190" s="602" t="s">
        <v>88</v>
      </c>
      <c r="I190" s="601" t="s">
        <v>87</v>
      </c>
      <c r="J190" s="601" t="s">
        <v>85</v>
      </c>
      <c r="K190" s="601" t="s">
        <v>84</v>
      </c>
      <c r="L190" s="174" t="s">
        <v>389</v>
      </c>
    </row>
    <row r="191" spans="3:12" x14ac:dyDescent="0.2">
      <c r="C191" s="589"/>
      <c r="D191" s="604" t="s">
        <v>105</v>
      </c>
      <c r="E191" s="591">
        <f>(F191+G191+H191+I191+J191)*100+(0*230)</f>
        <v>0</v>
      </c>
      <c r="F191" s="3"/>
      <c r="G191" s="3"/>
      <c r="H191" s="3"/>
      <c r="I191" s="3"/>
      <c r="J191" s="3"/>
      <c r="K191" s="628">
        <f>SUM(F191:J191)</f>
        <v>0</v>
      </c>
      <c r="L191" s="630">
        <f>K191/4</f>
        <v>0</v>
      </c>
    </row>
    <row r="192" spans="3:12" x14ac:dyDescent="0.2">
      <c r="C192" s="589"/>
      <c r="D192" s="590" t="s">
        <v>390</v>
      </c>
      <c r="E192" s="591">
        <f>(F192+G192+H192+I192+J192)*120</f>
        <v>0</v>
      </c>
      <c r="F192" s="3"/>
      <c r="G192" s="3"/>
      <c r="H192" s="3"/>
      <c r="I192" s="3"/>
      <c r="J192" s="3"/>
      <c r="K192" s="628">
        <f>SUM(F192:J192)</f>
        <v>0</v>
      </c>
      <c r="L192" s="630">
        <f t="shared" ref="L192:L213" si="8">K192/4</f>
        <v>0</v>
      </c>
    </row>
    <row r="193" spans="3:12" x14ac:dyDescent="0.2">
      <c r="C193" s="589"/>
      <c r="D193" s="590" t="s">
        <v>391</v>
      </c>
      <c r="E193" s="591">
        <f>(F193+G193+H193+I193+J193)*120</f>
        <v>0</v>
      </c>
      <c r="F193" s="3"/>
      <c r="G193" s="3"/>
      <c r="H193" s="3"/>
      <c r="I193" s="3"/>
      <c r="J193" s="3"/>
      <c r="K193" s="628">
        <f>SUM(F193:J193)</f>
        <v>0</v>
      </c>
      <c r="L193" s="630">
        <f t="shared" si="8"/>
        <v>0</v>
      </c>
    </row>
    <row r="194" spans="3:12" x14ac:dyDescent="0.2">
      <c r="C194" s="589"/>
      <c r="D194" s="590" t="s">
        <v>392</v>
      </c>
      <c r="E194" s="591">
        <f>(F194+G194+H194+I194+J194)*120</f>
        <v>0</v>
      </c>
      <c r="F194" s="3"/>
      <c r="G194" s="3"/>
      <c r="H194" s="3"/>
      <c r="I194" s="3"/>
      <c r="J194" s="3"/>
      <c r="K194" s="628">
        <f>SUM(F194:J194)</f>
        <v>0</v>
      </c>
      <c r="L194" s="630">
        <f t="shared" si="8"/>
        <v>0</v>
      </c>
    </row>
    <row r="195" spans="3:12" x14ac:dyDescent="0.2">
      <c r="C195" s="589"/>
      <c r="D195" s="590" t="s">
        <v>425</v>
      </c>
      <c r="E195" s="591">
        <f>(F195+G195+H195+I195+J195)*120</f>
        <v>0</v>
      </c>
      <c r="F195" s="3"/>
      <c r="G195" s="3"/>
      <c r="H195" s="3"/>
      <c r="I195" s="3"/>
      <c r="J195" s="3"/>
      <c r="K195" s="628">
        <f>SUM(F195:J195)</f>
        <v>0</v>
      </c>
      <c r="L195" s="630">
        <f t="shared" si="8"/>
        <v>0</v>
      </c>
    </row>
    <row r="196" spans="3:12" x14ac:dyDescent="0.2">
      <c r="C196" s="589"/>
      <c r="D196" s="590"/>
      <c r="E196" s="591"/>
      <c r="F196" s="3"/>
      <c r="G196" s="3"/>
      <c r="H196" s="3"/>
      <c r="I196" s="3"/>
      <c r="J196" s="3"/>
      <c r="K196" s="628"/>
      <c r="L196" s="630">
        <f t="shared" si="8"/>
        <v>0</v>
      </c>
    </row>
    <row r="197" spans="3:12" x14ac:dyDescent="0.2">
      <c r="C197" s="589"/>
      <c r="D197" s="590" t="s">
        <v>108</v>
      </c>
      <c r="E197" s="591">
        <f>(F197+G197+H197+J197)*112.7+(I197*119.6)</f>
        <v>0</v>
      </c>
      <c r="F197" s="3"/>
      <c r="G197" s="3"/>
      <c r="H197" s="3"/>
      <c r="I197" s="3"/>
      <c r="J197" s="3"/>
      <c r="K197" s="628">
        <f>SUM(F197:J197)</f>
        <v>0</v>
      </c>
      <c r="L197" s="630">
        <f t="shared" si="8"/>
        <v>0</v>
      </c>
    </row>
    <row r="198" spans="3:12" x14ac:dyDescent="0.2">
      <c r="C198" s="589"/>
      <c r="D198" s="590" t="s">
        <v>393</v>
      </c>
      <c r="E198" s="591">
        <f>(F198+G198+H198+J198)*112.7+(I198*119.6)</f>
        <v>0</v>
      </c>
      <c r="F198" s="3"/>
      <c r="G198" s="3"/>
      <c r="H198" s="3"/>
      <c r="I198" s="3"/>
      <c r="J198" s="3"/>
      <c r="K198" s="628">
        <f>SUM(F198:J198)</f>
        <v>0</v>
      </c>
      <c r="L198" s="630">
        <f t="shared" si="8"/>
        <v>0</v>
      </c>
    </row>
    <row r="199" spans="3:12" x14ac:dyDescent="0.2">
      <c r="C199" s="589"/>
      <c r="D199" s="590" t="s">
        <v>216</v>
      </c>
      <c r="E199" s="591">
        <f>(F199+G199+H199+J199)*112.7+(I199*119.6)</f>
        <v>0</v>
      </c>
      <c r="F199" s="3"/>
      <c r="G199" s="3"/>
      <c r="H199" s="3"/>
      <c r="I199" s="3"/>
      <c r="J199" s="3"/>
      <c r="K199" s="628">
        <f>SUM(F199:J199)</f>
        <v>0</v>
      </c>
      <c r="L199" s="630">
        <f t="shared" si="8"/>
        <v>0</v>
      </c>
    </row>
    <row r="200" spans="3:12" x14ac:dyDescent="0.2">
      <c r="C200" s="589"/>
      <c r="D200" s="590"/>
      <c r="E200" s="591"/>
      <c r="F200" s="3"/>
      <c r="G200" s="3"/>
      <c r="H200" s="3"/>
      <c r="I200" s="3"/>
      <c r="J200" s="3"/>
      <c r="K200" s="628"/>
      <c r="L200" s="630">
        <f t="shared" si="8"/>
        <v>0</v>
      </c>
    </row>
    <row r="201" spans="3:12" x14ac:dyDescent="0.2">
      <c r="C201" s="589"/>
      <c r="D201" s="590" t="s">
        <v>394</v>
      </c>
      <c r="E201" s="591">
        <f>(F201+G201+H201+I201+J201)*120</f>
        <v>0</v>
      </c>
      <c r="F201" s="3"/>
      <c r="G201" s="3"/>
      <c r="H201" s="3"/>
      <c r="I201" s="3"/>
      <c r="J201" s="3"/>
      <c r="K201" s="628">
        <f>SUM(F201:J201)</f>
        <v>0</v>
      </c>
      <c r="L201" s="630">
        <f t="shared" si="8"/>
        <v>0</v>
      </c>
    </row>
    <row r="202" spans="3:12" x14ac:dyDescent="0.2">
      <c r="C202" s="589" t="s">
        <v>459</v>
      </c>
      <c r="D202" s="590" t="s">
        <v>110</v>
      </c>
      <c r="E202" s="591">
        <f>(F202+G202+H202+J202)*112.7+(I202*119.6)</f>
        <v>14519.9</v>
      </c>
      <c r="F202" s="3">
        <v>70</v>
      </c>
      <c r="G202" s="3">
        <v>27</v>
      </c>
      <c r="H202" s="3"/>
      <c r="I202" s="3">
        <v>30</v>
      </c>
      <c r="J202" s="3"/>
      <c r="K202" s="628">
        <f>SUM(F202:J202)</f>
        <v>127</v>
      </c>
      <c r="L202" s="630">
        <f t="shared" si="8"/>
        <v>31.75</v>
      </c>
    </row>
    <row r="203" spans="3:12" x14ac:dyDescent="0.2">
      <c r="C203" s="589"/>
      <c r="D203" s="590"/>
      <c r="E203" s="591"/>
      <c r="F203" s="3"/>
      <c r="G203" s="3"/>
      <c r="H203" s="3"/>
      <c r="I203" s="3"/>
      <c r="J203" s="3"/>
      <c r="K203" s="628">
        <f>SUM(F203:J203)</f>
        <v>0</v>
      </c>
      <c r="L203" s="630">
        <f t="shared" si="8"/>
        <v>0</v>
      </c>
    </row>
    <row r="204" spans="3:12" x14ac:dyDescent="0.2">
      <c r="C204" s="589"/>
      <c r="D204" s="590" t="s">
        <v>381</v>
      </c>
      <c r="E204" s="591">
        <f>(F204+G204+H204+I204+J204)*120+(240*0)+(0*45)</f>
        <v>0</v>
      </c>
      <c r="F204" s="3"/>
      <c r="G204" s="3"/>
      <c r="H204" s="3"/>
      <c r="I204" s="3"/>
      <c r="J204" s="3"/>
      <c r="K204" s="628">
        <f>SUM(F204:J204)</f>
        <v>0</v>
      </c>
      <c r="L204" s="630">
        <f t="shared" si="8"/>
        <v>0</v>
      </c>
    </row>
    <row r="205" spans="3:12" x14ac:dyDescent="0.2">
      <c r="C205" s="589"/>
      <c r="D205" s="590" t="s">
        <v>276</v>
      </c>
      <c r="E205" s="591">
        <f>(F205+G205+H205+J205)*112.7+(I205*119.6)</f>
        <v>0</v>
      </c>
      <c r="F205" s="3"/>
      <c r="G205" s="3"/>
      <c r="H205" s="3"/>
      <c r="I205" s="3"/>
      <c r="J205" s="3"/>
      <c r="K205" s="628">
        <f>SUM(F205:J205)</f>
        <v>0</v>
      </c>
      <c r="L205" s="630">
        <f t="shared" si="8"/>
        <v>0</v>
      </c>
    </row>
    <row r="206" spans="3:12" x14ac:dyDescent="0.2">
      <c r="C206" s="589"/>
      <c r="D206" s="590"/>
      <c r="E206" s="591"/>
      <c r="F206" s="3"/>
      <c r="G206" s="3"/>
      <c r="H206" s="3"/>
      <c r="I206" s="3"/>
      <c r="J206" s="3"/>
      <c r="K206" s="628"/>
      <c r="L206" s="630">
        <f t="shared" si="8"/>
        <v>0</v>
      </c>
    </row>
    <row r="207" spans="3:12" x14ac:dyDescent="0.2">
      <c r="C207" s="589"/>
      <c r="D207" s="590" t="s">
        <v>75</v>
      </c>
      <c r="E207" s="591">
        <f>(F207+G207+H207+I207+J207)*120</f>
        <v>0</v>
      </c>
      <c r="F207" s="3"/>
      <c r="G207" s="3"/>
      <c r="H207" s="3"/>
      <c r="I207" s="3"/>
      <c r="J207" s="3"/>
      <c r="K207" s="628">
        <f t="shared" ref="K207:K213" si="9">SUM(F207:J207)</f>
        <v>0</v>
      </c>
      <c r="L207" s="630">
        <f t="shared" si="8"/>
        <v>0</v>
      </c>
    </row>
    <row r="208" spans="3:12" x14ac:dyDescent="0.2">
      <c r="C208" s="589"/>
      <c r="D208" s="590" t="s">
        <v>278</v>
      </c>
      <c r="E208" s="591">
        <f>(F208+G208+H208+I208+J208)*120</f>
        <v>0</v>
      </c>
      <c r="F208" s="3"/>
      <c r="G208" s="3"/>
      <c r="H208" s="3"/>
      <c r="I208" s="3"/>
      <c r="J208" s="3"/>
      <c r="K208" s="628">
        <f t="shared" si="9"/>
        <v>0</v>
      </c>
      <c r="L208" s="630">
        <f t="shared" si="8"/>
        <v>0</v>
      </c>
    </row>
    <row r="209" spans="3:12" x14ac:dyDescent="0.2">
      <c r="C209" s="589"/>
      <c r="D209" s="590" t="s">
        <v>270</v>
      </c>
      <c r="E209" s="591">
        <f>(F209+G209+H209+I209)*112.7+(J209*119.6)</f>
        <v>0</v>
      </c>
      <c r="F209" s="3"/>
      <c r="G209" s="3"/>
      <c r="H209" s="3"/>
      <c r="I209" s="3"/>
      <c r="J209" s="3"/>
      <c r="K209" s="628">
        <f t="shared" si="9"/>
        <v>0</v>
      </c>
      <c r="L209" s="630">
        <f t="shared" si="8"/>
        <v>0</v>
      </c>
    </row>
    <row r="210" spans="3:12" x14ac:dyDescent="0.2">
      <c r="C210" s="589"/>
      <c r="D210" s="590" t="s">
        <v>274</v>
      </c>
      <c r="E210" s="591">
        <f>(F210+G210+H210+I210)*112.7+(J210*119.6)</f>
        <v>0</v>
      </c>
      <c r="F210" s="3"/>
      <c r="G210" s="3"/>
      <c r="H210" s="3"/>
      <c r="I210" s="3"/>
      <c r="J210" s="3"/>
      <c r="K210" s="628">
        <f t="shared" si="9"/>
        <v>0</v>
      </c>
      <c r="L210" s="630">
        <f t="shared" si="8"/>
        <v>0</v>
      </c>
    </row>
    <row r="211" spans="3:12" x14ac:dyDescent="0.2">
      <c r="C211" s="589"/>
      <c r="D211" s="590" t="s">
        <v>395</v>
      </c>
      <c r="E211" s="591">
        <f>(F211+G211+H211+I211)*112.7+(J211*119.6)</f>
        <v>0</v>
      </c>
      <c r="F211" s="3"/>
      <c r="G211" s="3"/>
      <c r="H211" s="3"/>
      <c r="I211" s="3"/>
      <c r="J211" s="3"/>
      <c r="K211" s="628">
        <f t="shared" si="9"/>
        <v>0</v>
      </c>
      <c r="L211" s="630">
        <f t="shared" si="8"/>
        <v>0</v>
      </c>
    </row>
    <row r="212" spans="3:12" x14ac:dyDescent="0.2">
      <c r="C212" s="683"/>
      <c r="D212" s="590" t="s">
        <v>112</v>
      </c>
      <c r="E212" s="591">
        <f>(F212+G212+H212+I212)*112.7+(J212*119.6)</f>
        <v>0</v>
      </c>
      <c r="F212" s="3"/>
      <c r="G212" s="3"/>
      <c r="H212" s="3"/>
      <c r="I212" s="3"/>
      <c r="J212" s="3"/>
      <c r="K212" s="628">
        <f t="shared" si="9"/>
        <v>0</v>
      </c>
      <c r="L212" s="630">
        <f t="shared" si="8"/>
        <v>0</v>
      </c>
    </row>
    <row r="213" spans="3:12" x14ac:dyDescent="0.2">
      <c r="C213" s="683"/>
      <c r="D213" s="590" t="s">
        <v>72</v>
      </c>
      <c r="E213" s="591">
        <f>(F213+G213+H213+I213)*112.7+(J213*119.6)</f>
        <v>0</v>
      </c>
      <c r="F213" s="3"/>
      <c r="G213" s="3"/>
      <c r="H213" s="3"/>
      <c r="I213" s="3"/>
      <c r="J213" s="3"/>
      <c r="K213" s="628">
        <f t="shared" si="9"/>
        <v>0</v>
      </c>
      <c r="L213" s="630">
        <f t="shared" si="8"/>
        <v>0</v>
      </c>
    </row>
    <row r="214" spans="3:12" x14ac:dyDescent="0.2">
      <c r="C214" s="683"/>
      <c r="D214" s="590" t="s">
        <v>187</v>
      </c>
      <c r="E214" s="591"/>
      <c r="F214" s="3"/>
      <c r="G214" s="3">
        <v>1</v>
      </c>
      <c r="H214" s="3"/>
      <c r="I214" s="3">
        <v>3</v>
      </c>
      <c r="J214" s="3"/>
      <c r="K214" s="628">
        <f>SUM(F214:J214)</f>
        <v>4</v>
      </c>
      <c r="L214" s="3"/>
    </row>
    <row r="215" spans="3:12" ht="16" x14ac:dyDescent="0.2">
      <c r="C215" s="683"/>
      <c r="D215" s="590"/>
      <c r="E215" s="592"/>
      <c r="F215" s="3"/>
      <c r="G215" s="3"/>
      <c r="H215" s="3"/>
      <c r="I215" s="3"/>
      <c r="J215" s="3"/>
      <c r="K215" s="628">
        <f>SUM(F215:J215)</f>
        <v>0</v>
      </c>
      <c r="L215" s="3"/>
    </row>
    <row r="216" spans="3:12" ht="17" thickBot="1" x14ac:dyDescent="0.25">
      <c r="C216" s="683"/>
      <c r="D216" s="590"/>
      <c r="E216" s="624"/>
      <c r="F216" s="69"/>
      <c r="G216" s="69"/>
      <c r="H216" s="69"/>
      <c r="I216" s="69"/>
      <c r="J216" s="69"/>
      <c r="K216" s="629"/>
      <c r="L216" s="3"/>
    </row>
    <row r="217" spans="3:12" ht="16" thickBot="1" x14ac:dyDescent="0.25">
      <c r="C217" s="596"/>
      <c r="D217" s="623" t="s">
        <v>19</v>
      </c>
      <c r="E217" s="625">
        <f>SUM(E191:E213)</f>
        <v>14519.9</v>
      </c>
      <c r="F217" s="614">
        <f>SUM(F191:F216)</f>
        <v>70</v>
      </c>
      <c r="G217" s="614">
        <f>SUM(G191:G216)</f>
        <v>28</v>
      </c>
      <c r="H217" s="614">
        <f>SUM(H191:H216)</f>
        <v>0</v>
      </c>
      <c r="I217" s="614">
        <f>SUM(I191:I216)</f>
        <v>33</v>
      </c>
      <c r="J217" s="614">
        <f>SUM(J191:J216)</f>
        <v>0</v>
      </c>
      <c r="K217" s="626">
        <f>SUM(F217:J217)</f>
        <v>131</v>
      </c>
      <c r="L217" s="631">
        <f>SUM(L191:L216)</f>
        <v>31.75</v>
      </c>
    </row>
    <row r="218" spans="3:12" x14ac:dyDescent="0.2">
      <c r="C218" s="596"/>
      <c r="D218" s="593" t="s">
        <v>113</v>
      </c>
      <c r="E218" s="620"/>
      <c r="F218" s="610">
        <f>F188-F217</f>
        <v>0</v>
      </c>
      <c r="G218" s="610">
        <f>G188-G217</f>
        <v>0</v>
      </c>
      <c r="H218" s="610">
        <f>H188-H217</f>
        <v>0</v>
      </c>
      <c r="I218" s="610">
        <f>I188-I217</f>
        <v>0</v>
      </c>
      <c r="J218" s="610">
        <f>J188-J217</f>
        <v>0</v>
      </c>
      <c r="K218" s="636">
        <f>SUM(F218:J218)</f>
        <v>0</v>
      </c>
      <c r="L218" s="3"/>
    </row>
    <row r="219" spans="3:12" x14ac:dyDescent="0.2">
      <c r="C219" s="683"/>
      <c r="D219" s="593" t="s">
        <v>436</v>
      </c>
      <c r="E219" s="594"/>
      <c r="F219" s="581"/>
      <c r="G219" s="581"/>
      <c r="H219" s="581"/>
      <c r="I219" s="581"/>
      <c r="J219" s="581"/>
      <c r="K219" s="637">
        <f>K217+K218</f>
        <v>131</v>
      </c>
      <c r="L219" s="3"/>
    </row>
    <row r="221" spans="3:12" ht="18" x14ac:dyDescent="0.2">
      <c r="C221" s="685" t="s">
        <v>412</v>
      </c>
      <c r="D221" s="582">
        <v>45663</v>
      </c>
      <c r="E221" s="800"/>
      <c r="F221" s="685" t="s">
        <v>83</v>
      </c>
      <c r="G221" s="801" t="s">
        <v>63</v>
      </c>
      <c r="H221" s="802"/>
      <c r="I221" s="802"/>
      <c r="J221" s="802"/>
      <c r="K221" s="803"/>
    </row>
    <row r="222" spans="3:12" x14ac:dyDescent="0.2">
      <c r="C222" s="804"/>
      <c r="D222" s="805"/>
      <c r="E222" s="800"/>
      <c r="F222" s="683" t="s">
        <v>93</v>
      </c>
      <c r="G222" s="683" t="s">
        <v>93</v>
      </c>
      <c r="H222" s="683"/>
      <c r="I222" s="806"/>
      <c r="J222" s="806"/>
      <c r="K222" s="806"/>
    </row>
    <row r="223" spans="3:12" x14ac:dyDescent="0.2">
      <c r="C223" s="804"/>
      <c r="D223" s="805"/>
      <c r="E223" s="800"/>
      <c r="F223" s="683" t="s">
        <v>94</v>
      </c>
      <c r="G223" s="683" t="s">
        <v>95</v>
      </c>
      <c r="H223" s="683" t="s">
        <v>96</v>
      </c>
      <c r="I223" s="806"/>
      <c r="J223" s="806"/>
      <c r="K223" s="806"/>
    </row>
    <row r="224" spans="3:12" x14ac:dyDescent="0.2">
      <c r="C224" s="804"/>
      <c r="D224" s="805"/>
      <c r="E224" s="800"/>
      <c r="F224" s="683"/>
      <c r="G224" s="683"/>
      <c r="H224" s="683"/>
      <c r="I224" s="806"/>
      <c r="J224" s="806"/>
      <c r="K224" s="806"/>
    </row>
    <row r="225" spans="3:12" ht="16" x14ac:dyDescent="0.2">
      <c r="C225" s="683"/>
      <c r="D225" s="583" t="s">
        <v>97</v>
      </c>
      <c r="E225" s="584"/>
      <c r="F225" s="581"/>
      <c r="G225" s="585"/>
      <c r="H225" s="585"/>
      <c r="I225" s="586"/>
      <c r="J225" s="586"/>
      <c r="K225" s="586"/>
    </row>
    <row r="226" spans="3:12" ht="26" x14ac:dyDescent="0.2">
      <c r="C226" s="804"/>
      <c r="D226" s="587"/>
      <c r="E226" s="588"/>
      <c r="F226" s="585" t="s">
        <v>383</v>
      </c>
      <c r="G226" s="585" t="s">
        <v>384</v>
      </c>
      <c r="H226" s="585" t="s">
        <v>385</v>
      </c>
      <c r="I226" s="585" t="s">
        <v>386</v>
      </c>
      <c r="J226" s="585" t="s">
        <v>387</v>
      </c>
      <c r="K226" s="585" t="s">
        <v>84</v>
      </c>
    </row>
    <row r="227" spans="3:12" x14ac:dyDescent="0.2">
      <c r="C227" s="804"/>
      <c r="D227" s="684" t="s">
        <v>167</v>
      </c>
      <c r="E227" s="588"/>
      <c r="F227" s="580">
        <v>12</v>
      </c>
      <c r="G227" s="579">
        <v>8</v>
      </c>
      <c r="H227" s="580">
        <v>3</v>
      </c>
      <c r="I227" s="580">
        <v>4</v>
      </c>
      <c r="J227" s="580">
        <v>8</v>
      </c>
      <c r="K227" s="580">
        <f>SUM(F227:J227)</f>
        <v>35</v>
      </c>
    </row>
    <row r="228" spans="3:12" x14ac:dyDescent="0.2">
      <c r="C228" s="804"/>
      <c r="D228" s="684" t="s">
        <v>207</v>
      </c>
      <c r="E228" s="588"/>
      <c r="F228" s="618">
        <v>84</v>
      </c>
      <c r="G228" s="619">
        <v>56</v>
      </c>
      <c r="H228" s="618">
        <v>21</v>
      </c>
      <c r="I228" s="618">
        <v>44</v>
      </c>
      <c r="J228" s="618">
        <v>70</v>
      </c>
      <c r="K228" s="618">
        <f>SUM(F228:J228)</f>
        <v>275</v>
      </c>
    </row>
    <row r="229" spans="3:12" x14ac:dyDescent="0.2">
      <c r="C229" s="683"/>
      <c r="D229" s="684" t="s">
        <v>100</v>
      </c>
      <c r="E229" s="588"/>
      <c r="F229" s="581"/>
      <c r="G229" s="581"/>
      <c r="H229" s="581"/>
      <c r="I229" s="581"/>
      <c r="J229" s="581"/>
      <c r="K229" s="581">
        <f>SUM(F229:J229)</f>
        <v>0</v>
      </c>
    </row>
    <row r="230" spans="3:12" x14ac:dyDescent="0.2">
      <c r="C230" s="683"/>
      <c r="D230" s="684" t="s">
        <v>101</v>
      </c>
      <c r="E230" s="588"/>
      <c r="F230" s="581"/>
      <c r="G230" s="581">
        <v>1</v>
      </c>
      <c r="H230" s="581"/>
      <c r="I230" s="581"/>
      <c r="J230" s="581"/>
      <c r="K230" s="581">
        <f>SUM(F230:J230)</f>
        <v>1</v>
      </c>
    </row>
    <row r="231" spans="3:12" ht="16" thickBot="1" x14ac:dyDescent="0.25">
      <c r="C231" s="683"/>
      <c r="D231" s="597" t="s">
        <v>102</v>
      </c>
      <c r="E231" s="598"/>
      <c r="F231" s="599"/>
      <c r="G231" s="600"/>
      <c r="H231" s="600"/>
      <c r="I231" s="600"/>
      <c r="J231" s="600"/>
      <c r="K231" s="600">
        <f>SUM(F231:J231)</f>
        <v>0</v>
      </c>
    </row>
    <row r="232" spans="3:12" ht="17" thickBot="1" x14ac:dyDescent="0.25">
      <c r="C232" s="605"/>
      <c r="D232" s="612" t="s">
        <v>84</v>
      </c>
      <c r="E232" s="613"/>
      <c r="F232" s="614">
        <f>(F228+F231)-F230-F229</f>
        <v>84</v>
      </c>
      <c r="G232" s="615">
        <f>(G228+G231)-G230-G229</f>
        <v>55</v>
      </c>
      <c r="H232" s="616">
        <f>(H228+H231)-H230</f>
        <v>21</v>
      </c>
      <c r="I232" s="615">
        <f>(I228+I231)-I230-I229</f>
        <v>44</v>
      </c>
      <c r="J232" s="622">
        <f>(J228+J231)-J230-J229</f>
        <v>70</v>
      </c>
      <c r="K232" s="617">
        <f>(K228+K231)-K230-K229</f>
        <v>274</v>
      </c>
    </row>
    <row r="233" spans="3:12" ht="16" x14ac:dyDescent="0.2">
      <c r="C233" s="683"/>
      <c r="D233" s="608"/>
      <c r="E233" s="609"/>
      <c r="F233" s="610"/>
      <c r="G233" s="595"/>
      <c r="H233" s="611"/>
      <c r="I233" s="595"/>
      <c r="J233" s="595"/>
      <c r="K233" s="595"/>
    </row>
    <row r="234" spans="3:12" ht="16" thickBot="1" x14ac:dyDescent="0.25">
      <c r="C234" s="606" t="s">
        <v>388</v>
      </c>
      <c r="D234" s="607" t="s">
        <v>103</v>
      </c>
      <c r="E234" s="603" t="s">
        <v>84</v>
      </c>
      <c r="F234" s="602" t="s">
        <v>78</v>
      </c>
      <c r="G234" s="602" t="s">
        <v>79</v>
      </c>
      <c r="H234" s="602" t="s">
        <v>88</v>
      </c>
      <c r="I234" s="601" t="s">
        <v>87</v>
      </c>
      <c r="J234" s="601" t="s">
        <v>85</v>
      </c>
      <c r="K234" s="601" t="s">
        <v>84</v>
      </c>
      <c r="L234" s="174" t="s">
        <v>389</v>
      </c>
    </row>
    <row r="235" spans="3:12" x14ac:dyDescent="0.2">
      <c r="C235" s="589" t="s">
        <v>417</v>
      </c>
      <c r="D235" s="604" t="s">
        <v>105</v>
      </c>
      <c r="E235" s="591">
        <f>(F235+G235+H235+I235+J235)*100+(0*230)</f>
        <v>6400</v>
      </c>
      <c r="F235" s="3">
        <v>23</v>
      </c>
      <c r="G235" s="3">
        <v>16</v>
      </c>
      <c r="H235" s="3">
        <v>7</v>
      </c>
      <c r="I235" s="3">
        <v>2</v>
      </c>
      <c r="J235" s="3">
        <v>16</v>
      </c>
      <c r="K235" s="628">
        <f>SUM(F235:J235)</f>
        <v>64</v>
      </c>
      <c r="L235" s="630">
        <f>K235/4</f>
        <v>16</v>
      </c>
    </row>
    <row r="236" spans="3:12" x14ac:dyDescent="0.2">
      <c r="C236" s="589"/>
      <c r="D236" s="590" t="s">
        <v>390</v>
      </c>
      <c r="E236" s="591">
        <f>(F236+G236+H236+I236+J236)*120</f>
        <v>0</v>
      </c>
      <c r="F236" s="3"/>
      <c r="G236" s="3"/>
      <c r="H236" s="3"/>
      <c r="I236" s="3"/>
      <c r="J236" s="3"/>
      <c r="K236" s="628">
        <f>SUM(F236:J236)</f>
        <v>0</v>
      </c>
      <c r="L236" s="630">
        <f t="shared" ref="L236:L257" si="10">K236/4</f>
        <v>0</v>
      </c>
    </row>
    <row r="237" spans="3:12" x14ac:dyDescent="0.2">
      <c r="C237" s="589"/>
      <c r="D237" s="590" t="s">
        <v>391</v>
      </c>
      <c r="E237" s="591">
        <f>(F237+G237+H237+I237+J237)*120</f>
        <v>0</v>
      </c>
      <c r="F237" s="3"/>
      <c r="G237" s="3"/>
      <c r="H237" s="3"/>
      <c r="I237" s="3"/>
      <c r="J237" s="3"/>
      <c r="K237" s="628">
        <f>SUM(F237:J237)</f>
        <v>0</v>
      </c>
      <c r="L237" s="630">
        <f t="shared" si="10"/>
        <v>0</v>
      </c>
    </row>
    <row r="238" spans="3:12" x14ac:dyDescent="0.2">
      <c r="C238" s="589" t="s">
        <v>406</v>
      </c>
      <c r="D238" s="590" t="s">
        <v>392</v>
      </c>
      <c r="E238" s="591">
        <f>(F238+G238+H238+I238+J238)*120</f>
        <v>2520</v>
      </c>
      <c r="F238" s="3">
        <v>6</v>
      </c>
      <c r="G238" s="3">
        <v>2</v>
      </c>
      <c r="H238" s="3">
        <v>6</v>
      </c>
      <c r="I238" s="3">
        <v>1</v>
      </c>
      <c r="J238" s="3">
        <v>6</v>
      </c>
      <c r="K238" s="628">
        <f>SUM(F238:J238)</f>
        <v>21</v>
      </c>
      <c r="L238" s="630">
        <f t="shared" si="10"/>
        <v>5.25</v>
      </c>
    </row>
    <row r="239" spans="3:12" x14ac:dyDescent="0.2">
      <c r="C239" s="589"/>
      <c r="D239" s="590" t="s">
        <v>425</v>
      </c>
      <c r="E239" s="591">
        <f>(F239+G239+H239+I239+J239)*120</f>
        <v>0</v>
      </c>
      <c r="F239" s="3"/>
      <c r="G239" s="3"/>
      <c r="H239" s="3"/>
      <c r="I239" s="3"/>
      <c r="J239" s="3"/>
      <c r="K239" s="628">
        <f>SUM(F239:J239)</f>
        <v>0</v>
      </c>
      <c r="L239" s="630">
        <f t="shared" si="10"/>
        <v>0</v>
      </c>
    </row>
    <row r="240" spans="3:12" x14ac:dyDescent="0.2">
      <c r="C240" s="589"/>
      <c r="D240" s="590"/>
      <c r="E240" s="591"/>
      <c r="F240" s="3"/>
      <c r="G240" s="3"/>
      <c r="H240" s="3"/>
      <c r="I240" s="3"/>
      <c r="J240" s="3"/>
      <c r="K240" s="628"/>
      <c r="L240" s="630">
        <f t="shared" si="10"/>
        <v>0</v>
      </c>
    </row>
    <row r="241" spans="3:12" x14ac:dyDescent="0.2">
      <c r="C241" s="589" t="s">
        <v>462</v>
      </c>
      <c r="D241" s="590" t="s">
        <v>108</v>
      </c>
      <c r="E241" s="591">
        <f>(F241+G241+H241+J241)*112.7+(I241*119.6)</f>
        <v>4119.3</v>
      </c>
      <c r="F241" s="3">
        <v>9</v>
      </c>
      <c r="G241" s="3">
        <v>5</v>
      </c>
      <c r="H241" s="3">
        <v>4</v>
      </c>
      <c r="I241" s="3">
        <v>9</v>
      </c>
      <c r="J241" s="3">
        <v>9</v>
      </c>
      <c r="K241" s="628">
        <f>SUM(F241:J241)</f>
        <v>36</v>
      </c>
      <c r="L241" s="630">
        <f t="shared" si="10"/>
        <v>9</v>
      </c>
    </row>
    <row r="242" spans="3:12" x14ac:dyDescent="0.2">
      <c r="C242" s="589" t="s">
        <v>461</v>
      </c>
      <c r="D242" s="590" t="s">
        <v>393</v>
      </c>
      <c r="E242" s="591">
        <f>(F242+G242+H242+J242)*112.7+(I242*119.6)</f>
        <v>2725.5</v>
      </c>
      <c r="F242" s="3">
        <v>6</v>
      </c>
      <c r="G242" s="3">
        <v>5</v>
      </c>
      <c r="H242" s="3">
        <v>4</v>
      </c>
      <c r="I242" s="3">
        <v>3</v>
      </c>
      <c r="J242" s="3">
        <v>6</v>
      </c>
      <c r="K242" s="628">
        <f>SUM(F242:J242)</f>
        <v>24</v>
      </c>
      <c r="L242" s="630">
        <f t="shared" si="10"/>
        <v>6</v>
      </c>
    </row>
    <row r="243" spans="3:12" x14ac:dyDescent="0.2">
      <c r="C243" s="589" t="s">
        <v>460</v>
      </c>
      <c r="D243" s="590" t="s">
        <v>216</v>
      </c>
      <c r="E243" s="591">
        <f>(F243+G243+H243+J243)*112.7+(I243*119.6)</f>
        <v>3781.2</v>
      </c>
      <c r="F243" s="3">
        <v>9</v>
      </c>
      <c r="G243" s="3">
        <v>9</v>
      </c>
      <c r="H243" s="3"/>
      <c r="I243" s="3">
        <v>9</v>
      </c>
      <c r="J243" s="3">
        <v>6</v>
      </c>
      <c r="K243" s="628">
        <f>SUM(F243:J243)</f>
        <v>33</v>
      </c>
      <c r="L243" s="630">
        <f t="shared" si="10"/>
        <v>8.25</v>
      </c>
    </row>
    <row r="244" spans="3:12" x14ac:dyDescent="0.2">
      <c r="C244" s="589"/>
      <c r="D244" s="590"/>
      <c r="E244" s="591"/>
      <c r="F244" s="3"/>
      <c r="G244" s="3"/>
      <c r="H244" s="3"/>
      <c r="I244" s="3"/>
      <c r="J244" s="3"/>
      <c r="K244" s="628"/>
      <c r="L244" s="630">
        <f t="shared" si="10"/>
        <v>0</v>
      </c>
    </row>
    <row r="245" spans="3:12" x14ac:dyDescent="0.2">
      <c r="C245" s="589"/>
      <c r="D245" s="590" t="s">
        <v>394</v>
      </c>
      <c r="E245" s="591">
        <f>(F245+G245+H245+I245+J245)*120</f>
        <v>0</v>
      </c>
      <c r="F245" s="3"/>
      <c r="G245" s="3"/>
      <c r="H245" s="3"/>
      <c r="I245" s="3"/>
      <c r="J245" s="3"/>
      <c r="K245" s="628">
        <f>SUM(F245:J245)</f>
        <v>0</v>
      </c>
      <c r="L245" s="630">
        <f t="shared" si="10"/>
        <v>0</v>
      </c>
    </row>
    <row r="246" spans="3:12" x14ac:dyDescent="0.2">
      <c r="C246" s="589" t="s">
        <v>463</v>
      </c>
      <c r="D246" s="590" t="s">
        <v>110</v>
      </c>
      <c r="E246" s="591">
        <f>(F246+G246+H246+J246)*112.7+(I246*119.6)</f>
        <v>9929.1</v>
      </c>
      <c r="F246" s="3">
        <v>30</v>
      </c>
      <c r="G246" s="3">
        <v>18</v>
      </c>
      <c r="H246" s="3"/>
      <c r="I246" s="3">
        <v>18</v>
      </c>
      <c r="J246" s="3">
        <v>21</v>
      </c>
      <c r="K246" s="628">
        <f>SUM(F246:J246)</f>
        <v>87</v>
      </c>
      <c r="L246" s="630">
        <f t="shared" si="10"/>
        <v>21.75</v>
      </c>
    </row>
    <row r="247" spans="3:12" x14ac:dyDescent="0.2">
      <c r="C247" s="589"/>
      <c r="D247" s="590"/>
      <c r="E247" s="591"/>
      <c r="F247" s="3"/>
      <c r="G247" s="3"/>
      <c r="H247" s="3"/>
      <c r="I247" s="3"/>
      <c r="J247" s="3"/>
      <c r="K247" s="628">
        <f>SUM(F247:J247)</f>
        <v>0</v>
      </c>
      <c r="L247" s="630">
        <f t="shared" si="10"/>
        <v>0</v>
      </c>
    </row>
    <row r="248" spans="3:12" x14ac:dyDescent="0.2">
      <c r="C248" s="589"/>
      <c r="D248" s="590" t="s">
        <v>381</v>
      </c>
      <c r="E248" s="591">
        <f>(F248+G248+H248+I248+J248)*120+(240*0)+(0*45)</f>
        <v>0</v>
      </c>
      <c r="F248" s="3"/>
      <c r="G248" s="3"/>
      <c r="H248" s="3"/>
      <c r="I248" s="3"/>
      <c r="J248" s="3"/>
      <c r="K248" s="628">
        <f>SUM(F248:J248)</f>
        <v>0</v>
      </c>
      <c r="L248" s="630">
        <f t="shared" si="10"/>
        <v>0</v>
      </c>
    </row>
    <row r="249" spans="3:12" x14ac:dyDescent="0.2">
      <c r="C249" s="589"/>
      <c r="D249" s="590" t="s">
        <v>276</v>
      </c>
      <c r="E249" s="591">
        <f>(F249+G249+H249+J249)*112.7+(I249*119.6)</f>
        <v>0</v>
      </c>
      <c r="F249" s="3"/>
      <c r="G249" s="3"/>
      <c r="H249" s="3"/>
      <c r="I249" s="3"/>
      <c r="J249" s="3"/>
      <c r="K249" s="628">
        <f>SUM(F249:J249)</f>
        <v>0</v>
      </c>
      <c r="L249" s="630">
        <f t="shared" si="10"/>
        <v>0</v>
      </c>
    </row>
    <row r="250" spans="3:12" x14ac:dyDescent="0.2">
      <c r="C250" s="589"/>
      <c r="D250" s="590"/>
      <c r="E250" s="591"/>
      <c r="F250" s="3"/>
      <c r="G250" s="3"/>
      <c r="H250" s="3"/>
      <c r="I250" s="3"/>
      <c r="J250" s="3"/>
      <c r="K250" s="628"/>
      <c r="L250" s="630">
        <f t="shared" si="10"/>
        <v>0</v>
      </c>
    </row>
    <row r="251" spans="3:12" x14ac:dyDescent="0.2">
      <c r="C251" s="589"/>
      <c r="D251" s="590" t="s">
        <v>75</v>
      </c>
      <c r="E251" s="591">
        <f>(F251+G251+H251+I251+J251)*120</f>
        <v>0</v>
      </c>
      <c r="F251" s="3"/>
      <c r="G251" s="3"/>
      <c r="H251" s="3"/>
      <c r="I251" s="3"/>
      <c r="J251" s="3"/>
      <c r="K251" s="628">
        <f t="shared" ref="K251:K257" si="11">SUM(F251:J251)</f>
        <v>0</v>
      </c>
      <c r="L251" s="630">
        <f t="shared" si="10"/>
        <v>0</v>
      </c>
    </row>
    <row r="252" spans="3:12" x14ac:dyDescent="0.2">
      <c r="C252" s="589"/>
      <c r="D252" s="590" t="s">
        <v>278</v>
      </c>
      <c r="E252" s="591">
        <f>(F252+G252+H252+I252+J252)*120</f>
        <v>0</v>
      </c>
      <c r="F252" s="3"/>
      <c r="G252" s="3"/>
      <c r="H252" s="3"/>
      <c r="I252" s="3"/>
      <c r="J252" s="3"/>
      <c r="K252" s="628">
        <f t="shared" si="11"/>
        <v>0</v>
      </c>
      <c r="L252" s="630">
        <f t="shared" si="10"/>
        <v>0</v>
      </c>
    </row>
    <row r="253" spans="3:12" x14ac:dyDescent="0.2">
      <c r="C253" s="589"/>
      <c r="D253" s="590" t="s">
        <v>270</v>
      </c>
      <c r="E253" s="591">
        <f>(F253+G253+H253+I253)*112.7+(J253*119.6)</f>
        <v>0</v>
      </c>
      <c r="F253" s="3"/>
      <c r="G253" s="3"/>
      <c r="H253" s="3"/>
      <c r="I253" s="3"/>
      <c r="J253" s="3"/>
      <c r="K253" s="628">
        <f t="shared" si="11"/>
        <v>0</v>
      </c>
      <c r="L253" s="630">
        <f t="shared" si="10"/>
        <v>0</v>
      </c>
    </row>
    <row r="254" spans="3:12" x14ac:dyDescent="0.2">
      <c r="C254" s="589"/>
      <c r="D254" s="590" t="s">
        <v>274</v>
      </c>
      <c r="E254" s="591">
        <f>(F254+G254+H254+I254)*112.7+(J254*119.6)</f>
        <v>0</v>
      </c>
      <c r="F254" s="3"/>
      <c r="G254" s="3"/>
      <c r="H254" s="3"/>
      <c r="I254" s="3"/>
      <c r="J254" s="3"/>
      <c r="K254" s="628">
        <f t="shared" si="11"/>
        <v>0</v>
      </c>
      <c r="L254" s="630">
        <f t="shared" si="10"/>
        <v>0</v>
      </c>
    </row>
    <row r="255" spans="3:12" x14ac:dyDescent="0.2">
      <c r="C255" s="589"/>
      <c r="D255" s="590" t="s">
        <v>395</v>
      </c>
      <c r="E255" s="591">
        <f>(F255+G255+H255+I255)*112.7+(J255*119.6)</f>
        <v>0</v>
      </c>
      <c r="F255" s="3"/>
      <c r="G255" s="3"/>
      <c r="H255" s="3"/>
      <c r="I255" s="3"/>
      <c r="J255" s="3"/>
      <c r="K255" s="628">
        <f t="shared" si="11"/>
        <v>0</v>
      </c>
      <c r="L255" s="630">
        <f t="shared" si="10"/>
        <v>0</v>
      </c>
    </row>
    <row r="256" spans="3:12" x14ac:dyDescent="0.2">
      <c r="C256" s="683"/>
      <c r="D256" s="590" t="s">
        <v>112</v>
      </c>
      <c r="E256" s="591">
        <f>(F256+G256+H256+I256)*112.7+(J256*119.6)</f>
        <v>0</v>
      </c>
      <c r="F256" s="3"/>
      <c r="G256" s="3"/>
      <c r="H256" s="3"/>
      <c r="I256" s="3"/>
      <c r="J256" s="3"/>
      <c r="K256" s="628">
        <f t="shared" si="11"/>
        <v>0</v>
      </c>
      <c r="L256" s="630">
        <f t="shared" si="10"/>
        <v>0</v>
      </c>
    </row>
    <row r="257" spans="3:12" x14ac:dyDescent="0.2">
      <c r="C257" s="683"/>
      <c r="D257" s="590" t="s">
        <v>72</v>
      </c>
      <c r="E257" s="591">
        <f>(F257+G257+H257+I257)*112.7+(J257*119.6)</f>
        <v>0</v>
      </c>
      <c r="F257" s="3"/>
      <c r="G257" s="3"/>
      <c r="H257" s="3"/>
      <c r="I257" s="3"/>
      <c r="J257" s="3"/>
      <c r="K257" s="628">
        <f t="shared" si="11"/>
        <v>0</v>
      </c>
      <c r="L257" s="630">
        <f t="shared" si="10"/>
        <v>0</v>
      </c>
    </row>
    <row r="258" spans="3:12" x14ac:dyDescent="0.2">
      <c r="C258" s="683"/>
      <c r="D258" s="590" t="s">
        <v>187</v>
      </c>
      <c r="E258" s="591"/>
      <c r="F258" s="3">
        <v>1</v>
      </c>
      <c r="G258" s="3"/>
      <c r="H258" s="3"/>
      <c r="I258" s="3">
        <v>2</v>
      </c>
      <c r="J258" s="3">
        <v>6</v>
      </c>
      <c r="K258" s="628">
        <f>SUM(F258:J258)</f>
        <v>9</v>
      </c>
      <c r="L258" s="3"/>
    </row>
    <row r="259" spans="3:12" ht="16" x14ac:dyDescent="0.2">
      <c r="C259" s="683"/>
      <c r="D259" s="590"/>
      <c r="E259" s="592"/>
      <c r="F259" s="3"/>
      <c r="G259" s="3"/>
      <c r="H259" s="3"/>
      <c r="I259" s="3"/>
      <c r="J259" s="3"/>
      <c r="K259" s="628">
        <f>SUM(F259:J259)</f>
        <v>0</v>
      </c>
      <c r="L259" s="3"/>
    </row>
    <row r="260" spans="3:12" ht="17" thickBot="1" x14ac:dyDescent="0.25">
      <c r="C260" s="683"/>
      <c r="D260" s="590"/>
      <c r="E260" s="624"/>
      <c r="F260" s="69"/>
      <c r="G260" s="69"/>
      <c r="H260" s="69"/>
      <c r="I260" s="69"/>
      <c r="J260" s="69"/>
      <c r="K260" s="629"/>
      <c r="L260" s="3"/>
    </row>
    <row r="261" spans="3:12" ht="16" thickBot="1" x14ac:dyDescent="0.25">
      <c r="C261" s="596"/>
      <c r="D261" s="623" t="s">
        <v>19</v>
      </c>
      <c r="E261" s="625">
        <f>SUM(E235:E257)</f>
        <v>29475.1</v>
      </c>
      <c r="F261" s="614">
        <f>SUM(F235:F260)</f>
        <v>84</v>
      </c>
      <c r="G261" s="614">
        <f>SUM(G235:G260)</f>
        <v>55</v>
      </c>
      <c r="H261" s="614">
        <f>SUM(H235:H260)</f>
        <v>21</v>
      </c>
      <c r="I261" s="614">
        <f>SUM(I235:I260)</f>
        <v>44</v>
      </c>
      <c r="J261" s="614">
        <f>SUM(J235:J260)</f>
        <v>70</v>
      </c>
      <c r="K261" s="626">
        <f>SUM(F261:J261)</f>
        <v>274</v>
      </c>
      <c r="L261" s="631">
        <f>SUM(L235:L260)</f>
        <v>66.25</v>
      </c>
    </row>
    <row r="262" spans="3:12" x14ac:dyDescent="0.2">
      <c r="C262" s="596"/>
      <c r="D262" s="593" t="s">
        <v>113</v>
      </c>
      <c r="E262" s="620"/>
      <c r="F262" s="610">
        <f>F232-F261</f>
        <v>0</v>
      </c>
      <c r="G262" s="610">
        <f>G232-G261</f>
        <v>0</v>
      </c>
      <c r="H262" s="610">
        <f>H232-H261</f>
        <v>0</v>
      </c>
      <c r="I262" s="610">
        <f>I232-I261</f>
        <v>0</v>
      </c>
      <c r="J262" s="610">
        <f>J232-J261</f>
        <v>0</v>
      </c>
      <c r="K262" s="636">
        <f>SUM(F262:J262)</f>
        <v>0</v>
      </c>
      <c r="L262" s="3"/>
    </row>
    <row r="263" spans="3:12" x14ac:dyDescent="0.2">
      <c r="C263" s="683"/>
      <c r="D263" s="593" t="s">
        <v>436</v>
      </c>
      <c r="E263" s="594"/>
      <c r="F263" s="581"/>
      <c r="G263" s="581"/>
      <c r="H263" s="581"/>
      <c r="I263" s="581"/>
      <c r="J263" s="581"/>
      <c r="K263" s="637">
        <f>K261+K262</f>
        <v>274</v>
      </c>
      <c r="L263" s="3"/>
    </row>
    <row r="265" spans="3:12" ht="18" x14ac:dyDescent="0.2">
      <c r="C265" s="685" t="s">
        <v>412</v>
      </c>
      <c r="D265" s="582">
        <v>45664</v>
      </c>
      <c r="E265" s="800"/>
      <c r="F265" s="685" t="s">
        <v>83</v>
      </c>
      <c r="G265" s="801" t="s">
        <v>64</v>
      </c>
      <c r="H265" s="802"/>
      <c r="I265" s="802"/>
      <c r="J265" s="802"/>
      <c r="K265" s="803"/>
    </row>
    <row r="266" spans="3:12" x14ac:dyDescent="0.2">
      <c r="C266" s="804"/>
      <c r="D266" s="805"/>
      <c r="E266" s="800"/>
      <c r="F266" s="683" t="s">
        <v>93</v>
      </c>
      <c r="G266" s="683" t="s">
        <v>93</v>
      </c>
      <c r="H266" s="683"/>
      <c r="I266" s="806"/>
      <c r="J266" s="806"/>
      <c r="K266" s="806"/>
    </row>
    <row r="267" spans="3:12" x14ac:dyDescent="0.2">
      <c r="C267" s="804"/>
      <c r="D267" s="805"/>
      <c r="E267" s="800"/>
      <c r="F267" s="683" t="s">
        <v>94</v>
      </c>
      <c r="G267" s="683" t="s">
        <v>95</v>
      </c>
      <c r="H267" s="683" t="s">
        <v>96</v>
      </c>
      <c r="I267" s="806"/>
      <c r="J267" s="806"/>
      <c r="K267" s="806"/>
    </row>
    <row r="268" spans="3:12" x14ac:dyDescent="0.2">
      <c r="C268" s="804"/>
      <c r="D268" s="805"/>
      <c r="E268" s="800"/>
      <c r="F268" s="683"/>
      <c r="G268" s="683"/>
      <c r="H268" s="683"/>
      <c r="I268" s="806"/>
      <c r="J268" s="806"/>
      <c r="K268" s="806"/>
    </row>
    <row r="269" spans="3:12" ht="16" x14ac:dyDescent="0.2">
      <c r="C269" s="683"/>
      <c r="D269" s="583" t="s">
        <v>97</v>
      </c>
      <c r="E269" s="584"/>
      <c r="F269" s="581"/>
      <c r="G269" s="585"/>
      <c r="H269" s="585"/>
      <c r="I269" s="586"/>
      <c r="J269" s="586"/>
      <c r="K269" s="586"/>
    </row>
    <row r="270" spans="3:12" ht="26" x14ac:dyDescent="0.2">
      <c r="C270" s="804"/>
      <c r="D270" s="587"/>
      <c r="E270" s="588"/>
      <c r="F270" s="585" t="s">
        <v>383</v>
      </c>
      <c r="G270" s="585" t="s">
        <v>384</v>
      </c>
      <c r="H270" s="585" t="s">
        <v>385</v>
      </c>
      <c r="I270" s="585" t="s">
        <v>386</v>
      </c>
      <c r="J270" s="585" t="s">
        <v>387</v>
      </c>
      <c r="K270" s="585" t="s">
        <v>84</v>
      </c>
    </row>
    <row r="271" spans="3:12" x14ac:dyDescent="0.2">
      <c r="C271" s="804"/>
      <c r="D271" s="684" t="s">
        <v>167</v>
      </c>
      <c r="E271" s="588"/>
      <c r="F271" s="580">
        <v>11</v>
      </c>
      <c r="G271" s="579">
        <v>8</v>
      </c>
      <c r="H271" s="580"/>
      <c r="I271" s="580">
        <v>5</v>
      </c>
      <c r="J271" s="580">
        <v>9</v>
      </c>
      <c r="K271" s="580">
        <f>SUM(F271:J271)</f>
        <v>33</v>
      </c>
    </row>
    <row r="272" spans="3:12" x14ac:dyDescent="0.2">
      <c r="C272" s="804"/>
      <c r="D272" s="684" t="s">
        <v>207</v>
      </c>
      <c r="E272" s="588"/>
      <c r="F272" s="618">
        <v>77</v>
      </c>
      <c r="G272" s="619">
        <v>56</v>
      </c>
      <c r="H272" s="618"/>
      <c r="I272" s="618">
        <v>55</v>
      </c>
      <c r="J272" s="618">
        <v>77</v>
      </c>
      <c r="K272" s="618">
        <f>SUM(F272:J272)</f>
        <v>265</v>
      </c>
    </row>
    <row r="273" spans="3:12" x14ac:dyDescent="0.2">
      <c r="C273" s="683"/>
      <c r="D273" s="684" t="s">
        <v>100</v>
      </c>
      <c r="E273" s="588"/>
      <c r="F273" s="581"/>
      <c r="G273" s="581"/>
      <c r="H273" s="581"/>
      <c r="I273" s="581"/>
      <c r="J273" s="581"/>
      <c r="K273" s="581">
        <f>SUM(F273:J273)</f>
        <v>0</v>
      </c>
    </row>
    <row r="274" spans="3:12" x14ac:dyDescent="0.2">
      <c r="C274" s="683"/>
      <c r="D274" s="684" t="s">
        <v>101</v>
      </c>
      <c r="E274" s="588"/>
      <c r="F274" s="581"/>
      <c r="G274" s="581">
        <v>1</v>
      </c>
      <c r="H274" s="581"/>
      <c r="I274" s="581"/>
      <c r="J274" s="581"/>
      <c r="K274" s="581">
        <f>SUM(F274:J274)</f>
        <v>1</v>
      </c>
    </row>
    <row r="275" spans="3:12" ht="16" thickBot="1" x14ac:dyDescent="0.25">
      <c r="C275" s="683"/>
      <c r="D275" s="597" t="s">
        <v>102</v>
      </c>
      <c r="E275" s="598"/>
      <c r="F275" s="599"/>
      <c r="G275" s="600"/>
      <c r="H275" s="600"/>
      <c r="I275" s="600"/>
      <c r="J275" s="600"/>
      <c r="K275" s="600">
        <f>SUM(F275:J275)</f>
        <v>0</v>
      </c>
    </row>
    <row r="276" spans="3:12" ht="17" thickBot="1" x14ac:dyDescent="0.25">
      <c r="C276" s="605"/>
      <c r="D276" s="612" t="s">
        <v>84</v>
      </c>
      <c r="E276" s="613"/>
      <c r="F276" s="614">
        <f>(F272+F275)-F274-F273</f>
        <v>77</v>
      </c>
      <c r="G276" s="615">
        <f>(G272+G275)-G274-G273</f>
        <v>55</v>
      </c>
      <c r="H276" s="616">
        <f>(H272+H275)-H274</f>
        <v>0</v>
      </c>
      <c r="I276" s="615">
        <f>(I272+I275)-I274-I273</f>
        <v>55</v>
      </c>
      <c r="J276" s="622">
        <f>(J272+J275)-J274-J273</f>
        <v>77</v>
      </c>
      <c r="K276" s="617">
        <f>(K272+K275)-K274-K273</f>
        <v>264</v>
      </c>
    </row>
    <row r="277" spans="3:12" ht="16" x14ac:dyDescent="0.2">
      <c r="C277" s="683"/>
      <c r="D277" s="608"/>
      <c r="E277" s="609"/>
      <c r="F277" s="610"/>
      <c r="G277" s="595"/>
      <c r="H277" s="611"/>
      <c r="I277" s="595"/>
      <c r="J277" s="595"/>
      <c r="K277" s="595"/>
    </row>
    <row r="278" spans="3:12" ht="16" thickBot="1" x14ac:dyDescent="0.25">
      <c r="C278" s="606" t="s">
        <v>388</v>
      </c>
      <c r="D278" s="607" t="s">
        <v>103</v>
      </c>
      <c r="E278" s="603" t="s">
        <v>84</v>
      </c>
      <c r="F278" s="602" t="s">
        <v>78</v>
      </c>
      <c r="G278" s="602" t="s">
        <v>79</v>
      </c>
      <c r="H278" s="602" t="s">
        <v>88</v>
      </c>
      <c r="I278" s="601" t="s">
        <v>87</v>
      </c>
      <c r="J278" s="601" t="s">
        <v>85</v>
      </c>
      <c r="K278" s="601" t="s">
        <v>84</v>
      </c>
      <c r="L278" s="174" t="s">
        <v>389</v>
      </c>
    </row>
    <row r="279" spans="3:12" x14ac:dyDescent="0.2">
      <c r="C279" s="589"/>
      <c r="D279" s="604" t="s">
        <v>105</v>
      </c>
      <c r="E279" s="591">
        <f>(F279+G279+H279+I279+J279)*100+(0*230)</f>
        <v>0</v>
      </c>
      <c r="F279" s="3"/>
      <c r="G279" s="3"/>
      <c r="H279" s="3"/>
      <c r="I279" s="3"/>
      <c r="J279" s="3"/>
      <c r="K279" s="628">
        <f>SUM(F279:J279)</f>
        <v>0</v>
      </c>
      <c r="L279" s="630">
        <f>K279/4</f>
        <v>0</v>
      </c>
    </row>
    <row r="280" spans="3:12" x14ac:dyDescent="0.2">
      <c r="C280" s="589"/>
      <c r="D280" s="590" t="s">
        <v>390</v>
      </c>
      <c r="E280" s="591">
        <f>(F280+G280+H280+I280+J280)*120</f>
        <v>0</v>
      </c>
      <c r="F280" s="3"/>
      <c r="G280" s="3"/>
      <c r="H280" s="3"/>
      <c r="I280" s="3"/>
      <c r="J280" s="3"/>
      <c r="K280" s="628">
        <f>SUM(F280:J280)</f>
        <v>0</v>
      </c>
      <c r="L280" s="630">
        <f t="shared" ref="L280:L301" si="12">K280/4</f>
        <v>0</v>
      </c>
    </row>
    <row r="281" spans="3:12" x14ac:dyDescent="0.2">
      <c r="C281" s="589"/>
      <c r="D281" s="590" t="s">
        <v>391</v>
      </c>
      <c r="E281" s="591">
        <f>(F281+G281+H281+I281+J281)*120</f>
        <v>0</v>
      </c>
      <c r="F281" s="3"/>
      <c r="G281" s="3"/>
      <c r="H281" s="3"/>
      <c r="I281" s="3"/>
      <c r="J281" s="3"/>
      <c r="K281" s="628">
        <f>SUM(F281:J281)</f>
        <v>0</v>
      </c>
      <c r="L281" s="630">
        <f t="shared" si="12"/>
        <v>0</v>
      </c>
    </row>
    <row r="282" spans="3:12" x14ac:dyDescent="0.2">
      <c r="C282" s="589"/>
      <c r="D282" s="590" t="s">
        <v>392</v>
      </c>
      <c r="E282" s="591">
        <f>(F282+G282+H282+I282+J282)*120</f>
        <v>0</v>
      </c>
      <c r="F282" s="3"/>
      <c r="G282" s="3"/>
      <c r="H282" s="3"/>
      <c r="I282" s="3"/>
      <c r="J282" s="3"/>
      <c r="K282" s="628">
        <f>SUM(F282:J282)</f>
        <v>0</v>
      </c>
      <c r="L282" s="630">
        <f t="shared" si="12"/>
        <v>0</v>
      </c>
    </row>
    <row r="283" spans="3:12" x14ac:dyDescent="0.2">
      <c r="C283" s="589"/>
      <c r="D283" s="590" t="s">
        <v>425</v>
      </c>
      <c r="E283" s="591">
        <f>(F283+G283+H283+I283+J283)*120</f>
        <v>0</v>
      </c>
      <c r="F283" s="3"/>
      <c r="G283" s="3"/>
      <c r="H283" s="3"/>
      <c r="I283" s="3"/>
      <c r="J283" s="3"/>
      <c r="K283" s="628">
        <f>SUM(F283:J283)</f>
        <v>0</v>
      </c>
      <c r="L283" s="630">
        <f t="shared" si="12"/>
        <v>0</v>
      </c>
    </row>
    <row r="284" spans="3:12" x14ac:dyDescent="0.2">
      <c r="C284" s="589"/>
      <c r="D284" s="590"/>
      <c r="E284" s="591"/>
      <c r="F284" s="3"/>
      <c r="G284" s="3"/>
      <c r="H284" s="3"/>
      <c r="I284" s="3"/>
      <c r="J284" s="3"/>
      <c r="K284" s="628"/>
      <c r="L284" s="630">
        <f t="shared" si="12"/>
        <v>0</v>
      </c>
    </row>
    <row r="285" spans="3:12" x14ac:dyDescent="0.2">
      <c r="C285" s="589"/>
      <c r="D285" s="590" t="s">
        <v>108</v>
      </c>
      <c r="E285" s="591">
        <f>(F285+G285+H285+J285)*112.7+(I285*119.6)</f>
        <v>0</v>
      </c>
      <c r="F285" s="3"/>
      <c r="G285" s="3"/>
      <c r="H285" s="3"/>
      <c r="I285" s="3"/>
      <c r="J285" s="3"/>
      <c r="K285" s="628">
        <f>SUM(F285:J285)</f>
        <v>0</v>
      </c>
      <c r="L285" s="630">
        <f t="shared" si="12"/>
        <v>0</v>
      </c>
    </row>
    <row r="286" spans="3:12" x14ac:dyDescent="0.2">
      <c r="C286" s="589"/>
      <c r="D286" s="590" t="s">
        <v>393</v>
      </c>
      <c r="E286" s="591">
        <f>(F286+G286+H286+J286)*112.7+(I286*119.6)</f>
        <v>0</v>
      </c>
      <c r="F286" s="3"/>
      <c r="G286" s="3"/>
      <c r="H286" s="3"/>
      <c r="I286" s="3"/>
      <c r="J286" s="3"/>
      <c r="K286" s="628">
        <f>SUM(F286:J286)</f>
        <v>0</v>
      </c>
      <c r="L286" s="630">
        <f t="shared" si="12"/>
        <v>0</v>
      </c>
    </row>
    <row r="287" spans="3:12" x14ac:dyDescent="0.2">
      <c r="C287" s="589"/>
      <c r="D287" s="590" t="s">
        <v>216</v>
      </c>
      <c r="E287" s="591">
        <f>(F287+G287+H287+J287)*112.7+(I287*119.6)</f>
        <v>0</v>
      </c>
      <c r="F287" s="3"/>
      <c r="G287" s="3"/>
      <c r="H287" s="3"/>
      <c r="I287" s="3"/>
      <c r="J287" s="3"/>
      <c r="K287" s="628">
        <f>SUM(F287:J287)</f>
        <v>0</v>
      </c>
      <c r="L287" s="630">
        <f t="shared" si="12"/>
        <v>0</v>
      </c>
    </row>
    <row r="288" spans="3:12" x14ac:dyDescent="0.2">
      <c r="C288" s="589"/>
      <c r="D288" s="590"/>
      <c r="E288" s="591"/>
      <c r="F288" s="3"/>
      <c r="G288" s="3"/>
      <c r="H288" s="3"/>
      <c r="I288" s="3"/>
      <c r="J288" s="3"/>
      <c r="K288" s="628"/>
      <c r="L288" s="630">
        <f t="shared" si="12"/>
        <v>0</v>
      </c>
    </row>
    <row r="289" spans="3:12" x14ac:dyDescent="0.2">
      <c r="C289" s="589"/>
      <c r="D289" s="590" t="s">
        <v>394</v>
      </c>
      <c r="E289" s="591">
        <f>(F289+G289+H289+I289+J289)*120</f>
        <v>0</v>
      </c>
      <c r="F289" s="3"/>
      <c r="G289" s="3"/>
      <c r="H289" s="3"/>
      <c r="I289" s="3"/>
      <c r="J289" s="3"/>
      <c r="K289" s="628">
        <f>SUM(F289:J289)</f>
        <v>0</v>
      </c>
      <c r="L289" s="630">
        <f t="shared" si="12"/>
        <v>0</v>
      </c>
    </row>
    <row r="290" spans="3:12" x14ac:dyDescent="0.2">
      <c r="C290" s="589"/>
      <c r="D290" s="590" t="s">
        <v>110</v>
      </c>
      <c r="E290" s="591">
        <f>(F290+G290+H290+J290)*112.7+(I290*119.6)</f>
        <v>0</v>
      </c>
      <c r="F290" s="3"/>
      <c r="G290" s="3"/>
      <c r="H290" s="3"/>
      <c r="I290" s="3"/>
      <c r="J290" s="3"/>
      <c r="K290" s="628">
        <f>SUM(F290:J290)</f>
        <v>0</v>
      </c>
      <c r="L290" s="630">
        <f t="shared" si="12"/>
        <v>0</v>
      </c>
    </row>
    <row r="291" spans="3:12" x14ac:dyDescent="0.2">
      <c r="C291" s="589"/>
      <c r="D291" s="590"/>
      <c r="E291" s="591"/>
      <c r="F291" s="3"/>
      <c r="G291" s="3"/>
      <c r="H291" s="3"/>
      <c r="I291" s="3"/>
      <c r="J291" s="3"/>
      <c r="K291" s="628">
        <f>SUM(F291:J291)</f>
        <v>0</v>
      </c>
      <c r="L291" s="630">
        <f t="shared" si="12"/>
        <v>0</v>
      </c>
    </row>
    <row r="292" spans="3:12" x14ac:dyDescent="0.2">
      <c r="C292" s="589"/>
      <c r="D292" s="590" t="s">
        <v>381</v>
      </c>
      <c r="E292" s="591">
        <f>(F292+G292+H292+I292+J292)*120+(240*0)+(0*45)</f>
        <v>0</v>
      </c>
      <c r="F292" s="3"/>
      <c r="G292" s="3"/>
      <c r="H292" s="3"/>
      <c r="I292" s="3"/>
      <c r="J292" s="3"/>
      <c r="K292" s="628">
        <f>SUM(F292:J292)</f>
        <v>0</v>
      </c>
      <c r="L292" s="630">
        <f t="shared" si="12"/>
        <v>0</v>
      </c>
    </row>
    <row r="293" spans="3:12" x14ac:dyDescent="0.2">
      <c r="C293" s="589"/>
      <c r="D293" s="590" t="s">
        <v>276</v>
      </c>
      <c r="E293" s="591">
        <f>(F293+G293+H293+J293)*112.7+(I293*119.6)</f>
        <v>0</v>
      </c>
      <c r="F293" s="3"/>
      <c r="G293" s="3"/>
      <c r="H293" s="3"/>
      <c r="I293" s="3"/>
      <c r="J293" s="3"/>
      <c r="K293" s="628">
        <f>SUM(F293:J293)</f>
        <v>0</v>
      </c>
      <c r="L293" s="630">
        <f t="shared" si="12"/>
        <v>0</v>
      </c>
    </row>
    <row r="294" spans="3:12" x14ac:dyDescent="0.2">
      <c r="C294" s="589"/>
      <c r="D294" s="590"/>
      <c r="E294" s="591"/>
      <c r="F294" s="3"/>
      <c r="G294" s="3"/>
      <c r="H294" s="3"/>
      <c r="I294" s="3"/>
      <c r="J294" s="3"/>
      <c r="K294" s="628"/>
      <c r="L294" s="630">
        <f t="shared" si="12"/>
        <v>0</v>
      </c>
    </row>
    <row r="295" spans="3:12" x14ac:dyDescent="0.2">
      <c r="C295" s="589" t="s">
        <v>418</v>
      </c>
      <c r="D295" s="590" t="s">
        <v>75</v>
      </c>
      <c r="E295" s="591">
        <f>(F295+G295+H295+I295+J295)*120</f>
        <v>1440</v>
      </c>
      <c r="F295" s="3">
        <v>4</v>
      </c>
      <c r="G295" s="3">
        <v>2</v>
      </c>
      <c r="H295" s="3"/>
      <c r="I295" s="3">
        <v>2</v>
      </c>
      <c r="J295" s="3">
        <v>4</v>
      </c>
      <c r="K295" s="628">
        <f t="shared" ref="K295:K301" si="13">SUM(F295:J295)</f>
        <v>12</v>
      </c>
      <c r="L295" s="630">
        <f t="shared" si="12"/>
        <v>3</v>
      </c>
    </row>
    <row r="296" spans="3:12" x14ac:dyDescent="0.2">
      <c r="C296" s="589"/>
      <c r="D296" s="590" t="s">
        <v>278</v>
      </c>
      <c r="E296" s="591">
        <f>(F296+G296+H296+I296+J296)*120</f>
        <v>0</v>
      </c>
      <c r="F296" s="3"/>
      <c r="G296" s="3"/>
      <c r="H296" s="3"/>
      <c r="I296" s="3"/>
      <c r="J296" s="3"/>
      <c r="K296" s="628">
        <f t="shared" si="13"/>
        <v>0</v>
      </c>
      <c r="L296" s="630">
        <f t="shared" si="12"/>
        <v>0</v>
      </c>
    </row>
    <row r="297" spans="3:12" x14ac:dyDescent="0.2">
      <c r="C297" s="589" t="s">
        <v>470</v>
      </c>
      <c r="D297" s="590" t="s">
        <v>270</v>
      </c>
      <c r="E297" s="591">
        <f>(F297+G297+H297+I297)*112.7+(J297*119.6)</f>
        <v>8280</v>
      </c>
      <c r="F297" s="3">
        <v>24</v>
      </c>
      <c r="G297" s="3">
        <v>12</v>
      </c>
      <c r="H297" s="3"/>
      <c r="I297" s="3">
        <v>12</v>
      </c>
      <c r="J297" s="3">
        <v>24</v>
      </c>
      <c r="K297" s="628">
        <f t="shared" si="13"/>
        <v>72</v>
      </c>
      <c r="L297" s="630">
        <f t="shared" si="12"/>
        <v>18</v>
      </c>
    </row>
    <row r="298" spans="3:12" x14ac:dyDescent="0.2">
      <c r="C298" s="589" t="s">
        <v>469</v>
      </c>
      <c r="D298" s="590" t="s">
        <v>274</v>
      </c>
      <c r="E298" s="591">
        <f>(F298+G298+H298+I298)*112.7+(J298*119.6)</f>
        <v>4816.2</v>
      </c>
      <c r="F298" s="3">
        <v>12</v>
      </c>
      <c r="G298" s="3">
        <v>9</v>
      </c>
      <c r="H298" s="3"/>
      <c r="I298" s="3">
        <v>9</v>
      </c>
      <c r="J298" s="3">
        <v>12</v>
      </c>
      <c r="K298" s="628">
        <f t="shared" si="13"/>
        <v>42</v>
      </c>
      <c r="L298" s="630">
        <f t="shared" si="12"/>
        <v>10.5</v>
      </c>
    </row>
    <row r="299" spans="3:12" x14ac:dyDescent="0.2">
      <c r="C299" s="589" t="s">
        <v>468</v>
      </c>
      <c r="D299" s="590" t="s">
        <v>395</v>
      </c>
      <c r="E299" s="591">
        <f>(F299+G299+H299+I299)*112.7+(J299*119.6)</f>
        <v>4816.2</v>
      </c>
      <c r="F299" s="3">
        <v>12</v>
      </c>
      <c r="G299" s="3">
        <v>9</v>
      </c>
      <c r="H299" s="3"/>
      <c r="I299" s="3">
        <v>9</v>
      </c>
      <c r="J299" s="3">
        <v>12</v>
      </c>
      <c r="K299" s="628">
        <f t="shared" si="13"/>
        <v>42</v>
      </c>
      <c r="L299" s="630">
        <f t="shared" si="12"/>
        <v>10.5</v>
      </c>
    </row>
    <row r="300" spans="3:12" x14ac:dyDescent="0.2">
      <c r="C300" s="683">
        <v>1169787500</v>
      </c>
      <c r="D300" s="590" t="s">
        <v>112</v>
      </c>
      <c r="E300" s="591">
        <f>(F300+G300+H300+I300)*112.7+(J300*119.6)</f>
        <v>4816.2</v>
      </c>
      <c r="F300" s="3">
        <v>12</v>
      </c>
      <c r="G300" s="3">
        <v>9</v>
      </c>
      <c r="H300" s="3"/>
      <c r="I300" s="3">
        <v>9</v>
      </c>
      <c r="J300" s="3">
        <v>12</v>
      </c>
      <c r="K300" s="628">
        <f t="shared" si="13"/>
        <v>42</v>
      </c>
      <c r="L300" s="630">
        <f t="shared" si="12"/>
        <v>10.5</v>
      </c>
    </row>
    <row r="301" spans="3:12" x14ac:dyDescent="0.2">
      <c r="C301" s="683">
        <v>1169787498</v>
      </c>
      <c r="D301" s="590" t="s">
        <v>72</v>
      </c>
      <c r="E301" s="591">
        <f>(F301+G301+H301+I301)*112.7+(J301*119.6)</f>
        <v>4126.2000000000007</v>
      </c>
      <c r="F301" s="3">
        <v>10</v>
      </c>
      <c r="G301" s="3">
        <v>10</v>
      </c>
      <c r="H301" s="3"/>
      <c r="I301" s="3">
        <v>6</v>
      </c>
      <c r="J301" s="3">
        <v>10</v>
      </c>
      <c r="K301" s="628">
        <f t="shared" si="13"/>
        <v>36</v>
      </c>
      <c r="L301" s="630">
        <f t="shared" si="12"/>
        <v>9</v>
      </c>
    </row>
    <row r="302" spans="3:12" x14ac:dyDescent="0.2">
      <c r="C302" s="683"/>
      <c r="D302" s="590" t="s">
        <v>187</v>
      </c>
      <c r="E302" s="591"/>
      <c r="F302" s="3"/>
      <c r="G302" s="3">
        <v>2</v>
      </c>
      <c r="H302" s="3"/>
      <c r="I302" s="3"/>
      <c r="J302" s="3">
        <v>3</v>
      </c>
      <c r="K302" s="628">
        <f>SUM(F302:J302)</f>
        <v>5</v>
      </c>
      <c r="L302" s="3"/>
    </row>
    <row r="303" spans="3:12" ht="16" x14ac:dyDescent="0.2">
      <c r="C303" s="683"/>
      <c r="D303" s="590"/>
      <c r="E303" s="592"/>
      <c r="F303" s="3"/>
      <c r="G303" s="3"/>
      <c r="H303" s="3"/>
      <c r="I303" s="3"/>
      <c r="J303" s="3"/>
      <c r="K303" s="628">
        <f>SUM(F303:J303)</f>
        <v>0</v>
      </c>
      <c r="L303" s="3"/>
    </row>
    <row r="304" spans="3:12" ht="17" thickBot="1" x14ac:dyDescent="0.25">
      <c r="C304" s="683"/>
      <c r="D304" s="590"/>
      <c r="E304" s="624"/>
      <c r="F304" s="69"/>
      <c r="G304" s="69"/>
      <c r="H304" s="69"/>
      <c r="I304" s="69"/>
      <c r="J304" s="69"/>
      <c r="K304" s="629"/>
      <c r="L304" s="3"/>
    </row>
    <row r="305" spans="3:12" ht="16" thickBot="1" x14ac:dyDescent="0.25">
      <c r="C305" s="596"/>
      <c r="D305" s="623" t="s">
        <v>19</v>
      </c>
      <c r="E305" s="625">
        <f>SUM(E279:E301)</f>
        <v>28294.800000000003</v>
      </c>
      <c r="F305" s="614">
        <f>SUM(F279:F304)</f>
        <v>74</v>
      </c>
      <c r="G305" s="614">
        <f>SUM(G279:G304)</f>
        <v>53</v>
      </c>
      <c r="H305" s="614">
        <f>SUM(H279:H304)</f>
        <v>0</v>
      </c>
      <c r="I305" s="614">
        <f>SUM(I279:I304)</f>
        <v>47</v>
      </c>
      <c r="J305" s="614">
        <f>SUM(J279:J304)</f>
        <v>77</v>
      </c>
      <c r="K305" s="626">
        <f>SUM(F305:J305)</f>
        <v>251</v>
      </c>
      <c r="L305" s="631">
        <f>SUM(L279:L304)</f>
        <v>61.5</v>
      </c>
    </row>
    <row r="306" spans="3:12" x14ac:dyDescent="0.2">
      <c r="C306" s="596"/>
      <c r="D306" s="593" t="s">
        <v>113</v>
      </c>
      <c r="E306" s="620"/>
      <c r="F306" s="610">
        <f>F276-F305</f>
        <v>3</v>
      </c>
      <c r="G306" s="610">
        <f>G276-G305</f>
        <v>2</v>
      </c>
      <c r="H306" s="610">
        <f>H276-H305</f>
        <v>0</v>
      </c>
      <c r="I306" s="610">
        <f>I276-I305</f>
        <v>8</v>
      </c>
      <c r="J306" s="610">
        <f>J276-J305</f>
        <v>0</v>
      </c>
      <c r="K306" s="636">
        <f>SUM(F306:J306)</f>
        <v>13</v>
      </c>
      <c r="L306" s="3"/>
    </row>
    <row r="307" spans="3:12" x14ac:dyDescent="0.2">
      <c r="C307" s="683"/>
      <c r="D307" s="593" t="s">
        <v>436</v>
      </c>
      <c r="E307" s="594"/>
      <c r="F307" s="581"/>
      <c r="G307" s="581"/>
      <c r="H307" s="581"/>
      <c r="I307" s="581"/>
      <c r="J307" s="581"/>
      <c r="K307" s="637">
        <f>K305+K306</f>
        <v>264</v>
      </c>
      <c r="L307" s="3"/>
    </row>
    <row r="309" spans="3:12" ht="18" x14ac:dyDescent="0.2">
      <c r="C309" s="685" t="s">
        <v>412</v>
      </c>
      <c r="D309" s="582">
        <v>45665</v>
      </c>
      <c r="E309" s="800"/>
      <c r="F309" s="685" t="s">
        <v>83</v>
      </c>
      <c r="G309" s="801" t="s">
        <v>65</v>
      </c>
      <c r="H309" s="802"/>
      <c r="I309" s="802"/>
      <c r="J309" s="802"/>
      <c r="K309" s="803"/>
    </row>
    <row r="310" spans="3:12" x14ac:dyDescent="0.2">
      <c r="C310" s="804"/>
      <c r="D310" s="805"/>
      <c r="E310" s="800"/>
      <c r="F310" s="683" t="s">
        <v>93</v>
      </c>
      <c r="G310" s="683" t="s">
        <v>93</v>
      </c>
      <c r="H310" s="683"/>
      <c r="I310" s="806"/>
      <c r="J310" s="806"/>
      <c r="K310" s="806"/>
    </row>
    <row r="311" spans="3:12" x14ac:dyDescent="0.2">
      <c r="C311" s="804"/>
      <c r="D311" s="805"/>
      <c r="E311" s="800"/>
      <c r="F311" s="683" t="s">
        <v>94</v>
      </c>
      <c r="G311" s="683" t="s">
        <v>95</v>
      </c>
      <c r="H311" s="683" t="s">
        <v>96</v>
      </c>
      <c r="I311" s="806"/>
      <c r="J311" s="806"/>
      <c r="K311" s="806"/>
    </row>
    <row r="312" spans="3:12" x14ac:dyDescent="0.2">
      <c r="C312" s="804"/>
      <c r="D312" s="805"/>
      <c r="E312" s="800"/>
      <c r="F312" s="683"/>
      <c r="G312" s="683"/>
      <c r="H312" s="683"/>
      <c r="I312" s="806"/>
      <c r="J312" s="806"/>
      <c r="K312" s="806"/>
    </row>
    <row r="313" spans="3:12" ht="16" x14ac:dyDescent="0.2">
      <c r="C313" s="683"/>
      <c r="D313" s="583" t="s">
        <v>97</v>
      </c>
      <c r="E313" s="584"/>
      <c r="F313" s="581"/>
      <c r="G313" s="585"/>
      <c r="H313" s="585"/>
      <c r="I313" s="586"/>
      <c r="J313" s="586"/>
      <c r="K313" s="586"/>
    </row>
    <row r="314" spans="3:12" ht="26" x14ac:dyDescent="0.2">
      <c r="C314" s="804"/>
      <c r="D314" s="587"/>
      <c r="E314" s="588"/>
      <c r="F314" s="585" t="s">
        <v>383</v>
      </c>
      <c r="G314" s="585" t="s">
        <v>384</v>
      </c>
      <c r="H314" s="585" t="s">
        <v>385</v>
      </c>
      <c r="I314" s="585" t="s">
        <v>386</v>
      </c>
      <c r="J314" s="585" t="s">
        <v>387</v>
      </c>
      <c r="K314" s="585" t="s">
        <v>84</v>
      </c>
    </row>
    <row r="315" spans="3:12" x14ac:dyDescent="0.2">
      <c r="C315" s="804"/>
      <c r="D315" s="684" t="s">
        <v>167</v>
      </c>
      <c r="E315" s="588"/>
      <c r="F315" s="580">
        <v>11</v>
      </c>
      <c r="G315" s="579">
        <v>8</v>
      </c>
      <c r="H315" s="580">
        <v>2</v>
      </c>
      <c r="I315" s="580">
        <v>5</v>
      </c>
      <c r="J315" s="580">
        <v>8</v>
      </c>
      <c r="K315" s="580">
        <f>SUM(F315:J315)</f>
        <v>34</v>
      </c>
    </row>
    <row r="316" spans="3:12" x14ac:dyDescent="0.2">
      <c r="C316" s="804"/>
      <c r="D316" s="684" t="s">
        <v>207</v>
      </c>
      <c r="E316" s="588"/>
      <c r="F316" s="618">
        <v>77</v>
      </c>
      <c r="G316" s="619">
        <v>56</v>
      </c>
      <c r="H316" s="618">
        <v>14</v>
      </c>
      <c r="I316" s="618">
        <v>55</v>
      </c>
      <c r="J316" s="618">
        <v>70</v>
      </c>
      <c r="K316" s="618">
        <f>SUM(F316:J316)</f>
        <v>272</v>
      </c>
    </row>
    <row r="317" spans="3:12" x14ac:dyDescent="0.2">
      <c r="C317" s="683"/>
      <c r="D317" s="684" t="s">
        <v>100</v>
      </c>
      <c r="E317" s="588"/>
      <c r="F317" s="581"/>
      <c r="G317" s="581"/>
      <c r="H317" s="581"/>
      <c r="I317" s="581"/>
      <c r="J317" s="581"/>
      <c r="K317" s="581">
        <f>SUM(F317:J317)</f>
        <v>0</v>
      </c>
    </row>
    <row r="318" spans="3:12" x14ac:dyDescent="0.2">
      <c r="C318" s="683"/>
      <c r="D318" s="684" t="s">
        <v>101</v>
      </c>
      <c r="E318" s="588"/>
      <c r="F318" s="581">
        <v>1</v>
      </c>
      <c r="G318" s="581">
        <v>3</v>
      </c>
      <c r="H318" s="581">
        <v>1</v>
      </c>
      <c r="I318" s="581"/>
      <c r="J318" s="581">
        <v>1</v>
      </c>
      <c r="K318" s="581">
        <f>SUM(F318:J318)</f>
        <v>6</v>
      </c>
    </row>
    <row r="319" spans="3:12" ht="16" thickBot="1" x14ac:dyDescent="0.25">
      <c r="C319" s="683"/>
      <c r="D319" s="597" t="s">
        <v>102</v>
      </c>
      <c r="E319" s="598"/>
      <c r="F319" s="599">
        <v>3</v>
      </c>
      <c r="G319" s="600">
        <v>2</v>
      </c>
      <c r="H319" s="600"/>
      <c r="I319" s="600">
        <v>8</v>
      </c>
      <c r="J319" s="600"/>
      <c r="K319" s="600">
        <f>SUM(F319:J319)</f>
        <v>13</v>
      </c>
    </row>
    <row r="320" spans="3:12" ht="17" thickBot="1" x14ac:dyDescent="0.25">
      <c r="C320" s="605"/>
      <c r="D320" s="612" t="s">
        <v>84</v>
      </c>
      <c r="E320" s="613"/>
      <c r="F320" s="614">
        <f>(F316+F319)-F318-F317</f>
        <v>79</v>
      </c>
      <c r="G320" s="615">
        <f>(G316+G319)-G318-G317</f>
        <v>55</v>
      </c>
      <c r="H320" s="616">
        <f>(H316+H319)-H318</f>
        <v>13</v>
      </c>
      <c r="I320" s="615">
        <f>(I316+I319)-I318-I317</f>
        <v>63</v>
      </c>
      <c r="J320" s="622">
        <f>(J316+J319)-J318-J317</f>
        <v>69</v>
      </c>
      <c r="K320" s="617">
        <f>(K316+K319)-K318-K317</f>
        <v>279</v>
      </c>
    </row>
    <row r="321" spans="3:12" ht="16" x14ac:dyDescent="0.2">
      <c r="C321" s="683"/>
      <c r="D321" s="608"/>
      <c r="E321" s="609"/>
      <c r="F321" s="610"/>
      <c r="G321" s="595"/>
      <c r="H321" s="611"/>
      <c r="I321" s="595"/>
      <c r="J321" s="595"/>
      <c r="K321" s="595"/>
    </row>
    <row r="322" spans="3:12" ht="16" thickBot="1" x14ac:dyDescent="0.25">
      <c r="C322" s="606" t="s">
        <v>388</v>
      </c>
      <c r="D322" s="607" t="s">
        <v>103</v>
      </c>
      <c r="E322" s="603" t="s">
        <v>84</v>
      </c>
      <c r="F322" s="602" t="s">
        <v>78</v>
      </c>
      <c r="G322" s="602" t="s">
        <v>79</v>
      </c>
      <c r="H322" s="602" t="s">
        <v>88</v>
      </c>
      <c r="I322" s="601" t="s">
        <v>87</v>
      </c>
      <c r="J322" s="601" t="s">
        <v>85</v>
      </c>
      <c r="K322" s="601" t="s">
        <v>84</v>
      </c>
      <c r="L322" s="174" t="s">
        <v>389</v>
      </c>
    </row>
    <row r="323" spans="3:12" x14ac:dyDescent="0.2">
      <c r="C323" s="589"/>
      <c r="D323" s="604" t="s">
        <v>105</v>
      </c>
      <c r="E323" s="591">
        <f>(F323+G323+H323+I323+J323)*100+(0*230)</f>
        <v>4500</v>
      </c>
      <c r="F323" s="3">
        <v>12</v>
      </c>
      <c r="G323" s="3">
        <v>9</v>
      </c>
      <c r="H323" s="3">
        <v>6</v>
      </c>
      <c r="I323" s="3">
        <v>6</v>
      </c>
      <c r="J323" s="3">
        <v>12</v>
      </c>
      <c r="K323" s="628">
        <f>SUM(F323:J323)</f>
        <v>45</v>
      </c>
      <c r="L323" s="630">
        <f>K323/4</f>
        <v>11.25</v>
      </c>
    </row>
    <row r="324" spans="3:12" x14ac:dyDescent="0.2">
      <c r="C324" s="589"/>
      <c r="D324" s="590" t="s">
        <v>390</v>
      </c>
      <c r="E324" s="591">
        <f>(F324+G324+H324+I324+J324)*120</f>
        <v>1440</v>
      </c>
      <c r="F324" s="3">
        <v>3</v>
      </c>
      <c r="G324" s="3">
        <v>2</v>
      </c>
      <c r="H324" s="3">
        <v>2</v>
      </c>
      <c r="I324" s="3">
        <v>3</v>
      </c>
      <c r="J324" s="3">
        <v>2</v>
      </c>
      <c r="K324" s="628">
        <f>SUM(F324:J324)</f>
        <v>12</v>
      </c>
      <c r="L324" s="630">
        <f t="shared" ref="L324:L345" si="14">K324/4</f>
        <v>3</v>
      </c>
    </row>
    <row r="325" spans="3:12" x14ac:dyDescent="0.2">
      <c r="C325" s="589"/>
      <c r="D325" s="590" t="s">
        <v>391</v>
      </c>
      <c r="E325" s="591">
        <f>(F325+G325+H325+I325+J325)*120</f>
        <v>0</v>
      </c>
      <c r="F325" s="3"/>
      <c r="G325" s="3"/>
      <c r="H325" s="3"/>
      <c r="I325" s="3"/>
      <c r="J325" s="3"/>
      <c r="K325" s="628">
        <f>SUM(F325:J325)</f>
        <v>0</v>
      </c>
      <c r="L325" s="630">
        <f t="shared" si="14"/>
        <v>0</v>
      </c>
    </row>
    <row r="326" spans="3:12" x14ac:dyDescent="0.2">
      <c r="C326" s="589"/>
      <c r="D326" s="590" t="s">
        <v>392</v>
      </c>
      <c r="E326" s="591">
        <f>(F326+G326+H326+I326+J326)*120</f>
        <v>0</v>
      </c>
      <c r="F326" s="3"/>
      <c r="G326" s="3"/>
      <c r="H326" s="3"/>
      <c r="I326" s="3"/>
      <c r="J326" s="3"/>
      <c r="K326" s="628">
        <f>SUM(F326:J326)</f>
        <v>0</v>
      </c>
      <c r="L326" s="630">
        <f t="shared" si="14"/>
        <v>0</v>
      </c>
    </row>
    <row r="327" spans="3:12" x14ac:dyDescent="0.2">
      <c r="C327" s="589"/>
      <c r="D327" s="590" t="s">
        <v>425</v>
      </c>
      <c r="E327" s="591">
        <f>(F327+G327+H327+I327+J327)*120</f>
        <v>0</v>
      </c>
      <c r="F327" s="3"/>
      <c r="G327" s="3"/>
      <c r="H327" s="3"/>
      <c r="I327" s="3"/>
      <c r="J327" s="3"/>
      <c r="K327" s="628">
        <f>SUM(F327:J327)</f>
        <v>0</v>
      </c>
      <c r="L327" s="630">
        <f t="shared" si="14"/>
        <v>0</v>
      </c>
    </row>
    <row r="328" spans="3:12" x14ac:dyDescent="0.2">
      <c r="C328" s="589"/>
      <c r="D328" s="590"/>
      <c r="E328" s="591"/>
      <c r="F328" s="3"/>
      <c r="G328" s="3"/>
      <c r="H328" s="3"/>
      <c r="I328" s="3"/>
      <c r="J328" s="3"/>
      <c r="K328" s="628"/>
      <c r="L328" s="630">
        <f t="shared" si="14"/>
        <v>0</v>
      </c>
    </row>
    <row r="329" spans="3:12" x14ac:dyDescent="0.2">
      <c r="C329" s="589" t="s">
        <v>479</v>
      </c>
      <c r="D329" s="590" t="s">
        <v>108</v>
      </c>
      <c r="E329" s="591">
        <f>(F329+G329+H329+J329)*112.7+(I329*119.6)</f>
        <v>4119.3</v>
      </c>
      <c r="F329" s="3">
        <v>9</v>
      </c>
      <c r="G329" s="3">
        <v>9</v>
      </c>
      <c r="H329" s="3"/>
      <c r="I329" s="3">
        <v>9</v>
      </c>
      <c r="J329" s="3">
        <v>9</v>
      </c>
      <c r="K329" s="628">
        <f>SUM(F329:J329)</f>
        <v>36</v>
      </c>
      <c r="L329" s="630">
        <f t="shared" si="14"/>
        <v>9</v>
      </c>
    </row>
    <row r="330" spans="3:12" x14ac:dyDescent="0.2">
      <c r="C330" s="589" t="s">
        <v>478</v>
      </c>
      <c r="D330" s="590" t="s">
        <v>393</v>
      </c>
      <c r="E330" s="591">
        <f>(F330+G330+H330+J330)*112.7+(I330*119.6)</f>
        <v>2725.5</v>
      </c>
      <c r="F330" s="3">
        <v>6</v>
      </c>
      <c r="G330" s="3">
        <v>5</v>
      </c>
      <c r="H330" s="3">
        <v>4</v>
      </c>
      <c r="I330" s="3">
        <v>3</v>
      </c>
      <c r="J330" s="3">
        <v>6</v>
      </c>
      <c r="K330" s="628">
        <f>SUM(F330:J330)</f>
        <v>24</v>
      </c>
      <c r="L330" s="630">
        <f t="shared" si="14"/>
        <v>6</v>
      </c>
    </row>
    <row r="331" spans="3:12" x14ac:dyDescent="0.2">
      <c r="C331" s="589" t="s">
        <v>477</v>
      </c>
      <c r="D331" s="590" t="s">
        <v>216</v>
      </c>
      <c r="E331" s="591">
        <f>(F331+G331+H331+J331)*112.7+(I331*119.6)</f>
        <v>3443.1000000000004</v>
      </c>
      <c r="F331" s="3">
        <v>6</v>
      </c>
      <c r="G331" s="3">
        <v>9</v>
      </c>
      <c r="H331" s="3"/>
      <c r="I331" s="3">
        <v>9</v>
      </c>
      <c r="J331" s="3">
        <v>6</v>
      </c>
      <c r="K331" s="628">
        <f>SUM(F331:J331)</f>
        <v>30</v>
      </c>
      <c r="L331" s="630">
        <f t="shared" si="14"/>
        <v>7.5</v>
      </c>
    </row>
    <row r="332" spans="3:12" x14ac:dyDescent="0.2">
      <c r="C332" s="589"/>
      <c r="D332" s="590"/>
      <c r="E332" s="591"/>
      <c r="F332" s="3"/>
      <c r="G332" s="3"/>
      <c r="H332" s="3"/>
      <c r="I332" s="3"/>
      <c r="J332" s="3"/>
      <c r="K332" s="628"/>
      <c r="L332" s="630">
        <f t="shared" si="14"/>
        <v>0</v>
      </c>
    </row>
    <row r="333" spans="3:12" x14ac:dyDescent="0.2">
      <c r="C333" s="589"/>
      <c r="D333" s="590" t="s">
        <v>394</v>
      </c>
      <c r="E333" s="591">
        <f>(F333+G333+H333+I333+J333)*120</f>
        <v>0</v>
      </c>
      <c r="F333" s="3"/>
      <c r="G333" s="3"/>
      <c r="H333" s="3"/>
      <c r="I333" s="3"/>
      <c r="J333" s="3"/>
      <c r="K333" s="628">
        <f>SUM(F333:J333)</f>
        <v>0</v>
      </c>
      <c r="L333" s="630">
        <f t="shared" si="14"/>
        <v>0</v>
      </c>
    </row>
    <row r="334" spans="3:12" x14ac:dyDescent="0.2">
      <c r="C334" s="589" t="s">
        <v>480</v>
      </c>
      <c r="D334" s="590" t="s">
        <v>110</v>
      </c>
      <c r="E334" s="591">
        <f>(F334+G334+H334+J334)*112.7+(I334*119.6)</f>
        <v>7859.1</v>
      </c>
      <c r="F334" s="3">
        <v>30</v>
      </c>
      <c r="G334" s="3">
        <v>12</v>
      </c>
      <c r="H334" s="3"/>
      <c r="I334" s="3">
        <v>12</v>
      </c>
      <c r="J334" s="3">
        <v>15</v>
      </c>
      <c r="K334" s="628">
        <f>SUM(F334:J334)</f>
        <v>69</v>
      </c>
      <c r="L334" s="630">
        <f t="shared" si="14"/>
        <v>17.25</v>
      </c>
    </row>
    <row r="335" spans="3:12" x14ac:dyDescent="0.2">
      <c r="C335" s="589"/>
      <c r="D335" s="590"/>
      <c r="E335" s="591"/>
      <c r="F335" s="3"/>
      <c r="G335" s="3"/>
      <c r="H335" s="3"/>
      <c r="I335" s="3"/>
      <c r="J335" s="3"/>
      <c r="K335" s="628">
        <f>SUM(F335:J335)</f>
        <v>0</v>
      </c>
      <c r="L335" s="630">
        <f t="shared" si="14"/>
        <v>0</v>
      </c>
    </row>
    <row r="336" spans="3:12" x14ac:dyDescent="0.2">
      <c r="C336" s="589"/>
      <c r="D336" s="590" t="s">
        <v>381</v>
      </c>
      <c r="E336" s="591">
        <f>(F336+G336+H336+I336+J336)*120+(240*0)+(0*45)</f>
        <v>0</v>
      </c>
      <c r="F336" s="3"/>
      <c r="G336" s="3"/>
      <c r="H336" s="3"/>
      <c r="I336" s="3"/>
      <c r="J336" s="3"/>
      <c r="K336" s="628">
        <f>SUM(F336:J336)</f>
        <v>0</v>
      </c>
      <c r="L336" s="630">
        <f t="shared" si="14"/>
        <v>0</v>
      </c>
    </row>
    <row r="337" spans="3:12" x14ac:dyDescent="0.2">
      <c r="C337" s="589"/>
      <c r="D337" s="590" t="s">
        <v>276</v>
      </c>
      <c r="E337" s="591">
        <f>(F337+G337+H337+J337)*112.7+(I337*119.6)</f>
        <v>0</v>
      </c>
      <c r="F337" s="3"/>
      <c r="G337" s="3"/>
      <c r="H337" s="3"/>
      <c r="I337" s="3"/>
      <c r="J337" s="3"/>
      <c r="K337" s="628">
        <f>SUM(F337:J337)</f>
        <v>0</v>
      </c>
      <c r="L337" s="630">
        <f t="shared" si="14"/>
        <v>0</v>
      </c>
    </row>
    <row r="338" spans="3:12" x14ac:dyDescent="0.2">
      <c r="C338" s="589"/>
      <c r="D338" s="590"/>
      <c r="E338" s="591"/>
      <c r="F338" s="3"/>
      <c r="G338" s="3"/>
      <c r="H338" s="3"/>
      <c r="I338" s="3"/>
      <c r="J338" s="3"/>
      <c r="K338" s="628"/>
      <c r="L338" s="630">
        <f t="shared" si="14"/>
        <v>0</v>
      </c>
    </row>
    <row r="339" spans="3:12" x14ac:dyDescent="0.2">
      <c r="C339" s="589"/>
      <c r="D339" s="590" t="s">
        <v>75</v>
      </c>
      <c r="E339" s="591">
        <f>(F339+G339+H339+I339+J339)*120</f>
        <v>0</v>
      </c>
      <c r="F339" s="3"/>
      <c r="G339" s="3"/>
      <c r="H339" s="3"/>
      <c r="I339" s="3"/>
      <c r="J339" s="3"/>
      <c r="K339" s="628">
        <f t="shared" ref="K339:K345" si="15">SUM(F339:J339)</f>
        <v>0</v>
      </c>
      <c r="L339" s="630">
        <f t="shared" si="14"/>
        <v>0</v>
      </c>
    </row>
    <row r="340" spans="3:12" x14ac:dyDescent="0.2">
      <c r="C340" s="589"/>
      <c r="D340" s="590" t="s">
        <v>278</v>
      </c>
      <c r="E340" s="591">
        <f>(F340+G340+H340+I340+J340)*120</f>
        <v>0</v>
      </c>
      <c r="F340" s="3"/>
      <c r="G340" s="3"/>
      <c r="H340" s="3"/>
      <c r="I340" s="3"/>
      <c r="J340" s="3"/>
      <c r="K340" s="628">
        <f t="shared" si="15"/>
        <v>0</v>
      </c>
      <c r="L340" s="630">
        <f t="shared" si="14"/>
        <v>0</v>
      </c>
    </row>
    <row r="341" spans="3:12" x14ac:dyDescent="0.2">
      <c r="C341" s="589"/>
      <c r="D341" s="590" t="s">
        <v>270</v>
      </c>
      <c r="E341" s="591">
        <f>(F341+G341+H341+I341)*112.7+(J341*119.6)</f>
        <v>0</v>
      </c>
      <c r="F341" s="3"/>
      <c r="G341" s="3"/>
      <c r="H341" s="3"/>
      <c r="I341" s="3"/>
      <c r="J341" s="3"/>
      <c r="K341" s="628">
        <f t="shared" si="15"/>
        <v>0</v>
      </c>
      <c r="L341" s="630">
        <f t="shared" si="14"/>
        <v>0</v>
      </c>
    </row>
    <row r="342" spans="3:12" x14ac:dyDescent="0.2">
      <c r="C342" s="589"/>
      <c r="D342" s="590" t="s">
        <v>274</v>
      </c>
      <c r="E342" s="591">
        <f>(F342+G342+H342+I342)*112.7+(J342*119.6)</f>
        <v>0</v>
      </c>
      <c r="F342" s="3"/>
      <c r="G342" s="3"/>
      <c r="H342" s="3"/>
      <c r="I342" s="3"/>
      <c r="J342" s="3"/>
      <c r="K342" s="628">
        <f t="shared" si="15"/>
        <v>0</v>
      </c>
      <c r="L342" s="630">
        <f t="shared" si="14"/>
        <v>0</v>
      </c>
    </row>
    <row r="343" spans="3:12" x14ac:dyDescent="0.2">
      <c r="C343" s="589"/>
      <c r="D343" s="590" t="s">
        <v>395</v>
      </c>
      <c r="E343" s="591">
        <f>(F343+G343+H343+I343)*112.7+(J343*119.6)</f>
        <v>0</v>
      </c>
      <c r="F343" s="3"/>
      <c r="G343" s="3"/>
      <c r="H343" s="3"/>
      <c r="I343" s="3"/>
      <c r="J343" s="3"/>
      <c r="K343" s="628">
        <f t="shared" si="15"/>
        <v>0</v>
      </c>
      <c r="L343" s="630">
        <f t="shared" si="14"/>
        <v>0</v>
      </c>
    </row>
    <row r="344" spans="3:12" x14ac:dyDescent="0.2">
      <c r="C344" s="683"/>
      <c r="D344" s="590" t="s">
        <v>112</v>
      </c>
      <c r="E344" s="591">
        <f>(F344+G344+H344+I344)*112.7+(J344*119.6)</f>
        <v>0</v>
      </c>
      <c r="F344" s="3"/>
      <c r="G344" s="3"/>
      <c r="H344" s="3"/>
      <c r="I344" s="3"/>
      <c r="J344" s="3"/>
      <c r="K344" s="628">
        <f t="shared" si="15"/>
        <v>0</v>
      </c>
      <c r="L344" s="630">
        <f t="shared" si="14"/>
        <v>0</v>
      </c>
    </row>
    <row r="345" spans="3:12" x14ac:dyDescent="0.2">
      <c r="C345" s="683"/>
      <c r="D345" s="590" t="s">
        <v>72</v>
      </c>
      <c r="E345" s="591">
        <f>(F345+G345+H345+I345)*112.7+(J345*119.6)</f>
        <v>0</v>
      </c>
      <c r="F345" s="3"/>
      <c r="G345" s="3"/>
      <c r="H345" s="3"/>
      <c r="I345" s="3"/>
      <c r="J345" s="3"/>
      <c r="K345" s="628">
        <f t="shared" si="15"/>
        <v>0</v>
      </c>
      <c r="L345" s="630">
        <f t="shared" si="14"/>
        <v>0</v>
      </c>
    </row>
    <row r="346" spans="3:12" x14ac:dyDescent="0.2">
      <c r="C346" s="683"/>
      <c r="D346" s="590" t="s">
        <v>187</v>
      </c>
      <c r="E346" s="591"/>
      <c r="F346" s="3"/>
      <c r="G346" s="3"/>
      <c r="H346" s="3"/>
      <c r="I346" s="3"/>
      <c r="J346" s="3"/>
      <c r="K346" s="628">
        <f>SUM(F346:J346)</f>
        <v>0</v>
      </c>
      <c r="L346" s="3"/>
    </row>
    <row r="347" spans="3:12" ht="16" x14ac:dyDescent="0.2">
      <c r="C347" s="683"/>
      <c r="D347" s="590"/>
      <c r="E347" s="592"/>
      <c r="F347" s="3"/>
      <c r="G347" s="3"/>
      <c r="H347" s="3"/>
      <c r="I347" s="3"/>
      <c r="J347" s="3"/>
      <c r="K347" s="628">
        <f>SUM(F347:J347)</f>
        <v>0</v>
      </c>
      <c r="L347" s="3"/>
    </row>
    <row r="348" spans="3:12" ht="17" thickBot="1" x14ac:dyDescent="0.25">
      <c r="C348" s="683"/>
      <c r="D348" s="590"/>
      <c r="E348" s="624"/>
      <c r="F348" s="69"/>
      <c r="G348" s="69"/>
      <c r="H348" s="69"/>
      <c r="I348" s="69"/>
      <c r="J348" s="69"/>
      <c r="K348" s="629"/>
      <c r="L348" s="3"/>
    </row>
    <row r="349" spans="3:12" ht="16" thickBot="1" x14ac:dyDescent="0.25">
      <c r="C349" s="596"/>
      <c r="D349" s="623" t="s">
        <v>19</v>
      </c>
      <c r="E349" s="625">
        <f>SUM(E323:E345)</f>
        <v>24087</v>
      </c>
      <c r="F349" s="614">
        <f>SUM(F323:F348)</f>
        <v>66</v>
      </c>
      <c r="G349" s="614">
        <f>SUM(G323:G348)</f>
        <v>46</v>
      </c>
      <c r="H349" s="614">
        <f>SUM(H323:H348)</f>
        <v>12</v>
      </c>
      <c r="I349" s="614">
        <f>SUM(I323:I348)</f>
        <v>42</v>
      </c>
      <c r="J349" s="614">
        <f>SUM(J323:J348)</f>
        <v>50</v>
      </c>
      <c r="K349" s="626">
        <f>SUM(F349:J349)</f>
        <v>216</v>
      </c>
      <c r="L349" s="631">
        <f>SUM(L323:L348)</f>
        <v>54</v>
      </c>
    </row>
    <row r="350" spans="3:12" x14ac:dyDescent="0.2">
      <c r="C350" s="596"/>
      <c r="D350" s="593" t="s">
        <v>113</v>
      </c>
      <c r="E350" s="620"/>
      <c r="F350" s="610">
        <f>F320-F349</f>
        <v>13</v>
      </c>
      <c r="G350" s="610">
        <f>G320-G349</f>
        <v>9</v>
      </c>
      <c r="H350" s="610">
        <f>H320-H349</f>
        <v>1</v>
      </c>
      <c r="I350" s="610">
        <f>I320-I349</f>
        <v>21</v>
      </c>
      <c r="J350" s="610">
        <f>J320-J349</f>
        <v>19</v>
      </c>
      <c r="K350" s="636">
        <f>SUM(F350:J350)</f>
        <v>63</v>
      </c>
      <c r="L350" s="3"/>
    </row>
    <row r="351" spans="3:12" x14ac:dyDescent="0.2">
      <c r="C351" s="683"/>
      <c r="D351" s="593" t="s">
        <v>436</v>
      </c>
      <c r="E351" s="594"/>
      <c r="F351" s="581"/>
      <c r="G351" s="581"/>
      <c r="H351" s="581"/>
      <c r="I351" s="581"/>
      <c r="J351" s="581"/>
      <c r="K351" s="637">
        <f>K349+K350</f>
        <v>279</v>
      </c>
      <c r="L351" s="3"/>
    </row>
    <row r="353" spans="3:12" ht="18" x14ac:dyDescent="0.2">
      <c r="C353" s="685" t="s">
        <v>412</v>
      </c>
      <c r="D353" s="582">
        <v>45666</v>
      </c>
      <c r="E353" s="800"/>
      <c r="F353" s="685" t="s">
        <v>83</v>
      </c>
      <c r="G353" s="801" t="s">
        <v>341</v>
      </c>
      <c r="H353" s="802"/>
      <c r="I353" s="802"/>
      <c r="J353" s="802"/>
      <c r="K353" s="803"/>
    </row>
    <row r="354" spans="3:12" x14ac:dyDescent="0.2">
      <c r="C354" s="804"/>
      <c r="D354" s="805"/>
      <c r="E354" s="800"/>
      <c r="F354" s="683" t="s">
        <v>93</v>
      </c>
      <c r="G354" s="683" t="s">
        <v>93</v>
      </c>
      <c r="H354" s="683"/>
      <c r="I354" s="806"/>
      <c r="J354" s="806"/>
      <c r="K354" s="806"/>
    </row>
    <row r="355" spans="3:12" x14ac:dyDescent="0.2">
      <c r="C355" s="804"/>
      <c r="D355" s="805"/>
      <c r="E355" s="800"/>
      <c r="F355" s="683" t="s">
        <v>94</v>
      </c>
      <c r="G355" s="683" t="s">
        <v>95</v>
      </c>
      <c r="H355" s="683" t="s">
        <v>96</v>
      </c>
      <c r="I355" s="806"/>
      <c r="J355" s="806"/>
      <c r="K355" s="806"/>
    </row>
    <row r="356" spans="3:12" x14ac:dyDescent="0.2">
      <c r="C356" s="804"/>
      <c r="D356" s="805"/>
      <c r="E356" s="800"/>
      <c r="F356" s="683"/>
      <c r="G356" s="683"/>
      <c r="H356" s="683"/>
      <c r="I356" s="806"/>
      <c r="J356" s="806"/>
      <c r="K356" s="806"/>
    </row>
    <row r="357" spans="3:12" ht="16" x14ac:dyDescent="0.2">
      <c r="C357" s="683"/>
      <c r="D357" s="583" t="s">
        <v>97</v>
      </c>
      <c r="E357" s="584"/>
      <c r="F357" s="581"/>
      <c r="G357" s="585"/>
      <c r="H357" s="585"/>
      <c r="I357" s="586"/>
      <c r="J357" s="586"/>
      <c r="K357" s="586"/>
    </row>
    <row r="358" spans="3:12" ht="26" x14ac:dyDescent="0.2">
      <c r="C358" s="804"/>
      <c r="D358" s="587"/>
      <c r="E358" s="588"/>
      <c r="F358" s="585" t="s">
        <v>383</v>
      </c>
      <c r="G358" s="585" t="s">
        <v>384</v>
      </c>
      <c r="H358" s="585" t="s">
        <v>385</v>
      </c>
      <c r="I358" s="585" t="s">
        <v>386</v>
      </c>
      <c r="J358" s="585" t="s">
        <v>387</v>
      </c>
      <c r="K358" s="585" t="s">
        <v>84</v>
      </c>
    </row>
    <row r="359" spans="3:12" x14ac:dyDescent="0.2">
      <c r="C359" s="804"/>
      <c r="D359" s="684" t="s">
        <v>167</v>
      </c>
      <c r="E359" s="588"/>
      <c r="F359" s="580"/>
      <c r="G359" s="579"/>
      <c r="H359" s="580"/>
      <c r="I359" s="580"/>
      <c r="J359" s="580"/>
      <c r="K359" s="580">
        <f>SUM(F359:J359)</f>
        <v>0</v>
      </c>
    </row>
    <row r="360" spans="3:12" x14ac:dyDescent="0.2">
      <c r="C360" s="804"/>
      <c r="D360" s="684" t="s">
        <v>207</v>
      </c>
      <c r="E360" s="588"/>
      <c r="F360" s="618"/>
      <c r="G360" s="619"/>
      <c r="H360" s="618"/>
      <c r="I360" s="618"/>
      <c r="J360" s="618"/>
      <c r="K360" s="618">
        <f>SUM(F360:J360)</f>
        <v>0</v>
      </c>
    </row>
    <row r="361" spans="3:12" x14ac:dyDescent="0.2">
      <c r="C361" s="683"/>
      <c r="D361" s="684" t="s">
        <v>100</v>
      </c>
      <c r="E361" s="588"/>
      <c r="F361" s="581"/>
      <c r="G361" s="581"/>
      <c r="H361" s="581"/>
      <c r="I361" s="581"/>
      <c r="J361" s="581"/>
      <c r="K361" s="581">
        <f>SUM(F361:J361)</f>
        <v>0</v>
      </c>
    </row>
    <row r="362" spans="3:12" x14ac:dyDescent="0.2">
      <c r="C362" s="683"/>
      <c r="D362" s="684" t="s">
        <v>101</v>
      </c>
      <c r="E362" s="588"/>
      <c r="F362" s="581">
        <v>3</v>
      </c>
      <c r="G362" s="581"/>
      <c r="H362" s="581"/>
      <c r="I362" s="581"/>
      <c r="J362" s="581"/>
      <c r="K362" s="581">
        <f>SUM(F362:J362)</f>
        <v>3</v>
      </c>
    </row>
    <row r="363" spans="3:12" ht="16" thickBot="1" x14ac:dyDescent="0.25">
      <c r="C363" s="683"/>
      <c r="D363" s="597" t="s">
        <v>102</v>
      </c>
      <c r="E363" s="598"/>
      <c r="F363" s="599">
        <v>22</v>
      </c>
      <c r="G363" s="600">
        <v>17</v>
      </c>
      <c r="H363" s="600">
        <v>1</v>
      </c>
      <c r="I363" s="600">
        <v>26</v>
      </c>
      <c r="J363" s="600">
        <v>17</v>
      </c>
      <c r="K363" s="600">
        <f>SUM(F363:J363)</f>
        <v>83</v>
      </c>
    </row>
    <row r="364" spans="3:12" ht="17" thickBot="1" x14ac:dyDescent="0.25">
      <c r="C364" s="605"/>
      <c r="D364" s="612" t="s">
        <v>84</v>
      </c>
      <c r="E364" s="613"/>
      <c r="F364" s="614">
        <f>(F360+F363)-F362-F361</f>
        <v>19</v>
      </c>
      <c r="G364" s="615">
        <f>(G360+G363)-G362-G361</f>
        <v>17</v>
      </c>
      <c r="H364" s="616">
        <f>(H360+H363)-H362</f>
        <v>1</v>
      </c>
      <c r="I364" s="615">
        <f>(I360+I363)-I362-I361</f>
        <v>26</v>
      </c>
      <c r="J364" s="622">
        <f>(J360+J363)-J362-J361</f>
        <v>17</v>
      </c>
      <c r="K364" s="617">
        <f>(K360+K363)-K362-K361</f>
        <v>80</v>
      </c>
    </row>
    <row r="365" spans="3:12" ht="16" x14ac:dyDescent="0.2">
      <c r="C365" s="683"/>
      <c r="D365" s="608"/>
      <c r="E365" s="609"/>
      <c r="F365" s="610"/>
      <c r="G365" s="595"/>
      <c r="H365" s="611"/>
      <c r="I365" s="595"/>
      <c r="J365" s="595"/>
      <c r="K365" s="595"/>
    </row>
    <row r="366" spans="3:12" ht="16" thickBot="1" x14ac:dyDescent="0.25">
      <c r="C366" s="606" t="s">
        <v>388</v>
      </c>
      <c r="D366" s="607" t="s">
        <v>103</v>
      </c>
      <c r="E366" s="603" t="s">
        <v>84</v>
      </c>
      <c r="F366" s="602" t="s">
        <v>78</v>
      </c>
      <c r="G366" s="602" t="s">
        <v>79</v>
      </c>
      <c r="H366" s="602" t="s">
        <v>88</v>
      </c>
      <c r="I366" s="601" t="s">
        <v>87</v>
      </c>
      <c r="J366" s="601" t="s">
        <v>85</v>
      </c>
      <c r="K366" s="601" t="s">
        <v>84</v>
      </c>
      <c r="L366" s="174" t="s">
        <v>389</v>
      </c>
    </row>
    <row r="367" spans="3:12" x14ac:dyDescent="0.2">
      <c r="C367" s="589"/>
      <c r="D367" s="604" t="s">
        <v>105</v>
      </c>
      <c r="E367" s="591">
        <f>(F367+G367+H367+I367+J367)*100+(0*230)</f>
        <v>0</v>
      </c>
      <c r="F367" s="3"/>
      <c r="G367" s="3"/>
      <c r="H367" s="3"/>
      <c r="I367" s="3"/>
      <c r="J367" s="3"/>
      <c r="K367" s="628">
        <f>SUM(F367:J367)</f>
        <v>0</v>
      </c>
      <c r="L367" s="630">
        <f>K367/4</f>
        <v>0</v>
      </c>
    </row>
    <row r="368" spans="3:12" x14ac:dyDescent="0.2">
      <c r="C368" s="589"/>
      <c r="D368" s="590" t="s">
        <v>390</v>
      </c>
      <c r="E368" s="591">
        <f>(F368+G368+H368+I368+J368)*120</f>
        <v>0</v>
      </c>
      <c r="F368" s="3"/>
      <c r="G368" s="3"/>
      <c r="H368" s="3"/>
      <c r="I368" s="3"/>
      <c r="J368" s="3"/>
      <c r="K368" s="628">
        <f>SUM(F368:J368)</f>
        <v>0</v>
      </c>
      <c r="L368" s="630">
        <f t="shared" ref="L368:L389" si="16">K368/4</f>
        <v>0</v>
      </c>
    </row>
    <row r="369" spans="3:12" x14ac:dyDescent="0.2">
      <c r="C369" s="589"/>
      <c r="D369" s="590" t="s">
        <v>391</v>
      </c>
      <c r="E369" s="591">
        <f>(F369+G369+H369+I369+J369)*120</f>
        <v>0</v>
      </c>
      <c r="F369" s="3"/>
      <c r="G369" s="3"/>
      <c r="H369" s="3"/>
      <c r="I369" s="3"/>
      <c r="J369" s="3"/>
      <c r="K369" s="628">
        <f>SUM(F369:J369)</f>
        <v>0</v>
      </c>
      <c r="L369" s="630">
        <f t="shared" si="16"/>
        <v>0</v>
      </c>
    </row>
    <row r="370" spans="3:12" x14ac:dyDescent="0.2">
      <c r="C370" s="589"/>
      <c r="D370" s="590" t="s">
        <v>392</v>
      </c>
      <c r="E370" s="591">
        <f>(F370+G370+H370+I370+J370)*120</f>
        <v>0</v>
      </c>
      <c r="F370" s="3"/>
      <c r="G370" s="3"/>
      <c r="H370" s="3"/>
      <c r="I370" s="3"/>
      <c r="J370" s="3"/>
      <c r="K370" s="628">
        <f>SUM(F370:J370)</f>
        <v>0</v>
      </c>
      <c r="L370" s="630">
        <f t="shared" si="16"/>
        <v>0</v>
      </c>
    </row>
    <row r="371" spans="3:12" x14ac:dyDescent="0.2">
      <c r="C371" s="589"/>
      <c r="D371" s="590" t="s">
        <v>425</v>
      </c>
      <c r="E371" s="591">
        <f>(F371+G371+H371+I371+J371)*120</f>
        <v>0</v>
      </c>
      <c r="F371" s="3"/>
      <c r="G371" s="3"/>
      <c r="H371" s="3"/>
      <c r="I371" s="3"/>
      <c r="J371" s="3"/>
      <c r="K371" s="628">
        <f>SUM(F371:J371)</f>
        <v>0</v>
      </c>
      <c r="L371" s="630">
        <f t="shared" si="16"/>
        <v>0</v>
      </c>
    </row>
    <row r="372" spans="3:12" x14ac:dyDescent="0.2">
      <c r="C372" s="589"/>
      <c r="D372" s="590"/>
      <c r="E372" s="591"/>
      <c r="F372" s="3"/>
      <c r="G372" s="3"/>
      <c r="H372" s="3"/>
      <c r="I372" s="3"/>
      <c r="J372" s="3"/>
      <c r="K372" s="628"/>
      <c r="L372" s="630">
        <f t="shared" si="16"/>
        <v>0</v>
      </c>
    </row>
    <row r="373" spans="3:12" x14ac:dyDescent="0.2">
      <c r="C373" s="589"/>
      <c r="D373" s="590" t="s">
        <v>108</v>
      </c>
      <c r="E373" s="591">
        <f>(F373+G373+H373+J373)*112.7+(I373*119.6)</f>
        <v>0</v>
      </c>
      <c r="F373" s="3"/>
      <c r="G373" s="3"/>
      <c r="H373" s="3"/>
      <c r="I373" s="3"/>
      <c r="J373" s="3"/>
      <c r="K373" s="628">
        <f>SUM(F373:J373)</f>
        <v>0</v>
      </c>
      <c r="L373" s="630">
        <f t="shared" si="16"/>
        <v>0</v>
      </c>
    </row>
    <row r="374" spans="3:12" x14ac:dyDescent="0.2">
      <c r="C374" s="589"/>
      <c r="D374" s="590" t="s">
        <v>393</v>
      </c>
      <c r="E374" s="591">
        <f>(F374+G374+H374+J374)*112.7+(I374*119.6)</f>
        <v>0</v>
      </c>
      <c r="F374" s="3"/>
      <c r="G374" s="3"/>
      <c r="H374" s="3"/>
      <c r="I374" s="3"/>
      <c r="J374" s="3"/>
      <c r="K374" s="628">
        <f>SUM(F374:J374)</f>
        <v>0</v>
      </c>
      <c r="L374" s="630">
        <f t="shared" si="16"/>
        <v>0</v>
      </c>
    </row>
    <row r="375" spans="3:12" x14ac:dyDescent="0.2">
      <c r="C375" s="589"/>
      <c r="D375" s="590" t="s">
        <v>216</v>
      </c>
      <c r="E375" s="591">
        <f>(F375+G375+H375+J375)*112.7+(I375*119.6)</f>
        <v>0</v>
      </c>
      <c r="F375" s="3"/>
      <c r="G375" s="3"/>
      <c r="H375" s="3"/>
      <c r="I375" s="3"/>
      <c r="J375" s="3"/>
      <c r="K375" s="628">
        <f>SUM(F375:J375)</f>
        <v>0</v>
      </c>
      <c r="L375" s="630">
        <f t="shared" si="16"/>
        <v>0</v>
      </c>
    </row>
    <row r="376" spans="3:12" x14ac:dyDescent="0.2">
      <c r="C376" s="589"/>
      <c r="D376" s="590"/>
      <c r="E376" s="591"/>
      <c r="F376" s="3"/>
      <c r="G376" s="3"/>
      <c r="H376" s="3"/>
      <c r="I376" s="3"/>
      <c r="J376" s="3"/>
      <c r="K376" s="628"/>
      <c r="L376" s="630">
        <f t="shared" si="16"/>
        <v>0</v>
      </c>
    </row>
    <row r="377" spans="3:12" x14ac:dyDescent="0.2">
      <c r="C377" s="589"/>
      <c r="D377" s="590" t="s">
        <v>394</v>
      </c>
      <c r="E377" s="591">
        <f>(F377+G377+H377+I377+J377)*120</f>
        <v>0</v>
      </c>
      <c r="F377" s="3"/>
      <c r="G377" s="3"/>
      <c r="H377" s="3"/>
      <c r="I377" s="3"/>
      <c r="J377" s="3"/>
      <c r="K377" s="628">
        <f>SUM(F377:J377)</f>
        <v>0</v>
      </c>
      <c r="L377" s="630">
        <f t="shared" si="16"/>
        <v>0</v>
      </c>
    </row>
    <row r="378" spans="3:12" x14ac:dyDescent="0.2">
      <c r="C378" s="589"/>
      <c r="D378" s="590" t="s">
        <v>110</v>
      </c>
      <c r="E378" s="591">
        <f>(F378+G378+H378+J378)*112.7+(I378*119.6)</f>
        <v>0</v>
      </c>
      <c r="F378" s="3"/>
      <c r="G378" s="3"/>
      <c r="H378" s="3"/>
      <c r="I378" s="3"/>
      <c r="J378" s="3"/>
      <c r="K378" s="628">
        <f>SUM(F378:J378)</f>
        <v>0</v>
      </c>
      <c r="L378" s="630">
        <f t="shared" si="16"/>
        <v>0</v>
      </c>
    </row>
    <row r="379" spans="3:12" x14ac:dyDescent="0.2">
      <c r="C379" s="589"/>
      <c r="D379" s="590"/>
      <c r="E379" s="591"/>
      <c r="F379" s="3"/>
      <c r="G379" s="3"/>
      <c r="H379" s="3"/>
      <c r="I379" s="3"/>
      <c r="J379" s="3"/>
      <c r="K379" s="628">
        <f>SUM(F379:J379)</f>
        <v>0</v>
      </c>
      <c r="L379" s="630">
        <f t="shared" si="16"/>
        <v>0</v>
      </c>
    </row>
    <row r="380" spans="3:12" x14ac:dyDescent="0.2">
      <c r="C380" s="589" t="s">
        <v>481</v>
      </c>
      <c r="D380" s="590" t="s">
        <v>381</v>
      </c>
      <c r="E380" s="591">
        <f>(F380+G380+H380+I380+J380)*120+(240*3)+(3*45)</f>
        <v>2295</v>
      </c>
      <c r="F380" s="3">
        <v>3</v>
      </c>
      <c r="G380" s="3">
        <v>3</v>
      </c>
      <c r="H380" s="3"/>
      <c r="I380" s="3">
        <v>3</v>
      </c>
      <c r="J380" s="3">
        <v>3</v>
      </c>
      <c r="K380" s="628">
        <f>SUM(F380:J380)</f>
        <v>12</v>
      </c>
      <c r="L380" s="630">
        <f t="shared" si="16"/>
        <v>3</v>
      </c>
    </row>
    <row r="381" spans="3:12" x14ac:dyDescent="0.2">
      <c r="C381" s="589" t="s">
        <v>482</v>
      </c>
      <c r="D381" s="590" t="s">
        <v>276</v>
      </c>
      <c r="E381" s="591">
        <f>(F381+G381+H381+J381)*112.7+(I381*119.6)</f>
        <v>2654.2</v>
      </c>
      <c r="F381" s="3">
        <v>6</v>
      </c>
      <c r="G381" s="3">
        <v>4</v>
      </c>
      <c r="H381" s="3"/>
      <c r="I381" s="3">
        <v>9</v>
      </c>
      <c r="J381" s="3">
        <v>4</v>
      </c>
      <c r="K381" s="628">
        <f>SUM(F381:J381)</f>
        <v>23</v>
      </c>
      <c r="L381" s="630">
        <f t="shared" si="16"/>
        <v>5.75</v>
      </c>
    </row>
    <row r="382" spans="3:12" x14ac:dyDescent="0.2">
      <c r="C382" s="589"/>
      <c r="D382" s="590"/>
      <c r="E382" s="591"/>
      <c r="F382" s="3"/>
      <c r="G382" s="3"/>
      <c r="H382" s="3"/>
      <c r="I382" s="3"/>
      <c r="J382" s="3"/>
      <c r="K382" s="628"/>
      <c r="L382" s="630">
        <f t="shared" si="16"/>
        <v>0</v>
      </c>
    </row>
    <row r="383" spans="3:12" x14ac:dyDescent="0.2">
      <c r="C383" s="589"/>
      <c r="D383" s="590" t="s">
        <v>75</v>
      </c>
      <c r="E383" s="591">
        <f>(F383+G383+H383+I383+J383)*120</f>
        <v>0</v>
      </c>
      <c r="F383" s="3"/>
      <c r="G383" s="3"/>
      <c r="H383" s="3"/>
      <c r="I383" s="3"/>
      <c r="J383" s="3"/>
      <c r="K383" s="628">
        <f t="shared" ref="K383:K389" si="17">SUM(F383:J383)</f>
        <v>0</v>
      </c>
      <c r="L383" s="630">
        <f t="shared" si="16"/>
        <v>0</v>
      </c>
    </row>
    <row r="384" spans="3:12" x14ac:dyDescent="0.2">
      <c r="C384" s="589"/>
      <c r="D384" s="590" t="s">
        <v>278</v>
      </c>
      <c r="E384" s="591">
        <f>(F384+G384+H384+I384+J384)*120</f>
        <v>0</v>
      </c>
      <c r="F384" s="3"/>
      <c r="G384" s="3"/>
      <c r="H384" s="3"/>
      <c r="I384" s="3"/>
      <c r="J384" s="3"/>
      <c r="K384" s="628">
        <f t="shared" si="17"/>
        <v>0</v>
      </c>
      <c r="L384" s="630">
        <f t="shared" si="16"/>
        <v>0</v>
      </c>
    </row>
    <row r="385" spans="3:12" x14ac:dyDescent="0.2">
      <c r="C385" s="589"/>
      <c r="D385" s="590" t="s">
        <v>270</v>
      </c>
      <c r="E385" s="591">
        <f>(F385+G385+H385+I385)*112.7+(J385*119.6)</f>
        <v>0</v>
      </c>
      <c r="F385" s="3"/>
      <c r="G385" s="3"/>
      <c r="H385" s="3"/>
      <c r="I385" s="3"/>
      <c r="J385" s="3"/>
      <c r="K385" s="628">
        <f t="shared" si="17"/>
        <v>0</v>
      </c>
      <c r="L385" s="630">
        <f t="shared" si="16"/>
        <v>0</v>
      </c>
    </row>
    <row r="386" spans="3:12" x14ac:dyDescent="0.2">
      <c r="C386" s="589"/>
      <c r="D386" s="590" t="s">
        <v>274</v>
      </c>
      <c r="E386" s="591">
        <f>(F386+G386+H386+I386)*112.7+(J386*119.6)</f>
        <v>0</v>
      </c>
      <c r="F386" s="3"/>
      <c r="G386" s="3"/>
      <c r="H386" s="3"/>
      <c r="I386" s="3"/>
      <c r="J386" s="3"/>
      <c r="K386" s="628">
        <f t="shared" si="17"/>
        <v>0</v>
      </c>
      <c r="L386" s="630">
        <f t="shared" si="16"/>
        <v>0</v>
      </c>
    </row>
    <row r="387" spans="3:12" x14ac:dyDescent="0.2">
      <c r="C387" s="589"/>
      <c r="D387" s="590" t="s">
        <v>395</v>
      </c>
      <c r="E387" s="591">
        <f>(F387+G387+H387+I387)*112.7+(J387*119.6)</f>
        <v>0</v>
      </c>
      <c r="F387" s="3"/>
      <c r="G387" s="3"/>
      <c r="H387" s="3"/>
      <c r="I387" s="3"/>
      <c r="J387" s="3"/>
      <c r="K387" s="628">
        <f t="shared" si="17"/>
        <v>0</v>
      </c>
      <c r="L387" s="630">
        <f t="shared" si="16"/>
        <v>0</v>
      </c>
    </row>
    <row r="388" spans="3:12" x14ac:dyDescent="0.2">
      <c r="C388" s="683"/>
      <c r="D388" s="590" t="s">
        <v>112</v>
      </c>
      <c r="E388" s="591">
        <f>(F388+G388+H388+I388)*112.7+(J388*119.6)</f>
        <v>0</v>
      </c>
      <c r="F388" s="3"/>
      <c r="G388" s="3"/>
      <c r="H388" s="3"/>
      <c r="I388" s="3"/>
      <c r="J388" s="3"/>
      <c r="K388" s="628">
        <f t="shared" si="17"/>
        <v>0</v>
      </c>
      <c r="L388" s="630">
        <f t="shared" si="16"/>
        <v>0</v>
      </c>
    </row>
    <row r="389" spans="3:12" x14ac:dyDescent="0.2">
      <c r="C389" s="683">
        <v>1169787498</v>
      </c>
      <c r="D389" s="590" t="s">
        <v>72</v>
      </c>
      <c r="E389" s="591">
        <f>(F389+G389+H389+I389)*112.7+(J389*119.6)</f>
        <v>4126.2000000000007</v>
      </c>
      <c r="F389" s="3">
        <v>10</v>
      </c>
      <c r="G389" s="3">
        <v>10</v>
      </c>
      <c r="H389" s="3"/>
      <c r="I389" s="3">
        <v>6</v>
      </c>
      <c r="J389" s="3">
        <v>10</v>
      </c>
      <c r="K389" s="628">
        <f t="shared" si="17"/>
        <v>36</v>
      </c>
      <c r="L389" s="630">
        <f t="shared" si="16"/>
        <v>9</v>
      </c>
    </row>
    <row r="390" spans="3:12" x14ac:dyDescent="0.2">
      <c r="C390" s="683"/>
      <c r="D390" s="590" t="s">
        <v>187</v>
      </c>
      <c r="E390" s="591"/>
      <c r="F390" s="3"/>
      <c r="G390" s="3"/>
      <c r="H390" s="3"/>
      <c r="I390" s="3"/>
      <c r="J390" s="3"/>
      <c r="K390" s="628">
        <f>SUM(F390:J390)</f>
        <v>0</v>
      </c>
      <c r="L390" s="3"/>
    </row>
    <row r="391" spans="3:12" ht="16" x14ac:dyDescent="0.2">
      <c r="C391" s="683"/>
      <c r="D391" s="590"/>
      <c r="E391" s="592"/>
      <c r="F391" s="3"/>
      <c r="G391" s="3"/>
      <c r="H391" s="3"/>
      <c r="I391" s="3"/>
      <c r="J391" s="3"/>
      <c r="K391" s="628">
        <f>SUM(F391:J391)</f>
        <v>0</v>
      </c>
      <c r="L391" s="3"/>
    </row>
    <row r="392" spans="3:12" ht="17" thickBot="1" x14ac:dyDescent="0.25">
      <c r="C392" s="683"/>
      <c r="D392" s="590"/>
      <c r="E392" s="624"/>
      <c r="F392" s="69"/>
      <c r="G392" s="69"/>
      <c r="H392" s="69"/>
      <c r="I392" s="69"/>
      <c r="J392" s="69"/>
      <c r="K392" s="629"/>
      <c r="L392" s="3"/>
    </row>
    <row r="393" spans="3:12" ht="16" thickBot="1" x14ac:dyDescent="0.25">
      <c r="C393" s="596"/>
      <c r="D393" s="623" t="s">
        <v>19</v>
      </c>
      <c r="E393" s="625">
        <f>SUM(E367:E389)</f>
        <v>9075.4000000000015</v>
      </c>
      <c r="F393" s="614">
        <f>SUM(F367:F392)</f>
        <v>19</v>
      </c>
      <c r="G393" s="614">
        <f>SUM(G367:G392)</f>
        <v>17</v>
      </c>
      <c r="H393" s="614">
        <f>SUM(H367:H392)</f>
        <v>0</v>
      </c>
      <c r="I393" s="614">
        <f>SUM(I367:I392)</f>
        <v>18</v>
      </c>
      <c r="J393" s="614">
        <f>SUM(J367:J392)</f>
        <v>17</v>
      </c>
      <c r="K393" s="626">
        <f>SUM(F393:J393)</f>
        <v>71</v>
      </c>
      <c r="L393" s="631">
        <f>SUM(L367:L392)</f>
        <v>17.75</v>
      </c>
    </row>
    <row r="394" spans="3:12" x14ac:dyDescent="0.2">
      <c r="C394" s="596"/>
      <c r="D394" s="593" t="s">
        <v>113</v>
      </c>
      <c r="E394" s="620"/>
      <c r="F394" s="610">
        <f>F364-F393</f>
        <v>0</v>
      </c>
      <c r="G394" s="610">
        <f>G364-G393</f>
        <v>0</v>
      </c>
      <c r="H394" s="610">
        <f>H364-H393</f>
        <v>1</v>
      </c>
      <c r="I394" s="610">
        <f>I364-I393</f>
        <v>8</v>
      </c>
      <c r="J394" s="610">
        <f>J364-J393</f>
        <v>0</v>
      </c>
      <c r="K394" s="636">
        <f>SUM(F394:J394)</f>
        <v>9</v>
      </c>
      <c r="L394" s="3"/>
    </row>
    <row r="395" spans="3:12" x14ac:dyDescent="0.2">
      <c r="C395" s="683"/>
      <c r="D395" s="593" t="s">
        <v>436</v>
      </c>
      <c r="E395" s="594"/>
      <c r="F395" s="581"/>
      <c r="G395" s="581"/>
      <c r="H395" s="581"/>
      <c r="I395" s="581"/>
      <c r="J395" s="581"/>
      <c r="K395" s="637">
        <f>K393+K394</f>
        <v>80</v>
      </c>
      <c r="L395" s="3"/>
    </row>
    <row r="397" spans="3:12" ht="18" x14ac:dyDescent="0.2">
      <c r="C397" s="685" t="s">
        <v>412</v>
      </c>
      <c r="D397" s="582">
        <v>45667</v>
      </c>
      <c r="E397" s="800"/>
      <c r="F397" s="685" t="s">
        <v>83</v>
      </c>
      <c r="G397" s="801" t="s">
        <v>67</v>
      </c>
      <c r="H397" s="802"/>
      <c r="I397" s="802"/>
      <c r="J397" s="802"/>
      <c r="K397" s="803"/>
    </row>
    <row r="398" spans="3:12" x14ac:dyDescent="0.2">
      <c r="C398" s="804"/>
      <c r="D398" s="805"/>
      <c r="E398" s="800"/>
      <c r="F398" s="683" t="s">
        <v>93</v>
      </c>
      <c r="G398" s="683" t="s">
        <v>93</v>
      </c>
      <c r="H398" s="683"/>
      <c r="I398" s="806"/>
      <c r="J398" s="806"/>
      <c r="K398" s="806"/>
    </row>
    <row r="399" spans="3:12" x14ac:dyDescent="0.2">
      <c r="C399" s="804"/>
      <c r="D399" s="805"/>
      <c r="E399" s="800"/>
      <c r="F399" s="683" t="s">
        <v>94</v>
      </c>
      <c r="G399" s="683" t="s">
        <v>95</v>
      </c>
      <c r="H399" s="683" t="s">
        <v>96</v>
      </c>
      <c r="I399" s="806"/>
      <c r="J399" s="806"/>
      <c r="K399" s="806"/>
    </row>
    <row r="400" spans="3:12" x14ac:dyDescent="0.2">
      <c r="C400" s="804"/>
      <c r="D400" s="805"/>
      <c r="E400" s="800"/>
      <c r="F400" s="683"/>
      <c r="G400" s="683"/>
      <c r="H400" s="683"/>
      <c r="I400" s="806"/>
      <c r="J400" s="806"/>
      <c r="K400" s="806"/>
    </row>
    <row r="401" spans="3:12" ht="16" x14ac:dyDescent="0.2">
      <c r="C401" s="683"/>
      <c r="D401" s="583" t="s">
        <v>97</v>
      </c>
      <c r="E401" s="584"/>
      <c r="F401" s="581"/>
      <c r="G401" s="585"/>
      <c r="H401" s="585"/>
      <c r="I401" s="586"/>
      <c r="J401" s="586"/>
      <c r="K401" s="586"/>
    </row>
    <row r="402" spans="3:12" ht="26" x14ac:dyDescent="0.2">
      <c r="C402" s="804"/>
      <c r="D402" s="587"/>
      <c r="E402" s="588"/>
      <c r="F402" s="585" t="s">
        <v>383</v>
      </c>
      <c r="G402" s="585" t="s">
        <v>384</v>
      </c>
      <c r="H402" s="585" t="s">
        <v>385</v>
      </c>
      <c r="I402" s="585" t="s">
        <v>386</v>
      </c>
      <c r="J402" s="585" t="s">
        <v>387</v>
      </c>
      <c r="K402" s="585" t="s">
        <v>84</v>
      </c>
    </row>
    <row r="403" spans="3:12" x14ac:dyDescent="0.2">
      <c r="C403" s="804"/>
      <c r="D403" s="684" t="s">
        <v>167</v>
      </c>
      <c r="E403" s="588"/>
      <c r="F403" s="580">
        <v>13</v>
      </c>
      <c r="G403" s="579">
        <v>10</v>
      </c>
      <c r="H403" s="580">
        <v>7</v>
      </c>
      <c r="I403" s="580">
        <v>6</v>
      </c>
      <c r="J403" s="580">
        <v>12</v>
      </c>
      <c r="K403" s="580">
        <f>SUM(F403:J403)</f>
        <v>48</v>
      </c>
    </row>
    <row r="404" spans="3:12" x14ac:dyDescent="0.2">
      <c r="C404" s="804"/>
      <c r="D404" s="684" t="s">
        <v>207</v>
      </c>
      <c r="E404" s="588"/>
      <c r="F404" s="618">
        <v>90</v>
      </c>
      <c r="G404" s="619">
        <v>70</v>
      </c>
      <c r="H404" s="618">
        <f>21+28</f>
        <v>49</v>
      </c>
      <c r="I404" s="618">
        <v>66</v>
      </c>
      <c r="J404" s="618">
        <v>105</v>
      </c>
      <c r="K404" s="618">
        <f>SUM(F404:J404)</f>
        <v>380</v>
      </c>
    </row>
    <row r="405" spans="3:12" x14ac:dyDescent="0.2">
      <c r="C405" s="683"/>
      <c r="D405" s="684" t="s">
        <v>100</v>
      </c>
      <c r="E405" s="588"/>
      <c r="F405" s="581"/>
      <c r="G405" s="581"/>
      <c r="H405" s="581"/>
      <c r="I405" s="581"/>
      <c r="J405" s="581"/>
      <c r="K405" s="581">
        <f>SUM(F405:J405)</f>
        <v>0</v>
      </c>
    </row>
    <row r="406" spans="3:12" x14ac:dyDescent="0.2">
      <c r="C406" s="683"/>
      <c r="D406" s="684" t="s">
        <v>101</v>
      </c>
      <c r="E406" s="588"/>
      <c r="F406" s="581"/>
      <c r="G406" s="581">
        <v>2</v>
      </c>
      <c r="H406" s="581"/>
      <c r="I406" s="581"/>
      <c r="J406" s="581"/>
      <c r="K406" s="581">
        <f>SUM(F406:J406)</f>
        <v>2</v>
      </c>
    </row>
    <row r="407" spans="3:12" ht="16" thickBot="1" x14ac:dyDescent="0.25">
      <c r="C407" s="683"/>
      <c r="D407" s="597" t="s">
        <v>102</v>
      </c>
      <c r="E407" s="598"/>
      <c r="F407" s="599"/>
      <c r="G407" s="600">
        <v>1</v>
      </c>
      <c r="H407" s="600"/>
      <c r="I407" s="600">
        <v>8</v>
      </c>
      <c r="J407" s="600"/>
      <c r="K407" s="600">
        <f>SUM(F407:J407)</f>
        <v>9</v>
      </c>
    </row>
    <row r="408" spans="3:12" ht="17" thickBot="1" x14ac:dyDescent="0.25">
      <c r="C408" s="605"/>
      <c r="D408" s="612" t="s">
        <v>84</v>
      </c>
      <c r="E408" s="613"/>
      <c r="F408" s="614">
        <f>(F404+F407)-F406-F405</f>
        <v>90</v>
      </c>
      <c r="G408" s="615">
        <f>(G404+G407)-G406-G405</f>
        <v>69</v>
      </c>
      <c r="H408" s="616">
        <f>(H404+H407)-H406</f>
        <v>49</v>
      </c>
      <c r="I408" s="615">
        <f>(I404+I407)-I406-I405</f>
        <v>74</v>
      </c>
      <c r="J408" s="622">
        <f>(J404+J407)-J406-J405</f>
        <v>105</v>
      </c>
      <c r="K408" s="617">
        <f>(K404+K407)-K406-K405</f>
        <v>387</v>
      </c>
    </row>
    <row r="409" spans="3:12" ht="16" x14ac:dyDescent="0.2">
      <c r="C409" s="683"/>
      <c r="D409" s="608"/>
      <c r="E409" s="609"/>
      <c r="F409" s="610"/>
      <c r="G409" s="595"/>
      <c r="H409" s="611"/>
      <c r="I409" s="595"/>
      <c r="J409" s="595"/>
      <c r="K409" s="595"/>
    </row>
    <row r="410" spans="3:12" ht="16" thickBot="1" x14ac:dyDescent="0.25">
      <c r="C410" s="606" t="s">
        <v>388</v>
      </c>
      <c r="D410" s="607" t="s">
        <v>103</v>
      </c>
      <c r="E410" s="603" t="s">
        <v>84</v>
      </c>
      <c r="F410" s="602" t="s">
        <v>78</v>
      </c>
      <c r="G410" s="602" t="s">
        <v>79</v>
      </c>
      <c r="H410" s="602" t="s">
        <v>88</v>
      </c>
      <c r="I410" s="601" t="s">
        <v>87</v>
      </c>
      <c r="J410" s="601" t="s">
        <v>85</v>
      </c>
      <c r="K410" s="601" t="s">
        <v>84</v>
      </c>
      <c r="L410" s="174" t="s">
        <v>389</v>
      </c>
    </row>
    <row r="411" spans="3:12" x14ac:dyDescent="0.2">
      <c r="C411" s="589" t="s">
        <v>502</v>
      </c>
      <c r="D411" s="604" t="s">
        <v>105</v>
      </c>
      <c r="E411" s="591">
        <f>(F411+G411+H411+I411+J411)*100+(0*230)</f>
        <v>5100</v>
      </c>
      <c r="F411" s="3">
        <v>18</v>
      </c>
      <c r="G411" s="3">
        <v>11</v>
      </c>
      <c r="H411" s="3">
        <v>2</v>
      </c>
      <c r="I411" s="3">
        <v>3</v>
      </c>
      <c r="J411" s="3">
        <v>17</v>
      </c>
      <c r="K411" s="628">
        <f>SUM(F411:J411)</f>
        <v>51</v>
      </c>
      <c r="L411" s="630">
        <f>K411/4</f>
        <v>12.75</v>
      </c>
    </row>
    <row r="412" spans="3:12" x14ac:dyDescent="0.2">
      <c r="C412" s="589"/>
      <c r="D412" s="590" t="s">
        <v>390</v>
      </c>
      <c r="E412" s="591">
        <f>(F412+G412+H412+I412+J412)*120</f>
        <v>0</v>
      </c>
      <c r="F412" s="3"/>
      <c r="G412" s="3"/>
      <c r="H412" s="3"/>
      <c r="I412" s="3"/>
      <c r="J412" s="3"/>
      <c r="K412" s="628">
        <f>SUM(F412:J412)</f>
        <v>0</v>
      </c>
      <c r="L412" s="630">
        <f t="shared" ref="L412:L433" si="18">K412/4</f>
        <v>0</v>
      </c>
    </row>
    <row r="413" spans="3:12" x14ac:dyDescent="0.2">
      <c r="C413" s="589" t="s">
        <v>503</v>
      </c>
      <c r="D413" s="590" t="s">
        <v>391</v>
      </c>
      <c r="E413" s="591">
        <f>(F413+G413+H413+I413+J413)*120</f>
        <v>4800</v>
      </c>
      <c r="F413" s="3">
        <v>8</v>
      </c>
      <c r="G413" s="3">
        <v>8</v>
      </c>
      <c r="H413" s="3">
        <v>8</v>
      </c>
      <c r="I413" s="3">
        <v>8</v>
      </c>
      <c r="J413" s="3">
        <v>8</v>
      </c>
      <c r="K413" s="628">
        <f>SUM(F413:J413)</f>
        <v>40</v>
      </c>
      <c r="L413" s="630">
        <f t="shared" si="18"/>
        <v>10</v>
      </c>
    </row>
    <row r="414" spans="3:12" x14ac:dyDescent="0.2">
      <c r="C414" s="589"/>
      <c r="D414" s="590" t="s">
        <v>392</v>
      </c>
      <c r="E414" s="591">
        <f>(F414+G414+H414+I414+J414)*120</f>
        <v>0</v>
      </c>
      <c r="F414" s="3"/>
      <c r="G414" s="3"/>
      <c r="H414" s="3"/>
      <c r="I414" s="3"/>
      <c r="J414" s="3"/>
      <c r="K414" s="628">
        <f>SUM(F414:J414)</f>
        <v>0</v>
      </c>
      <c r="L414" s="630">
        <f t="shared" si="18"/>
        <v>0</v>
      </c>
    </row>
    <row r="415" spans="3:12" x14ac:dyDescent="0.2">
      <c r="C415" s="589"/>
      <c r="D415" s="590" t="s">
        <v>425</v>
      </c>
      <c r="E415" s="591">
        <f>(F415+G415+H415+I415+J415)*120</f>
        <v>0</v>
      </c>
      <c r="F415" s="3"/>
      <c r="G415" s="3"/>
      <c r="H415" s="3"/>
      <c r="I415" s="3"/>
      <c r="J415" s="3"/>
      <c r="K415" s="628">
        <f>SUM(F415:J415)</f>
        <v>0</v>
      </c>
      <c r="L415" s="630">
        <f t="shared" si="18"/>
        <v>0</v>
      </c>
    </row>
    <row r="416" spans="3:12" x14ac:dyDescent="0.2">
      <c r="C416" s="589"/>
      <c r="D416" s="590"/>
      <c r="E416" s="591"/>
      <c r="F416" s="3"/>
      <c r="G416" s="3"/>
      <c r="H416" s="3"/>
      <c r="I416" s="3"/>
      <c r="J416" s="3"/>
      <c r="K416" s="628"/>
      <c r="L416" s="630">
        <f t="shared" si="18"/>
        <v>0</v>
      </c>
    </row>
    <row r="417" spans="3:12" x14ac:dyDescent="0.2">
      <c r="C417" s="589" t="s">
        <v>506</v>
      </c>
      <c r="D417" s="590" t="s">
        <v>108</v>
      </c>
      <c r="E417" s="591">
        <f>(F417+G417+H417+J417)*112.7+(I417*119.6)</f>
        <v>5492.4</v>
      </c>
      <c r="F417" s="3">
        <v>11</v>
      </c>
      <c r="G417" s="3">
        <v>6</v>
      </c>
      <c r="H417" s="3">
        <v>6</v>
      </c>
      <c r="I417" s="3">
        <v>12</v>
      </c>
      <c r="J417" s="3">
        <v>13</v>
      </c>
      <c r="K417" s="628">
        <f>SUM(F417:J417)</f>
        <v>48</v>
      </c>
      <c r="L417" s="630">
        <f t="shared" si="18"/>
        <v>12</v>
      </c>
    </row>
    <row r="418" spans="3:12" x14ac:dyDescent="0.2">
      <c r="C418" s="589" t="s">
        <v>505</v>
      </c>
      <c r="D418" s="590" t="s">
        <v>393</v>
      </c>
      <c r="E418" s="591">
        <f>(F418+G418+H418+J418)*112.7+(I418*119.6)</f>
        <v>3084.3</v>
      </c>
      <c r="F418" s="3">
        <v>6</v>
      </c>
      <c r="G418" s="3">
        <v>5</v>
      </c>
      <c r="H418" s="3">
        <v>4</v>
      </c>
      <c r="I418" s="3">
        <v>6</v>
      </c>
      <c r="J418" s="3">
        <v>6</v>
      </c>
      <c r="K418" s="628">
        <f>SUM(F418:J418)</f>
        <v>27</v>
      </c>
      <c r="L418" s="630">
        <f t="shared" si="18"/>
        <v>6.75</v>
      </c>
    </row>
    <row r="419" spans="3:12" x14ac:dyDescent="0.2">
      <c r="C419" s="589" t="s">
        <v>504</v>
      </c>
      <c r="D419" s="590" t="s">
        <v>216</v>
      </c>
      <c r="E419" s="591">
        <f>(F419+G419+H419+J419)*112.7+(I419*119.6)</f>
        <v>3443.1000000000004</v>
      </c>
      <c r="F419" s="3">
        <v>6</v>
      </c>
      <c r="G419" s="3">
        <v>9</v>
      </c>
      <c r="H419" s="3"/>
      <c r="I419" s="3">
        <v>9</v>
      </c>
      <c r="J419" s="3">
        <v>6</v>
      </c>
      <c r="K419" s="628">
        <f>SUM(F419:J419)</f>
        <v>30</v>
      </c>
      <c r="L419" s="630">
        <f t="shared" si="18"/>
        <v>7.5</v>
      </c>
    </row>
    <row r="420" spans="3:12" x14ac:dyDescent="0.2">
      <c r="C420" s="589"/>
      <c r="D420" s="590"/>
      <c r="E420" s="591"/>
      <c r="F420" s="3"/>
      <c r="G420" s="3"/>
      <c r="H420" s="3"/>
      <c r="I420" s="3"/>
      <c r="J420" s="3"/>
      <c r="K420" s="628"/>
      <c r="L420" s="630">
        <f t="shared" si="18"/>
        <v>0</v>
      </c>
    </row>
    <row r="421" spans="3:12" x14ac:dyDescent="0.2">
      <c r="C421" s="589" t="s">
        <v>502</v>
      </c>
      <c r="D421" s="590" t="s">
        <v>394</v>
      </c>
      <c r="E421" s="591">
        <f>(F421+G421+H421+I421+J421)*120</f>
        <v>4200</v>
      </c>
      <c r="F421" s="3">
        <v>10</v>
      </c>
      <c r="G421" s="3">
        <v>5</v>
      </c>
      <c r="H421" s="3">
        <v>5</v>
      </c>
      <c r="I421" s="3">
        <v>5</v>
      </c>
      <c r="J421" s="3">
        <v>10</v>
      </c>
      <c r="K421" s="628">
        <f>SUM(F421:J421)</f>
        <v>35</v>
      </c>
      <c r="L421" s="630">
        <f t="shared" si="18"/>
        <v>8.75</v>
      </c>
    </row>
    <row r="422" spans="3:12" x14ac:dyDescent="0.2">
      <c r="C422" s="589" t="s">
        <v>507</v>
      </c>
      <c r="D422" s="590" t="s">
        <v>110</v>
      </c>
      <c r="E422" s="591">
        <f>(F422+G422+H422+J422)*112.7+(I422*119.6)</f>
        <v>10964.1</v>
      </c>
      <c r="F422" s="3">
        <v>30</v>
      </c>
      <c r="G422" s="3">
        <v>21</v>
      </c>
      <c r="H422" s="3"/>
      <c r="I422" s="3">
        <v>21</v>
      </c>
      <c r="J422" s="3">
        <v>24</v>
      </c>
      <c r="K422" s="628">
        <f>SUM(F422:J422)</f>
        <v>96</v>
      </c>
      <c r="L422" s="630">
        <f t="shared" si="18"/>
        <v>24</v>
      </c>
    </row>
    <row r="423" spans="3:12" x14ac:dyDescent="0.2">
      <c r="C423" s="589"/>
      <c r="D423" s="590"/>
      <c r="E423" s="591"/>
      <c r="F423" s="3"/>
      <c r="G423" s="3"/>
      <c r="H423" s="3"/>
      <c r="I423" s="3"/>
      <c r="J423" s="3"/>
      <c r="K423" s="628">
        <f>SUM(F423:J423)</f>
        <v>0</v>
      </c>
      <c r="L423" s="630">
        <f t="shared" si="18"/>
        <v>0</v>
      </c>
    </row>
    <row r="424" spans="3:12" x14ac:dyDescent="0.2">
      <c r="C424" s="589"/>
      <c r="D424" s="590" t="s">
        <v>381</v>
      </c>
      <c r="E424" s="591">
        <f>(F424+G424+H424+I424+J424)*120+(240*0)+(0*45)</f>
        <v>0</v>
      </c>
      <c r="F424" s="3"/>
      <c r="G424" s="3"/>
      <c r="H424" s="3"/>
      <c r="I424" s="3"/>
      <c r="J424" s="3"/>
      <c r="K424" s="628">
        <f>SUM(F424:J424)</f>
        <v>0</v>
      </c>
      <c r="L424" s="630">
        <f t="shared" si="18"/>
        <v>0</v>
      </c>
    </row>
    <row r="425" spans="3:12" x14ac:dyDescent="0.2">
      <c r="C425" s="589"/>
      <c r="D425" s="590" t="s">
        <v>276</v>
      </c>
      <c r="E425" s="591">
        <f>(F425+G425+H425+J425)*112.7+(I425*119.6)</f>
        <v>0</v>
      </c>
      <c r="F425" s="3"/>
      <c r="G425" s="3"/>
      <c r="H425" s="3"/>
      <c r="I425" s="3"/>
      <c r="J425" s="3"/>
      <c r="K425" s="628">
        <f>SUM(F425:J425)</f>
        <v>0</v>
      </c>
      <c r="L425" s="630">
        <f t="shared" si="18"/>
        <v>0</v>
      </c>
    </row>
    <row r="426" spans="3:12" x14ac:dyDescent="0.2">
      <c r="C426" s="589"/>
      <c r="D426" s="590"/>
      <c r="E426" s="591"/>
      <c r="F426" s="3"/>
      <c r="G426" s="3"/>
      <c r="H426" s="3"/>
      <c r="I426" s="3"/>
      <c r="J426" s="3"/>
      <c r="K426" s="628"/>
      <c r="L426" s="630">
        <f t="shared" si="18"/>
        <v>0</v>
      </c>
    </row>
    <row r="427" spans="3:12" x14ac:dyDescent="0.2">
      <c r="C427" s="589"/>
      <c r="D427" s="590" t="s">
        <v>75</v>
      </c>
      <c r="E427" s="591">
        <f>(F427+G427+H427+I427+J427)*120</f>
        <v>0</v>
      </c>
      <c r="F427" s="3"/>
      <c r="G427" s="3"/>
      <c r="H427" s="3"/>
      <c r="I427" s="3"/>
      <c r="J427" s="3"/>
      <c r="K427" s="628">
        <f t="shared" ref="K427:K433" si="19">SUM(F427:J427)</f>
        <v>0</v>
      </c>
      <c r="L427" s="630">
        <f t="shared" si="18"/>
        <v>0</v>
      </c>
    </row>
    <row r="428" spans="3:12" x14ac:dyDescent="0.2">
      <c r="C428" s="589"/>
      <c r="D428" s="590" t="s">
        <v>278</v>
      </c>
      <c r="E428" s="591">
        <f>(F428+G428+H428+I428+J428)*120</f>
        <v>0</v>
      </c>
      <c r="F428" s="3"/>
      <c r="G428" s="3"/>
      <c r="H428" s="3"/>
      <c r="I428" s="3"/>
      <c r="J428" s="3"/>
      <c r="K428" s="628">
        <f t="shared" si="19"/>
        <v>0</v>
      </c>
      <c r="L428" s="630">
        <f t="shared" si="18"/>
        <v>0</v>
      </c>
    </row>
    <row r="429" spans="3:12" x14ac:dyDescent="0.2">
      <c r="C429" s="589"/>
      <c r="D429" s="590" t="s">
        <v>270</v>
      </c>
      <c r="E429" s="591">
        <f>(F429+G429+H429+I429)*112.7+(J429*119.6)</f>
        <v>0</v>
      </c>
      <c r="F429" s="3"/>
      <c r="G429" s="3"/>
      <c r="H429" s="3"/>
      <c r="I429" s="3"/>
      <c r="J429" s="3"/>
      <c r="K429" s="628">
        <f t="shared" si="19"/>
        <v>0</v>
      </c>
      <c r="L429" s="630">
        <f t="shared" si="18"/>
        <v>0</v>
      </c>
    </row>
    <row r="430" spans="3:12" x14ac:dyDescent="0.2">
      <c r="C430" s="589"/>
      <c r="D430" s="590" t="s">
        <v>274</v>
      </c>
      <c r="E430" s="591">
        <f>(F430+G430+H430+I430)*112.7+(J430*119.6)</f>
        <v>0</v>
      </c>
      <c r="F430" s="3"/>
      <c r="G430" s="3"/>
      <c r="H430" s="3"/>
      <c r="I430" s="3"/>
      <c r="J430" s="3"/>
      <c r="K430" s="628">
        <f t="shared" si="19"/>
        <v>0</v>
      </c>
      <c r="L430" s="630">
        <f t="shared" si="18"/>
        <v>0</v>
      </c>
    </row>
    <row r="431" spans="3:12" x14ac:dyDescent="0.2">
      <c r="C431" s="589"/>
      <c r="D431" s="590" t="s">
        <v>395</v>
      </c>
      <c r="E431" s="591">
        <f>(F431+G431+H431+I431)*112.7+(J431*119.6)</f>
        <v>0</v>
      </c>
      <c r="F431" s="3"/>
      <c r="G431" s="3"/>
      <c r="H431" s="3"/>
      <c r="I431" s="3"/>
      <c r="J431" s="3"/>
      <c r="K431" s="628">
        <f t="shared" si="19"/>
        <v>0</v>
      </c>
      <c r="L431" s="630">
        <f t="shared" si="18"/>
        <v>0</v>
      </c>
    </row>
    <row r="432" spans="3:12" x14ac:dyDescent="0.2">
      <c r="C432" s="683"/>
      <c r="D432" s="590" t="s">
        <v>112</v>
      </c>
      <c r="E432" s="591">
        <f>(F432+G432+H432+I432)*112.7+(J432*119.6)</f>
        <v>0</v>
      </c>
      <c r="F432" s="3"/>
      <c r="G432" s="3"/>
      <c r="H432" s="3"/>
      <c r="I432" s="3"/>
      <c r="J432" s="3"/>
      <c r="K432" s="628">
        <f t="shared" si="19"/>
        <v>0</v>
      </c>
      <c r="L432" s="630">
        <f t="shared" si="18"/>
        <v>0</v>
      </c>
    </row>
    <row r="433" spans="3:12" x14ac:dyDescent="0.2">
      <c r="C433" s="683"/>
      <c r="D433" s="590" t="s">
        <v>72</v>
      </c>
      <c r="E433" s="591">
        <f>(F433+G433+H433+I433)*112.7+(J433*119.6)</f>
        <v>0</v>
      </c>
      <c r="F433" s="3"/>
      <c r="G433" s="3"/>
      <c r="H433" s="3"/>
      <c r="I433" s="3"/>
      <c r="J433" s="3"/>
      <c r="K433" s="628">
        <f t="shared" si="19"/>
        <v>0</v>
      </c>
      <c r="L433" s="630">
        <f t="shared" si="18"/>
        <v>0</v>
      </c>
    </row>
    <row r="434" spans="3:12" x14ac:dyDescent="0.2">
      <c r="C434" s="683"/>
      <c r="D434" s="590" t="s">
        <v>187</v>
      </c>
      <c r="E434" s="591"/>
      <c r="F434" s="3">
        <v>1</v>
      </c>
      <c r="G434" s="3">
        <v>2</v>
      </c>
      <c r="H434" s="3">
        <v>2</v>
      </c>
      <c r="I434" s="3"/>
      <c r="J434" s="3">
        <v>10</v>
      </c>
      <c r="K434" s="628">
        <f>SUM(F434:J434)</f>
        <v>15</v>
      </c>
      <c r="L434" s="3"/>
    </row>
    <row r="435" spans="3:12" ht="16" x14ac:dyDescent="0.2">
      <c r="C435" s="683"/>
      <c r="D435" s="590" t="s">
        <v>501</v>
      </c>
      <c r="E435" s="592"/>
      <c r="F435" s="3"/>
      <c r="G435" s="3">
        <v>1</v>
      </c>
      <c r="H435" s="3">
        <v>2</v>
      </c>
      <c r="I435" s="3">
        <v>2</v>
      </c>
      <c r="J435" s="3">
        <v>6</v>
      </c>
      <c r="K435" s="628">
        <f>SUM(F435:J435)</f>
        <v>11</v>
      </c>
      <c r="L435" s="3"/>
    </row>
    <row r="436" spans="3:12" ht="17" thickBot="1" x14ac:dyDescent="0.25">
      <c r="C436" s="683"/>
      <c r="D436" s="590"/>
      <c r="E436" s="624"/>
      <c r="F436" s="69"/>
      <c r="G436" s="69"/>
      <c r="H436" s="69"/>
      <c r="I436" s="69"/>
      <c r="J436" s="69"/>
      <c r="K436" s="629"/>
      <c r="L436" s="3"/>
    </row>
    <row r="437" spans="3:12" ht="16" thickBot="1" x14ac:dyDescent="0.25">
      <c r="C437" s="596"/>
      <c r="D437" s="623" t="s">
        <v>19</v>
      </c>
      <c r="E437" s="625">
        <f>SUM(E411:E433)</f>
        <v>37083.9</v>
      </c>
      <c r="F437" s="614">
        <f>SUM(F411:F436)</f>
        <v>90</v>
      </c>
      <c r="G437" s="614">
        <f>SUM(G411:G436)</f>
        <v>68</v>
      </c>
      <c r="H437" s="614">
        <f>SUM(H411:H436)</f>
        <v>29</v>
      </c>
      <c r="I437" s="614">
        <f>SUM(I411:I436)</f>
        <v>66</v>
      </c>
      <c r="J437" s="614">
        <f>SUM(J411:J436)</f>
        <v>100</v>
      </c>
      <c r="K437" s="626">
        <f>SUM(F437:J437)</f>
        <v>353</v>
      </c>
      <c r="L437" s="631">
        <f>SUM(L411:L436)</f>
        <v>81.75</v>
      </c>
    </row>
    <row r="438" spans="3:12" x14ac:dyDescent="0.2">
      <c r="C438" s="596"/>
      <c r="D438" s="593" t="s">
        <v>113</v>
      </c>
      <c r="E438" s="620"/>
      <c r="F438" s="610">
        <f>F408-F437</f>
        <v>0</v>
      </c>
      <c r="G438" s="610">
        <f>G408-G437</f>
        <v>1</v>
      </c>
      <c r="H438" s="610">
        <f>H408-H437</f>
        <v>20</v>
      </c>
      <c r="I438" s="610">
        <f>I408-I437</f>
        <v>8</v>
      </c>
      <c r="J438" s="610">
        <f>J408-J437</f>
        <v>5</v>
      </c>
      <c r="K438" s="636">
        <f>SUM(F438:J438)</f>
        <v>34</v>
      </c>
      <c r="L438" s="3"/>
    </row>
    <row r="439" spans="3:12" x14ac:dyDescent="0.2">
      <c r="C439" s="683"/>
      <c r="D439" s="593" t="s">
        <v>436</v>
      </c>
      <c r="E439" s="594"/>
      <c r="F439" s="581"/>
      <c r="G439" s="581"/>
      <c r="H439" s="581"/>
      <c r="I439" s="581"/>
      <c r="J439" s="581"/>
      <c r="K439" s="637">
        <f>K437+K438</f>
        <v>387</v>
      </c>
      <c r="L439" s="3"/>
    </row>
    <row r="441" spans="3:12" ht="18" x14ac:dyDescent="0.2">
      <c r="C441" s="685" t="s">
        <v>412</v>
      </c>
      <c r="D441" s="582">
        <v>45668</v>
      </c>
      <c r="E441" s="800"/>
      <c r="F441" s="685" t="s">
        <v>83</v>
      </c>
      <c r="G441" s="801" t="s">
        <v>68</v>
      </c>
      <c r="H441" s="802"/>
      <c r="I441" s="802"/>
      <c r="J441" s="802"/>
      <c r="K441" s="803"/>
    </row>
    <row r="442" spans="3:12" x14ac:dyDescent="0.2">
      <c r="C442" s="804"/>
      <c r="D442" s="805"/>
      <c r="E442" s="800"/>
      <c r="F442" s="683" t="s">
        <v>93</v>
      </c>
      <c r="G442" s="683" t="s">
        <v>93</v>
      </c>
      <c r="H442" s="683"/>
      <c r="I442" s="806"/>
      <c r="J442" s="806"/>
      <c r="K442" s="806"/>
    </row>
    <row r="443" spans="3:12" x14ac:dyDescent="0.2">
      <c r="C443" s="804"/>
      <c r="D443" s="805"/>
      <c r="E443" s="800"/>
      <c r="F443" s="683" t="s">
        <v>94</v>
      </c>
      <c r="G443" s="683" t="s">
        <v>95</v>
      </c>
      <c r="H443" s="683" t="s">
        <v>96</v>
      </c>
      <c r="I443" s="806"/>
      <c r="J443" s="806"/>
      <c r="K443" s="806"/>
    </row>
    <row r="444" spans="3:12" x14ac:dyDescent="0.2">
      <c r="C444" s="804"/>
      <c r="D444" s="805"/>
      <c r="E444" s="800"/>
      <c r="F444" s="683"/>
      <c r="G444" s="683"/>
      <c r="H444" s="683"/>
      <c r="I444" s="806"/>
      <c r="J444" s="806"/>
      <c r="K444" s="806"/>
    </row>
    <row r="445" spans="3:12" ht="16" x14ac:dyDescent="0.2">
      <c r="C445" s="683"/>
      <c r="D445" s="583" t="s">
        <v>97</v>
      </c>
      <c r="E445" s="584"/>
      <c r="F445" s="581"/>
      <c r="G445" s="585"/>
      <c r="H445" s="585"/>
      <c r="I445" s="586"/>
      <c r="J445" s="586"/>
      <c r="K445" s="586"/>
    </row>
    <row r="446" spans="3:12" ht="26" x14ac:dyDescent="0.2">
      <c r="C446" s="804"/>
      <c r="D446" s="587"/>
      <c r="E446" s="588"/>
      <c r="F446" s="585" t="s">
        <v>383</v>
      </c>
      <c r="G446" s="585" t="s">
        <v>384</v>
      </c>
      <c r="H446" s="585" t="s">
        <v>385</v>
      </c>
      <c r="I446" s="585" t="s">
        <v>386</v>
      </c>
      <c r="J446" s="585" t="s">
        <v>387</v>
      </c>
      <c r="K446" s="585" t="s">
        <v>84</v>
      </c>
    </row>
    <row r="447" spans="3:12" x14ac:dyDescent="0.2">
      <c r="C447" s="804"/>
      <c r="D447" s="684" t="s">
        <v>167</v>
      </c>
      <c r="E447" s="588"/>
      <c r="F447" s="580"/>
      <c r="G447" s="579"/>
      <c r="H447" s="580"/>
      <c r="I447" s="580"/>
      <c r="J447" s="580"/>
      <c r="K447" s="580">
        <f>SUM(F447:J447)</f>
        <v>0</v>
      </c>
    </row>
    <row r="448" spans="3:12" x14ac:dyDescent="0.2">
      <c r="C448" s="804"/>
      <c r="D448" s="684" t="s">
        <v>207</v>
      </c>
      <c r="E448" s="588"/>
      <c r="F448" s="618"/>
      <c r="G448" s="619"/>
      <c r="H448" s="618"/>
      <c r="I448" s="618"/>
      <c r="J448" s="618"/>
      <c r="K448" s="618">
        <f>SUM(F448:J448)</f>
        <v>0</v>
      </c>
    </row>
    <row r="449" spans="3:12" x14ac:dyDescent="0.2">
      <c r="C449" s="683"/>
      <c r="D449" s="684" t="s">
        <v>100</v>
      </c>
      <c r="E449" s="588"/>
      <c r="F449" s="581"/>
      <c r="G449" s="581"/>
      <c r="H449" s="581"/>
      <c r="I449" s="581"/>
      <c r="J449" s="581"/>
      <c r="K449" s="581">
        <f>SUM(F449:J449)</f>
        <v>0</v>
      </c>
    </row>
    <row r="450" spans="3:12" x14ac:dyDescent="0.2">
      <c r="C450" s="683"/>
      <c r="D450" s="684" t="s">
        <v>101</v>
      </c>
      <c r="E450" s="588"/>
      <c r="F450" s="581"/>
      <c r="G450" s="581"/>
      <c r="H450" s="581"/>
      <c r="I450" s="581"/>
      <c r="J450" s="581"/>
      <c r="K450" s="581">
        <f>SUM(F450:J450)</f>
        <v>0</v>
      </c>
    </row>
    <row r="451" spans="3:12" ht="16" thickBot="1" x14ac:dyDescent="0.25">
      <c r="C451" s="683"/>
      <c r="D451" s="597" t="s">
        <v>102</v>
      </c>
      <c r="E451" s="598"/>
      <c r="F451" s="599"/>
      <c r="G451" s="600">
        <v>2</v>
      </c>
      <c r="H451" s="600">
        <v>20</v>
      </c>
      <c r="I451" s="600">
        <v>8</v>
      </c>
      <c r="J451" s="600">
        <v>5</v>
      </c>
      <c r="K451" s="600">
        <f>SUM(F451:J451)</f>
        <v>35</v>
      </c>
    </row>
    <row r="452" spans="3:12" ht="17" thickBot="1" x14ac:dyDescent="0.25">
      <c r="C452" s="605"/>
      <c r="D452" s="612" t="s">
        <v>84</v>
      </c>
      <c r="E452" s="613"/>
      <c r="F452" s="614">
        <f>(F448+F451)-F450-F449</f>
        <v>0</v>
      </c>
      <c r="G452" s="615">
        <f>(G448+G451)-G450-G449</f>
        <v>2</v>
      </c>
      <c r="H452" s="616">
        <f>(H448+H451)-H450</f>
        <v>20</v>
      </c>
      <c r="I452" s="615">
        <f>(I448+I451)-I450-I449</f>
        <v>8</v>
      </c>
      <c r="J452" s="622">
        <f>(J448+J451)-J450-J449</f>
        <v>5</v>
      </c>
      <c r="K452" s="617">
        <f>(K448+K451)-K450-K449</f>
        <v>35</v>
      </c>
    </row>
    <row r="453" spans="3:12" ht="16" x14ac:dyDescent="0.2">
      <c r="C453" s="683"/>
      <c r="D453" s="608"/>
      <c r="E453" s="609"/>
      <c r="F453" s="610"/>
      <c r="G453" s="595"/>
      <c r="H453" s="611"/>
      <c r="I453" s="595"/>
      <c r="J453" s="595"/>
      <c r="K453" s="595"/>
    </row>
    <row r="454" spans="3:12" ht="16" thickBot="1" x14ac:dyDescent="0.25">
      <c r="C454" s="606" t="s">
        <v>388</v>
      </c>
      <c r="D454" s="607" t="s">
        <v>103</v>
      </c>
      <c r="E454" s="603" t="s">
        <v>84</v>
      </c>
      <c r="F454" s="602" t="s">
        <v>78</v>
      </c>
      <c r="G454" s="602" t="s">
        <v>79</v>
      </c>
      <c r="H454" s="602" t="s">
        <v>88</v>
      </c>
      <c r="I454" s="601" t="s">
        <v>87</v>
      </c>
      <c r="J454" s="601" t="s">
        <v>85</v>
      </c>
      <c r="K454" s="601" t="s">
        <v>84</v>
      </c>
      <c r="L454" s="174" t="s">
        <v>389</v>
      </c>
    </row>
    <row r="455" spans="3:12" x14ac:dyDescent="0.2">
      <c r="C455" s="589" t="s">
        <v>524</v>
      </c>
      <c r="D455" s="604" t="s">
        <v>105</v>
      </c>
      <c r="E455" s="591">
        <f>(F455+G455+H455+I455+J455)*100+(0*230)</f>
        <v>3300</v>
      </c>
      <c r="F455" s="3"/>
      <c r="G455" s="3">
        <v>2</v>
      </c>
      <c r="H455" s="3">
        <v>18</v>
      </c>
      <c r="I455" s="3">
        <v>8</v>
      </c>
      <c r="J455" s="3">
        <v>5</v>
      </c>
      <c r="K455" s="628">
        <f>SUM(F455:J455)</f>
        <v>33</v>
      </c>
      <c r="L455" s="630">
        <f>K455/4</f>
        <v>8.25</v>
      </c>
    </row>
    <row r="456" spans="3:12" x14ac:dyDescent="0.2">
      <c r="C456" s="589"/>
      <c r="D456" s="590" t="s">
        <v>390</v>
      </c>
      <c r="E456" s="591">
        <f>(F456+G456+H456+I456+J456)*120</f>
        <v>0</v>
      </c>
      <c r="F456" s="3"/>
      <c r="G456" s="3"/>
      <c r="H456" s="3"/>
      <c r="I456" s="3"/>
      <c r="J456" s="3"/>
      <c r="K456" s="628">
        <f>SUM(F456:J456)</f>
        <v>0</v>
      </c>
      <c r="L456" s="630">
        <f t="shared" ref="L456:L477" si="20">K456/4</f>
        <v>0</v>
      </c>
    </row>
    <row r="457" spans="3:12" x14ac:dyDescent="0.2">
      <c r="C457" s="589"/>
      <c r="D457" s="590" t="s">
        <v>391</v>
      </c>
      <c r="E457" s="591">
        <f>(F457+G457+H457+I457+J457)*120</f>
        <v>0</v>
      </c>
      <c r="F457" s="3"/>
      <c r="G457" s="3"/>
      <c r="H457" s="3"/>
      <c r="I457" s="3"/>
      <c r="J457" s="3"/>
      <c r="K457" s="628">
        <f>SUM(F457:J457)</f>
        <v>0</v>
      </c>
      <c r="L457" s="630">
        <f t="shared" si="20"/>
        <v>0</v>
      </c>
    </row>
    <row r="458" spans="3:12" x14ac:dyDescent="0.2">
      <c r="C458" s="589"/>
      <c r="D458" s="590" t="s">
        <v>392</v>
      </c>
      <c r="E458" s="591">
        <f>(F458+G458+H458+I458+J458)*120</f>
        <v>0</v>
      </c>
      <c r="F458" s="3"/>
      <c r="G458" s="3"/>
      <c r="H458" s="3"/>
      <c r="I458" s="3"/>
      <c r="J458" s="3"/>
      <c r="K458" s="628">
        <f>SUM(F458:J458)</f>
        <v>0</v>
      </c>
      <c r="L458" s="630">
        <f t="shared" si="20"/>
        <v>0</v>
      </c>
    </row>
    <row r="459" spans="3:12" x14ac:dyDescent="0.2">
      <c r="C459" s="589"/>
      <c r="D459" s="590" t="s">
        <v>425</v>
      </c>
      <c r="E459" s="591">
        <f>(F459+G459+H459+I459+J459)*120</f>
        <v>0</v>
      </c>
      <c r="F459" s="3"/>
      <c r="G459" s="3"/>
      <c r="H459" s="3"/>
      <c r="I459" s="3"/>
      <c r="J459" s="3"/>
      <c r="K459" s="628">
        <f>SUM(F459:J459)</f>
        <v>0</v>
      </c>
      <c r="L459" s="630">
        <f t="shared" si="20"/>
        <v>0</v>
      </c>
    </row>
    <row r="460" spans="3:12" x14ac:dyDescent="0.2">
      <c r="C460" s="589"/>
      <c r="D460" s="590"/>
      <c r="E460" s="591"/>
      <c r="F460" s="3"/>
      <c r="G460" s="3"/>
      <c r="H460" s="3"/>
      <c r="I460" s="3"/>
      <c r="J460" s="3"/>
      <c r="K460" s="628"/>
      <c r="L460" s="630">
        <f t="shared" si="20"/>
        <v>0</v>
      </c>
    </row>
    <row r="461" spans="3:12" x14ac:dyDescent="0.2">
      <c r="C461" s="589"/>
      <c r="D461" s="590" t="s">
        <v>108</v>
      </c>
      <c r="E461" s="591">
        <f>(F461+G461+H461+J461)*112.7+(I461*119.6)</f>
        <v>0</v>
      </c>
      <c r="F461" s="3"/>
      <c r="G461" s="3"/>
      <c r="H461" s="3"/>
      <c r="I461" s="3"/>
      <c r="J461" s="3"/>
      <c r="K461" s="628">
        <f>SUM(F461:J461)</f>
        <v>0</v>
      </c>
      <c r="L461" s="630">
        <f t="shared" si="20"/>
        <v>0</v>
      </c>
    </row>
    <row r="462" spans="3:12" x14ac:dyDescent="0.2">
      <c r="C462" s="589"/>
      <c r="D462" s="590" t="s">
        <v>393</v>
      </c>
      <c r="E462" s="591">
        <f>(F462+G462+H462+J462)*112.7+(I462*119.6)</f>
        <v>0</v>
      </c>
      <c r="F462" s="3"/>
      <c r="G462" s="3"/>
      <c r="H462" s="3"/>
      <c r="I462" s="3"/>
      <c r="J462" s="3"/>
      <c r="K462" s="628">
        <f>SUM(F462:J462)</f>
        <v>0</v>
      </c>
      <c r="L462" s="630">
        <f t="shared" si="20"/>
        <v>0</v>
      </c>
    </row>
    <row r="463" spans="3:12" x14ac:dyDescent="0.2">
      <c r="C463" s="589"/>
      <c r="D463" s="590" t="s">
        <v>216</v>
      </c>
      <c r="E463" s="591">
        <f>(F463+G463+H463+J463)*112.7+(I463*119.6)</f>
        <v>0</v>
      </c>
      <c r="F463" s="3"/>
      <c r="G463" s="3"/>
      <c r="H463" s="3"/>
      <c r="I463" s="3"/>
      <c r="J463" s="3"/>
      <c r="K463" s="628">
        <f>SUM(F463:J463)</f>
        <v>0</v>
      </c>
      <c r="L463" s="630">
        <f t="shared" si="20"/>
        <v>0</v>
      </c>
    </row>
    <row r="464" spans="3:12" x14ac:dyDescent="0.2">
      <c r="C464" s="589"/>
      <c r="D464" s="590"/>
      <c r="E464" s="591"/>
      <c r="F464" s="3"/>
      <c r="G464" s="3"/>
      <c r="H464" s="3"/>
      <c r="I464" s="3"/>
      <c r="J464" s="3"/>
      <c r="K464" s="628"/>
      <c r="L464" s="630">
        <f t="shared" si="20"/>
        <v>0</v>
      </c>
    </row>
    <row r="465" spans="3:12" x14ac:dyDescent="0.2">
      <c r="C465" s="589"/>
      <c r="D465" s="590" t="s">
        <v>394</v>
      </c>
      <c r="E465" s="591">
        <f>(F465+G465+H465+I465+J465)*120</f>
        <v>0</v>
      </c>
      <c r="F465" s="3"/>
      <c r="G465" s="3"/>
      <c r="H465" s="3"/>
      <c r="I465" s="3"/>
      <c r="J465" s="3"/>
      <c r="K465" s="628">
        <f>SUM(F465:J465)</f>
        <v>0</v>
      </c>
      <c r="L465" s="630">
        <f t="shared" si="20"/>
        <v>0</v>
      </c>
    </row>
    <row r="466" spans="3:12" x14ac:dyDescent="0.2">
      <c r="C466" s="589"/>
      <c r="D466" s="590" t="s">
        <v>110</v>
      </c>
      <c r="E466" s="591">
        <f>(F466+G466+H466+J466)*112.7+(I466*119.6)</f>
        <v>0</v>
      </c>
      <c r="F466" s="3"/>
      <c r="G466" s="3"/>
      <c r="H466" s="3"/>
      <c r="I466" s="3"/>
      <c r="J466" s="3"/>
      <c r="K466" s="628">
        <f>SUM(F466:J466)</f>
        <v>0</v>
      </c>
      <c r="L466" s="630">
        <f t="shared" si="20"/>
        <v>0</v>
      </c>
    </row>
    <row r="467" spans="3:12" x14ac:dyDescent="0.2">
      <c r="C467" s="589"/>
      <c r="D467" s="590"/>
      <c r="E467" s="591"/>
      <c r="F467" s="3"/>
      <c r="G467" s="3"/>
      <c r="H467" s="3"/>
      <c r="I467" s="3"/>
      <c r="J467" s="3"/>
      <c r="K467" s="628">
        <f>SUM(F467:J467)</f>
        <v>0</v>
      </c>
      <c r="L467" s="630">
        <f t="shared" si="20"/>
        <v>0</v>
      </c>
    </row>
    <row r="468" spans="3:12" x14ac:dyDescent="0.2">
      <c r="C468" s="589"/>
      <c r="D468" s="590" t="s">
        <v>381</v>
      </c>
      <c r="E468" s="591">
        <f>(F468+G468+H468+I468+J468)*120+(240*0)+(0*45)</f>
        <v>0</v>
      </c>
      <c r="F468" s="3"/>
      <c r="G468" s="3"/>
      <c r="H468" s="3"/>
      <c r="I468" s="3"/>
      <c r="J468" s="3"/>
      <c r="K468" s="628">
        <f>SUM(F468:J468)</f>
        <v>0</v>
      </c>
      <c r="L468" s="630">
        <f t="shared" si="20"/>
        <v>0</v>
      </c>
    </row>
    <row r="469" spans="3:12" x14ac:dyDescent="0.2">
      <c r="C469" s="589"/>
      <c r="D469" s="590" t="s">
        <v>276</v>
      </c>
      <c r="E469" s="591">
        <f>(F469+G469+H469+J469)*112.7+(I469*119.6)</f>
        <v>0</v>
      </c>
      <c r="F469" s="3"/>
      <c r="G469" s="3"/>
      <c r="H469" s="3"/>
      <c r="I469" s="3"/>
      <c r="J469" s="3"/>
      <c r="K469" s="628">
        <f>SUM(F469:J469)</f>
        <v>0</v>
      </c>
      <c r="L469" s="630">
        <f t="shared" si="20"/>
        <v>0</v>
      </c>
    </row>
    <row r="470" spans="3:12" x14ac:dyDescent="0.2">
      <c r="C470" s="589"/>
      <c r="D470" s="590"/>
      <c r="E470" s="591"/>
      <c r="F470" s="3"/>
      <c r="G470" s="3"/>
      <c r="H470" s="3"/>
      <c r="I470" s="3"/>
      <c r="J470" s="3"/>
      <c r="K470" s="628"/>
      <c r="L470" s="630">
        <f t="shared" si="20"/>
        <v>0</v>
      </c>
    </row>
    <row r="471" spans="3:12" x14ac:dyDescent="0.2">
      <c r="C471" s="589"/>
      <c r="D471" s="590" t="s">
        <v>75</v>
      </c>
      <c r="E471" s="591">
        <f>(F471+G471+H471+I471+J471)*120</f>
        <v>0</v>
      </c>
      <c r="F471" s="3"/>
      <c r="G471" s="3"/>
      <c r="H471" s="3"/>
      <c r="I471" s="3"/>
      <c r="J471" s="3"/>
      <c r="K471" s="628">
        <f t="shared" ref="K471:K477" si="21">SUM(F471:J471)</f>
        <v>0</v>
      </c>
      <c r="L471" s="630">
        <f t="shared" si="20"/>
        <v>0</v>
      </c>
    </row>
    <row r="472" spans="3:12" x14ac:dyDescent="0.2">
      <c r="C472" s="589"/>
      <c r="D472" s="590" t="s">
        <v>278</v>
      </c>
      <c r="E472" s="591">
        <f>(F472+G472+H472+I472+J472)*120</f>
        <v>0</v>
      </c>
      <c r="F472" s="3"/>
      <c r="G472" s="3"/>
      <c r="H472" s="3"/>
      <c r="I472" s="3"/>
      <c r="J472" s="3"/>
      <c r="K472" s="628">
        <f t="shared" si="21"/>
        <v>0</v>
      </c>
      <c r="L472" s="630">
        <f t="shared" si="20"/>
        <v>0</v>
      </c>
    </row>
    <row r="473" spans="3:12" x14ac:dyDescent="0.2">
      <c r="C473" s="589"/>
      <c r="D473" s="590" t="s">
        <v>270</v>
      </c>
      <c r="E473" s="591">
        <f>(F473+G473+H473+I473)*112.7+(J473*119.6)</f>
        <v>0</v>
      </c>
      <c r="F473" s="3"/>
      <c r="G473" s="3"/>
      <c r="H473" s="3"/>
      <c r="I473" s="3"/>
      <c r="J473" s="3"/>
      <c r="K473" s="628">
        <f t="shared" si="21"/>
        <v>0</v>
      </c>
      <c r="L473" s="630">
        <f t="shared" si="20"/>
        <v>0</v>
      </c>
    </row>
    <row r="474" spans="3:12" x14ac:dyDescent="0.2">
      <c r="C474" s="589"/>
      <c r="D474" s="590" t="s">
        <v>274</v>
      </c>
      <c r="E474" s="591">
        <f>(F474+G474+H474+I474)*112.7+(J474*119.6)</f>
        <v>0</v>
      </c>
      <c r="F474" s="3"/>
      <c r="G474" s="3"/>
      <c r="H474" s="3"/>
      <c r="I474" s="3"/>
      <c r="J474" s="3"/>
      <c r="K474" s="628">
        <f t="shared" si="21"/>
        <v>0</v>
      </c>
      <c r="L474" s="630">
        <f t="shared" si="20"/>
        <v>0</v>
      </c>
    </row>
    <row r="475" spans="3:12" x14ac:dyDescent="0.2">
      <c r="C475" s="589"/>
      <c r="D475" s="590" t="s">
        <v>395</v>
      </c>
      <c r="E475" s="591">
        <f>(F475+G475+H475+I475)*112.7+(J475*119.6)</f>
        <v>0</v>
      </c>
      <c r="F475" s="3"/>
      <c r="G475" s="3"/>
      <c r="H475" s="3"/>
      <c r="I475" s="3"/>
      <c r="J475" s="3"/>
      <c r="K475" s="628">
        <f t="shared" si="21"/>
        <v>0</v>
      </c>
      <c r="L475" s="630">
        <f t="shared" si="20"/>
        <v>0</v>
      </c>
    </row>
    <row r="476" spans="3:12" x14ac:dyDescent="0.2">
      <c r="C476" s="683"/>
      <c r="D476" s="590" t="s">
        <v>112</v>
      </c>
      <c r="E476" s="591">
        <f>(F476+G476+H476+I476)*112.7+(J476*119.6)</f>
        <v>0</v>
      </c>
      <c r="F476" s="3"/>
      <c r="G476" s="3"/>
      <c r="H476" s="3"/>
      <c r="I476" s="3"/>
      <c r="J476" s="3"/>
      <c r="K476" s="628">
        <f t="shared" si="21"/>
        <v>0</v>
      </c>
      <c r="L476" s="630">
        <f t="shared" si="20"/>
        <v>0</v>
      </c>
    </row>
    <row r="477" spans="3:12" x14ac:dyDescent="0.2">
      <c r="C477" s="683"/>
      <c r="D477" s="590" t="s">
        <v>72</v>
      </c>
      <c r="E477" s="591">
        <f>(F477+G477+H477+I477)*112.7+(J477*119.6)</f>
        <v>0</v>
      </c>
      <c r="F477" s="3"/>
      <c r="G477" s="3"/>
      <c r="H477" s="3"/>
      <c r="I477" s="3"/>
      <c r="J477" s="3"/>
      <c r="K477" s="628">
        <f t="shared" si="21"/>
        <v>0</v>
      </c>
      <c r="L477" s="630">
        <f t="shared" si="20"/>
        <v>0</v>
      </c>
    </row>
    <row r="478" spans="3:12" x14ac:dyDescent="0.2">
      <c r="C478" s="683"/>
      <c r="D478" s="590" t="s">
        <v>187</v>
      </c>
      <c r="E478" s="591"/>
      <c r="F478" s="3"/>
      <c r="G478" s="3"/>
      <c r="H478" s="3">
        <v>2</v>
      </c>
      <c r="I478" s="3"/>
      <c r="J478" s="3"/>
      <c r="K478" s="628">
        <f>SUM(F478:J478)</f>
        <v>2</v>
      </c>
      <c r="L478" s="3"/>
    </row>
    <row r="479" spans="3:12" ht="16" x14ac:dyDescent="0.2">
      <c r="C479" s="683"/>
      <c r="D479" s="590" t="s">
        <v>501</v>
      </c>
      <c r="E479" s="592"/>
      <c r="F479" s="3"/>
      <c r="G479" s="3"/>
      <c r="H479" s="3"/>
      <c r="I479" s="3"/>
      <c r="J479" s="3"/>
      <c r="K479" s="628">
        <f>SUM(F479:J479)</f>
        <v>0</v>
      </c>
      <c r="L479" s="3"/>
    </row>
    <row r="480" spans="3:12" ht="17" thickBot="1" x14ac:dyDescent="0.25">
      <c r="C480" s="683"/>
      <c r="D480" s="590"/>
      <c r="E480" s="624"/>
      <c r="F480" s="69"/>
      <c r="G480" s="69"/>
      <c r="H480" s="69"/>
      <c r="I480" s="69"/>
      <c r="J480" s="69"/>
      <c r="K480" s="629"/>
      <c r="L480" s="3"/>
    </row>
    <row r="481" spans="3:12" ht="16" thickBot="1" x14ac:dyDescent="0.25">
      <c r="C481" s="596"/>
      <c r="D481" s="623" t="s">
        <v>19</v>
      </c>
      <c r="E481" s="625">
        <f>SUM(E455:E477)</f>
        <v>3300</v>
      </c>
      <c r="F481" s="614">
        <f>SUM(F455:F480)</f>
        <v>0</v>
      </c>
      <c r="G481" s="614">
        <f>SUM(G455:G480)</f>
        <v>2</v>
      </c>
      <c r="H481" s="614">
        <f>SUM(H455:H480)</f>
        <v>20</v>
      </c>
      <c r="I481" s="614">
        <f>SUM(I455:I480)</f>
        <v>8</v>
      </c>
      <c r="J481" s="614">
        <f>SUM(J455:J480)</f>
        <v>5</v>
      </c>
      <c r="K481" s="626">
        <f>SUM(F481:J481)</f>
        <v>35</v>
      </c>
      <c r="L481" s="631">
        <f>SUM(L455:L480)</f>
        <v>8.25</v>
      </c>
    </row>
    <row r="482" spans="3:12" x14ac:dyDescent="0.2">
      <c r="C482" s="596"/>
      <c r="D482" s="593" t="s">
        <v>113</v>
      </c>
      <c r="E482" s="620"/>
      <c r="F482" s="610">
        <f>F452-F481</f>
        <v>0</v>
      </c>
      <c r="G482" s="610">
        <f>G452-G481</f>
        <v>0</v>
      </c>
      <c r="H482" s="610">
        <f>H452-H481</f>
        <v>0</v>
      </c>
      <c r="I482" s="610">
        <f>I452-I481</f>
        <v>0</v>
      </c>
      <c r="J482" s="610">
        <f>J452-J481</f>
        <v>0</v>
      </c>
      <c r="K482" s="636">
        <f>SUM(F482:J482)</f>
        <v>0</v>
      </c>
      <c r="L482" s="3"/>
    </row>
    <row r="483" spans="3:12" x14ac:dyDescent="0.2">
      <c r="C483" s="683"/>
      <c r="D483" s="593" t="s">
        <v>436</v>
      </c>
      <c r="E483" s="594"/>
      <c r="F483" s="581"/>
      <c r="G483" s="581"/>
      <c r="H483" s="581"/>
      <c r="I483" s="581"/>
      <c r="J483" s="581"/>
      <c r="K483" s="637">
        <f>K481+K482</f>
        <v>35</v>
      </c>
      <c r="L483" s="3"/>
    </row>
    <row r="485" spans="3:12" ht="18" x14ac:dyDescent="0.2">
      <c r="C485" s="685" t="s">
        <v>412</v>
      </c>
      <c r="D485" s="582">
        <v>45670</v>
      </c>
      <c r="E485" s="800"/>
      <c r="F485" s="685" t="s">
        <v>83</v>
      </c>
      <c r="G485" s="801" t="s">
        <v>63</v>
      </c>
      <c r="H485" s="802"/>
      <c r="I485" s="802"/>
      <c r="J485" s="802"/>
      <c r="K485" s="803"/>
    </row>
    <row r="486" spans="3:12" x14ac:dyDescent="0.2">
      <c r="C486" s="804"/>
      <c r="D486" s="805"/>
      <c r="E486" s="800"/>
      <c r="F486" s="683" t="s">
        <v>93</v>
      </c>
      <c r="G486" s="683" t="s">
        <v>93</v>
      </c>
      <c r="H486" s="683"/>
      <c r="I486" s="806"/>
      <c r="J486" s="806"/>
      <c r="K486" s="806"/>
    </row>
    <row r="487" spans="3:12" x14ac:dyDescent="0.2">
      <c r="C487" s="804"/>
      <c r="D487" s="805"/>
      <c r="E487" s="800"/>
      <c r="F487" s="683" t="s">
        <v>94</v>
      </c>
      <c r="G487" s="683" t="s">
        <v>95</v>
      </c>
      <c r="H487" s="683" t="s">
        <v>96</v>
      </c>
      <c r="I487" s="806"/>
      <c r="J487" s="806"/>
      <c r="K487" s="806"/>
    </row>
    <row r="488" spans="3:12" x14ac:dyDescent="0.2">
      <c r="C488" s="804"/>
      <c r="D488" s="805"/>
      <c r="E488" s="800"/>
      <c r="F488" s="683"/>
      <c r="G488" s="683"/>
      <c r="H488" s="683"/>
      <c r="I488" s="806"/>
      <c r="J488" s="806"/>
      <c r="K488" s="806"/>
    </row>
    <row r="489" spans="3:12" ht="16" x14ac:dyDescent="0.2">
      <c r="C489" s="683"/>
      <c r="D489" s="583" t="s">
        <v>97</v>
      </c>
      <c r="E489" s="584"/>
      <c r="F489" s="581"/>
      <c r="G489" s="585"/>
      <c r="H489" s="585"/>
      <c r="I489" s="586"/>
      <c r="J489" s="586"/>
      <c r="K489" s="586"/>
    </row>
    <row r="490" spans="3:12" ht="26" x14ac:dyDescent="0.2">
      <c r="C490" s="804"/>
      <c r="D490" s="587"/>
      <c r="E490" s="588"/>
      <c r="F490" s="585" t="s">
        <v>383</v>
      </c>
      <c r="G490" s="585" t="s">
        <v>384</v>
      </c>
      <c r="H490" s="585" t="s">
        <v>385</v>
      </c>
      <c r="I490" s="585" t="s">
        <v>386</v>
      </c>
      <c r="J490" s="585" t="s">
        <v>387</v>
      </c>
      <c r="K490" s="585" t="s">
        <v>84</v>
      </c>
    </row>
    <row r="491" spans="3:12" x14ac:dyDescent="0.2">
      <c r="C491" s="804"/>
      <c r="D491" s="684" t="s">
        <v>167</v>
      </c>
      <c r="E491" s="588"/>
      <c r="F491" s="580">
        <v>11</v>
      </c>
      <c r="G491" s="579">
        <v>7</v>
      </c>
      <c r="H491" s="580">
        <v>2</v>
      </c>
      <c r="I491" s="580">
        <v>4</v>
      </c>
      <c r="J491" s="580">
        <v>7</v>
      </c>
      <c r="K491" s="580">
        <f>SUM(F491:J491)</f>
        <v>31</v>
      </c>
    </row>
    <row r="492" spans="3:12" x14ac:dyDescent="0.2">
      <c r="C492" s="804"/>
      <c r="D492" s="684" t="s">
        <v>207</v>
      </c>
      <c r="E492" s="588"/>
      <c r="F492" s="618">
        <v>77</v>
      </c>
      <c r="G492" s="619">
        <v>49</v>
      </c>
      <c r="H492" s="618">
        <v>14</v>
      </c>
      <c r="I492" s="618">
        <v>44</v>
      </c>
      <c r="J492" s="618">
        <v>63</v>
      </c>
      <c r="K492" s="618">
        <f>SUM(F492:J492)</f>
        <v>247</v>
      </c>
    </row>
    <row r="493" spans="3:12" x14ac:dyDescent="0.2">
      <c r="C493" s="683"/>
      <c r="D493" s="684" t="s">
        <v>100</v>
      </c>
      <c r="E493" s="588"/>
      <c r="F493" s="581"/>
      <c r="G493" s="581"/>
      <c r="H493" s="581"/>
      <c r="I493" s="581"/>
      <c r="J493" s="581"/>
      <c r="K493" s="581">
        <f>SUM(F493:J493)</f>
        <v>0</v>
      </c>
    </row>
    <row r="494" spans="3:12" x14ac:dyDescent="0.2">
      <c r="C494" s="683"/>
      <c r="D494" s="684" t="s">
        <v>101</v>
      </c>
      <c r="E494" s="588"/>
      <c r="F494" s="581">
        <v>1</v>
      </c>
      <c r="G494" s="581">
        <v>1</v>
      </c>
      <c r="H494" s="581"/>
      <c r="I494" s="581"/>
      <c r="J494" s="581"/>
      <c r="K494" s="581">
        <f>SUM(F494:J494)</f>
        <v>2</v>
      </c>
    </row>
    <row r="495" spans="3:12" ht="16" thickBot="1" x14ac:dyDescent="0.25">
      <c r="C495" s="683"/>
      <c r="D495" s="597" t="s">
        <v>102</v>
      </c>
      <c r="E495" s="598"/>
      <c r="F495" s="599"/>
      <c r="G495" s="600"/>
      <c r="H495" s="600"/>
      <c r="I495" s="600"/>
      <c r="J495" s="600"/>
      <c r="K495" s="600">
        <f>SUM(F495:J495)</f>
        <v>0</v>
      </c>
    </row>
    <row r="496" spans="3:12" ht="17" thickBot="1" x14ac:dyDescent="0.25">
      <c r="C496" s="605"/>
      <c r="D496" s="612" t="s">
        <v>84</v>
      </c>
      <c r="E496" s="613"/>
      <c r="F496" s="614">
        <f>(F492+F495)-F494-F493</f>
        <v>76</v>
      </c>
      <c r="G496" s="615">
        <f>(G492+G495)-G494-G493</f>
        <v>48</v>
      </c>
      <c r="H496" s="616">
        <f>(H492+H495)-H494</f>
        <v>14</v>
      </c>
      <c r="I496" s="615">
        <f>(I492+I495)-I494-I493</f>
        <v>44</v>
      </c>
      <c r="J496" s="622">
        <f>(J492+J495)-J494-J493</f>
        <v>63</v>
      </c>
      <c r="K496" s="617">
        <f>(K492+K495)-K494-K493</f>
        <v>245</v>
      </c>
    </row>
    <row r="497" spans="3:12" ht="16" x14ac:dyDescent="0.2">
      <c r="C497" s="683"/>
      <c r="D497" s="608"/>
      <c r="E497" s="609"/>
      <c r="F497" s="610"/>
      <c r="G497" s="595"/>
      <c r="H497" s="611"/>
      <c r="I497" s="595"/>
      <c r="J497" s="595"/>
      <c r="K497" s="595"/>
    </row>
    <row r="498" spans="3:12" ht="16" thickBot="1" x14ac:dyDescent="0.25">
      <c r="C498" s="606" t="s">
        <v>388</v>
      </c>
      <c r="D498" s="607" t="s">
        <v>103</v>
      </c>
      <c r="E498" s="603" t="s">
        <v>84</v>
      </c>
      <c r="F498" s="602" t="s">
        <v>78</v>
      </c>
      <c r="G498" s="602" t="s">
        <v>79</v>
      </c>
      <c r="H498" s="602" t="s">
        <v>88</v>
      </c>
      <c r="I498" s="601" t="s">
        <v>87</v>
      </c>
      <c r="J498" s="601" t="s">
        <v>85</v>
      </c>
      <c r="K498" s="601" t="s">
        <v>84</v>
      </c>
      <c r="L498" s="174" t="s">
        <v>389</v>
      </c>
    </row>
    <row r="499" spans="3:12" x14ac:dyDescent="0.2">
      <c r="C499" s="589" t="s">
        <v>519</v>
      </c>
      <c r="D499" s="604" t="s">
        <v>105</v>
      </c>
      <c r="E499" s="591">
        <f>(F499+G499+H499+I499+J499)*100+(0*230)</f>
        <v>4700</v>
      </c>
      <c r="F499" s="3">
        <v>14</v>
      </c>
      <c r="G499" s="3">
        <v>11</v>
      </c>
      <c r="H499" s="3"/>
      <c r="I499" s="3">
        <v>6</v>
      </c>
      <c r="J499" s="3">
        <v>16</v>
      </c>
      <c r="K499" s="628">
        <f>SUM(F499:J499)</f>
        <v>47</v>
      </c>
      <c r="L499" s="630">
        <f>K499/4</f>
        <v>11.75</v>
      </c>
    </row>
    <row r="500" spans="3:12" x14ac:dyDescent="0.2">
      <c r="C500" s="589" t="s">
        <v>520</v>
      </c>
      <c r="D500" s="590" t="s">
        <v>390</v>
      </c>
      <c r="E500" s="591">
        <f>(F500+G500+H500+I500+J500)*120</f>
        <v>1200</v>
      </c>
      <c r="F500" s="3">
        <v>2</v>
      </c>
      <c r="G500" s="3">
        <v>4</v>
      </c>
      <c r="H500" s="3"/>
      <c r="I500" s="3">
        <v>2</v>
      </c>
      <c r="J500" s="3">
        <v>2</v>
      </c>
      <c r="K500" s="628">
        <f>SUM(F500:J500)</f>
        <v>10</v>
      </c>
      <c r="L500" s="630">
        <f t="shared" ref="L500:L521" si="22">K500/4</f>
        <v>2.5</v>
      </c>
    </row>
    <row r="501" spans="3:12" x14ac:dyDescent="0.2">
      <c r="C501" s="589"/>
      <c r="D501" s="590" t="s">
        <v>391</v>
      </c>
      <c r="E501" s="591">
        <f>(F501+G501+H501+I501+J501)*120</f>
        <v>0</v>
      </c>
      <c r="F501" s="3"/>
      <c r="G501" s="3"/>
      <c r="H501" s="3"/>
      <c r="I501" s="3"/>
      <c r="J501" s="3"/>
      <c r="K501" s="628">
        <f>SUM(F501:J501)</f>
        <v>0</v>
      </c>
      <c r="L501" s="630">
        <f t="shared" si="22"/>
        <v>0</v>
      </c>
    </row>
    <row r="502" spans="3:12" x14ac:dyDescent="0.2">
      <c r="C502" s="589" t="s">
        <v>512</v>
      </c>
      <c r="D502" s="590" t="s">
        <v>392</v>
      </c>
      <c r="E502" s="591">
        <f>(F502+G502+H502+I502+J502)*120</f>
        <v>2400</v>
      </c>
      <c r="F502" s="3">
        <v>6</v>
      </c>
      <c r="G502" s="3">
        <v>2</v>
      </c>
      <c r="H502" s="3">
        <v>6</v>
      </c>
      <c r="I502" s="3"/>
      <c r="J502" s="3">
        <v>6</v>
      </c>
      <c r="K502" s="628">
        <f>SUM(F502:J502)</f>
        <v>20</v>
      </c>
      <c r="L502" s="630">
        <f t="shared" si="22"/>
        <v>5</v>
      </c>
    </row>
    <row r="503" spans="3:12" x14ac:dyDescent="0.2">
      <c r="C503" s="589"/>
      <c r="D503" s="590" t="s">
        <v>425</v>
      </c>
      <c r="E503" s="591">
        <f>(F503+G503+H503+I503+J503)*120</f>
        <v>0</v>
      </c>
      <c r="F503" s="3"/>
      <c r="G503" s="3"/>
      <c r="H503" s="3"/>
      <c r="I503" s="3"/>
      <c r="J503" s="3"/>
      <c r="K503" s="628">
        <f>SUM(F503:J503)</f>
        <v>0</v>
      </c>
      <c r="L503" s="630">
        <f t="shared" si="22"/>
        <v>0</v>
      </c>
    </row>
    <row r="504" spans="3:12" x14ac:dyDescent="0.2">
      <c r="C504" s="589"/>
      <c r="D504" s="590"/>
      <c r="E504" s="591"/>
      <c r="F504" s="3"/>
      <c r="G504" s="3"/>
      <c r="H504" s="3"/>
      <c r="I504" s="3"/>
      <c r="J504" s="3"/>
      <c r="K504" s="628"/>
      <c r="L504" s="630">
        <f t="shared" si="22"/>
        <v>0</v>
      </c>
    </row>
    <row r="505" spans="3:12" x14ac:dyDescent="0.2">
      <c r="C505" s="589" t="s">
        <v>513</v>
      </c>
      <c r="D505" s="590" t="s">
        <v>108</v>
      </c>
      <c r="E505" s="591">
        <f>(F505+G505+H505+J505)*112.7+(I505*119.6)</f>
        <v>4119.3</v>
      </c>
      <c r="F505" s="3">
        <v>9</v>
      </c>
      <c r="G505" s="3">
        <v>5</v>
      </c>
      <c r="H505" s="3">
        <v>4</v>
      </c>
      <c r="I505" s="3">
        <v>9</v>
      </c>
      <c r="J505" s="3">
        <v>9</v>
      </c>
      <c r="K505" s="628">
        <f>SUM(F505:J505)</f>
        <v>36</v>
      </c>
      <c r="L505" s="630">
        <f t="shared" si="22"/>
        <v>9</v>
      </c>
    </row>
    <row r="506" spans="3:12" x14ac:dyDescent="0.2">
      <c r="C506" s="589" t="s">
        <v>514</v>
      </c>
      <c r="D506" s="590" t="s">
        <v>393</v>
      </c>
      <c r="E506" s="591">
        <f>(F506+G506+H506+J506)*112.7+(I506*119.6)</f>
        <v>3084.3</v>
      </c>
      <c r="F506" s="3">
        <v>6</v>
      </c>
      <c r="G506" s="3">
        <v>5</v>
      </c>
      <c r="H506" s="3">
        <v>4</v>
      </c>
      <c r="I506" s="3">
        <v>6</v>
      </c>
      <c r="J506" s="3">
        <v>6</v>
      </c>
      <c r="K506" s="628">
        <f>SUM(F506:J506)</f>
        <v>27</v>
      </c>
      <c r="L506" s="630">
        <f t="shared" si="22"/>
        <v>6.75</v>
      </c>
    </row>
    <row r="507" spans="3:12" x14ac:dyDescent="0.2">
      <c r="C507" s="589" t="s">
        <v>515</v>
      </c>
      <c r="D507" s="590" t="s">
        <v>216</v>
      </c>
      <c r="E507" s="591">
        <f>(F507+G507+H507+J507)*112.7+(I507*119.6)</f>
        <v>3781.2</v>
      </c>
      <c r="F507" s="3">
        <v>9</v>
      </c>
      <c r="G507" s="3">
        <v>9</v>
      </c>
      <c r="H507" s="3"/>
      <c r="I507" s="3">
        <v>9</v>
      </c>
      <c r="J507" s="3">
        <v>6</v>
      </c>
      <c r="K507" s="628">
        <f>SUM(F507:J507)</f>
        <v>33</v>
      </c>
      <c r="L507" s="630">
        <f t="shared" si="22"/>
        <v>8.25</v>
      </c>
    </row>
    <row r="508" spans="3:12" x14ac:dyDescent="0.2">
      <c r="C508" s="589"/>
      <c r="D508" s="590"/>
      <c r="E508" s="591"/>
      <c r="F508" s="3"/>
      <c r="G508" s="3"/>
      <c r="H508" s="3"/>
      <c r="I508" s="3"/>
      <c r="J508" s="3"/>
      <c r="K508" s="628"/>
      <c r="L508" s="630">
        <f t="shared" si="22"/>
        <v>0</v>
      </c>
    </row>
    <row r="509" spans="3:12" x14ac:dyDescent="0.2">
      <c r="C509" s="589"/>
      <c r="D509" s="590" t="s">
        <v>394</v>
      </c>
      <c r="E509" s="591">
        <f>(F509+G509+H509+I509+J509)*120</f>
        <v>0</v>
      </c>
      <c r="F509" s="3"/>
      <c r="G509" s="3"/>
      <c r="H509" s="3"/>
      <c r="I509" s="3"/>
      <c r="J509" s="3"/>
      <c r="K509" s="628">
        <f>SUM(F509:J509)</f>
        <v>0</v>
      </c>
      <c r="L509" s="630">
        <f t="shared" si="22"/>
        <v>0</v>
      </c>
    </row>
    <row r="510" spans="3:12" x14ac:dyDescent="0.2">
      <c r="C510" s="589" t="s">
        <v>516</v>
      </c>
      <c r="D510" s="590" t="s">
        <v>110</v>
      </c>
      <c r="E510" s="591">
        <f>(F510+G510+H510+J510)*112.7+(I510*119.6)</f>
        <v>7521</v>
      </c>
      <c r="F510" s="3">
        <v>30</v>
      </c>
      <c r="G510" s="3">
        <v>12</v>
      </c>
      <c r="H510" s="3"/>
      <c r="I510" s="3">
        <v>12</v>
      </c>
      <c r="J510" s="3">
        <v>12</v>
      </c>
      <c r="K510" s="628">
        <f>SUM(F510:J510)</f>
        <v>66</v>
      </c>
      <c r="L510" s="630">
        <f t="shared" si="22"/>
        <v>16.5</v>
      </c>
    </row>
    <row r="511" spans="3:12" x14ac:dyDescent="0.2">
      <c r="C511" s="589"/>
      <c r="D511" s="590"/>
      <c r="E511" s="591"/>
      <c r="F511" s="3"/>
      <c r="G511" s="3"/>
      <c r="H511" s="3"/>
      <c r="I511" s="3"/>
      <c r="J511" s="3"/>
      <c r="K511" s="628">
        <f>SUM(F511:J511)</f>
        <v>0</v>
      </c>
      <c r="L511" s="630">
        <f t="shared" si="22"/>
        <v>0</v>
      </c>
    </row>
    <row r="512" spans="3:12" x14ac:dyDescent="0.2">
      <c r="C512" s="589"/>
      <c r="D512" s="590" t="s">
        <v>381</v>
      </c>
      <c r="E512" s="591">
        <f>(F512+G512+H512+I512+J512)*120+(240*0)+(0*45)</f>
        <v>0</v>
      </c>
      <c r="F512" s="3"/>
      <c r="G512" s="3"/>
      <c r="H512" s="3"/>
      <c r="I512" s="3"/>
      <c r="J512" s="3"/>
      <c r="K512" s="628">
        <f>SUM(F512:J512)</f>
        <v>0</v>
      </c>
      <c r="L512" s="630">
        <f t="shared" si="22"/>
        <v>0</v>
      </c>
    </row>
    <row r="513" spans="3:12" x14ac:dyDescent="0.2">
      <c r="C513" s="589"/>
      <c r="D513" s="590" t="s">
        <v>276</v>
      </c>
      <c r="E513" s="591">
        <f>(F513+G513+H513+J513)*112.7+(I513*119.6)</f>
        <v>0</v>
      </c>
      <c r="F513" s="3"/>
      <c r="G513" s="3"/>
      <c r="H513" s="3"/>
      <c r="I513" s="3"/>
      <c r="J513" s="3"/>
      <c r="K513" s="628">
        <f>SUM(F513:J513)</f>
        <v>0</v>
      </c>
      <c r="L513" s="630">
        <f t="shared" si="22"/>
        <v>0</v>
      </c>
    </row>
    <row r="514" spans="3:12" x14ac:dyDescent="0.2">
      <c r="C514" s="589"/>
      <c r="D514" s="590"/>
      <c r="E514" s="591"/>
      <c r="F514" s="3"/>
      <c r="G514" s="3"/>
      <c r="H514" s="3"/>
      <c r="I514" s="3"/>
      <c r="J514" s="3"/>
      <c r="K514" s="628"/>
      <c r="L514" s="630">
        <f t="shared" si="22"/>
        <v>0</v>
      </c>
    </row>
    <row r="515" spans="3:12" x14ac:dyDescent="0.2">
      <c r="C515" s="589"/>
      <c r="D515" s="590" t="s">
        <v>75</v>
      </c>
      <c r="E515" s="591">
        <f>(F515+G515+H515+I515+J515)*120</f>
        <v>0</v>
      </c>
      <c r="F515" s="3"/>
      <c r="G515" s="3"/>
      <c r="H515" s="3"/>
      <c r="I515" s="3"/>
      <c r="J515" s="3"/>
      <c r="K515" s="628">
        <f t="shared" ref="K515:K521" si="23">SUM(F515:J515)</f>
        <v>0</v>
      </c>
      <c r="L515" s="630">
        <f t="shared" si="22"/>
        <v>0</v>
      </c>
    </row>
    <row r="516" spans="3:12" x14ac:dyDescent="0.2">
      <c r="C516" s="589"/>
      <c r="D516" s="590" t="s">
        <v>278</v>
      </c>
      <c r="E516" s="591">
        <f>(F516+G516+H516+I516+J516)*120</f>
        <v>0</v>
      </c>
      <c r="F516" s="3"/>
      <c r="G516" s="3"/>
      <c r="H516" s="3"/>
      <c r="I516" s="3"/>
      <c r="J516" s="3"/>
      <c r="K516" s="628">
        <f t="shared" si="23"/>
        <v>0</v>
      </c>
      <c r="L516" s="630">
        <f t="shared" si="22"/>
        <v>0</v>
      </c>
    </row>
    <row r="517" spans="3:12" x14ac:dyDescent="0.2">
      <c r="C517" s="589"/>
      <c r="D517" s="590" t="s">
        <v>270</v>
      </c>
      <c r="E517" s="591">
        <f>(F517+G517+H517+I517)*112.7+(J517*119.6)</f>
        <v>0</v>
      </c>
      <c r="F517" s="3"/>
      <c r="G517" s="3"/>
      <c r="H517" s="3"/>
      <c r="I517" s="3"/>
      <c r="J517" s="3"/>
      <c r="K517" s="628">
        <f t="shared" si="23"/>
        <v>0</v>
      </c>
      <c r="L517" s="630">
        <f t="shared" si="22"/>
        <v>0</v>
      </c>
    </row>
    <row r="518" spans="3:12" x14ac:dyDescent="0.2">
      <c r="C518" s="589"/>
      <c r="D518" s="590" t="s">
        <v>274</v>
      </c>
      <c r="E518" s="591">
        <f>(F518+G518+H518+I518)*112.7+(J518*119.6)</f>
        <v>0</v>
      </c>
      <c r="F518" s="3"/>
      <c r="G518" s="3"/>
      <c r="H518" s="3"/>
      <c r="I518" s="3"/>
      <c r="J518" s="3"/>
      <c r="K518" s="628">
        <f t="shared" si="23"/>
        <v>0</v>
      </c>
      <c r="L518" s="630">
        <f t="shared" si="22"/>
        <v>0</v>
      </c>
    </row>
    <row r="519" spans="3:12" x14ac:dyDescent="0.2">
      <c r="C519" s="589"/>
      <c r="D519" s="590" t="s">
        <v>395</v>
      </c>
      <c r="E519" s="591">
        <f>(F519+G519+H519+I519)*112.7+(J519*119.6)</f>
        <v>0</v>
      </c>
      <c r="F519" s="3"/>
      <c r="G519" s="3"/>
      <c r="H519" s="3"/>
      <c r="I519" s="3"/>
      <c r="J519" s="3"/>
      <c r="K519" s="628">
        <f t="shared" si="23"/>
        <v>0</v>
      </c>
      <c r="L519" s="630">
        <f t="shared" si="22"/>
        <v>0</v>
      </c>
    </row>
    <row r="520" spans="3:12" x14ac:dyDescent="0.2">
      <c r="C520" s="683"/>
      <c r="D520" s="590" t="s">
        <v>112</v>
      </c>
      <c r="E520" s="591">
        <f>(F520+G520+H520+I520)*112.7+(J520*119.6)</f>
        <v>0</v>
      </c>
      <c r="F520" s="3"/>
      <c r="G520" s="3"/>
      <c r="H520" s="3"/>
      <c r="I520" s="3"/>
      <c r="J520" s="3"/>
      <c r="K520" s="628">
        <f t="shared" si="23"/>
        <v>0</v>
      </c>
      <c r="L520" s="630">
        <f t="shared" si="22"/>
        <v>0</v>
      </c>
    </row>
    <row r="521" spans="3:12" x14ac:dyDescent="0.2">
      <c r="C521" s="683"/>
      <c r="D521" s="590" t="s">
        <v>72</v>
      </c>
      <c r="E521" s="591">
        <f>(F521+G521+H521+I521)*112.7+(J521*119.6)</f>
        <v>0</v>
      </c>
      <c r="F521" s="3"/>
      <c r="G521" s="3"/>
      <c r="H521" s="3"/>
      <c r="I521" s="3"/>
      <c r="J521" s="3"/>
      <c r="K521" s="628">
        <f t="shared" si="23"/>
        <v>0</v>
      </c>
      <c r="L521" s="630">
        <f t="shared" si="22"/>
        <v>0</v>
      </c>
    </row>
    <row r="522" spans="3:12" x14ac:dyDescent="0.2">
      <c r="C522" s="683"/>
      <c r="D522" s="590" t="s">
        <v>187</v>
      </c>
      <c r="E522" s="591"/>
      <c r="F522" s="3"/>
      <c r="G522" s="3"/>
      <c r="H522" s="3"/>
      <c r="I522" s="3"/>
      <c r="J522" s="3">
        <v>6</v>
      </c>
      <c r="K522" s="628">
        <f>SUM(F522:J522)</f>
        <v>6</v>
      </c>
      <c r="L522" s="3"/>
    </row>
    <row r="523" spans="3:12" ht="16" x14ac:dyDescent="0.2">
      <c r="C523" s="683"/>
      <c r="D523" s="590"/>
      <c r="E523" s="592"/>
      <c r="F523" s="3"/>
      <c r="G523" s="3"/>
      <c r="H523" s="3"/>
      <c r="I523" s="3"/>
      <c r="J523" s="3"/>
      <c r="K523" s="628">
        <f>SUM(F523:J523)</f>
        <v>0</v>
      </c>
      <c r="L523" s="3"/>
    </row>
    <row r="524" spans="3:12" ht="17" thickBot="1" x14ac:dyDescent="0.25">
      <c r="C524" s="683"/>
      <c r="D524" s="590"/>
      <c r="E524" s="624"/>
      <c r="F524" s="69"/>
      <c r="G524" s="69"/>
      <c r="H524" s="69"/>
      <c r="I524" s="69"/>
      <c r="J524" s="69"/>
      <c r="K524" s="629"/>
      <c r="L524" s="3"/>
    </row>
    <row r="525" spans="3:12" ht="16" thickBot="1" x14ac:dyDescent="0.25">
      <c r="C525" s="596"/>
      <c r="D525" s="623" t="s">
        <v>19</v>
      </c>
      <c r="E525" s="625">
        <f>SUM(E499:E521)</f>
        <v>26805.8</v>
      </c>
      <c r="F525" s="614">
        <f>SUM(F499:F524)</f>
        <v>76</v>
      </c>
      <c r="G525" s="614">
        <f>SUM(G499:G524)</f>
        <v>48</v>
      </c>
      <c r="H525" s="614">
        <f>SUM(H499:H524)</f>
        <v>14</v>
      </c>
      <c r="I525" s="614">
        <f>SUM(I499:I524)</f>
        <v>44</v>
      </c>
      <c r="J525" s="614">
        <f>SUM(J499:J524)</f>
        <v>63</v>
      </c>
      <c r="K525" s="626">
        <f>SUM(F525:J525)</f>
        <v>245</v>
      </c>
      <c r="L525" s="631">
        <f>SUM(L499:L524)</f>
        <v>59.75</v>
      </c>
    </row>
    <row r="526" spans="3:12" x14ac:dyDescent="0.2">
      <c r="C526" s="596"/>
      <c r="D526" s="593" t="s">
        <v>113</v>
      </c>
      <c r="E526" s="620"/>
      <c r="F526" s="610">
        <f>F496-F525</f>
        <v>0</v>
      </c>
      <c r="G526" s="610">
        <f>G496-G525</f>
        <v>0</v>
      </c>
      <c r="H526" s="610">
        <f>H496-H525</f>
        <v>0</v>
      </c>
      <c r="I526" s="610">
        <f>I496-I525</f>
        <v>0</v>
      </c>
      <c r="J526" s="610">
        <f>J496-J525</f>
        <v>0</v>
      </c>
      <c r="K526" s="636">
        <f>SUM(F526:J526)</f>
        <v>0</v>
      </c>
      <c r="L526" s="3"/>
    </row>
    <row r="527" spans="3:12" x14ac:dyDescent="0.2">
      <c r="C527" s="683"/>
      <c r="D527" s="593" t="s">
        <v>436</v>
      </c>
      <c r="E527" s="594"/>
      <c r="F527" s="581"/>
      <c r="G527" s="581"/>
      <c r="H527" s="581"/>
      <c r="I527" s="581"/>
      <c r="J527" s="581"/>
      <c r="K527" s="637">
        <f>K525+K526</f>
        <v>245</v>
      </c>
      <c r="L527" s="3"/>
    </row>
    <row r="529" spans="3:12" ht="18" x14ac:dyDescent="0.2">
      <c r="C529" s="685" t="s">
        <v>412</v>
      </c>
      <c r="D529" s="582">
        <v>45671</v>
      </c>
      <c r="E529" s="800"/>
      <c r="F529" s="685" t="s">
        <v>83</v>
      </c>
      <c r="G529" s="801" t="s">
        <v>64</v>
      </c>
      <c r="H529" s="802"/>
      <c r="I529" s="802"/>
      <c r="J529" s="802"/>
      <c r="K529" s="803"/>
    </row>
    <row r="530" spans="3:12" x14ac:dyDescent="0.2">
      <c r="C530" s="804"/>
      <c r="D530" s="805"/>
      <c r="E530" s="800"/>
      <c r="F530" s="683" t="s">
        <v>93</v>
      </c>
      <c r="G530" s="683" t="s">
        <v>93</v>
      </c>
      <c r="H530" s="683"/>
      <c r="I530" s="806"/>
      <c r="J530" s="806"/>
      <c r="K530" s="806"/>
    </row>
    <row r="531" spans="3:12" x14ac:dyDescent="0.2">
      <c r="C531" s="804"/>
      <c r="D531" s="805"/>
      <c r="E531" s="800"/>
      <c r="F531" s="683" t="s">
        <v>94</v>
      </c>
      <c r="G531" s="683" t="s">
        <v>95</v>
      </c>
      <c r="H531" s="683" t="s">
        <v>96</v>
      </c>
      <c r="I531" s="806"/>
      <c r="J531" s="806"/>
      <c r="K531" s="806"/>
    </row>
    <row r="532" spans="3:12" x14ac:dyDescent="0.2">
      <c r="C532" s="804"/>
      <c r="D532" s="805"/>
      <c r="E532" s="800"/>
      <c r="F532" s="683"/>
      <c r="G532" s="683"/>
      <c r="H532" s="683"/>
      <c r="I532" s="806"/>
      <c r="J532" s="806"/>
      <c r="K532" s="806"/>
    </row>
    <row r="533" spans="3:12" ht="16" x14ac:dyDescent="0.2">
      <c r="C533" s="683"/>
      <c r="D533" s="583" t="s">
        <v>97</v>
      </c>
      <c r="E533" s="584"/>
      <c r="F533" s="581"/>
      <c r="G533" s="585"/>
      <c r="H533" s="585"/>
      <c r="I533" s="586"/>
      <c r="J533" s="586"/>
      <c r="K533" s="586"/>
    </row>
    <row r="534" spans="3:12" ht="26" x14ac:dyDescent="0.2">
      <c r="C534" s="804"/>
      <c r="D534" s="587"/>
      <c r="E534" s="588"/>
      <c r="F534" s="585" t="s">
        <v>383</v>
      </c>
      <c r="G534" s="585" t="s">
        <v>384</v>
      </c>
      <c r="H534" s="585" t="s">
        <v>385</v>
      </c>
      <c r="I534" s="585" t="s">
        <v>386</v>
      </c>
      <c r="J534" s="585" t="s">
        <v>387</v>
      </c>
      <c r="K534" s="585" t="s">
        <v>84</v>
      </c>
    </row>
    <row r="535" spans="3:12" x14ac:dyDescent="0.2">
      <c r="C535" s="804"/>
      <c r="D535" s="684" t="s">
        <v>167</v>
      </c>
      <c r="E535" s="588"/>
      <c r="F535" s="580">
        <v>11</v>
      </c>
      <c r="G535" s="579">
        <v>7</v>
      </c>
      <c r="H535" s="580"/>
      <c r="I535" s="580">
        <v>5</v>
      </c>
      <c r="J535" s="580">
        <v>10</v>
      </c>
      <c r="K535" s="580">
        <f>SUM(F535:J535)</f>
        <v>33</v>
      </c>
    </row>
    <row r="536" spans="3:12" x14ac:dyDescent="0.2">
      <c r="C536" s="804"/>
      <c r="D536" s="684" t="s">
        <v>207</v>
      </c>
      <c r="E536" s="588"/>
      <c r="F536" s="618">
        <v>77</v>
      </c>
      <c r="G536" s="619">
        <v>49</v>
      </c>
      <c r="H536" s="618"/>
      <c r="I536" s="618">
        <v>55</v>
      </c>
      <c r="J536" s="618">
        <v>86</v>
      </c>
      <c r="K536" s="618">
        <f>SUM(F536:J536)</f>
        <v>267</v>
      </c>
    </row>
    <row r="537" spans="3:12" x14ac:dyDescent="0.2">
      <c r="C537" s="683"/>
      <c r="D537" s="684" t="s">
        <v>100</v>
      </c>
      <c r="E537" s="588"/>
      <c r="F537" s="581"/>
      <c r="G537" s="581"/>
      <c r="H537" s="581"/>
      <c r="I537" s="581"/>
      <c r="J537" s="581"/>
      <c r="K537" s="581">
        <f>SUM(F537:J537)</f>
        <v>0</v>
      </c>
    </row>
    <row r="538" spans="3:12" x14ac:dyDescent="0.2">
      <c r="C538" s="683"/>
      <c r="D538" s="684" t="s">
        <v>101</v>
      </c>
      <c r="E538" s="588"/>
      <c r="F538" s="581">
        <v>1</v>
      </c>
      <c r="G538" s="581">
        <v>2</v>
      </c>
      <c r="H538" s="581"/>
      <c r="I538" s="581"/>
      <c r="J538" s="581"/>
      <c r="K538" s="581">
        <f>SUM(F538:J538)</f>
        <v>3</v>
      </c>
    </row>
    <row r="539" spans="3:12" ht="16" thickBot="1" x14ac:dyDescent="0.25">
      <c r="C539" s="683"/>
      <c r="D539" s="597" t="s">
        <v>102</v>
      </c>
      <c r="E539" s="598"/>
      <c r="F539" s="599"/>
      <c r="G539" s="600"/>
      <c r="H539" s="600"/>
      <c r="I539" s="600"/>
      <c r="J539" s="600"/>
      <c r="K539" s="600">
        <f>SUM(F539:J539)</f>
        <v>0</v>
      </c>
    </row>
    <row r="540" spans="3:12" ht="17" thickBot="1" x14ac:dyDescent="0.25">
      <c r="C540" s="605"/>
      <c r="D540" s="612" t="s">
        <v>84</v>
      </c>
      <c r="E540" s="613"/>
      <c r="F540" s="614">
        <f>(F536+F539)-F538-F537</f>
        <v>76</v>
      </c>
      <c r="G540" s="615">
        <f>(G536+G539)-G538-G537</f>
        <v>47</v>
      </c>
      <c r="H540" s="616">
        <f>(H536+H539)-H538</f>
        <v>0</v>
      </c>
      <c r="I540" s="615">
        <f>(I536+I539)-I538-I537</f>
        <v>55</v>
      </c>
      <c r="J540" s="622">
        <f>(J536+J539)-J538-J537</f>
        <v>86</v>
      </c>
      <c r="K540" s="617">
        <f>(K536+K539)-K538-K537</f>
        <v>264</v>
      </c>
    </row>
    <row r="541" spans="3:12" ht="16" x14ac:dyDescent="0.2">
      <c r="C541" s="683"/>
      <c r="D541" s="608"/>
      <c r="E541" s="609"/>
      <c r="F541" s="610"/>
      <c r="G541" s="595"/>
      <c r="H541" s="611"/>
      <c r="I541" s="595"/>
      <c r="J541" s="595"/>
      <c r="K541" s="595"/>
    </row>
    <row r="542" spans="3:12" ht="16" thickBot="1" x14ac:dyDescent="0.25">
      <c r="C542" s="606" t="s">
        <v>388</v>
      </c>
      <c r="D542" s="607" t="s">
        <v>103</v>
      </c>
      <c r="E542" s="603" t="s">
        <v>84</v>
      </c>
      <c r="F542" s="602" t="s">
        <v>78</v>
      </c>
      <c r="G542" s="602" t="s">
        <v>79</v>
      </c>
      <c r="H542" s="602" t="s">
        <v>88</v>
      </c>
      <c r="I542" s="601" t="s">
        <v>87</v>
      </c>
      <c r="J542" s="601" t="s">
        <v>85</v>
      </c>
      <c r="K542" s="601" t="s">
        <v>84</v>
      </c>
      <c r="L542" s="174" t="s">
        <v>389</v>
      </c>
    </row>
    <row r="543" spans="3:12" x14ac:dyDescent="0.2">
      <c r="C543" s="589"/>
      <c r="D543" s="604" t="s">
        <v>105</v>
      </c>
      <c r="E543" s="591">
        <f>(F543+G543+H543+I543+J543)*100+(0*230)</f>
        <v>0</v>
      </c>
      <c r="F543" s="3"/>
      <c r="G543" s="3"/>
      <c r="H543" s="3"/>
      <c r="I543" s="3"/>
      <c r="J543" s="3"/>
      <c r="K543" s="628">
        <f>SUM(F543:J543)</f>
        <v>0</v>
      </c>
      <c r="L543" s="630">
        <f>K543/4</f>
        <v>0</v>
      </c>
    </row>
    <row r="544" spans="3:12" x14ac:dyDescent="0.2">
      <c r="C544" s="589"/>
      <c r="D544" s="590" t="s">
        <v>390</v>
      </c>
      <c r="E544" s="591">
        <f>(F544+G544+H544+I544+J544)*120</f>
        <v>0</v>
      </c>
      <c r="F544" s="3"/>
      <c r="G544" s="3"/>
      <c r="H544" s="3"/>
      <c r="I544" s="3"/>
      <c r="J544" s="3"/>
      <c r="K544" s="628">
        <f>SUM(F544:J544)</f>
        <v>0</v>
      </c>
      <c r="L544" s="630">
        <f t="shared" ref="L544:L565" si="24">K544/4</f>
        <v>0</v>
      </c>
    </row>
    <row r="545" spans="3:12" x14ac:dyDescent="0.2">
      <c r="C545" s="589"/>
      <c r="D545" s="590" t="s">
        <v>391</v>
      </c>
      <c r="E545" s="591">
        <f>(F545+G545+H545+I545+J545)*120</f>
        <v>0</v>
      </c>
      <c r="F545" s="3"/>
      <c r="G545" s="3"/>
      <c r="H545" s="3"/>
      <c r="I545" s="3"/>
      <c r="J545" s="3"/>
      <c r="K545" s="628">
        <f>SUM(F545:J545)</f>
        <v>0</v>
      </c>
      <c r="L545" s="630">
        <f t="shared" si="24"/>
        <v>0</v>
      </c>
    </row>
    <row r="546" spans="3:12" x14ac:dyDescent="0.2">
      <c r="C546" s="589"/>
      <c r="D546" s="590" t="s">
        <v>392</v>
      </c>
      <c r="E546" s="591">
        <f>(F546+G546+H546+I546+J546)*120</f>
        <v>0</v>
      </c>
      <c r="F546" s="3"/>
      <c r="G546" s="3"/>
      <c r="H546" s="3"/>
      <c r="I546" s="3"/>
      <c r="J546" s="3"/>
      <c r="K546" s="628">
        <f>SUM(F546:J546)</f>
        <v>0</v>
      </c>
      <c r="L546" s="630">
        <f t="shared" si="24"/>
        <v>0</v>
      </c>
    </row>
    <row r="547" spans="3:12" x14ac:dyDescent="0.2">
      <c r="C547" s="589"/>
      <c r="D547" s="590" t="s">
        <v>425</v>
      </c>
      <c r="E547" s="591">
        <f>(F547+G547+H547+I547+J547)*120</f>
        <v>0</v>
      </c>
      <c r="F547" s="3"/>
      <c r="G547" s="3"/>
      <c r="H547" s="3"/>
      <c r="I547" s="3"/>
      <c r="J547" s="3"/>
      <c r="K547" s="628">
        <f>SUM(F547:J547)</f>
        <v>0</v>
      </c>
      <c r="L547" s="630">
        <f t="shared" si="24"/>
        <v>0</v>
      </c>
    </row>
    <row r="548" spans="3:12" x14ac:dyDescent="0.2">
      <c r="C548" s="589"/>
      <c r="D548" s="590"/>
      <c r="E548" s="591"/>
      <c r="F548" s="3"/>
      <c r="G548" s="3"/>
      <c r="H548" s="3"/>
      <c r="I548" s="3"/>
      <c r="J548" s="3"/>
      <c r="K548" s="628"/>
      <c r="L548" s="630">
        <f t="shared" si="24"/>
        <v>0</v>
      </c>
    </row>
    <row r="549" spans="3:12" x14ac:dyDescent="0.2">
      <c r="C549" s="589"/>
      <c r="D549" s="590" t="s">
        <v>108</v>
      </c>
      <c r="E549" s="591">
        <f>(F549+G549+H549+J549)*112.7+(I549*119.6)</f>
        <v>0</v>
      </c>
      <c r="F549" s="3"/>
      <c r="G549" s="3"/>
      <c r="H549" s="3"/>
      <c r="I549" s="3"/>
      <c r="J549" s="3"/>
      <c r="K549" s="628">
        <f>SUM(F549:J549)</f>
        <v>0</v>
      </c>
      <c r="L549" s="630">
        <f t="shared" si="24"/>
        <v>0</v>
      </c>
    </row>
    <row r="550" spans="3:12" x14ac:dyDescent="0.2">
      <c r="C550" s="589"/>
      <c r="D550" s="590" t="s">
        <v>393</v>
      </c>
      <c r="E550" s="591">
        <f>(F550+G550+H550+J550)*112.7+(I550*119.6)</f>
        <v>0</v>
      </c>
      <c r="F550" s="3"/>
      <c r="G550" s="3"/>
      <c r="H550" s="3"/>
      <c r="I550" s="3"/>
      <c r="J550" s="3"/>
      <c r="K550" s="628">
        <f>SUM(F550:J550)</f>
        <v>0</v>
      </c>
      <c r="L550" s="630">
        <f t="shared" si="24"/>
        <v>0</v>
      </c>
    </row>
    <row r="551" spans="3:12" x14ac:dyDescent="0.2">
      <c r="C551" s="589"/>
      <c r="D551" s="590" t="s">
        <v>216</v>
      </c>
      <c r="E551" s="591">
        <f>(F551+G551+H551+J551)*112.7+(I551*119.6)</f>
        <v>0</v>
      </c>
      <c r="F551" s="3"/>
      <c r="G551" s="3"/>
      <c r="H551" s="3"/>
      <c r="I551" s="3"/>
      <c r="J551" s="3"/>
      <c r="K551" s="628">
        <f>SUM(F551:J551)</f>
        <v>0</v>
      </c>
      <c r="L551" s="630">
        <f t="shared" si="24"/>
        <v>0</v>
      </c>
    </row>
    <row r="552" spans="3:12" x14ac:dyDescent="0.2">
      <c r="C552" s="589"/>
      <c r="D552" s="590"/>
      <c r="E552" s="591"/>
      <c r="F552" s="3"/>
      <c r="G552" s="3"/>
      <c r="H552" s="3"/>
      <c r="I552" s="3"/>
      <c r="J552" s="3"/>
      <c r="K552" s="628"/>
      <c r="L552" s="630">
        <f t="shared" si="24"/>
        <v>0</v>
      </c>
    </row>
    <row r="553" spans="3:12" x14ac:dyDescent="0.2">
      <c r="C553" s="589"/>
      <c r="D553" s="590" t="s">
        <v>394</v>
      </c>
      <c r="E553" s="591">
        <f>(F553+G553+H553+I553+J553)*120</f>
        <v>0</v>
      </c>
      <c r="F553" s="3"/>
      <c r="G553" s="3"/>
      <c r="H553" s="3"/>
      <c r="I553" s="3"/>
      <c r="J553" s="3"/>
      <c r="K553" s="628">
        <f>SUM(F553:J553)</f>
        <v>0</v>
      </c>
      <c r="L553" s="630">
        <f t="shared" si="24"/>
        <v>0</v>
      </c>
    </row>
    <row r="554" spans="3:12" x14ac:dyDescent="0.2">
      <c r="C554" s="589"/>
      <c r="D554" s="590" t="s">
        <v>110</v>
      </c>
      <c r="E554" s="591">
        <f>(F554+G554+H554+J554)*112.7+(I554*119.6)</f>
        <v>0</v>
      </c>
      <c r="F554" s="3"/>
      <c r="G554" s="3"/>
      <c r="H554" s="3"/>
      <c r="I554" s="3"/>
      <c r="J554" s="3"/>
      <c r="K554" s="628">
        <f>SUM(F554:J554)</f>
        <v>0</v>
      </c>
      <c r="L554" s="630">
        <f t="shared" si="24"/>
        <v>0</v>
      </c>
    </row>
    <row r="555" spans="3:12" x14ac:dyDescent="0.2">
      <c r="C555" s="589"/>
      <c r="D555" s="590"/>
      <c r="E555" s="591"/>
      <c r="F555" s="3"/>
      <c r="G555" s="3"/>
      <c r="H555" s="3"/>
      <c r="I555" s="3"/>
      <c r="J555" s="3"/>
      <c r="K555" s="628">
        <f>SUM(F555:J555)</f>
        <v>0</v>
      </c>
      <c r="L555" s="630">
        <f t="shared" si="24"/>
        <v>0</v>
      </c>
    </row>
    <row r="556" spans="3:12" x14ac:dyDescent="0.2">
      <c r="C556" s="589"/>
      <c r="D556" s="590" t="s">
        <v>381</v>
      </c>
      <c r="E556" s="591">
        <f>(F556+G556+H556+I556+J556)*120+(240*0)+(0*45)</f>
        <v>0</v>
      </c>
      <c r="F556" s="3"/>
      <c r="G556" s="3"/>
      <c r="H556" s="3"/>
      <c r="I556" s="3"/>
      <c r="J556" s="3"/>
      <c r="K556" s="628">
        <f>SUM(F556:J556)</f>
        <v>0</v>
      </c>
      <c r="L556" s="630">
        <f t="shared" si="24"/>
        <v>0</v>
      </c>
    </row>
    <row r="557" spans="3:12" x14ac:dyDescent="0.2">
      <c r="C557" s="589"/>
      <c r="D557" s="590" t="s">
        <v>276</v>
      </c>
      <c r="E557" s="591">
        <f>(F557+G557+H557+J557)*112.7+(I557*119.6)</f>
        <v>0</v>
      </c>
      <c r="F557" s="3"/>
      <c r="G557" s="3"/>
      <c r="H557" s="3"/>
      <c r="I557" s="3"/>
      <c r="J557" s="3"/>
      <c r="K557" s="628">
        <f>SUM(F557:J557)</f>
        <v>0</v>
      </c>
      <c r="L557" s="630">
        <f t="shared" si="24"/>
        <v>0</v>
      </c>
    </row>
    <row r="558" spans="3:12" x14ac:dyDescent="0.2">
      <c r="C558" s="589"/>
      <c r="D558" s="590"/>
      <c r="E558" s="591"/>
      <c r="F558" s="3"/>
      <c r="G558" s="3"/>
      <c r="H558" s="3"/>
      <c r="I558" s="3"/>
      <c r="J558" s="3"/>
      <c r="K558" s="628"/>
      <c r="L558" s="630">
        <f t="shared" si="24"/>
        <v>0</v>
      </c>
    </row>
    <row r="559" spans="3:12" x14ac:dyDescent="0.2">
      <c r="C559" s="589" t="s">
        <v>529</v>
      </c>
      <c r="D559" s="590" t="s">
        <v>75</v>
      </c>
      <c r="E559" s="591">
        <f>(F559+G559+H559+I559+J559)*120</f>
        <v>1200</v>
      </c>
      <c r="F559" s="3">
        <v>3</v>
      </c>
      <c r="G559" s="3"/>
      <c r="H559" s="3"/>
      <c r="I559" s="3">
        <v>3</v>
      </c>
      <c r="J559" s="3">
        <v>4</v>
      </c>
      <c r="K559" s="628">
        <f t="shared" ref="K559:K565" si="25">SUM(F559:J559)</f>
        <v>10</v>
      </c>
      <c r="L559" s="630">
        <f t="shared" si="24"/>
        <v>2.5</v>
      </c>
    </row>
    <row r="560" spans="3:12" x14ac:dyDescent="0.2">
      <c r="C560" s="589"/>
      <c r="D560" s="590" t="s">
        <v>278</v>
      </c>
      <c r="E560" s="591">
        <f>(F560+G560+H560+I560+J560)*120</f>
        <v>0</v>
      </c>
      <c r="F560" s="3"/>
      <c r="G560" s="3"/>
      <c r="H560" s="3"/>
      <c r="I560" s="3"/>
      <c r="J560" s="3"/>
      <c r="K560" s="628">
        <f t="shared" si="25"/>
        <v>0</v>
      </c>
      <c r="L560" s="630">
        <f t="shared" si="24"/>
        <v>0</v>
      </c>
    </row>
    <row r="561" spans="3:12" x14ac:dyDescent="0.2">
      <c r="C561" s="589" t="s">
        <v>532</v>
      </c>
      <c r="D561" s="590" t="s">
        <v>270</v>
      </c>
      <c r="E561" s="591">
        <f t="shared" ref="E561:E566" si="26">(F561+G561+H561+I561)*112.7+(J561*119.6)</f>
        <v>7245</v>
      </c>
      <c r="F561" s="3">
        <v>21</v>
      </c>
      <c r="G561" s="3">
        <v>9</v>
      </c>
      <c r="H561" s="3"/>
      <c r="I561" s="3">
        <v>12</v>
      </c>
      <c r="J561" s="3">
        <v>21</v>
      </c>
      <c r="K561" s="628">
        <f t="shared" si="25"/>
        <v>63</v>
      </c>
      <c r="L561" s="630">
        <f t="shared" si="24"/>
        <v>15.75</v>
      </c>
    </row>
    <row r="562" spans="3:12" x14ac:dyDescent="0.2">
      <c r="C562" s="589" t="s">
        <v>531</v>
      </c>
      <c r="D562" s="590" t="s">
        <v>274</v>
      </c>
      <c r="E562" s="591">
        <f t="shared" si="26"/>
        <v>4816.2</v>
      </c>
      <c r="F562" s="3">
        <v>12</v>
      </c>
      <c r="G562" s="3">
        <v>9</v>
      </c>
      <c r="H562" s="3"/>
      <c r="I562" s="3">
        <v>9</v>
      </c>
      <c r="J562" s="3">
        <v>12</v>
      </c>
      <c r="K562" s="628">
        <f t="shared" si="25"/>
        <v>42</v>
      </c>
      <c r="L562" s="630">
        <f t="shared" si="24"/>
        <v>10.5</v>
      </c>
    </row>
    <row r="563" spans="3:12" x14ac:dyDescent="0.2">
      <c r="C563" s="589" t="s">
        <v>530</v>
      </c>
      <c r="D563" s="590" t="s">
        <v>395</v>
      </c>
      <c r="E563" s="591">
        <f t="shared" si="26"/>
        <v>4816.2</v>
      </c>
      <c r="F563" s="3">
        <v>12</v>
      </c>
      <c r="G563" s="3">
        <v>9</v>
      </c>
      <c r="H563" s="3"/>
      <c r="I563" s="3">
        <v>9</v>
      </c>
      <c r="J563" s="3">
        <v>12</v>
      </c>
      <c r="K563" s="628">
        <f t="shared" si="25"/>
        <v>42</v>
      </c>
      <c r="L563" s="630">
        <f t="shared" si="24"/>
        <v>10.5</v>
      </c>
    </row>
    <row r="564" spans="3:12" x14ac:dyDescent="0.2">
      <c r="C564" s="683">
        <v>1170260105</v>
      </c>
      <c r="D564" s="590" t="s">
        <v>112</v>
      </c>
      <c r="E564" s="591">
        <f t="shared" si="26"/>
        <v>4816.2</v>
      </c>
      <c r="F564" s="3">
        <v>12</v>
      </c>
      <c r="G564" s="3">
        <v>9</v>
      </c>
      <c r="H564" s="3"/>
      <c r="I564" s="3">
        <v>9</v>
      </c>
      <c r="J564" s="3">
        <v>12</v>
      </c>
      <c r="K564" s="628">
        <f t="shared" si="25"/>
        <v>42</v>
      </c>
      <c r="L564" s="630">
        <f t="shared" si="24"/>
        <v>10.5</v>
      </c>
    </row>
    <row r="565" spans="3:12" x14ac:dyDescent="0.2">
      <c r="C565" s="683">
        <v>1170260103</v>
      </c>
      <c r="D565" s="590" t="s">
        <v>72</v>
      </c>
      <c r="E565" s="591">
        <f t="shared" si="26"/>
        <v>4126.2000000000007</v>
      </c>
      <c r="F565" s="3">
        <v>10</v>
      </c>
      <c r="G565" s="3">
        <v>10</v>
      </c>
      <c r="H565" s="3"/>
      <c r="I565" s="3">
        <v>6</v>
      </c>
      <c r="J565" s="3">
        <v>10</v>
      </c>
      <c r="K565" s="628">
        <f t="shared" si="25"/>
        <v>36</v>
      </c>
      <c r="L565" s="630">
        <f t="shared" si="24"/>
        <v>9</v>
      </c>
    </row>
    <row r="566" spans="3:12" x14ac:dyDescent="0.2">
      <c r="C566" s="683"/>
      <c r="D566" s="590" t="s">
        <v>187</v>
      </c>
      <c r="E566" s="591">
        <f t="shared" si="26"/>
        <v>1865.2999999999997</v>
      </c>
      <c r="F566" s="3">
        <v>2</v>
      </c>
      <c r="G566" s="3">
        <v>1</v>
      </c>
      <c r="H566" s="3"/>
      <c r="I566" s="3">
        <v>4</v>
      </c>
      <c r="J566" s="3">
        <v>9</v>
      </c>
      <c r="K566" s="628">
        <f>SUM(F566:J566)</f>
        <v>16</v>
      </c>
      <c r="L566" s="3"/>
    </row>
    <row r="567" spans="3:12" ht="16" x14ac:dyDescent="0.2">
      <c r="C567" s="683"/>
      <c r="D567" s="590"/>
      <c r="E567" s="592"/>
      <c r="F567" s="3"/>
      <c r="G567" s="3"/>
      <c r="H567" s="3"/>
      <c r="I567" s="3"/>
      <c r="J567" s="3"/>
      <c r="K567" s="628">
        <f>SUM(F567:J567)</f>
        <v>0</v>
      </c>
      <c r="L567" s="3"/>
    </row>
    <row r="568" spans="3:12" ht="17" thickBot="1" x14ac:dyDescent="0.25">
      <c r="C568" s="683"/>
      <c r="D568" s="590"/>
      <c r="E568" s="624"/>
      <c r="F568" s="69"/>
      <c r="G568" s="69"/>
      <c r="H568" s="69"/>
      <c r="I568" s="69"/>
      <c r="J568" s="69"/>
      <c r="K568" s="629"/>
      <c r="L568" s="3"/>
    </row>
    <row r="569" spans="3:12" ht="16" thickBot="1" x14ac:dyDescent="0.25">
      <c r="C569" s="596"/>
      <c r="D569" s="623" t="s">
        <v>19</v>
      </c>
      <c r="E569" s="625">
        <f>SUM(E543:E566)</f>
        <v>28885.100000000002</v>
      </c>
      <c r="F569" s="614">
        <f>SUM(F543:F568)</f>
        <v>72</v>
      </c>
      <c r="G569" s="614">
        <f>SUM(G543:G568)</f>
        <v>47</v>
      </c>
      <c r="H569" s="614">
        <f>SUM(H543:H568)</f>
        <v>0</v>
      </c>
      <c r="I569" s="614">
        <f>SUM(I543:I568)</f>
        <v>52</v>
      </c>
      <c r="J569" s="614">
        <f>SUM(J543:J568)</f>
        <v>80</v>
      </c>
      <c r="K569" s="626">
        <f>SUM(F569:J569)</f>
        <v>251</v>
      </c>
      <c r="L569" s="631">
        <f>SUM(L543:L568)</f>
        <v>58.75</v>
      </c>
    </row>
    <row r="570" spans="3:12" x14ac:dyDescent="0.2">
      <c r="C570" s="596"/>
      <c r="D570" s="593" t="s">
        <v>113</v>
      </c>
      <c r="E570" s="620"/>
      <c r="F570" s="610">
        <f>F540-F569</f>
        <v>4</v>
      </c>
      <c r="G570" s="610">
        <f>G540-G569</f>
        <v>0</v>
      </c>
      <c r="H570" s="610">
        <f>H540-H569</f>
        <v>0</v>
      </c>
      <c r="I570" s="610">
        <f>I540-I569</f>
        <v>3</v>
      </c>
      <c r="J570" s="610">
        <f>J540-J569</f>
        <v>6</v>
      </c>
      <c r="K570" s="636">
        <f>SUM(F570:J570)</f>
        <v>13</v>
      </c>
      <c r="L570" s="3"/>
    </row>
    <row r="571" spans="3:12" x14ac:dyDescent="0.2">
      <c r="C571" s="683"/>
      <c r="D571" s="593" t="s">
        <v>436</v>
      </c>
      <c r="E571" s="594"/>
      <c r="F571" s="581"/>
      <c r="G571" s="581"/>
      <c r="H571" s="581"/>
      <c r="I571" s="581"/>
      <c r="J571" s="581"/>
      <c r="K571" s="637">
        <f>K569+K570</f>
        <v>264</v>
      </c>
      <c r="L571" s="3"/>
    </row>
    <row r="573" spans="3:12" ht="18" x14ac:dyDescent="0.2">
      <c r="C573" s="685" t="s">
        <v>412</v>
      </c>
      <c r="D573" s="582">
        <v>45672</v>
      </c>
      <c r="E573" s="800"/>
      <c r="F573" s="685" t="s">
        <v>83</v>
      </c>
      <c r="G573" s="801" t="s">
        <v>65</v>
      </c>
      <c r="H573" s="802"/>
      <c r="I573" s="802"/>
      <c r="J573" s="802"/>
      <c r="K573" s="803"/>
    </row>
    <row r="574" spans="3:12" x14ac:dyDescent="0.2">
      <c r="C574" s="804"/>
      <c r="D574" s="805"/>
      <c r="E574" s="800"/>
      <c r="F574" s="683" t="s">
        <v>93</v>
      </c>
      <c r="G574" s="683" t="s">
        <v>93</v>
      </c>
      <c r="H574" s="683"/>
      <c r="I574" s="806"/>
      <c r="J574" s="806"/>
      <c r="K574" s="806"/>
    </row>
    <row r="575" spans="3:12" x14ac:dyDescent="0.2">
      <c r="C575" s="804"/>
      <c r="D575" s="805"/>
      <c r="E575" s="800"/>
      <c r="F575" s="683" t="s">
        <v>94</v>
      </c>
      <c r="G575" s="683" t="s">
        <v>95</v>
      </c>
      <c r="H575" s="683" t="s">
        <v>96</v>
      </c>
      <c r="I575" s="806"/>
      <c r="J575" s="806"/>
      <c r="K575" s="806"/>
    </row>
    <row r="576" spans="3:12" x14ac:dyDescent="0.2">
      <c r="C576" s="804"/>
      <c r="D576" s="805"/>
      <c r="E576" s="800"/>
      <c r="F576" s="683"/>
      <c r="G576" s="683"/>
      <c r="H576" s="683"/>
      <c r="I576" s="806"/>
      <c r="J576" s="806"/>
      <c r="K576" s="806"/>
    </row>
    <row r="577" spans="3:12" ht="16" x14ac:dyDescent="0.2">
      <c r="C577" s="683"/>
      <c r="D577" s="583" t="s">
        <v>97</v>
      </c>
      <c r="E577" s="584"/>
      <c r="F577" s="581"/>
      <c r="G577" s="585"/>
      <c r="H577" s="585"/>
      <c r="I577" s="586"/>
      <c r="J577" s="586"/>
      <c r="K577" s="586"/>
    </row>
    <row r="578" spans="3:12" ht="26" x14ac:dyDescent="0.2">
      <c r="C578" s="804"/>
      <c r="D578" s="587"/>
      <c r="E578" s="588"/>
      <c r="F578" s="585" t="s">
        <v>383</v>
      </c>
      <c r="G578" s="585" t="s">
        <v>384</v>
      </c>
      <c r="H578" s="585" t="s">
        <v>385</v>
      </c>
      <c r="I578" s="585" t="s">
        <v>386</v>
      </c>
      <c r="J578" s="585" t="s">
        <v>387</v>
      </c>
      <c r="K578" s="585" t="s">
        <v>84</v>
      </c>
    </row>
    <row r="579" spans="3:12" x14ac:dyDescent="0.2">
      <c r="C579" s="804"/>
      <c r="D579" s="684" t="s">
        <v>167</v>
      </c>
      <c r="E579" s="588"/>
      <c r="F579" s="580">
        <v>9</v>
      </c>
      <c r="G579" s="579">
        <v>6</v>
      </c>
      <c r="H579" s="580">
        <v>2</v>
      </c>
      <c r="I579" s="580">
        <v>4</v>
      </c>
      <c r="J579" s="580">
        <v>8</v>
      </c>
      <c r="K579" s="580">
        <f>SUM(F579:J579)</f>
        <v>29</v>
      </c>
    </row>
    <row r="580" spans="3:12" x14ac:dyDescent="0.2">
      <c r="C580" s="804"/>
      <c r="D580" s="684" t="s">
        <v>207</v>
      </c>
      <c r="E580" s="588"/>
      <c r="F580" s="618">
        <v>63</v>
      </c>
      <c r="G580" s="619">
        <v>42</v>
      </c>
      <c r="H580" s="618">
        <v>14</v>
      </c>
      <c r="I580" s="618">
        <v>44</v>
      </c>
      <c r="J580" s="618">
        <v>69</v>
      </c>
      <c r="K580" s="618">
        <f>SUM(F580:J580)</f>
        <v>232</v>
      </c>
    </row>
    <row r="581" spans="3:12" x14ac:dyDescent="0.2">
      <c r="C581" s="683"/>
      <c r="D581" s="684" t="s">
        <v>100</v>
      </c>
      <c r="E581" s="588"/>
      <c r="F581" s="581"/>
      <c r="G581" s="581"/>
      <c r="H581" s="581"/>
      <c r="I581" s="581"/>
      <c r="J581" s="581"/>
      <c r="K581" s="581">
        <f>SUM(F581:J581)</f>
        <v>0</v>
      </c>
    </row>
    <row r="582" spans="3:12" x14ac:dyDescent="0.2">
      <c r="C582" s="683"/>
      <c r="D582" s="684" t="s">
        <v>101</v>
      </c>
      <c r="E582" s="588"/>
      <c r="F582" s="581"/>
      <c r="G582" s="581"/>
      <c r="H582" s="581">
        <v>2</v>
      </c>
      <c r="I582" s="581"/>
      <c r="J582" s="581"/>
      <c r="K582" s="581">
        <f>SUM(F582:J582)</f>
        <v>2</v>
      </c>
    </row>
    <row r="583" spans="3:12" ht="16" thickBot="1" x14ac:dyDescent="0.25">
      <c r="C583" s="683"/>
      <c r="D583" s="597" t="s">
        <v>102</v>
      </c>
      <c r="E583" s="598"/>
      <c r="F583" s="599">
        <v>5</v>
      </c>
      <c r="G583" s="600"/>
      <c r="H583" s="600"/>
      <c r="I583" s="600">
        <v>3</v>
      </c>
      <c r="J583" s="600">
        <v>7</v>
      </c>
      <c r="K583" s="600">
        <f>SUM(F583:J583)</f>
        <v>15</v>
      </c>
    </row>
    <row r="584" spans="3:12" ht="17" thickBot="1" x14ac:dyDescent="0.25">
      <c r="C584" s="605"/>
      <c r="D584" s="612" t="s">
        <v>84</v>
      </c>
      <c r="E584" s="613"/>
      <c r="F584" s="614">
        <f>(F580+F583)-F582-F581</f>
        <v>68</v>
      </c>
      <c r="G584" s="615">
        <f>(G580+G583)-G582-G581</f>
        <v>42</v>
      </c>
      <c r="H584" s="616">
        <f>(H580+H583)-H582</f>
        <v>12</v>
      </c>
      <c r="I584" s="615">
        <f>(I580+I583)-I582-I581</f>
        <v>47</v>
      </c>
      <c r="J584" s="622">
        <f>(J580+J583)-J582-J581</f>
        <v>76</v>
      </c>
      <c r="K584" s="617">
        <f>(K580+K583)-K582-K581</f>
        <v>245</v>
      </c>
    </row>
    <row r="585" spans="3:12" ht="16" x14ac:dyDescent="0.2">
      <c r="C585" s="683"/>
      <c r="D585" s="608"/>
      <c r="E585" s="609"/>
      <c r="F585" s="610"/>
      <c r="G585" s="595"/>
      <c r="H585" s="611"/>
      <c r="I585" s="595"/>
      <c r="J585" s="595"/>
      <c r="K585" s="595"/>
    </row>
    <row r="586" spans="3:12" ht="16" thickBot="1" x14ac:dyDescent="0.25">
      <c r="C586" s="606" t="s">
        <v>388</v>
      </c>
      <c r="D586" s="607" t="s">
        <v>103</v>
      </c>
      <c r="E586" s="603" t="s">
        <v>84</v>
      </c>
      <c r="F586" s="602" t="s">
        <v>78</v>
      </c>
      <c r="G586" s="602" t="s">
        <v>79</v>
      </c>
      <c r="H586" s="602" t="s">
        <v>88</v>
      </c>
      <c r="I586" s="601" t="s">
        <v>87</v>
      </c>
      <c r="J586" s="601" t="s">
        <v>85</v>
      </c>
      <c r="K586" s="601" t="s">
        <v>84</v>
      </c>
      <c r="L586" s="174" t="s">
        <v>389</v>
      </c>
    </row>
    <row r="587" spans="3:12" x14ac:dyDescent="0.2">
      <c r="C587" s="589" t="s">
        <v>539</v>
      </c>
      <c r="D587" s="604" t="s">
        <v>105</v>
      </c>
      <c r="E587" s="591">
        <f>(F587+G587+H587+I587+J587)*100+(0*230)</f>
        <v>5600</v>
      </c>
      <c r="F587" s="3">
        <v>18</v>
      </c>
      <c r="G587" s="3">
        <v>11</v>
      </c>
      <c r="H587" s="3">
        <v>3</v>
      </c>
      <c r="I587" s="3">
        <v>6</v>
      </c>
      <c r="J587" s="3">
        <v>18</v>
      </c>
      <c r="K587" s="628">
        <f>SUM(F587:J587)</f>
        <v>56</v>
      </c>
      <c r="L587" s="630">
        <f>K587/4</f>
        <v>14</v>
      </c>
    </row>
    <row r="588" spans="3:12" x14ac:dyDescent="0.2">
      <c r="C588" s="589"/>
      <c r="D588" s="590" t="s">
        <v>390</v>
      </c>
      <c r="E588" s="591">
        <f>(F588+G588+H588+I588+J588)*120</f>
        <v>0</v>
      </c>
      <c r="F588" s="3"/>
      <c r="G588" s="3"/>
      <c r="H588" s="3"/>
      <c r="I588" s="3"/>
      <c r="J588" s="3"/>
      <c r="K588" s="628">
        <f>SUM(F588:J588)</f>
        <v>0</v>
      </c>
      <c r="L588" s="630">
        <f t="shared" ref="L588:L609" si="27">K588/4</f>
        <v>0</v>
      </c>
    </row>
    <row r="589" spans="3:12" x14ac:dyDescent="0.2">
      <c r="C589" s="589"/>
      <c r="D589" s="590" t="s">
        <v>391</v>
      </c>
      <c r="E589" s="591">
        <f>(F589+G589+H589+I589+J589)*120</f>
        <v>0</v>
      </c>
      <c r="F589" s="3"/>
      <c r="G589" s="3"/>
      <c r="H589" s="3"/>
      <c r="I589" s="3"/>
      <c r="J589" s="3"/>
      <c r="K589" s="628">
        <f>SUM(F589:J589)</f>
        <v>0</v>
      </c>
      <c r="L589" s="630">
        <f t="shared" si="27"/>
        <v>0</v>
      </c>
    </row>
    <row r="590" spans="3:12" x14ac:dyDescent="0.2">
      <c r="C590" s="589"/>
      <c r="D590" s="590" t="s">
        <v>392</v>
      </c>
      <c r="E590" s="591">
        <f>(F590+G590+H590+I590+J590)*120</f>
        <v>0</v>
      </c>
      <c r="F590" s="3"/>
      <c r="G590" s="3"/>
      <c r="H590" s="3"/>
      <c r="I590" s="3"/>
      <c r="J590" s="3"/>
      <c r="K590" s="628">
        <f>SUM(F590:J590)</f>
        <v>0</v>
      </c>
      <c r="L590" s="630">
        <f t="shared" si="27"/>
        <v>0</v>
      </c>
    </row>
    <row r="591" spans="3:12" x14ac:dyDescent="0.2">
      <c r="C591" s="589"/>
      <c r="D591" s="590" t="s">
        <v>425</v>
      </c>
      <c r="E591" s="591">
        <f>(F591+G591+H591+I591+J591)*120</f>
        <v>0</v>
      </c>
      <c r="F591" s="3"/>
      <c r="G591" s="3"/>
      <c r="H591" s="3"/>
      <c r="I591" s="3"/>
      <c r="J591" s="3"/>
      <c r="K591" s="628">
        <f>SUM(F591:J591)</f>
        <v>0</v>
      </c>
      <c r="L591" s="630">
        <f t="shared" si="27"/>
        <v>0</v>
      </c>
    </row>
    <row r="592" spans="3:12" x14ac:dyDescent="0.2">
      <c r="C592" s="589"/>
      <c r="D592" s="590"/>
      <c r="E592" s="591"/>
      <c r="F592" s="3"/>
      <c r="G592" s="3"/>
      <c r="H592" s="3"/>
      <c r="I592" s="3"/>
      <c r="J592" s="3"/>
      <c r="K592" s="628"/>
      <c r="L592" s="630">
        <f t="shared" si="27"/>
        <v>0</v>
      </c>
    </row>
    <row r="593" spans="3:12" x14ac:dyDescent="0.2">
      <c r="C593" s="589" t="s">
        <v>543</v>
      </c>
      <c r="D593" s="590" t="s">
        <v>108</v>
      </c>
      <c r="E593" s="591">
        <f>(F593+G593+H593+J593)*112.7+(I593*119.6)</f>
        <v>4119.3</v>
      </c>
      <c r="F593" s="3">
        <v>9</v>
      </c>
      <c r="G593" s="3">
        <v>5</v>
      </c>
      <c r="H593" s="3">
        <v>4</v>
      </c>
      <c r="I593" s="3">
        <v>9</v>
      </c>
      <c r="J593" s="3">
        <v>9</v>
      </c>
      <c r="K593" s="628">
        <f>SUM(F593:J593)</f>
        <v>36</v>
      </c>
      <c r="L593" s="630">
        <f t="shared" si="27"/>
        <v>9</v>
      </c>
    </row>
    <row r="594" spans="3:12" x14ac:dyDescent="0.2">
      <c r="C594" s="589" t="s">
        <v>542</v>
      </c>
      <c r="D594" s="590" t="s">
        <v>393</v>
      </c>
      <c r="E594" s="591">
        <f>(F594+G594+H594+J594)*112.7+(I594*119.6)</f>
        <v>2725.5</v>
      </c>
      <c r="F594" s="3">
        <v>6</v>
      </c>
      <c r="G594" s="3">
        <v>5</v>
      </c>
      <c r="H594" s="3">
        <v>4</v>
      </c>
      <c r="I594" s="3">
        <v>3</v>
      </c>
      <c r="J594" s="3">
        <v>6</v>
      </c>
      <c r="K594" s="628">
        <f>SUM(F594:J594)</f>
        <v>24</v>
      </c>
      <c r="L594" s="630">
        <f t="shared" si="27"/>
        <v>6</v>
      </c>
    </row>
    <row r="595" spans="3:12" x14ac:dyDescent="0.2">
      <c r="C595" s="589" t="s">
        <v>541</v>
      </c>
      <c r="D595" s="590" t="s">
        <v>216</v>
      </c>
      <c r="E595" s="591">
        <f>(F595+G595+H595+J595)*112.7+(I595*119.6)</f>
        <v>3443.1000000000004</v>
      </c>
      <c r="F595" s="3">
        <v>6</v>
      </c>
      <c r="G595" s="3">
        <v>9</v>
      </c>
      <c r="H595" s="3"/>
      <c r="I595" s="3">
        <v>9</v>
      </c>
      <c r="J595" s="3">
        <v>6</v>
      </c>
      <c r="K595" s="628">
        <f>SUM(F595:J595)</f>
        <v>30</v>
      </c>
      <c r="L595" s="630">
        <f t="shared" si="27"/>
        <v>7.5</v>
      </c>
    </row>
    <row r="596" spans="3:12" x14ac:dyDescent="0.2">
      <c r="C596" s="589"/>
      <c r="D596" s="590"/>
      <c r="E596" s="591"/>
      <c r="F596" s="3"/>
      <c r="G596" s="3"/>
      <c r="H596" s="3"/>
      <c r="I596" s="3"/>
      <c r="J596" s="3"/>
      <c r="K596" s="628"/>
      <c r="L596" s="630">
        <f t="shared" si="27"/>
        <v>0</v>
      </c>
    </row>
    <row r="597" spans="3:12" x14ac:dyDescent="0.2">
      <c r="C597" s="589"/>
      <c r="D597" s="590" t="s">
        <v>394</v>
      </c>
      <c r="E597" s="591">
        <f>(F597+G597+H597+I597+J597)*120</f>
        <v>0</v>
      </c>
      <c r="F597" s="3"/>
      <c r="G597" s="3"/>
      <c r="H597" s="3"/>
      <c r="I597" s="3"/>
      <c r="J597" s="3"/>
      <c r="K597" s="628">
        <f>SUM(F597:J597)</f>
        <v>0</v>
      </c>
      <c r="L597" s="630">
        <f t="shared" si="27"/>
        <v>0</v>
      </c>
    </row>
    <row r="598" spans="3:12" x14ac:dyDescent="0.2">
      <c r="C598" s="589" t="s">
        <v>544</v>
      </c>
      <c r="D598" s="590" t="s">
        <v>110</v>
      </c>
      <c r="E598" s="591">
        <f>(F598+G598+H598+J598)*112.7+(I598*119.6)</f>
        <v>7521</v>
      </c>
      <c r="F598" s="3">
        <v>21</v>
      </c>
      <c r="G598" s="3">
        <v>12</v>
      </c>
      <c r="H598" s="3"/>
      <c r="I598" s="3">
        <v>12</v>
      </c>
      <c r="J598" s="3">
        <v>21</v>
      </c>
      <c r="K598" s="628">
        <f>SUM(F598:J598)</f>
        <v>66</v>
      </c>
      <c r="L598" s="630">
        <f t="shared" si="27"/>
        <v>16.5</v>
      </c>
    </row>
    <row r="599" spans="3:12" x14ac:dyDescent="0.2">
      <c r="C599" s="589"/>
      <c r="D599" s="590"/>
      <c r="E599" s="591"/>
      <c r="F599" s="3"/>
      <c r="G599" s="3"/>
      <c r="H599" s="3"/>
      <c r="I599" s="3"/>
      <c r="J599" s="3"/>
      <c r="K599" s="628">
        <f>SUM(F599:J599)</f>
        <v>0</v>
      </c>
      <c r="L599" s="630">
        <f t="shared" si="27"/>
        <v>0</v>
      </c>
    </row>
    <row r="600" spans="3:12" x14ac:dyDescent="0.2">
      <c r="C600" s="589"/>
      <c r="D600" s="590" t="s">
        <v>381</v>
      </c>
      <c r="E600" s="591">
        <f>(F600+G600+H600+I600+J600)*120+(240*0)+(0*45)</f>
        <v>0</v>
      </c>
      <c r="F600" s="3"/>
      <c r="G600" s="3"/>
      <c r="H600" s="3"/>
      <c r="I600" s="3"/>
      <c r="J600" s="3"/>
      <c r="K600" s="628">
        <f>SUM(F600:J600)</f>
        <v>0</v>
      </c>
      <c r="L600" s="630">
        <f t="shared" si="27"/>
        <v>0</v>
      </c>
    </row>
    <row r="601" spans="3:12" x14ac:dyDescent="0.2">
      <c r="C601" s="589"/>
      <c r="D601" s="590" t="s">
        <v>276</v>
      </c>
      <c r="E601" s="591">
        <f>(F601+G601+H601+J601)*112.7+(I601*119.6)</f>
        <v>0</v>
      </c>
      <c r="F601" s="3"/>
      <c r="G601" s="3"/>
      <c r="H601" s="3"/>
      <c r="I601" s="3"/>
      <c r="J601" s="3"/>
      <c r="K601" s="628">
        <f>SUM(F601:J601)</f>
        <v>0</v>
      </c>
      <c r="L601" s="630">
        <f t="shared" si="27"/>
        <v>0</v>
      </c>
    </row>
    <row r="602" spans="3:12" x14ac:dyDescent="0.2">
      <c r="C602" s="589"/>
      <c r="D602" s="590"/>
      <c r="E602" s="591"/>
      <c r="F602" s="3"/>
      <c r="G602" s="3"/>
      <c r="H602" s="3"/>
      <c r="I602" s="3"/>
      <c r="J602" s="3"/>
      <c r="K602" s="628"/>
      <c r="L602" s="630">
        <f t="shared" si="27"/>
        <v>0</v>
      </c>
    </row>
    <row r="603" spans="3:12" x14ac:dyDescent="0.2">
      <c r="C603" s="589"/>
      <c r="D603" s="590" t="s">
        <v>75</v>
      </c>
      <c r="E603" s="591">
        <f>(F603+G603+H603+I603+J603)*120</f>
        <v>0</v>
      </c>
      <c r="F603" s="3"/>
      <c r="G603" s="3"/>
      <c r="H603" s="3"/>
      <c r="I603" s="3"/>
      <c r="J603" s="3"/>
      <c r="K603" s="628">
        <f t="shared" ref="K603:K609" si="28">SUM(F603:J603)</f>
        <v>0</v>
      </c>
      <c r="L603" s="630">
        <f t="shared" si="27"/>
        <v>0</v>
      </c>
    </row>
    <row r="604" spans="3:12" x14ac:dyDescent="0.2">
      <c r="C604" s="589"/>
      <c r="D604" s="590" t="s">
        <v>278</v>
      </c>
      <c r="E604" s="591">
        <f>(F604+G604+H604+I604+J604)*120</f>
        <v>0</v>
      </c>
      <c r="F604" s="3"/>
      <c r="G604" s="3"/>
      <c r="H604" s="3"/>
      <c r="I604" s="3"/>
      <c r="J604" s="3"/>
      <c r="K604" s="628">
        <f t="shared" si="28"/>
        <v>0</v>
      </c>
      <c r="L604" s="630">
        <f t="shared" si="27"/>
        <v>0</v>
      </c>
    </row>
    <row r="605" spans="3:12" x14ac:dyDescent="0.2">
      <c r="C605" s="589"/>
      <c r="D605" s="590" t="s">
        <v>270</v>
      </c>
      <c r="E605" s="591">
        <f>(F605+G605+H605+I605)*112.7+(J605*119.6)</f>
        <v>0</v>
      </c>
      <c r="F605" s="3"/>
      <c r="G605" s="3"/>
      <c r="H605" s="3"/>
      <c r="I605" s="3"/>
      <c r="J605" s="3"/>
      <c r="K605" s="628">
        <f t="shared" si="28"/>
        <v>0</v>
      </c>
      <c r="L605" s="630">
        <f t="shared" si="27"/>
        <v>0</v>
      </c>
    </row>
    <row r="606" spans="3:12" x14ac:dyDescent="0.2">
      <c r="C606" s="589"/>
      <c r="D606" s="590" t="s">
        <v>274</v>
      </c>
      <c r="E606" s="591">
        <f>(F606+G606+H606+I606)*112.7+(J606*119.6)</f>
        <v>0</v>
      </c>
      <c r="F606" s="3"/>
      <c r="G606" s="3"/>
      <c r="H606" s="3"/>
      <c r="I606" s="3"/>
      <c r="J606" s="3"/>
      <c r="K606" s="628">
        <f t="shared" si="28"/>
        <v>0</v>
      </c>
      <c r="L606" s="630">
        <f t="shared" si="27"/>
        <v>0</v>
      </c>
    </row>
    <row r="607" spans="3:12" x14ac:dyDescent="0.2">
      <c r="C607" s="589"/>
      <c r="D607" s="590" t="s">
        <v>395</v>
      </c>
      <c r="E607" s="591">
        <f>(F607+G607+H607+I607)*112.7+(J607*119.6)</f>
        <v>0</v>
      </c>
      <c r="F607" s="3"/>
      <c r="G607" s="3"/>
      <c r="H607" s="3"/>
      <c r="I607" s="3"/>
      <c r="J607" s="3"/>
      <c r="K607" s="628">
        <f t="shared" si="28"/>
        <v>0</v>
      </c>
      <c r="L607" s="630">
        <f t="shared" si="27"/>
        <v>0</v>
      </c>
    </row>
    <row r="608" spans="3:12" x14ac:dyDescent="0.2">
      <c r="C608" s="683"/>
      <c r="D608" s="590" t="s">
        <v>112</v>
      </c>
      <c r="E608" s="591">
        <f>(F608+G608+H608+I608)*112.7+(J608*119.6)</f>
        <v>0</v>
      </c>
      <c r="F608" s="3"/>
      <c r="G608" s="3"/>
      <c r="H608" s="3"/>
      <c r="I608" s="3"/>
      <c r="J608" s="3"/>
      <c r="K608" s="628">
        <f t="shared" si="28"/>
        <v>0</v>
      </c>
      <c r="L608" s="630">
        <f t="shared" si="27"/>
        <v>0</v>
      </c>
    </row>
    <row r="609" spans="3:12" x14ac:dyDescent="0.2">
      <c r="C609" s="683"/>
      <c r="D609" s="590" t="s">
        <v>72</v>
      </c>
      <c r="E609" s="591">
        <f>(F609+G609+H609+I609)*112.7+(J609*119.6)</f>
        <v>0</v>
      </c>
      <c r="F609" s="3"/>
      <c r="G609" s="3"/>
      <c r="H609" s="3"/>
      <c r="I609" s="3"/>
      <c r="J609" s="3"/>
      <c r="K609" s="628">
        <f t="shared" si="28"/>
        <v>0</v>
      </c>
      <c r="L609" s="630">
        <f t="shared" si="27"/>
        <v>0</v>
      </c>
    </row>
    <row r="610" spans="3:12" x14ac:dyDescent="0.2">
      <c r="C610" s="683"/>
      <c r="D610" s="590" t="s">
        <v>187</v>
      </c>
      <c r="E610" s="591"/>
      <c r="F610" s="3"/>
      <c r="G610" s="3"/>
      <c r="H610" s="3">
        <v>1</v>
      </c>
      <c r="I610" s="3"/>
      <c r="J610" s="3">
        <v>10</v>
      </c>
      <c r="K610" s="628">
        <f>SUM(F610:J610)</f>
        <v>11</v>
      </c>
      <c r="L610" s="3"/>
    </row>
    <row r="611" spans="3:12" ht="16" x14ac:dyDescent="0.2">
      <c r="C611" s="683"/>
      <c r="D611" s="590" t="s">
        <v>540</v>
      </c>
      <c r="E611" s="592"/>
      <c r="F611" s="3">
        <v>1</v>
      </c>
      <c r="G611" s="3"/>
      <c r="H611" s="3"/>
      <c r="I611" s="3"/>
      <c r="J611" s="3"/>
      <c r="K611" s="628">
        <f>SUM(F611:J611)</f>
        <v>1</v>
      </c>
      <c r="L611" s="3"/>
    </row>
    <row r="612" spans="3:12" ht="17" thickBot="1" x14ac:dyDescent="0.25">
      <c r="C612" s="683"/>
      <c r="D612" s="590"/>
      <c r="E612" s="624"/>
      <c r="F612" s="69"/>
      <c r="G612" s="69"/>
      <c r="H612" s="69"/>
      <c r="I612" s="69"/>
      <c r="J612" s="69"/>
      <c r="K612" s="629"/>
      <c r="L612" s="3"/>
    </row>
    <row r="613" spans="3:12" ht="16" thickBot="1" x14ac:dyDescent="0.25">
      <c r="C613" s="596"/>
      <c r="D613" s="623" t="s">
        <v>19</v>
      </c>
      <c r="E613" s="625">
        <f>SUM(E587:E610)</f>
        <v>23408.9</v>
      </c>
      <c r="F613" s="614">
        <f>SUM(F587:F612)</f>
        <v>61</v>
      </c>
      <c r="G613" s="614">
        <f>SUM(G587:G612)</f>
        <v>42</v>
      </c>
      <c r="H613" s="614">
        <f>SUM(H587:H612)</f>
        <v>12</v>
      </c>
      <c r="I613" s="614">
        <f>SUM(I587:I612)</f>
        <v>39</v>
      </c>
      <c r="J613" s="614">
        <f>SUM(J587:J612)</f>
        <v>70</v>
      </c>
      <c r="K613" s="626">
        <f>SUM(F613:J613)</f>
        <v>224</v>
      </c>
      <c r="L613" s="631">
        <f>SUM(L587:L612)</f>
        <v>53</v>
      </c>
    </row>
    <row r="614" spans="3:12" x14ac:dyDescent="0.2">
      <c r="C614" s="596"/>
      <c r="D614" s="593" t="s">
        <v>113</v>
      </c>
      <c r="E614" s="620"/>
      <c r="F614" s="610">
        <f>F584-F613</f>
        <v>7</v>
      </c>
      <c r="G614" s="610">
        <f>G584-G613</f>
        <v>0</v>
      </c>
      <c r="H614" s="610">
        <f>H584-H613</f>
        <v>0</v>
      </c>
      <c r="I614" s="610">
        <f>I584-I613</f>
        <v>8</v>
      </c>
      <c r="J614" s="610">
        <f>J584-J613</f>
        <v>6</v>
      </c>
      <c r="K614" s="636">
        <f>SUM(F614:J614)</f>
        <v>21</v>
      </c>
      <c r="L614" s="3"/>
    </row>
    <row r="615" spans="3:12" x14ac:dyDescent="0.2">
      <c r="C615" s="683"/>
      <c r="D615" s="593" t="s">
        <v>436</v>
      </c>
      <c r="E615" s="594"/>
      <c r="F615" s="581"/>
      <c r="G615" s="581"/>
      <c r="H615" s="581"/>
      <c r="I615" s="581"/>
      <c r="J615" s="581"/>
      <c r="K615" s="637">
        <f>K613+K614</f>
        <v>245</v>
      </c>
      <c r="L615" s="3"/>
    </row>
    <row r="617" spans="3:12" ht="18" x14ac:dyDescent="0.2">
      <c r="C617" s="685" t="s">
        <v>412</v>
      </c>
      <c r="D617" s="582">
        <v>45674</v>
      </c>
      <c r="E617" s="800"/>
      <c r="F617" s="685" t="s">
        <v>83</v>
      </c>
      <c r="G617" s="801" t="s">
        <v>67</v>
      </c>
      <c r="H617" s="802"/>
      <c r="I617" s="802"/>
      <c r="J617" s="802"/>
      <c r="K617" s="803"/>
    </row>
    <row r="618" spans="3:12" x14ac:dyDescent="0.2">
      <c r="C618" s="804"/>
      <c r="D618" s="805"/>
      <c r="E618" s="800"/>
      <c r="F618" s="683" t="s">
        <v>93</v>
      </c>
      <c r="G618" s="683" t="s">
        <v>93</v>
      </c>
      <c r="H618" s="683"/>
      <c r="I618" s="806"/>
      <c r="J618" s="806"/>
      <c r="K618" s="806"/>
    </row>
    <row r="619" spans="3:12" x14ac:dyDescent="0.2">
      <c r="C619" s="804"/>
      <c r="D619" s="805"/>
      <c r="E619" s="800"/>
      <c r="F619" s="683" t="s">
        <v>94</v>
      </c>
      <c r="G619" s="683" t="s">
        <v>95</v>
      </c>
      <c r="H619" s="683" t="s">
        <v>96</v>
      </c>
      <c r="I619" s="806"/>
      <c r="J619" s="806"/>
      <c r="K619" s="806"/>
    </row>
    <row r="620" spans="3:12" x14ac:dyDescent="0.2">
      <c r="C620" s="804"/>
      <c r="D620" s="805"/>
      <c r="E620" s="800"/>
      <c r="F620" s="683"/>
      <c r="G620" s="683"/>
      <c r="H620" s="683"/>
      <c r="I620" s="806"/>
      <c r="J620" s="806"/>
      <c r="K620" s="806"/>
    </row>
    <row r="621" spans="3:12" ht="16" x14ac:dyDescent="0.2">
      <c r="C621" s="683"/>
      <c r="D621" s="583" t="s">
        <v>97</v>
      </c>
      <c r="E621" s="584"/>
      <c r="F621" s="581"/>
      <c r="G621" s="585"/>
      <c r="H621" s="585"/>
      <c r="I621" s="586"/>
      <c r="J621" s="586"/>
      <c r="K621" s="586"/>
    </row>
    <row r="622" spans="3:12" ht="26" x14ac:dyDescent="0.2">
      <c r="C622" s="804"/>
      <c r="D622" s="587"/>
      <c r="E622" s="588"/>
      <c r="F622" s="585" t="s">
        <v>383</v>
      </c>
      <c r="G622" s="585" t="s">
        <v>384</v>
      </c>
      <c r="H622" s="585" t="s">
        <v>385</v>
      </c>
      <c r="I622" s="585" t="s">
        <v>386</v>
      </c>
      <c r="J622" s="585" t="s">
        <v>387</v>
      </c>
      <c r="K622" s="585" t="s">
        <v>84</v>
      </c>
    </row>
    <row r="623" spans="3:12" x14ac:dyDescent="0.2">
      <c r="C623" s="804"/>
      <c r="D623" s="684" t="s">
        <v>167</v>
      </c>
      <c r="E623" s="588"/>
      <c r="F623" s="580">
        <v>13</v>
      </c>
      <c r="G623" s="579">
        <v>8</v>
      </c>
      <c r="H623" s="580">
        <v>3</v>
      </c>
      <c r="I623" s="580">
        <v>5</v>
      </c>
      <c r="J623" s="580">
        <v>9</v>
      </c>
      <c r="K623" s="580">
        <f>SUM(F623:J623)</f>
        <v>38</v>
      </c>
    </row>
    <row r="624" spans="3:12" x14ac:dyDescent="0.2">
      <c r="C624" s="804"/>
      <c r="D624" s="684" t="s">
        <v>207</v>
      </c>
      <c r="E624" s="588"/>
      <c r="F624" s="618">
        <v>91</v>
      </c>
      <c r="G624" s="619">
        <v>56</v>
      </c>
      <c r="H624" s="618">
        <v>21</v>
      </c>
      <c r="I624" s="618">
        <v>55</v>
      </c>
      <c r="J624" s="618">
        <v>77</v>
      </c>
      <c r="K624" s="618">
        <f>SUM(F624:J624)</f>
        <v>300</v>
      </c>
    </row>
    <row r="625" spans="3:12" x14ac:dyDescent="0.2">
      <c r="C625" s="683"/>
      <c r="D625" s="684" t="s">
        <v>100</v>
      </c>
      <c r="E625" s="588"/>
      <c r="F625" s="581"/>
      <c r="G625" s="581"/>
      <c r="H625" s="581"/>
      <c r="I625" s="581"/>
      <c r="J625" s="581"/>
      <c r="K625" s="581">
        <f>SUM(F625:J625)</f>
        <v>0</v>
      </c>
    </row>
    <row r="626" spans="3:12" x14ac:dyDescent="0.2">
      <c r="C626" s="683"/>
      <c r="D626" s="684" t="s">
        <v>101</v>
      </c>
      <c r="E626" s="588"/>
      <c r="F626" s="581">
        <v>1</v>
      </c>
      <c r="G626" s="581">
        <v>1</v>
      </c>
      <c r="H626" s="581"/>
      <c r="I626" s="581">
        <v>1</v>
      </c>
      <c r="J626" s="581">
        <v>1</v>
      </c>
      <c r="K626" s="581">
        <f>SUM(F626:J626)</f>
        <v>4</v>
      </c>
    </row>
    <row r="627" spans="3:12" ht="16" thickBot="1" x14ac:dyDescent="0.25">
      <c r="C627" s="683"/>
      <c r="D627" s="597" t="s">
        <v>102</v>
      </c>
      <c r="E627" s="598"/>
      <c r="F627" s="599">
        <v>5</v>
      </c>
      <c r="G627" s="600"/>
      <c r="H627" s="600"/>
      <c r="I627" s="600">
        <v>3</v>
      </c>
      <c r="J627" s="600">
        <v>7</v>
      </c>
      <c r="K627" s="600">
        <f>SUM(F627:J627)</f>
        <v>15</v>
      </c>
    </row>
    <row r="628" spans="3:12" ht="17" thickBot="1" x14ac:dyDescent="0.25">
      <c r="C628" s="605"/>
      <c r="D628" s="612" t="s">
        <v>84</v>
      </c>
      <c r="E628" s="613"/>
      <c r="F628" s="614">
        <f>(F624+F627)-F626-F625</f>
        <v>95</v>
      </c>
      <c r="G628" s="615">
        <f>(G624+G627)-G626-G625</f>
        <v>55</v>
      </c>
      <c r="H628" s="616">
        <f>(H624+H627)-H626</f>
        <v>21</v>
      </c>
      <c r="I628" s="615">
        <f>(I624+I627)-I626-I625</f>
        <v>57</v>
      </c>
      <c r="J628" s="622">
        <f>(J624+J627)-J626-J625</f>
        <v>83</v>
      </c>
      <c r="K628" s="617">
        <f>(K624+K627)-K626-K625</f>
        <v>311</v>
      </c>
    </row>
    <row r="629" spans="3:12" ht="16" x14ac:dyDescent="0.2">
      <c r="C629" s="683"/>
      <c r="D629" s="608"/>
      <c r="E629" s="609"/>
      <c r="F629" s="610"/>
      <c r="G629" s="595"/>
      <c r="H629" s="611"/>
      <c r="I629" s="595"/>
      <c r="J629" s="595"/>
      <c r="K629" s="595"/>
    </row>
    <row r="630" spans="3:12" ht="16" thickBot="1" x14ac:dyDescent="0.25">
      <c r="C630" s="606" t="s">
        <v>388</v>
      </c>
      <c r="D630" s="607" t="s">
        <v>103</v>
      </c>
      <c r="E630" s="603" t="s">
        <v>84</v>
      </c>
      <c r="F630" s="602" t="s">
        <v>78</v>
      </c>
      <c r="G630" s="602" t="s">
        <v>79</v>
      </c>
      <c r="H630" s="602" t="s">
        <v>88</v>
      </c>
      <c r="I630" s="601" t="s">
        <v>87</v>
      </c>
      <c r="J630" s="601" t="s">
        <v>85</v>
      </c>
      <c r="K630" s="601" t="s">
        <v>84</v>
      </c>
      <c r="L630" s="174" t="s">
        <v>389</v>
      </c>
    </row>
    <row r="631" spans="3:12" x14ac:dyDescent="0.2">
      <c r="C631" s="589" t="s">
        <v>561</v>
      </c>
      <c r="D631" s="604" t="s">
        <v>105</v>
      </c>
      <c r="E631" s="591">
        <f>(F631+G631+H631+I631+J631)*100+(0*230)</f>
        <v>5200</v>
      </c>
      <c r="F631" s="3">
        <v>21</v>
      </c>
      <c r="G631" s="3">
        <v>9</v>
      </c>
      <c r="H631" s="3">
        <v>1</v>
      </c>
      <c r="I631" s="3">
        <v>6</v>
      </c>
      <c r="J631" s="3">
        <v>15</v>
      </c>
      <c r="K631" s="628">
        <f>SUM(F631:J631)</f>
        <v>52</v>
      </c>
      <c r="L631" s="630">
        <f>K631/4</f>
        <v>13</v>
      </c>
    </row>
    <row r="632" spans="3:12" x14ac:dyDescent="0.2">
      <c r="C632" s="589" t="s">
        <v>563</v>
      </c>
      <c r="D632" s="590" t="s">
        <v>390</v>
      </c>
      <c r="E632" s="591">
        <f>(F632+G632+H632+I632+J632)*120</f>
        <v>1200</v>
      </c>
      <c r="F632" s="3">
        <v>3</v>
      </c>
      <c r="G632" s="3">
        <v>1</v>
      </c>
      <c r="H632" s="3">
        <v>2</v>
      </c>
      <c r="I632" s="3">
        <v>1</v>
      </c>
      <c r="J632" s="3">
        <v>3</v>
      </c>
      <c r="K632" s="628">
        <f>SUM(F632:J632)</f>
        <v>10</v>
      </c>
      <c r="L632" s="630">
        <f t="shared" ref="L632:L653" si="29">K632/4</f>
        <v>2.5</v>
      </c>
    </row>
    <row r="633" spans="3:12" x14ac:dyDescent="0.2">
      <c r="C633" s="589" t="s">
        <v>559</v>
      </c>
      <c r="D633" s="590" t="s">
        <v>391</v>
      </c>
      <c r="E633" s="591">
        <f>(F633+G633+H633+I633+J633)*120</f>
        <v>2400</v>
      </c>
      <c r="F633" s="3">
        <v>4</v>
      </c>
      <c r="G633" s="3">
        <v>4</v>
      </c>
      <c r="H633" s="3">
        <v>4</v>
      </c>
      <c r="I633" s="3">
        <v>4</v>
      </c>
      <c r="J633" s="3">
        <v>4</v>
      </c>
      <c r="K633" s="628">
        <f>SUM(F633:J633)</f>
        <v>20</v>
      </c>
      <c r="L633" s="630">
        <f t="shared" si="29"/>
        <v>5</v>
      </c>
    </row>
    <row r="634" spans="3:12" x14ac:dyDescent="0.2">
      <c r="C634" s="589"/>
      <c r="D634" s="590" t="s">
        <v>392</v>
      </c>
      <c r="E634" s="591">
        <f>(F634+G634+H634+I634+J634)*120</f>
        <v>0</v>
      </c>
      <c r="F634" s="3"/>
      <c r="G634" s="3"/>
      <c r="H634" s="3"/>
      <c r="I634" s="3"/>
      <c r="J634" s="3"/>
      <c r="K634" s="628">
        <f>SUM(F634:J634)</f>
        <v>0</v>
      </c>
      <c r="L634" s="630">
        <f t="shared" si="29"/>
        <v>0</v>
      </c>
    </row>
    <row r="635" spans="3:12" x14ac:dyDescent="0.2">
      <c r="C635" s="589"/>
      <c r="D635" s="590" t="s">
        <v>425</v>
      </c>
      <c r="E635" s="591">
        <f>(F635+G635+H635+I635+J635)*120</f>
        <v>0</v>
      </c>
      <c r="F635" s="3"/>
      <c r="G635" s="3"/>
      <c r="H635" s="3"/>
      <c r="I635" s="3"/>
      <c r="J635" s="3"/>
      <c r="K635" s="628">
        <f>SUM(F635:J635)</f>
        <v>0</v>
      </c>
      <c r="L635" s="630">
        <f t="shared" si="29"/>
        <v>0</v>
      </c>
    </row>
    <row r="636" spans="3:12" x14ac:dyDescent="0.2">
      <c r="C636" s="589"/>
      <c r="D636" s="590"/>
      <c r="E636" s="591"/>
      <c r="F636" s="3"/>
      <c r="G636" s="3"/>
      <c r="H636" s="3"/>
      <c r="I636" s="3"/>
      <c r="J636" s="3"/>
      <c r="K636" s="628"/>
      <c r="L636" s="630">
        <f t="shared" si="29"/>
        <v>0</v>
      </c>
    </row>
    <row r="637" spans="3:12" x14ac:dyDescent="0.2">
      <c r="C637" s="589" t="s">
        <v>557</v>
      </c>
      <c r="D637" s="590" t="s">
        <v>108</v>
      </c>
      <c r="E637" s="591">
        <f>(F637+G637+H637+J637)*112.7+(I637*119.6)</f>
        <v>3443.1000000000004</v>
      </c>
      <c r="F637" s="3">
        <v>6</v>
      </c>
      <c r="G637" s="3">
        <v>5</v>
      </c>
      <c r="H637" s="3">
        <v>4</v>
      </c>
      <c r="I637" s="3">
        <v>9</v>
      </c>
      <c r="J637" s="3">
        <v>6</v>
      </c>
      <c r="K637" s="628">
        <f>SUM(F637:J637)</f>
        <v>30</v>
      </c>
      <c r="L637" s="630">
        <f t="shared" si="29"/>
        <v>7.5</v>
      </c>
    </row>
    <row r="638" spans="3:12" x14ac:dyDescent="0.2">
      <c r="C638" s="589" t="s">
        <v>556</v>
      </c>
      <c r="D638" s="590" t="s">
        <v>393</v>
      </c>
      <c r="E638" s="591">
        <f>(F638+G638+H638+J638)*112.7+(I638*119.6)</f>
        <v>2725.5</v>
      </c>
      <c r="F638" s="3">
        <v>6</v>
      </c>
      <c r="G638" s="3">
        <v>5</v>
      </c>
      <c r="H638" s="3">
        <v>4</v>
      </c>
      <c r="I638" s="3">
        <v>3</v>
      </c>
      <c r="J638" s="3">
        <v>6</v>
      </c>
      <c r="K638" s="628">
        <f>SUM(F638:J638)</f>
        <v>24</v>
      </c>
      <c r="L638" s="630">
        <f t="shared" si="29"/>
        <v>6</v>
      </c>
    </row>
    <row r="639" spans="3:12" x14ac:dyDescent="0.2">
      <c r="C639" s="589" t="s">
        <v>555</v>
      </c>
      <c r="D639" s="590" t="s">
        <v>216</v>
      </c>
      <c r="E639" s="591">
        <f>(F639+G639+H639+J639)*112.7+(I639*119.6)</f>
        <v>3443.1000000000004</v>
      </c>
      <c r="F639" s="3">
        <v>6</v>
      </c>
      <c r="G639" s="3">
        <v>9</v>
      </c>
      <c r="H639" s="3"/>
      <c r="I639" s="3">
        <v>9</v>
      </c>
      <c r="J639" s="3">
        <v>6</v>
      </c>
      <c r="K639" s="628">
        <f>SUM(F639:J639)</f>
        <v>30</v>
      </c>
      <c r="L639" s="630">
        <f t="shared" si="29"/>
        <v>7.5</v>
      </c>
    </row>
    <row r="640" spans="3:12" x14ac:dyDescent="0.2">
      <c r="C640" s="589"/>
      <c r="D640" s="590"/>
      <c r="E640" s="591"/>
      <c r="F640" s="3"/>
      <c r="G640" s="3"/>
      <c r="H640" s="3"/>
      <c r="I640" s="3"/>
      <c r="J640" s="3"/>
      <c r="K640" s="628"/>
      <c r="L640" s="630">
        <f t="shared" si="29"/>
        <v>0</v>
      </c>
    </row>
    <row r="641" spans="3:12" x14ac:dyDescent="0.2">
      <c r="C641" s="589" t="s">
        <v>562</v>
      </c>
      <c r="D641" s="590" t="s">
        <v>394</v>
      </c>
      <c r="E641" s="591">
        <f>(F641+G641+H641+I641+J641)*120</f>
        <v>4200</v>
      </c>
      <c r="F641" s="3">
        <v>10</v>
      </c>
      <c r="G641" s="3">
        <v>5</v>
      </c>
      <c r="H641" s="3">
        <v>5</v>
      </c>
      <c r="I641" s="3">
        <v>5</v>
      </c>
      <c r="J641" s="3">
        <v>10</v>
      </c>
      <c r="K641" s="628">
        <f>SUM(F641:J641)</f>
        <v>35</v>
      </c>
      <c r="L641" s="630">
        <f t="shared" si="29"/>
        <v>8.75</v>
      </c>
    </row>
    <row r="642" spans="3:12" x14ac:dyDescent="0.2">
      <c r="C642" s="589" t="s">
        <v>558</v>
      </c>
      <c r="D642" s="590" t="s">
        <v>110</v>
      </c>
      <c r="E642" s="591">
        <f>(F642+G642+H642+J642)*112.7+(I642*119.6)</f>
        <v>8894.1</v>
      </c>
      <c r="F642" s="3">
        <v>30</v>
      </c>
      <c r="G642" s="3">
        <v>15</v>
      </c>
      <c r="H642" s="3"/>
      <c r="I642" s="3">
        <v>15</v>
      </c>
      <c r="J642" s="3">
        <v>18</v>
      </c>
      <c r="K642" s="628">
        <f>SUM(F642:J642)</f>
        <v>78</v>
      </c>
      <c r="L642" s="630">
        <f t="shared" si="29"/>
        <v>19.5</v>
      </c>
    </row>
    <row r="643" spans="3:12" x14ac:dyDescent="0.2">
      <c r="C643" s="589"/>
      <c r="D643" s="590"/>
      <c r="E643" s="591"/>
      <c r="F643" s="3"/>
      <c r="G643" s="3"/>
      <c r="H643" s="3"/>
      <c r="I643" s="3"/>
      <c r="J643" s="3"/>
      <c r="K643" s="628">
        <f>SUM(F643:J643)</f>
        <v>0</v>
      </c>
      <c r="L643" s="630">
        <f t="shared" si="29"/>
        <v>0</v>
      </c>
    </row>
    <row r="644" spans="3:12" x14ac:dyDescent="0.2">
      <c r="C644" s="589"/>
      <c r="D644" s="590" t="s">
        <v>381</v>
      </c>
      <c r="E644" s="591">
        <f>(F644+G644+H644+I644+J644)*120+(240*0)+(0*45)</f>
        <v>0</v>
      </c>
      <c r="F644" s="3"/>
      <c r="G644" s="3"/>
      <c r="H644" s="3"/>
      <c r="I644" s="3"/>
      <c r="J644" s="3"/>
      <c r="K644" s="628">
        <f>SUM(F644:J644)</f>
        <v>0</v>
      </c>
      <c r="L644" s="630">
        <f t="shared" si="29"/>
        <v>0</v>
      </c>
    </row>
    <row r="645" spans="3:12" x14ac:dyDescent="0.2">
      <c r="C645" s="589"/>
      <c r="D645" s="590" t="s">
        <v>276</v>
      </c>
      <c r="E645" s="591">
        <f>(F645+G645+H645+J645)*112.7+(I645*119.6)</f>
        <v>0</v>
      </c>
      <c r="F645" s="3"/>
      <c r="G645" s="3"/>
      <c r="H645" s="3"/>
      <c r="I645" s="3"/>
      <c r="J645" s="3"/>
      <c r="K645" s="628">
        <f>SUM(F645:J645)</f>
        <v>0</v>
      </c>
      <c r="L645" s="630">
        <f t="shared" si="29"/>
        <v>0</v>
      </c>
    </row>
    <row r="646" spans="3:12" x14ac:dyDescent="0.2">
      <c r="C646" s="589"/>
      <c r="D646" s="590"/>
      <c r="E646" s="591"/>
      <c r="F646" s="3"/>
      <c r="G646" s="3"/>
      <c r="H646" s="3"/>
      <c r="I646" s="3"/>
      <c r="J646" s="3"/>
      <c r="K646" s="628"/>
      <c r="L646" s="630">
        <f t="shared" si="29"/>
        <v>0</v>
      </c>
    </row>
    <row r="647" spans="3:12" x14ac:dyDescent="0.2">
      <c r="C647" s="589"/>
      <c r="D647" s="590" t="s">
        <v>75</v>
      </c>
      <c r="E647" s="591">
        <f>(F647+G647+H647+I647+J647)*120</f>
        <v>0</v>
      </c>
      <c r="F647" s="3"/>
      <c r="G647" s="3"/>
      <c r="H647" s="3"/>
      <c r="I647" s="3"/>
      <c r="J647" s="3"/>
      <c r="K647" s="628">
        <f t="shared" ref="K647:K653" si="30">SUM(F647:J647)</f>
        <v>0</v>
      </c>
      <c r="L647" s="630">
        <f t="shared" si="29"/>
        <v>0</v>
      </c>
    </row>
    <row r="648" spans="3:12" x14ac:dyDescent="0.2">
      <c r="C648" s="589"/>
      <c r="D648" s="590" t="s">
        <v>278</v>
      </c>
      <c r="E648" s="591">
        <f>(F648+G648+H648+I648+J648)*120</f>
        <v>0</v>
      </c>
      <c r="F648" s="3"/>
      <c r="G648" s="3"/>
      <c r="H648" s="3"/>
      <c r="I648" s="3"/>
      <c r="J648" s="3"/>
      <c r="K648" s="628">
        <f t="shared" si="30"/>
        <v>0</v>
      </c>
      <c r="L648" s="630">
        <f t="shared" si="29"/>
        <v>0</v>
      </c>
    </row>
    <row r="649" spans="3:12" x14ac:dyDescent="0.2">
      <c r="C649" s="589"/>
      <c r="D649" s="590" t="s">
        <v>270</v>
      </c>
      <c r="E649" s="591">
        <f>(F649+G649+H649+I649)*112.7+(J649*119.6)</f>
        <v>0</v>
      </c>
      <c r="F649" s="3"/>
      <c r="G649" s="3"/>
      <c r="H649" s="3"/>
      <c r="I649" s="3"/>
      <c r="J649" s="3"/>
      <c r="K649" s="628">
        <f t="shared" si="30"/>
        <v>0</v>
      </c>
      <c r="L649" s="630">
        <f t="shared" si="29"/>
        <v>0</v>
      </c>
    </row>
    <row r="650" spans="3:12" x14ac:dyDescent="0.2">
      <c r="C650" s="589"/>
      <c r="D650" s="590" t="s">
        <v>274</v>
      </c>
      <c r="E650" s="591">
        <f>(F650+G650+H650+I650)*112.7+(J650*119.6)</f>
        <v>0</v>
      </c>
      <c r="F650" s="3"/>
      <c r="G650" s="3"/>
      <c r="H650" s="3"/>
      <c r="I650" s="3"/>
      <c r="J650" s="3"/>
      <c r="K650" s="628">
        <f t="shared" si="30"/>
        <v>0</v>
      </c>
      <c r="L650" s="630">
        <f t="shared" si="29"/>
        <v>0</v>
      </c>
    </row>
    <row r="651" spans="3:12" x14ac:dyDescent="0.2">
      <c r="C651" s="589"/>
      <c r="D651" s="590" t="s">
        <v>395</v>
      </c>
      <c r="E651" s="591">
        <f>(F651+G651+H651+I651)*112.7+(J651*119.6)</f>
        <v>0</v>
      </c>
      <c r="F651" s="3"/>
      <c r="G651" s="3"/>
      <c r="H651" s="3"/>
      <c r="I651" s="3"/>
      <c r="J651" s="3"/>
      <c r="K651" s="628">
        <f t="shared" si="30"/>
        <v>0</v>
      </c>
      <c r="L651" s="630">
        <f t="shared" si="29"/>
        <v>0</v>
      </c>
    </row>
    <row r="652" spans="3:12" x14ac:dyDescent="0.2">
      <c r="C652" s="683"/>
      <c r="D652" s="590" t="s">
        <v>112</v>
      </c>
      <c r="E652" s="591">
        <f>(F652+G652+H652+I652)*112.7+(J652*119.6)</f>
        <v>0</v>
      </c>
      <c r="F652" s="3"/>
      <c r="G652" s="3"/>
      <c r="H652" s="3"/>
      <c r="I652" s="3"/>
      <c r="J652" s="3"/>
      <c r="K652" s="628">
        <f t="shared" si="30"/>
        <v>0</v>
      </c>
      <c r="L652" s="630">
        <f t="shared" si="29"/>
        <v>0</v>
      </c>
    </row>
    <row r="653" spans="3:12" x14ac:dyDescent="0.2">
      <c r="C653" s="683"/>
      <c r="D653" s="590" t="s">
        <v>72</v>
      </c>
      <c r="E653" s="591">
        <f>(F653+G653+H653+I653)*112.7+(J653*119.6)</f>
        <v>0</v>
      </c>
      <c r="F653" s="3"/>
      <c r="G653" s="3"/>
      <c r="H653" s="3"/>
      <c r="I653" s="3"/>
      <c r="J653" s="3"/>
      <c r="K653" s="628">
        <f t="shared" si="30"/>
        <v>0</v>
      </c>
      <c r="L653" s="630">
        <f t="shared" si="29"/>
        <v>0</v>
      </c>
    </row>
    <row r="654" spans="3:12" x14ac:dyDescent="0.2">
      <c r="C654" s="683"/>
      <c r="D654" s="590" t="s">
        <v>187</v>
      </c>
      <c r="E654" s="591"/>
      <c r="F654" s="3"/>
      <c r="G654" s="3"/>
      <c r="H654" s="3">
        <v>1</v>
      </c>
      <c r="I654" s="3">
        <v>1</v>
      </c>
      <c r="J654" s="3">
        <v>9</v>
      </c>
      <c r="K654" s="628">
        <f>SUM(F654:J654)</f>
        <v>11</v>
      </c>
      <c r="L654" s="3"/>
    </row>
    <row r="655" spans="3:12" ht="16" x14ac:dyDescent="0.2">
      <c r="C655" s="683"/>
      <c r="D655" s="590" t="s">
        <v>560</v>
      </c>
      <c r="E655" s="592"/>
      <c r="F655" s="3">
        <v>5</v>
      </c>
      <c r="G655" s="3">
        <v>2</v>
      </c>
      <c r="H655" s="3"/>
      <c r="I655" s="3">
        <v>4</v>
      </c>
      <c r="J655" s="3"/>
      <c r="K655" s="628">
        <f>SUM(F655:J655)</f>
        <v>11</v>
      </c>
      <c r="L655" s="3"/>
    </row>
    <row r="656" spans="3:12" ht="17" thickBot="1" x14ac:dyDescent="0.25">
      <c r="C656" s="683"/>
      <c r="D656" s="590"/>
      <c r="E656" s="624"/>
      <c r="F656" s="69"/>
      <c r="G656" s="69"/>
      <c r="H656" s="69"/>
      <c r="I656" s="69"/>
      <c r="J656" s="69"/>
      <c r="K656" s="629"/>
      <c r="L656" s="3"/>
    </row>
    <row r="657" spans="3:12" ht="16" thickBot="1" x14ac:dyDescent="0.25">
      <c r="C657" s="596"/>
      <c r="D657" s="623" t="s">
        <v>19</v>
      </c>
      <c r="E657" s="625">
        <f>SUM(E631:E654)</f>
        <v>31505.800000000003</v>
      </c>
      <c r="F657" s="614">
        <f>SUM(F631:F656)</f>
        <v>91</v>
      </c>
      <c r="G657" s="614">
        <f>SUM(G631:G656)</f>
        <v>55</v>
      </c>
      <c r="H657" s="614">
        <f>SUM(H631:H656)</f>
        <v>21</v>
      </c>
      <c r="I657" s="614">
        <f>SUM(I631:I656)</f>
        <v>57</v>
      </c>
      <c r="J657" s="614">
        <f>SUM(J631:J656)</f>
        <v>77</v>
      </c>
      <c r="K657" s="626">
        <f>SUM(F657:J657)</f>
        <v>301</v>
      </c>
      <c r="L657" s="631">
        <f>SUM(L631:L656)</f>
        <v>69.75</v>
      </c>
    </row>
    <row r="658" spans="3:12" x14ac:dyDescent="0.2">
      <c r="C658" s="596"/>
      <c r="D658" s="593" t="s">
        <v>113</v>
      </c>
      <c r="E658" s="620"/>
      <c r="F658" s="610">
        <f>F628-F657</f>
        <v>4</v>
      </c>
      <c r="G658" s="610">
        <f>G628-G657</f>
        <v>0</v>
      </c>
      <c r="H658" s="610">
        <f>H628-H657</f>
        <v>0</v>
      </c>
      <c r="I658" s="610">
        <f>I628-I657</f>
        <v>0</v>
      </c>
      <c r="J658" s="610">
        <f>J628-J657</f>
        <v>6</v>
      </c>
      <c r="K658" s="636">
        <f>SUM(F658:J658)</f>
        <v>10</v>
      </c>
      <c r="L658" s="3"/>
    </row>
    <row r="659" spans="3:12" x14ac:dyDescent="0.2">
      <c r="C659" s="683"/>
      <c r="D659" s="593" t="s">
        <v>436</v>
      </c>
      <c r="E659" s="594"/>
      <c r="F659" s="581"/>
      <c r="G659" s="581"/>
      <c r="H659" s="581"/>
      <c r="I659" s="581"/>
      <c r="J659" s="581"/>
      <c r="K659" s="637">
        <f>K657+K658</f>
        <v>311</v>
      </c>
      <c r="L659" s="3"/>
    </row>
    <row r="661" spans="3:12" ht="18" x14ac:dyDescent="0.2">
      <c r="C661" s="685" t="s">
        <v>412</v>
      </c>
      <c r="D661" s="582">
        <v>45676</v>
      </c>
      <c r="E661" s="800"/>
      <c r="F661" s="685" t="s">
        <v>83</v>
      </c>
      <c r="G661" s="801" t="s">
        <v>69</v>
      </c>
      <c r="H661" s="802"/>
      <c r="I661" s="802"/>
      <c r="J661" s="802"/>
      <c r="K661" s="803"/>
    </row>
    <row r="662" spans="3:12" x14ac:dyDescent="0.2">
      <c r="C662" s="804"/>
      <c r="D662" s="805"/>
      <c r="E662" s="800"/>
      <c r="F662" s="683" t="s">
        <v>93</v>
      </c>
      <c r="G662" s="683" t="s">
        <v>93</v>
      </c>
      <c r="H662" s="683"/>
      <c r="I662" s="806"/>
      <c r="J662" s="806"/>
      <c r="K662" s="806"/>
    </row>
    <row r="663" spans="3:12" x14ac:dyDescent="0.2">
      <c r="C663" s="804"/>
      <c r="D663" s="805"/>
      <c r="E663" s="800"/>
      <c r="F663" s="683" t="s">
        <v>94</v>
      </c>
      <c r="G663" s="683" t="s">
        <v>95</v>
      </c>
      <c r="H663" s="683" t="s">
        <v>96</v>
      </c>
      <c r="I663" s="806"/>
      <c r="J663" s="806"/>
      <c r="K663" s="806"/>
    </row>
    <row r="664" spans="3:12" x14ac:dyDescent="0.2">
      <c r="C664" s="804"/>
      <c r="D664" s="805"/>
      <c r="E664" s="800"/>
      <c r="F664" s="683"/>
      <c r="G664" s="683"/>
      <c r="H664" s="683"/>
      <c r="I664" s="806"/>
      <c r="J664" s="806"/>
      <c r="K664" s="806"/>
    </row>
    <row r="665" spans="3:12" ht="16" x14ac:dyDescent="0.2">
      <c r="C665" s="683"/>
      <c r="D665" s="583" t="s">
        <v>97</v>
      </c>
      <c r="E665" s="584"/>
      <c r="F665" s="581"/>
      <c r="G665" s="585"/>
      <c r="H665" s="585"/>
      <c r="I665" s="586"/>
      <c r="J665" s="586"/>
      <c r="K665" s="586"/>
    </row>
    <row r="666" spans="3:12" ht="26" x14ac:dyDescent="0.2">
      <c r="C666" s="804"/>
      <c r="D666" s="587"/>
      <c r="E666" s="588"/>
      <c r="F666" s="585" t="s">
        <v>383</v>
      </c>
      <c r="G666" s="585" t="s">
        <v>384</v>
      </c>
      <c r="H666" s="585" t="s">
        <v>385</v>
      </c>
      <c r="I666" s="585" t="s">
        <v>386</v>
      </c>
      <c r="J666" s="585" t="s">
        <v>387</v>
      </c>
      <c r="K666" s="585" t="s">
        <v>84</v>
      </c>
    </row>
    <row r="667" spans="3:12" x14ac:dyDescent="0.2">
      <c r="C667" s="804"/>
      <c r="D667" s="684" t="s">
        <v>167</v>
      </c>
      <c r="E667" s="588"/>
      <c r="F667" s="580">
        <v>8</v>
      </c>
      <c r="G667" s="579">
        <v>4</v>
      </c>
      <c r="H667" s="580">
        <v>0</v>
      </c>
      <c r="I667" s="580">
        <v>2</v>
      </c>
      <c r="J667" s="580">
        <v>0</v>
      </c>
      <c r="K667" s="580">
        <f>SUM(F667:J667)</f>
        <v>14</v>
      </c>
    </row>
    <row r="668" spans="3:12" x14ac:dyDescent="0.2">
      <c r="C668" s="804"/>
      <c r="D668" s="684" t="s">
        <v>207</v>
      </c>
      <c r="E668" s="588"/>
      <c r="F668" s="618">
        <v>56</v>
      </c>
      <c r="G668" s="619">
        <v>28</v>
      </c>
      <c r="H668" s="618">
        <v>0</v>
      </c>
      <c r="I668" s="618">
        <v>22</v>
      </c>
      <c r="J668" s="618">
        <v>0</v>
      </c>
      <c r="K668" s="618">
        <f>SUM(F668:J668)</f>
        <v>106</v>
      </c>
    </row>
    <row r="669" spans="3:12" x14ac:dyDescent="0.2">
      <c r="C669" s="683"/>
      <c r="D669" s="684" t="s">
        <v>100</v>
      </c>
      <c r="E669" s="588"/>
      <c r="F669" s="581"/>
      <c r="G669" s="581"/>
      <c r="H669" s="581"/>
      <c r="I669" s="581"/>
      <c r="J669" s="581"/>
      <c r="K669" s="581">
        <f>SUM(F669:J669)</f>
        <v>0</v>
      </c>
    </row>
    <row r="670" spans="3:12" x14ac:dyDescent="0.2">
      <c r="C670" s="683"/>
      <c r="D670" s="684" t="s">
        <v>101</v>
      </c>
      <c r="E670" s="588"/>
      <c r="F670" s="581"/>
      <c r="G670" s="581"/>
      <c r="H670" s="581"/>
      <c r="I670" s="581"/>
      <c r="J670" s="581">
        <v>1</v>
      </c>
      <c r="K670" s="581">
        <f>SUM(F670:J670)</f>
        <v>1</v>
      </c>
    </row>
    <row r="671" spans="3:12" ht="16" thickBot="1" x14ac:dyDescent="0.25">
      <c r="C671" s="683"/>
      <c r="D671" s="597" t="s">
        <v>102</v>
      </c>
      <c r="E671" s="598"/>
      <c r="F671" s="599">
        <v>4</v>
      </c>
      <c r="G671" s="600"/>
      <c r="H671" s="600"/>
      <c r="I671" s="600"/>
      <c r="J671" s="600">
        <v>6</v>
      </c>
      <c r="K671" s="600">
        <f>SUM(F671:J671)</f>
        <v>10</v>
      </c>
    </row>
    <row r="672" spans="3:12" ht="17" thickBot="1" x14ac:dyDescent="0.25">
      <c r="C672" s="605"/>
      <c r="D672" s="612" t="s">
        <v>84</v>
      </c>
      <c r="E672" s="613"/>
      <c r="F672" s="614">
        <f>(F668+F671)-F670-F669</f>
        <v>60</v>
      </c>
      <c r="G672" s="615">
        <f>(G668+G671)-G670-G669</f>
        <v>28</v>
      </c>
      <c r="H672" s="616">
        <f>(H668+H671)-H670</f>
        <v>0</v>
      </c>
      <c r="I672" s="615">
        <f>(I668+I671)-I670-I669</f>
        <v>22</v>
      </c>
      <c r="J672" s="622">
        <f>(J668+J671)-J670-J669</f>
        <v>5</v>
      </c>
      <c r="K672" s="617">
        <f>(K668+K671)-K670-K669</f>
        <v>115</v>
      </c>
    </row>
    <row r="673" spans="3:12" ht="16" x14ac:dyDescent="0.2">
      <c r="C673" s="683"/>
      <c r="D673" s="608"/>
      <c r="E673" s="609"/>
      <c r="F673" s="610"/>
      <c r="G673" s="595"/>
      <c r="H673" s="611"/>
      <c r="I673" s="595"/>
      <c r="J673" s="595"/>
      <c r="K673" s="595"/>
    </row>
    <row r="674" spans="3:12" ht="16" thickBot="1" x14ac:dyDescent="0.25">
      <c r="C674" s="606" t="s">
        <v>388</v>
      </c>
      <c r="D674" s="607" t="s">
        <v>103</v>
      </c>
      <c r="E674" s="603" t="s">
        <v>84</v>
      </c>
      <c r="F674" s="602" t="s">
        <v>78</v>
      </c>
      <c r="G674" s="602" t="s">
        <v>79</v>
      </c>
      <c r="H674" s="602" t="s">
        <v>88</v>
      </c>
      <c r="I674" s="601" t="s">
        <v>87</v>
      </c>
      <c r="J674" s="601" t="s">
        <v>85</v>
      </c>
      <c r="K674" s="601" t="s">
        <v>84</v>
      </c>
      <c r="L674" s="174" t="s">
        <v>389</v>
      </c>
    </row>
    <row r="675" spans="3:12" x14ac:dyDescent="0.2">
      <c r="C675" s="589"/>
      <c r="D675" s="604" t="s">
        <v>105</v>
      </c>
      <c r="E675" s="591">
        <f>(F675+G675+H675+I675+J675)*100+(0*230)</f>
        <v>0</v>
      </c>
      <c r="F675" s="3"/>
      <c r="G675" s="3"/>
      <c r="H675" s="3"/>
      <c r="I675" s="3"/>
      <c r="J675" s="3"/>
      <c r="K675" s="628">
        <f>SUM(F675:J675)</f>
        <v>0</v>
      </c>
      <c r="L675" s="630">
        <f>K675/4</f>
        <v>0</v>
      </c>
    </row>
    <row r="676" spans="3:12" x14ac:dyDescent="0.2">
      <c r="C676" s="589"/>
      <c r="D676" s="590" t="s">
        <v>390</v>
      </c>
      <c r="E676" s="591">
        <f>(F676+G676+H676+I676+J676)*120</f>
        <v>0</v>
      </c>
      <c r="F676" s="3"/>
      <c r="G676" s="3"/>
      <c r="H676" s="3"/>
      <c r="I676" s="3"/>
      <c r="J676" s="3"/>
      <c r="K676" s="628">
        <f>SUM(F676:J676)</f>
        <v>0</v>
      </c>
      <c r="L676" s="630">
        <f t="shared" ref="L676:L697" si="31">K676/4</f>
        <v>0</v>
      </c>
    </row>
    <row r="677" spans="3:12" x14ac:dyDescent="0.2">
      <c r="C677" s="589"/>
      <c r="D677" s="590" t="s">
        <v>391</v>
      </c>
      <c r="E677" s="591">
        <f>(F677+G677+H677+I677+J677)*120</f>
        <v>0</v>
      </c>
      <c r="F677" s="3"/>
      <c r="G677" s="3"/>
      <c r="H677" s="3"/>
      <c r="I677" s="3"/>
      <c r="J677" s="3"/>
      <c r="K677" s="628">
        <f>SUM(F677:J677)</f>
        <v>0</v>
      </c>
      <c r="L677" s="630">
        <f t="shared" si="31"/>
        <v>0</v>
      </c>
    </row>
    <row r="678" spans="3:12" x14ac:dyDescent="0.2">
      <c r="C678" s="589"/>
      <c r="D678" s="590" t="s">
        <v>392</v>
      </c>
      <c r="E678" s="591">
        <f>(F678+G678+H678+I678+J678)*120</f>
        <v>0</v>
      </c>
      <c r="F678" s="3"/>
      <c r="G678" s="3"/>
      <c r="H678" s="3"/>
      <c r="I678" s="3"/>
      <c r="J678" s="3"/>
      <c r="K678" s="628">
        <f>SUM(F678:J678)</f>
        <v>0</v>
      </c>
      <c r="L678" s="630">
        <f t="shared" si="31"/>
        <v>0</v>
      </c>
    </row>
    <row r="679" spans="3:12" x14ac:dyDescent="0.2">
      <c r="C679" s="589"/>
      <c r="D679" s="590" t="s">
        <v>425</v>
      </c>
      <c r="E679" s="591">
        <f>(F679+G679+H679+I679+J679)*120</f>
        <v>0</v>
      </c>
      <c r="F679" s="3"/>
      <c r="G679" s="3"/>
      <c r="H679" s="3"/>
      <c r="I679" s="3"/>
      <c r="J679" s="3"/>
      <c r="K679" s="628">
        <f>SUM(F679:J679)</f>
        <v>0</v>
      </c>
      <c r="L679" s="630">
        <f t="shared" si="31"/>
        <v>0</v>
      </c>
    </row>
    <row r="680" spans="3:12" x14ac:dyDescent="0.2">
      <c r="C680" s="589"/>
      <c r="D680" s="590"/>
      <c r="E680" s="591"/>
      <c r="F680" s="3"/>
      <c r="G680" s="3"/>
      <c r="H680" s="3"/>
      <c r="I680" s="3"/>
      <c r="J680" s="3"/>
      <c r="K680" s="628"/>
      <c r="L680" s="630">
        <f t="shared" si="31"/>
        <v>0</v>
      </c>
    </row>
    <row r="681" spans="3:12" x14ac:dyDescent="0.2">
      <c r="C681" s="589"/>
      <c r="D681" s="590" t="s">
        <v>108</v>
      </c>
      <c r="E681" s="591">
        <f>(F681+G681+H681+J681)*112.7+(I681*119.6)</f>
        <v>0</v>
      </c>
      <c r="F681" s="3"/>
      <c r="G681" s="3"/>
      <c r="H681" s="3"/>
      <c r="I681" s="3"/>
      <c r="J681" s="3"/>
      <c r="K681" s="628">
        <f>SUM(F681:J681)</f>
        <v>0</v>
      </c>
      <c r="L681" s="630">
        <f t="shared" si="31"/>
        <v>0</v>
      </c>
    </row>
    <row r="682" spans="3:12" x14ac:dyDescent="0.2">
      <c r="C682" s="589"/>
      <c r="D682" s="590" t="s">
        <v>393</v>
      </c>
      <c r="E682" s="591">
        <f>(F682+G682+H682+J682)*112.7+(I682*119.6)</f>
        <v>0</v>
      </c>
      <c r="F682" s="3"/>
      <c r="G682" s="3"/>
      <c r="H682" s="3"/>
      <c r="I682" s="3"/>
      <c r="J682" s="3"/>
      <c r="K682" s="628">
        <f>SUM(F682:J682)</f>
        <v>0</v>
      </c>
      <c r="L682" s="630">
        <f t="shared" si="31"/>
        <v>0</v>
      </c>
    </row>
    <row r="683" spans="3:12" x14ac:dyDescent="0.2">
      <c r="C683" s="589"/>
      <c r="D683" s="590" t="s">
        <v>216</v>
      </c>
      <c r="E683" s="591">
        <f>(F683+G683+H683+J683)*112.7+(I683*119.6)</f>
        <v>0</v>
      </c>
      <c r="F683" s="3"/>
      <c r="G683" s="3"/>
      <c r="H683" s="3"/>
      <c r="I683" s="3"/>
      <c r="J683" s="3"/>
      <c r="K683" s="628">
        <f>SUM(F683:J683)</f>
        <v>0</v>
      </c>
      <c r="L683" s="630">
        <f t="shared" si="31"/>
        <v>0</v>
      </c>
    </row>
    <row r="684" spans="3:12" x14ac:dyDescent="0.2">
      <c r="C684" s="589"/>
      <c r="D684" s="590"/>
      <c r="E684" s="591"/>
      <c r="F684" s="3"/>
      <c r="G684" s="3"/>
      <c r="H684" s="3"/>
      <c r="I684" s="3"/>
      <c r="J684" s="3"/>
      <c r="K684" s="628"/>
      <c r="L684" s="630">
        <f t="shared" si="31"/>
        <v>0</v>
      </c>
    </row>
    <row r="685" spans="3:12" x14ac:dyDescent="0.2">
      <c r="C685" s="589"/>
      <c r="D685" s="590" t="s">
        <v>394</v>
      </c>
      <c r="E685" s="591">
        <f>(F685+G685+H685+I685+J685)*120</f>
        <v>0</v>
      </c>
      <c r="F685" s="3"/>
      <c r="G685" s="3"/>
      <c r="H685" s="3"/>
      <c r="I685" s="3"/>
      <c r="J685" s="3"/>
      <c r="K685" s="628">
        <f>SUM(F685:J685)</f>
        <v>0</v>
      </c>
      <c r="L685" s="630">
        <f t="shared" si="31"/>
        <v>0</v>
      </c>
    </row>
    <row r="686" spans="3:12" x14ac:dyDescent="0.2">
      <c r="C686" s="589" t="s">
        <v>564</v>
      </c>
      <c r="D686" s="590" t="s">
        <v>110</v>
      </c>
      <c r="E686" s="591">
        <f>(F686+G686+H686+J686)*112.7+(I686*119.6)</f>
        <v>12098</v>
      </c>
      <c r="F686" s="3">
        <v>60</v>
      </c>
      <c r="G686" s="3">
        <v>24</v>
      </c>
      <c r="H686" s="3"/>
      <c r="I686" s="3">
        <v>22</v>
      </c>
      <c r="J686" s="3"/>
      <c r="K686" s="628">
        <f>SUM(F686:J686)</f>
        <v>106</v>
      </c>
      <c r="L686" s="630">
        <f t="shared" si="31"/>
        <v>26.5</v>
      </c>
    </row>
    <row r="687" spans="3:12" x14ac:dyDescent="0.2">
      <c r="C687" s="589"/>
      <c r="D687" s="590"/>
      <c r="E687" s="591"/>
      <c r="F687" s="3"/>
      <c r="G687" s="3"/>
      <c r="H687" s="3"/>
      <c r="I687" s="3"/>
      <c r="J687" s="3"/>
      <c r="K687" s="628">
        <f>SUM(F687:J687)</f>
        <v>0</v>
      </c>
      <c r="L687" s="630">
        <f t="shared" si="31"/>
        <v>0</v>
      </c>
    </row>
    <row r="688" spans="3:12" x14ac:dyDescent="0.2">
      <c r="C688" s="589"/>
      <c r="D688" s="590" t="s">
        <v>381</v>
      </c>
      <c r="E688" s="591">
        <f>(F688+G688+H688+I688+J688)*120+(240*0)+(0*45)</f>
        <v>0</v>
      </c>
      <c r="F688" s="3"/>
      <c r="G688" s="3"/>
      <c r="H688" s="3"/>
      <c r="I688" s="3"/>
      <c r="J688" s="3"/>
      <c r="K688" s="628">
        <f>SUM(F688:J688)</f>
        <v>0</v>
      </c>
      <c r="L688" s="630">
        <f t="shared" si="31"/>
        <v>0</v>
      </c>
    </row>
    <row r="689" spans="3:12" x14ac:dyDescent="0.2">
      <c r="C689" s="589"/>
      <c r="D689" s="590" t="s">
        <v>276</v>
      </c>
      <c r="E689" s="591">
        <f>(F689+G689+H689+J689)*112.7+(I689*119.6)</f>
        <v>0</v>
      </c>
      <c r="F689" s="3"/>
      <c r="G689" s="3"/>
      <c r="H689" s="3"/>
      <c r="I689" s="3"/>
      <c r="J689" s="3"/>
      <c r="K689" s="628">
        <f>SUM(F689:J689)</f>
        <v>0</v>
      </c>
      <c r="L689" s="630">
        <f t="shared" si="31"/>
        <v>0</v>
      </c>
    </row>
    <row r="690" spans="3:12" x14ac:dyDescent="0.2">
      <c r="C690" s="589"/>
      <c r="D690" s="590"/>
      <c r="E690" s="591"/>
      <c r="F690" s="3"/>
      <c r="G690" s="3"/>
      <c r="H690" s="3"/>
      <c r="I690" s="3"/>
      <c r="J690" s="3"/>
      <c r="K690" s="628"/>
      <c r="L690" s="630">
        <f t="shared" si="31"/>
        <v>0</v>
      </c>
    </row>
    <row r="691" spans="3:12" x14ac:dyDescent="0.2">
      <c r="C691" s="589"/>
      <c r="D691" s="590" t="s">
        <v>75</v>
      </c>
      <c r="E691" s="591">
        <f>(F691+G691+H691+I691+J691)*120</f>
        <v>0</v>
      </c>
      <c r="F691" s="3"/>
      <c r="G691" s="3"/>
      <c r="H691" s="3"/>
      <c r="I691" s="3"/>
      <c r="J691" s="3"/>
      <c r="K691" s="628">
        <f t="shared" ref="K691:K697" si="32">SUM(F691:J691)</f>
        <v>0</v>
      </c>
      <c r="L691" s="630">
        <f t="shared" si="31"/>
        <v>0</v>
      </c>
    </row>
    <row r="692" spans="3:12" x14ac:dyDescent="0.2">
      <c r="C692" s="589"/>
      <c r="D692" s="590" t="s">
        <v>278</v>
      </c>
      <c r="E692" s="591">
        <f>(F692+G692+H692+I692+J692)*120</f>
        <v>0</v>
      </c>
      <c r="F692" s="3"/>
      <c r="G692" s="3"/>
      <c r="H692" s="3"/>
      <c r="I692" s="3"/>
      <c r="J692" s="3"/>
      <c r="K692" s="628">
        <f t="shared" si="32"/>
        <v>0</v>
      </c>
      <c r="L692" s="630">
        <f t="shared" si="31"/>
        <v>0</v>
      </c>
    </row>
    <row r="693" spans="3:12" x14ac:dyDescent="0.2">
      <c r="C693" s="589"/>
      <c r="D693" s="590" t="s">
        <v>270</v>
      </c>
      <c r="E693" s="591">
        <f>(F693+G693+H693+I693)*112.7+(J693*119.6)</f>
        <v>0</v>
      </c>
      <c r="F693" s="3"/>
      <c r="G693" s="3"/>
      <c r="H693" s="3"/>
      <c r="I693" s="3"/>
      <c r="J693" s="3"/>
      <c r="K693" s="628">
        <f t="shared" si="32"/>
        <v>0</v>
      </c>
      <c r="L693" s="630">
        <f t="shared" si="31"/>
        <v>0</v>
      </c>
    </row>
    <row r="694" spans="3:12" x14ac:dyDescent="0.2">
      <c r="C694" s="589"/>
      <c r="D694" s="590" t="s">
        <v>274</v>
      </c>
      <c r="E694" s="591">
        <f>(F694+G694+H694+I694)*112.7+(J694*119.6)</f>
        <v>0</v>
      </c>
      <c r="F694" s="3"/>
      <c r="G694" s="3"/>
      <c r="H694" s="3"/>
      <c r="I694" s="3"/>
      <c r="J694" s="3"/>
      <c r="K694" s="628">
        <f t="shared" si="32"/>
        <v>0</v>
      </c>
      <c r="L694" s="630">
        <f t="shared" si="31"/>
        <v>0</v>
      </c>
    </row>
    <row r="695" spans="3:12" x14ac:dyDescent="0.2">
      <c r="C695" s="589"/>
      <c r="D695" s="590" t="s">
        <v>395</v>
      </c>
      <c r="E695" s="591">
        <f>(F695+G695+H695+I695)*112.7+(J695*119.6)</f>
        <v>0</v>
      </c>
      <c r="F695" s="3"/>
      <c r="G695" s="3"/>
      <c r="H695" s="3"/>
      <c r="I695" s="3"/>
      <c r="J695" s="3"/>
      <c r="K695" s="628">
        <f t="shared" si="32"/>
        <v>0</v>
      </c>
      <c r="L695" s="630">
        <f t="shared" si="31"/>
        <v>0</v>
      </c>
    </row>
    <row r="696" spans="3:12" x14ac:dyDescent="0.2">
      <c r="C696" s="683"/>
      <c r="D696" s="590" t="s">
        <v>112</v>
      </c>
      <c r="E696" s="591">
        <f>(F696+G696+H696+I696)*112.7+(J696*119.6)</f>
        <v>0</v>
      </c>
      <c r="F696" s="3"/>
      <c r="G696" s="3"/>
      <c r="H696" s="3"/>
      <c r="I696" s="3"/>
      <c r="J696" s="3"/>
      <c r="K696" s="628">
        <f t="shared" si="32"/>
        <v>0</v>
      </c>
      <c r="L696" s="630">
        <f t="shared" si="31"/>
        <v>0</v>
      </c>
    </row>
    <row r="697" spans="3:12" x14ac:dyDescent="0.2">
      <c r="C697" s="683"/>
      <c r="D697" s="590" t="s">
        <v>72</v>
      </c>
      <c r="E697" s="591">
        <f>(F697+G697+H697+I697)*112.7+(J697*119.6)</f>
        <v>0</v>
      </c>
      <c r="F697" s="3"/>
      <c r="G697" s="3"/>
      <c r="H697" s="3"/>
      <c r="I697" s="3"/>
      <c r="J697" s="3"/>
      <c r="K697" s="628">
        <f t="shared" si="32"/>
        <v>0</v>
      </c>
      <c r="L697" s="630">
        <f t="shared" si="31"/>
        <v>0</v>
      </c>
    </row>
    <row r="698" spans="3:12" x14ac:dyDescent="0.2">
      <c r="C698" s="683"/>
      <c r="D698" s="590" t="s">
        <v>187</v>
      </c>
      <c r="E698" s="591"/>
      <c r="F698" s="3"/>
      <c r="G698" s="3"/>
      <c r="H698" s="3"/>
      <c r="I698" s="3"/>
      <c r="J698" s="3"/>
      <c r="K698" s="628">
        <f>SUM(F698:J698)</f>
        <v>0</v>
      </c>
      <c r="L698" s="3"/>
    </row>
    <row r="699" spans="3:12" ht="16" x14ac:dyDescent="0.2">
      <c r="C699" s="683"/>
      <c r="D699" s="590" t="s">
        <v>560</v>
      </c>
      <c r="E699" s="592"/>
      <c r="F699" s="3"/>
      <c r="G699" s="3"/>
      <c r="H699" s="3"/>
      <c r="I699" s="3"/>
      <c r="J699" s="3"/>
      <c r="K699" s="628">
        <f>SUM(F699:J699)</f>
        <v>0</v>
      </c>
      <c r="L699" s="3"/>
    </row>
    <row r="700" spans="3:12" ht="17" thickBot="1" x14ac:dyDescent="0.25">
      <c r="C700" s="683"/>
      <c r="D700" s="590"/>
      <c r="E700" s="624"/>
      <c r="F700" s="69"/>
      <c r="G700" s="69"/>
      <c r="H700" s="69"/>
      <c r="I700" s="69"/>
      <c r="J700" s="69"/>
      <c r="K700" s="629"/>
      <c r="L700" s="3"/>
    </row>
    <row r="701" spans="3:12" ht="16" thickBot="1" x14ac:dyDescent="0.25">
      <c r="C701" s="596"/>
      <c r="D701" s="623" t="s">
        <v>19</v>
      </c>
      <c r="E701" s="625">
        <f>SUM(E675:E698)</f>
        <v>12098</v>
      </c>
      <c r="F701" s="614">
        <f>SUM(F675:F700)</f>
        <v>60</v>
      </c>
      <c r="G701" s="614">
        <f>SUM(G675:G700)</f>
        <v>24</v>
      </c>
      <c r="H701" s="614">
        <f>SUM(H675:H700)</f>
        <v>0</v>
      </c>
      <c r="I701" s="614">
        <f>SUM(I675:I700)</f>
        <v>22</v>
      </c>
      <c r="J701" s="614">
        <f>SUM(J675:J700)</f>
        <v>0</v>
      </c>
      <c r="K701" s="626">
        <f>SUM(F701:J701)</f>
        <v>106</v>
      </c>
      <c r="L701" s="631">
        <f>SUM(L675:L700)</f>
        <v>26.5</v>
      </c>
    </row>
    <row r="702" spans="3:12" x14ac:dyDescent="0.2">
      <c r="C702" s="596"/>
      <c r="D702" s="593" t="s">
        <v>113</v>
      </c>
      <c r="E702" s="620"/>
      <c r="F702" s="610">
        <f>F672-F701</f>
        <v>0</v>
      </c>
      <c r="G702" s="610">
        <f>G672-G701</f>
        <v>4</v>
      </c>
      <c r="H702" s="610">
        <f>H672-H701</f>
        <v>0</v>
      </c>
      <c r="I702" s="610">
        <f>I672-I701</f>
        <v>0</v>
      </c>
      <c r="J702" s="610">
        <f>J672-J701</f>
        <v>5</v>
      </c>
      <c r="K702" s="636">
        <f>SUM(F702:J702)</f>
        <v>9</v>
      </c>
      <c r="L702" s="3"/>
    </row>
    <row r="703" spans="3:12" x14ac:dyDescent="0.2">
      <c r="C703" s="683"/>
      <c r="D703" s="593" t="s">
        <v>436</v>
      </c>
      <c r="E703" s="594"/>
      <c r="F703" s="581"/>
      <c r="G703" s="581"/>
      <c r="H703" s="581"/>
      <c r="I703" s="581"/>
      <c r="J703" s="581"/>
      <c r="K703" s="637">
        <f>K701+K702</f>
        <v>115</v>
      </c>
      <c r="L703" s="3"/>
    </row>
    <row r="705" spans="3:12" ht="18" x14ac:dyDescent="0.2">
      <c r="C705" s="685" t="s">
        <v>412</v>
      </c>
      <c r="D705" s="582">
        <v>45677</v>
      </c>
      <c r="E705" s="800"/>
      <c r="F705" s="685" t="s">
        <v>83</v>
      </c>
      <c r="G705" s="801" t="s">
        <v>63</v>
      </c>
      <c r="H705" s="802"/>
      <c r="I705" s="802"/>
      <c r="J705" s="802"/>
      <c r="K705" s="803"/>
    </row>
    <row r="706" spans="3:12" x14ac:dyDescent="0.2">
      <c r="C706" s="804"/>
      <c r="D706" s="805"/>
      <c r="E706" s="800"/>
      <c r="F706" s="683" t="s">
        <v>93</v>
      </c>
      <c r="G706" s="683" t="s">
        <v>93</v>
      </c>
      <c r="H706" s="683"/>
      <c r="I706" s="806"/>
      <c r="J706" s="806"/>
      <c r="K706" s="806"/>
    </row>
    <row r="707" spans="3:12" x14ac:dyDescent="0.2">
      <c r="C707" s="804"/>
      <c r="D707" s="805"/>
      <c r="E707" s="800"/>
      <c r="F707" s="683" t="s">
        <v>94</v>
      </c>
      <c r="G707" s="683" t="s">
        <v>95</v>
      </c>
      <c r="H707" s="683" t="s">
        <v>96</v>
      </c>
      <c r="I707" s="806"/>
      <c r="J707" s="806"/>
      <c r="K707" s="806"/>
    </row>
    <row r="708" spans="3:12" x14ac:dyDescent="0.2">
      <c r="C708" s="804"/>
      <c r="D708" s="805"/>
      <c r="E708" s="800"/>
      <c r="F708" s="683"/>
      <c r="G708" s="683"/>
      <c r="H708" s="683"/>
      <c r="I708" s="806"/>
      <c r="J708" s="806"/>
      <c r="K708" s="806"/>
    </row>
    <row r="709" spans="3:12" ht="16" x14ac:dyDescent="0.2">
      <c r="C709" s="683"/>
      <c r="D709" s="583" t="s">
        <v>97</v>
      </c>
      <c r="E709" s="584"/>
      <c r="F709" s="581"/>
      <c r="G709" s="585"/>
      <c r="H709" s="585"/>
      <c r="I709" s="586"/>
      <c r="J709" s="586"/>
      <c r="K709" s="586"/>
    </row>
    <row r="710" spans="3:12" ht="26" x14ac:dyDescent="0.2">
      <c r="C710" s="804"/>
      <c r="D710" s="587"/>
      <c r="E710" s="588"/>
      <c r="F710" s="585" t="s">
        <v>383</v>
      </c>
      <c r="G710" s="585" t="s">
        <v>384</v>
      </c>
      <c r="H710" s="585" t="s">
        <v>385</v>
      </c>
      <c r="I710" s="585" t="s">
        <v>386</v>
      </c>
      <c r="J710" s="585" t="s">
        <v>387</v>
      </c>
      <c r="K710" s="585" t="s">
        <v>84</v>
      </c>
    </row>
    <row r="711" spans="3:12" x14ac:dyDescent="0.2">
      <c r="C711" s="804"/>
      <c r="D711" s="684" t="s">
        <v>167</v>
      </c>
      <c r="E711" s="588"/>
      <c r="F711" s="580">
        <v>9</v>
      </c>
      <c r="G711" s="579">
        <v>6</v>
      </c>
      <c r="H711" s="580">
        <v>3</v>
      </c>
      <c r="I711" s="580">
        <v>4</v>
      </c>
      <c r="J711" s="580">
        <v>7</v>
      </c>
      <c r="K711" s="580">
        <f>SUM(F711:J711)</f>
        <v>29</v>
      </c>
    </row>
    <row r="712" spans="3:12" x14ac:dyDescent="0.2">
      <c r="C712" s="804"/>
      <c r="D712" s="684" t="s">
        <v>207</v>
      </c>
      <c r="E712" s="588"/>
      <c r="F712" s="618">
        <v>63</v>
      </c>
      <c r="G712" s="619">
        <v>42</v>
      </c>
      <c r="H712" s="618">
        <v>21</v>
      </c>
      <c r="I712" s="618">
        <v>44</v>
      </c>
      <c r="J712" s="618">
        <v>63</v>
      </c>
      <c r="K712" s="618">
        <f>SUM(F712:J712)</f>
        <v>233</v>
      </c>
    </row>
    <row r="713" spans="3:12" x14ac:dyDescent="0.2">
      <c r="C713" s="683"/>
      <c r="D713" s="684" t="s">
        <v>100</v>
      </c>
      <c r="E713" s="588"/>
      <c r="F713" s="581"/>
      <c r="G713" s="581"/>
      <c r="H713" s="581"/>
      <c r="I713" s="581"/>
      <c r="J713" s="581"/>
      <c r="K713" s="581">
        <f>SUM(F713:J713)</f>
        <v>0</v>
      </c>
    </row>
    <row r="714" spans="3:12" x14ac:dyDescent="0.2">
      <c r="C714" s="683"/>
      <c r="D714" s="684" t="s">
        <v>101</v>
      </c>
      <c r="E714" s="588"/>
      <c r="F714" s="581">
        <v>2</v>
      </c>
      <c r="G714" s="581">
        <v>1</v>
      </c>
      <c r="H714" s="581"/>
      <c r="I714" s="581"/>
      <c r="J714" s="581"/>
      <c r="K714" s="581">
        <f>SUM(F714:J714)</f>
        <v>3</v>
      </c>
    </row>
    <row r="715" spans="3:12" ht="16" thickBot="1" x14ac:dyDescent="0.25">
      <c r="C715" s="683"/>
      <c r="D715" s="597" t="s">
        <v>102</v>
      </c>
      <c r="E715" s="598"/>
      <c r="F715" s="599"/>
      <c r="G715" s="600">
        <v>3</v>
      </c>
      <c r="H715" s="600"/>
      <c r="I715" s="600">
        <v>4</v>
      </c>
      <c r="J715" s="600"/>
      <c r="K715" s="600">
        <f>SUM(F715:J715)</f>
        <v>7</v>
      </c>
    </row>
    <row r="716" spans="3:12" ht="17" thickBot="1" x14ac:dyDescent="0.25">
      <c r="C716" s="605"/>
      <c r="D716" s="612" t="s">
        <v>84</v>
      </c>
      <c r="E716" s="613"/>
      <c r="F716" s="614">
        <f>(F712+F715)-F714-F713</f>
        <v>61</v>
      </c>
      <c r="G716" s="615">
        <f>(G712+G715)-G714-G713</f>
        <v>44</v>
      </c>
      <c r="H716" s="616">
        <f>(H712+H715)-H714</f>
        <v>21</v>
      </c>
      <c r="I716" s="615">
        <f>(I712+I715)-I714-I713</f>
        <v>48</v>
      </c>
      <c r="J716" s="622">
        <f>(J712+J715)-J714-J713</f>
        <v>63</v>
      </c>
      <c r="K716" s="617">
        <f>(K712+K715)-K714-K713</f>
        <v>237</v>
      </c>
    </row>
    <row r="717" spans="3:12" ht="16" x14ac:dyDescent="0.2">
      <c r="C717" s="683"/>
      <c r="D717" s="608"/>
      <c r="E717" s="609"/>
      <c r="F717" s="610"/>
      <c r="G717" s="595"/>
      <c r="H717" s="611"/>
      <c r="I717" s="595"/>
      <c r="J717" s="595"/>
      <c r="K717" s="595"/>
    </row>
    <row r="718" spans="3:12" ht="16" thickBot="1" x14ac:dyDescent="0.25">
      <c r="C718" s="606" t="s">
        <v>388</v>
      </c>
      <c r="D718" s="607" t="s">
        <v>103</v>
      </c>
      <c r="E718" s="603" t="s">
        <v>84</v>
      </c>
      <c r="F718" s="602" t="s">
        <v>78</v>
      </c>
      <c r="G718" s="602" t="s">
        <v>79</v>
      </c>
      <c r="H718" s="602" t="s">
        <v>88</v>
      </c>
      <c r="I718" s="601" t="s">
        <v>87</v>
      </c>
      <c r="J718" s="601" t="s">
        <v>85</v>
      </c>
      <c r="K718" s="601" t="s">
        <v>84</v>
      </c>
      <c r="L718" s="174" t="s">
        <v>389</v>
      </c>
    </row>
    <row r="719" spans="3:12" x14ac:dyDescent="0.2">
      <c r="C719" s="589" t="s">
        <v>570</v>
      </c>
      <c r="D719" s="604" t="s">
        <v>105</v>
      </c>
      <c r="E719" s="591">
        <f>(F719+G719+H719+I719+J719)*100+(0*230)</f>
        <v>5100</v>
      </c>
      <c r="F719" s="3">
        <v>15</v>
      </c>
      <c r="G719" s="3">
        <v>5</v>
      </c>
      <c r="H719" s="3">
        <v>4</v>
      </c>
      <c r="I719" s="3">
        <v>9</v>
      </c>
      <c r="J719" s="3">
        <v>18</v>
      </c>
      <c r="K719" s="628">
        <f>SUM(F719:J719)</f>
        <v>51</v>
      </c>
      <c r="L719" s="630">
        <f>K719/4</f>
        <v>12.75</v>
      </c>
    </row>
    <row r="720" spans="3:12" x14ac:dyDescent="0.2">
      <c r="C720" s="589" t="s">
        <v>571</v>
      </c>
      <c r="D720" s="590" t="s">
        <v>390</v>
      </c>
      <c r="E720" s="591">
        <f>(F720+G720+H720+I720+J720)*120</f>
        <v>1200</v>
      </c>
      <c r="F720" s="3">
        <v>2</v>
      </c>
      <c r="G720" s="3">
        <v>2</v>
      </c>
      <c r="H720" s="3">
        <v>2</v>
      </c>
      <c r="I720" s="3">
        <v>2</v>
      </c>
      <c r="J720" s="3">
        <v>2</v>
      </c>
      <c r="K720" s="628">
        <f>SUM(F720:J720)</f>
        <v>10</v>
      </c>
      <c r="L720" s="630">
        <f t="shared" ref="L720:L741" si="33">K720/4</f>
        <v>2.5</v>
      </c>
    </row>
    <row r="721" spans="3:12" x14ac:dyDescent="0.2">
      <c r="C721" s="589"/>
      <c r="D721" s="590" t="s">
        <v>391</v>
      </c>
      <c r="E721" s="591">
        <f>(F721+G721+H721+I721+J721)*120</f>
        <v>0</v>
      </c>
      <c r="F721" s="3"/>
      <c r="G721" s="3"/>
      <c r="H721" s="3"/>
      <c r="I721" s="3"/>
      <c r="J721" s="3"/>
      <c r="K721" s="628">
        <f>SUM(F721:J721)</f>
        <v>0</v>
      </c>
      <c r="L721" s="630">
        <f t="shared" si="33"/>
        <v>0</v>
      </c>
    </row>
    <row r="722" spans="3:12" x14ac:dyDescent="0.2">
      <c r="C722" s="589" t="s">
        <v>572</v>
      </c>
      <c r="D722" s="590" t="s">
        <v>392</v>
      </c>
      <c r="E722" s="591">
        <f>(F722+G722+H722+I722+J722)*120</f>
        <v>2400</v>
      </c>
      <c r="F722" s="3">
        <v>6</v>
      </c>
      <c r="G722" s="3">
        <v>2</v>
      </c>
      <c r="H722" s="3">
        <v>6</v>
      </c>
      <c r="I722" s="3"/>
      <c r="J722" s="3">
        <v>6</v>
      </c>
      <c r="K722" s="628">
        <f>SUM(F722:J722)</f>
        <v>20</v>
      </c>
      <c r="L722" s="630">
        <f t="shared" si="33"/>
        <v>5</v>
      </c>
    </row>
    <row r="723" spans="3:12" x14ac:dyDescent="0.2">
      <c r="C723" s="589"/>
      <c r="D723" s="590" t="s">
        <v>425</v>
      </c>
      <c r="E723" s="591">
        <f>(F723+G723+H723+I723+J723)*120</f>
        <v>0</v>
      </c>
      <c r="F723" s="3"/>
      <c r="G723" s="3"/>
      <c r="H723" s="3"/>
      <c r="I723" s="3"/>
      <c r="J723" s="3"/>
      <c r="K723" s="628">
        <f>SUM(F723:J723)</f>
        <v>0</v>
      </c>
      <c r="L723" s="630">
        <f t="shared" si="33"/>
        <v>0</v>
      </c>
    </row>
    <row r="724" spans="3:12" x14ac:dyDescent="0.2">
      <c r="C724" s="589"/>
      <c r="D724" s="590"/>
      <c r="E724" s="591"/>
      <c r="F724" s="3"/>
      <c r="G724" s="3"/>
      <c r="H724" s="3"/>
      <c r="I724" s="3"/>
      <c r="J724" s="3"/>
      <c r="K724" s="628"/>
      <c r="L724" s="630">
        <f t="shared" si="33"/>
        <v>0</v>
      </c>
    </row>
    <row r="725" spans="3:12" x14ac:dyDescent="0.2">
      <c r="C725" s="589" t="s">
        <v>575</v>
      </c>
      <c r="D725" s="590" t="s">
        <v>108</v>
      </c>
      <c r="E725" s="591">
        <f>(F725+G725+H725+J725)*112.7+(I725*119.6)</f>
        <v>3443.1000000000004</v>
      </c>
      <c r="F725" s="3">
        <v>6</v>
      </c>
      <c r="G725" s="3">
        <v>5</v>
      </c>
      <c r="H725" s="3">
        <v>4</v>
      </c>
      <c r="I725" s="3">
        <v>9</v>
      </c>
      <c r="J725" s="3">
        <v>6</v>
      </c>
      <c r="K725" s="628">
        <f>SUM(F725:J725)</f>
        <v>30</v>
      </c>
      <c r="L725" s="630">
        <f t="shared" si="33"/>
        <v>7.5</v>
      </c>
    </row>
    <row r="726" spans="3:12" x14ac:dyDescent="0.2">
      <c r="C726" s="589" t="s">
        <v>574</v>
      </c>
      <c r="D726" s="590" t="s">
        <v>393</v>
      </c>
      <c r="E726" s="591">
        <f>(F726+G726+H726+J726)*112.7+(I726*119.6)</f>
        <v>2725.5</v>
      </c>
      <c r="F726" s="3">
        <v>6</v>
      </c>
      <c r="G726" s="3">
        <v>5</v>
      </c>
      <c r="H726" s="3">
        <v>4</v>
      </c>
      <c r="I726" s="3">
        <v>3</v>
      </c>
      <c r="J726" s="3">
        <v>6</v>
      </c>
      <c r="K726" s="628">
        <f>SUM(F726:J726)</f>
        <v>24</v>
      </c>
      <c r="L726" s="630">
        <f t="shared" si="33"/>
        <v>6</v>
      </c>
    </row>
    <row r="727" spans="3:12" x14ac:dyDescent="0.2">
      <c r="C727" s="589" t="s">
        <v>573</v>
      </c>
      <c r="D727" s="590" t="s">
        <v>216</v>
      </c>
      <c r="E727" s="591">
        <f>(F727+G727+H727+J727)*112.7+(I727*119.6)</f>
        <v>3443.1000000000004</v>
      </c>
      <c r="F727" s="3">
        <v>6</v>
      </c>
      <c r="G727" s="3">
        <v>9</v>
      </c>
      <c r="H727" s="3"/>
      <c r="I727" s="3">
        <v>9</v>
      </c>
      <c r="J727" s="3">
        <v>6</v>
      </c>
      <c r="K727" s="628">
        <f>SUM(F727:J727)</f>
        <v>30</v>
      </c>
      <c r="L727" s="630">
        <f t="shared" si="33"/>
        <v>7.5</v>
      </c>
    </row>
    <row r="728" spans="3:12" x14ac:dyDescent="0.2">
      <c r="C728" s="589"/>
      <c r="D728" s="590"/>
      <c r="E728" s="591"/>
      <c r="F728" s="3"/>
      <c r="G728" s="3"/>
      <c r="H728" s="3"/>
      <c r="I728" s="3"/>
      <c r="J728" s="3"/>
      <c r="K728" s="628"/>
      <c r="L728" s="630">
        <f t="shared" si="33"/>
        <v>0</v>
      </c>
    </row>
    <row r="729" spans="3:12" x14ac:dyDescent="0.2">
      <c r="C729" s="589"/>
      <c r="D729" s="590" t="s">
        <v>394</v>
      </c>
      <c r="E729" s="591">
        <f>(F729+G729+H729+I729+J729)*120</f>
        <v>0</v>
      </c>
      <c r="F729" s="3"/>
      <c r="G729" s="3"/>
      <c r="H729" s="3"/>
      <c r="I729" s="3"/>
      <c r="J729" s="3"/>
      <c r="K729" s="628">
        <f>SUM(F729:J729)</f>
        <v>0</v>
      </c>
      <c r="L729" s="630">
        <f t="shared" si="33"/>
        <v>0</v>
      </c>
    </row>
    <row r="730" spans="3:12" x14ac:dyDescent="0.2">
      <c r="C730" s="589" t="s">
        <v>576</v>
      </c>
      <c r="D730" s="590" t="s">
        <v>110</v>
      </c>
      <c r="E730" s="591">
        <f>(F730+G730+H730+J730)*112.7+(I730*119.6)</f>
        <v>7182.9</v>
      </c>
      <c r="F730" s="3">
        <v>20</v>
      </c>
      <c r="G730" s="3">
        <v>12</v>
      </c>
      <c r="H730" s="3"/>
      <c r="I730" s="3">
        <v>12</v>
      </c>
      <c r="J730" s="3">
        <v>19</v>
      </c>
      <c r="K730" s="628">
        <f>SUM(F730:J730)</f>
        <v>63</v>
      </c>
      <c r="L730" s="630">
        <f t="shared" si="33"/>
        <v>15.75</v>
      </c>
    </row>
    <row r="731" spans="3:12" x14ac:dyDescent="0.2">
      <c r="C731" s="589"/>
      <c r="D731" s="590"/>
      <c r="E731" s="591"/>
      <c r="F731" s="3"/>
      <c r="G731" s="3"/>
      <c r="H731" s="3"/>
      <c r="I731" s="3"/>
      <c r="J731" s="3"/>
      <c r="K731" s="628">
        <f>SUM(F731:J731)</f>
        <v>0</v>
      </c>
      <c r="L731" s="630">
        <f t="shared" si="33"/>
        <v>0</v>
      </c>
    </row>
    <row r="732" spans="3:12" x14ac:dyDescent="0.2">
      <c r="C732" s="589"/>
      <c r="D732" s="590" t="s">
        <v>381</v>
      </c>
      <c r="E732" s="591">
        <f>(F732+G732+H732+I732+J732)*120+(240*0)+(0*45)</f>
        <v>0</v>
      </c>
      <c r="F732" s="3"/>
      <c r="G732" s="3"/>
      <c r="H732" s="3"/>
      <c r="I732" s="3"/>
      <c r="J732" s="3"/>
      <c r="K732" s="628">
        <f>SUM(F732:J732)</f>
        <v>0</v>
      </c>
      <c r="L732" s="630">
        <f t="shared" si="33"/>
        <v>0</v>
      </c>
    </row>
    <row r="733" spans="3:12" x14ac:dyDescent="0.2">
      <c r="C733" s="589"/>
      <c r="D733" s="590" t="s">
        <v>276</v>
      </c>
      <c r="E733" s="591">
        <f>(F733+G733+H733+J733)*112.7+(I733*119.6)</f>
        <v>0</v>
      </c>
      <c r="F733" s="3"/>
      <c r="G733" s="3"/>
      <c r="H733" s="3"/>
      <c r="I733" s="3"/>
      <c r="J733" s="3"/>
      <c r="K733" s="628">
        <f>SUM(F733:J733)</f>
        <v>0</v>
      </c>
      <c r="L733" s="630">
        <f t="shared" si="33"/>
        <v>0</v>
      </c>
    </row>
    <row r="734" spans="3:12" x14ac:dyDescent="0.2">
      <c r="C734" s="589"/>
      <c r="D734" s="590"/>
      <c r="E734" s="591"/>
      <c r="F734" s="3"/>
      <c r="G734" s="3"/>
      <c r="H734" s="3"/>
      <c r="I734" s="3"/>
      <c r="J734" s="3"/>
      <c r="K734" s="628"/>
      <c r="L734" s="630">
        <f t="shared" si="33"/>
        <v>0</v>
      </c>
    </row>
    <row r="735" spans="3:12" x14ac:dyDescent="0.2">
      <c r="C735" s="589"/>
      <c r="D735" s="590" t="s">
        <v>75</v>
      </c>
      <c r="E735" s="591">
        <f>(F735+G735+H735+I735+J735)*120</f>
        <v>0</v>
      </c>
      <c r="F735" s="3"/>
      <c r="G735" s="3"/>
      <c r="H735" s="3"/>
      <c r="I735" s="3"/>
      <c r="J735" s="3"/>
      <c r="K735" s="628">
        <f t="shared" ref="K735:K741" si="34">SUM(F735:J735)</f>
        <v>0</v>
      </c>
      <c r="L735" s="630">
        <f t="shared" si="33"/>
        <v>0</v>
      </c>
    </row>
    <row r="736" spans="3:12" x14ac:dyDescent="0.2">
      <c r="C736" s="589"/>
      <c r="D736" s="590" t="s">
        <v>278</v>
      </c>
      <c r="E736" s="591">
        <f>(F736+G736+H736+I736+J736)*120</f>
        <v>0</v>
      </c>
      <c r="F736" s="3"/>
      <c r="G736" s="3"/>
      <c r="H736" s="3"/>
      <c r="I736" s="3"/>
      <c r="J736" s="3"/>
      <c r="K736" s="628">
        <f t="shared" si="34"/>
        <v>0</v>
      </c>
      <c r="L736" s="630">
        <f t="shared" si="33"/>
        <v>0</v>
      </c>
    </row>
    <row r="737" spans="3:12" x14ac:dyDescent="0.2">
      <c r="C737" s="589"/>
      <c r="D737" s="590" t="s">
        <v>270</v>
      </c>
      <c r="E737" s="591">
        <f>(F737+G737+H737+I737)*112.7+(J737*119.6)</f>
        <v>0</v>
      </c>
      <c r="F737" s="3"/>
      <c r="G737" s="3"/>
      <c r="H737" s="3"/>
      <c r="I737" s="3"/>
      <c r="J737" s="3"/>
      <c r="K737" s="628">
        <f t="shared" si="34"/>
        <v>0</v>
      </c>
      <c r="L737" s="630">
        <f t="shared" si="33"/>
        <v>0</v>
      </c>
    </row>
    <row r="738" spans="3:12" x14ac:dyDescent="0.2">
      <c r="C738" s="589"/>
      <c r="D738" s="590" t="s">
        <v>274</v>
      </c>
      <c r="E738" s="591">
        <f>(F738+G738+H738+I738)*112.7+(J738*119.6)</f>
        <v>0</v>
      </c>
      <c r="F738" s="3"/>
      <c r="G738" s="3"/>
      <c r="H738" s="3"/>
      <c r="I738" s="3"/>
      <c r="J738" s="3"/>
      <c r="K738" s="628">
        <f t="shared" si="34"/>
        <v>0</v>
      </c>
      <c r="L738" s="630">
        <f t="shared" si="33"/>
        <v>0</v>
      </c>
    </row>
    <row r="739" spans="3:12" x14ac:dyDescent="0.2">
      <c r="C739" s="589"/>
      <c r="D739" s="590" t="s">
        <v>395</v>
      </c>
      <c r="E739" s="591">
        <f>(F739+G739+H739+I739)*112.7+(J739*119.6)</f>
        <v>0</v>
      </c>
      <c r="F739" s="3"/>
      <c r="G739" s="3"/>
      <c r="H739" s="3"/>
      <c r="I739" s="3"/>
      <c r="J739" s="3"/>
      <c r="K739" s="628">
        <f t="shared" si="34"/>
        <v>0</v>
      </c>
      <c r="L739" s="630">
        <f t="shared" si="33"/>
        <v>0</v>
      </c>
    </row>
    <row r="740" spans="3:12" x14ac:dyDescent="0.2">
      <c r="C740" s="683"/>
      <c r="D740" s="590" t="s">
        <v>112</v>
      </c>
      <c r="E740" s="591">
        <f>(F740+G740+H740+I740)*112.7+(J740*119.6)</f>
        <v>0</v>
      </c>
      <c r="F740" s="3"/>
      <c r="G740" s="3"/>
      <c r="H740" s="3"/>
      <c r="I740" s="3"/>
      <c r="J740" s="3"/>
      <c r="K740" s="628">
        <f t="shared" si="34"/>
        <v>0</v>
      </c>
      <c r="L740" s="630">
        <f t="shared" si="33"/>
        <v>0</v>
      </c>
    </row>
    <row r="741" spans="3:12" x14ac:dyDescent="0.2">
      <c r="C741" s="683"/>
      <c r="D741" s="590" t="s">
        <v>72</v>
      </c>
      <c r="E741" s="591">
        <f>(F741+G741+H741+I741)*112.7+(J741*119.6)</f>
        <v>0</v>
      </c>
      <c r="F741" s="3"/>
      <c r="G741" s="3"/>
      <c r="H741" s="3"/>
      <c r="I741" s="3"/>
      <c r="J741" s="3"/>
      <c r="K741" s="628">
        <f t="shared" si="34"/>
        <v>0</v>
      </c>
      <c r="L741" s="630">
        <f t="shared" si="33"/>
        <v>0</v>
      </c>
    </row>
    <row r="742" spans="3:12" x14ac:dyDescent="0.2">
      <c r="C742" s="683"/>
      <c r="D742" s="590" t="s">
        <v>187</v>
      </c>
      <c r="E742" s="591"/>
      <c r="F742" s="3"/>
      <c r="G742" s="3"/>
      <c r="H742" s="3"/>
      <c r="I742" s="3"/>
      <c r="J742" s="3"/>
      <c r="K742" s="628">
        <f>SUM(F742:J742)</f>
        <v>0</v>
      </c>
      <c r="L742" s="3"/>
    </row>
    <row r="743" spans="3:12" ht="16" x14ac:dyDescent="0.2">
      <c r="C743" s="683"/>
      <c r="D743" s="590" t="s">
        <v>569</v>
      </c>
      <c r="E743" s="592"/>
      <c r="F743" s="3"/>
      <c r="G743" s="3">
        <v>1</v>
      </c>
      <c r="H743" s="3">
        <v>1</v>
      </c>
      <c r="I743" s="3"/>
      <c r="J743" s="3"/>
      <c r="K743" s="628">
        <f>SUM(F743:J743)</f>
        <v>2</v>
      </c>
      <c r="L743" s="3"/>
    </row>
    <row r="744" spans="3:12" ht="17" thickBot="1" x14ac:dyDescent="0.25">
      <c r="C744" s="683"/>
      <c r="D744" s="590"/>
      <c r="E744" s="624"/>
      <c r="F744" s="69"/>
      <c r="G744" s="69"/>
      <c r="H744" s="69"/>
      <c r="I744" s="69"/>
      <c r="J744" s="69"/>
      <c r="K744" s="629"/>
      <c r="L744" s="3"/>
    </row>
    <row r="745" spans="3:12" ht="16" thickBot="1" x14ac:dyDescent="0.25">
      <c r="C745" s="596"/>
      <c r="D745" s="623" t="s">
        <v>19</v>
      </c>
      <c r="E745" s="625">
        <f>SUM(E719:E742)</f>
        <v>25494.6</v>
      </c>
      <c r="F745" s="614">
        <f>SUM(F719:F744)</f>
        <v>61</v>
      </c>
      <c r="G745" s="614">
        <f>SUM(G719:G744)</f>
        <v>41</v>
      </c>
      <c r="H745" s="614">
        <f>SUM(H719:H744)</f>
        <v>21</v>
      </c>
      <c r="I745" s="614">
        <f>SUM(I719:I744)</f>
        <v>44</v>
      </c>
      <c r="J745" s="614">
        <f>SUM(J719:J744)</f>
        <v>63</v>
      </c>
      <c r="K745" s="626">
        <f>SUM(F745:J745)</f>
        <v>230</v>
      </c>
      <c r="L745" s="631">
        <f>SUM(L719:L744)</f>
        <v>57</v>
      </c>
    </row>
    <row r="746" spans="3:12" x14ac:dyDescent="0.2">
      <c r="C746" s="596"/>
      <c r="D746" s="593" t="s">
        <v>113</v>
      </c>
      <c r="E746" s="620"/>
      <c r="F746" s="610">
        <f>F716-F745</f>
        <v>0</v>
      </c>
      <c r="G746" s="610">
        <f>G716-G745</f>
        <v>3</v>
      </c>
      <c r="H746" s="610">
        <f>H716-H745</f>
        <v>0</v>
      </c>
      <c r="I746" s="610">
        <f>I716-I745</f>
        <v>4</v>
      </c>
      <c r="J746" s="610">
        <f>J716-J745</f>
        <v>0</v>
      </c>
      <c r="K746" s="636">
        <f>SUM(F746:J746)</f>
        <v>7</v>
      </c>
      <c r="L746" s="3"/>
    </row>
    <row r="747" spans="3:12" x14ac:dyDescent="0.2">
      <c r="C747" s="683"/>
      <c r="D747" s="593" t="s">
        <v>436</v>
      </c>
      <c r="E747" s="594"/>
      <c r="F747" s="581"/>
      <c r="G747" s="581"/>
      <c r="H747" s="581"/>
      <c r="I747" s="581"/>
      <c r="J747" s="581"/>
      <c r="K747" s="637">
        <f>K745+K746</f>
        <v>237</v>
      </c>
      <c r="L747" s="3"/>
    </row>
    <row r="750" spans="3:12" ht="18" x14ac:dyDescent="0.2">
      <c r="C750" s="685" t="s">
        <v>412</v>
      </c>
      <c r="D750" s="582">
        <v>45678</v>
      </c>
      <c r="E750" s="800"/>
      <c r="F750" s="685" t="s">
        <v>83</v>
      </c>
      <c r="G750" s="801" t="s">
        <v>64</v>
      </c>
      <c r="H750" s="802"/>
      <c r="I750" s="802"/>
      <c r="J750" s="802"/>
      <c r="K750" s="803"/>
    </row>
    <row r="751" spans="3:12" x14ac:dyDescent="0.2">
      <c r="C751" s="804"/>
      <c r="D751" s="805"/>
      <c r="E751" s="800"/>
      <c r="F751" s="683" t="s">
        <v>93</v>
      </c>
      <c r="G751" s="683" t="s">
        <v>93</v>
      </c>
      <c r="H751" s="683"/>
      <c r="I751" s="806"/>
      <c r="J751" s="806"/>
      <c r="K751" s="806"/>
    </row>
    <row r="752" spans="3:12" x14ac:dyDescent="0.2">
      <c r="C752" s="804"/>
      <c r="D752" s="805"/>
      <c r="E752" s="800"/>
      <c r="F752" s="683" t="s">
        <v>94</v>
      </c>
      <c r="G752" s="683" t="s">
        <v>95</v>
      </c>
      <c r="H752" s="683" t="s">
        <v>96</v>
      </c>
      <c r="I752" s="806"/>
      <c r="J752" s="806"/>
      <c r="K752" s="806"/>
    </row>
    <row r="753" spans="3:12" x14ac:dyDescent="0.2">
      <c r="C753" s="804"/>
      <c r="D753" s="805"/>
      <c r="E753" s="800"/>
      <c r="F753" s="683"/>
      <c r="G753" s="683"/>
      <c r="H753" s="683"/>
      <c r="I753" s="806"/>
      <c r="J753" s="806"/>
      <c r="K753" s="806"/>
    </row>
    <row r="754" spans="3:12" ht="16" x14ac:dyDescent="0.2">
      <c r="C754" s="683"/>
      <c r="D754" s="583" t="s">
        <v>97</v>
      </c>
      <c r="E754" s="584"/>
      <c r="F754" s="581"/>
      <c r="G754" s="585"/>
      <c r="H754" s="585"/>
      <c r="I754" s="586"/>
      <c r="J754" s="586"/>
      <c r="K754" s="586"/>
    </row>
    <row r="755" spans="3:12" ht="26" x14ac:dyDescent="0.2">
      <c r="C755" s="804"/>
      <c r="D755" s="587"/>
      <c r="E755" s="588"/>
      <c r="F755" s="585" t="s">
        <v>383</v>
      </c>
      <c r="G755" s="585" t="s">
        <v>384</v>
      </c>
      <c r="H755" s="585" t="s">
        <v>385</v>
      </c>
      <c r="I755" s="585" t="s">
        <v>386</v>
      </c>
      <c r="J755" s="585" t="s">
        <v>387</v>
      </c>
      <c r="K755" s="585" t="s">
        <v>84</v>
      </c>
    </row>
    <row r="756" spans="3:12" x14ac:dyDescent="0.2">
      <c r="C756" s="804"/>
      <c r="D756" s="684" t="s">
        <v>167</v>
      </c>
      <c r="E756" s="588"/>
      <c r="F756" s="580">
        <v>14</v>
      </c>
      <c r="G756" s="579">
        <v>10</v>
      </c>
      <c r="H756" s="580"/>
      <c r="I756" s="580">
        <v>6</v>
      </c>
      <c r="J756" s="580">
        <v>12</v>
      </c>
      <c r="K756" s="580">
        <f>SUM(F756:J756)</f>
        <v>42</v>
      </c>
    </row>
    <row r="757" spans="3:12" x14ac:dyDescent="0.2">
      <c r="C757" s="804"/>
      <c r="D757" s="684" t="s">
        <v>207</v>
      </c>
      <c r="E757" s="588"/>
      <c r="F757" s="618">
        <v>98</v>
      </c>
      <c r="G757" s="619">
        <v>70</v>
      </c>
      <c r="H757" s="618"/>
      <c r="I757" s="618">
        <v>66</v>
      </c>
      <c r="J757" s="618">
        <v>105</v>
      </c>
      <c r="K757" s="618">
        <f>SUM(F757:J757)</f>
        <v>339</v>
      </c>
    </row>
    <row r="758" spans="3:12" x14ac:dyDescent="0.2">
      <c r="C758" s="683"/>
      <c r="D758" s="684" t="s">
        <v>100</v>
      </c>
      <c r="E758" s="588"/>
      <c r="F758" s="581"/>
      <c r="G758" s="581"/>
      <c r="H758" s="581"/>
      <c r="I758" s="581"/>
      <c r="J758" s="581"/>
      <c r="K758" s="581">
        <f>SUM(F758:J758)</f>
        <v>0</v>
      </c>
    </row>
    <row r="759" spans="3:12" x14ac:dyDescent="0.2">
      <c r="C759" s="683"/>
      <c r="D759" s="684" t="s">
        <v>101</v>
      </c>
      <c r="E759" s="588"/>
      <c r="F759" s="581">
        <v>1</v>
      </c>
      <c r="G759" s="581"/>
      <c r="H759" s="581"/>
      <c r="I759" s="581">
        <v>2</v>
      </c>
      <c r="J759" s="581"/>
      <c r="K759" s="581">
        <f>SUM(F759:J759)</f>
        <v>3</v>
      </c>
    </row>
    <row r="760" spans="3:12" ht="16" thickBot="1" x14ac:dyDescent="0.25">
      <c r="C760" s="683"/>
      <c r="D760" s="597" t="s">
        <v>102</v>
      </c>
      <c r="E760" s="598"/>
      <c r="F760" s="599"/>
      <c r="G760" s="600">
        <v>3</v>
      </c>
      <c r="H760" s="600"/>
      <c r="I760" s="600">
        <v>4</v>
      </c>
      <c r="J760" s="600"/>
      <c r="K760" s="600">
        <f>SUM(F760:J760)</f>
        <v>7</v>
      </c>
    </row>
    <row r="761" spans="3:12" ht="17" thickBot="1" x14ac:dyDescent="0.25">
      <c r="C761" s="605"/>
      <c r="D761" s="612" t="s">
        <v>84</v>
      </c>
      <c r="E761" s="613"/>
      <c r="F761" s="614">
        <f>(F757+F760)-F759-F758</f>
        <v>97</v>
      </c>
      <c r="G761" s="615">
        <f>(G757+G760)-G759-G758</f>
        <v>73</v>
      </c>
      <c r="H761" s="616">
        <f>(H757+H760)-H759</f>
        <v>0</v>
      </c>
      <c r="I761" s="615">
        <f>(I757+I760)-I759-I758</f>
        <v>68</v>
      </c>
      <c r="J761" s="622">
        <f>(J757+J760)-J759-J758</f>
        <v>105</v>
      </c>
      <c r="K761" s="617">
        <f>(K757+K760)-K759-K758</f>
        <v>343</v>
      </c>
    </row>
    <row r="762" spans="3:12" ht="16" x14ac:dyDescent="0.2">
      <c r="C762" s="683"/>
      <c r="D762" s="608"/>
      <c r="E762" s="609"/>
      <c r="F762" s="610"/>
      <c r="G762" s="595"/>
      <c r="H762" s="611"/>
      <c r="I762" s="595"/>
      <c r="J762" s="595"/>
      <c r="K762" s="595"/>
    </row>
    <row r="763" spans="3:12" ht="16" thickBot="1" x14ac:dyDescent="0.25">
      <c r="C763" s="606" t="s">
        <v>388</v>
      </c>
      <c r="D763" s="607" t="s">
        <v>103</v>
      </c>
      <c r="E763" s="603" t="s">
        <v>84</v>
      </c>
      <c r="F763" s="602" t="s">
        <v>78</v>
      </c>
      <c r="G763" s="602" t="s">
        <v>79</v>
      </c>
      <c r="H763" s="602" t="s">
        <v>88</v>
      </c>
      <c r="I763" s="601" t="s">
        <v>87</v>
      </c>
      <c r="J763" s="601" t="s">
        <v>85</v>
      </c>
      <c r="K763" s="601" t="s">
        <v>84</v>
      </c>
      <c r="L763" s="174" t="s">
        <v>389</v>
      </c>
    </row>
    <row r="764" spans="3:12" x14ac:dyDescent="0.2">
      <c r="C764" s="589"/>
      <c r="D764" s="604" t="s">
        <v>105</v>
      </c>
      <c r="E764" s="591">
        <f>(F764+G764+H764+I764+J764)*100+(0*230)</f>
        <v>0</v>
      </c>
      <c r="F764" s="3"/>
      <c r="G764" s="3"/>
      <c r="H764" s="3"/>
      <c r="I764" s="3"/>
      <c r="J764" s="3"/>
      <c r="K764" s="628">
        <f>SUM(F764:J764)</f>
        <v>0</v>
      </c>
      <c r="L764" s="630">
        <f>K764/4</f>
        <v>0</v>
      </c>
    </row>
    <row r="765" spans="3:12" x14ac:dyDescent="0.2">
      <c r="C765" s="589"/>
      <c r="D765" s="590" t="s">
        <v>390</v>
      </c>
      <c r="E765" s="591">
        <f>(F765+G765+H765+I765+J765)*120</f>
        <v>0</v>
      </c>
      <c r="F765" s="3"/>
      <c r="G765" s="3"/>
      <c r="H765" s="3"/>
      <c r="I765" s="3"/>
      <c r="J765" s="3"/>
      <c r="K765" s="628">
        <f>SUM(F765:J765)</f>
        <v>0</v>
      </c>
      <c r="L765" s="630">
        <f t="shared" ref="L765:L786" si="35">K765/4</f>
        <v>0</v>
      </c>
    </row>
    <row r="766" spans="3:12" x14ac:dyDescent="0.2">
      <c r="C766" s="589"/>
      <c r="D766" s="590" t="s">
        <v>391</v>
      </c>
      <c r="E766" s="591">
        <f>(F766+G766+H766+I766+J766)*120</f>
        <v>0</v>
      </c>
      <c r="F766" s="3"/>
      <c r="G766" s="3"/>
      <c r="H766" s="3"/>
      <c r="I766" s="3"/>
      <c r="J766" s="3"/>
      <c r="K766" s="628">
        <f>SUM(F766:J766)</f>
        <v>0</v>
      </c>
      <c r="L766" s="630">
        <f t="shared" si="35"/>
        <v>0</v>
      </c>
    </row>
    <row r="767" spans="3:12" x14ac:dyDescent="0.2">
      <c r="C767" s="589"/>
      <c r="D767" s="590" t="s">
        <v>392</v>
      </c>
      <c r="E767" s="591">
        <f>(F767+G767+H767+I767+J767)*120</f>
        <v>0</v>
      </c>
      <c r="F767" s="3"/>
      <c r="G767" s="3"/>
      <c r="H767" s="3"/>
      <c r="I767" s="3"/>
      <c r="J767" s="3"/>
      <c r="K767" s="628">
        <f>SUM(F767:J767)</f>
        <v>0</v>
      </c>
      <c r="L767" s="630">
        <f t="shared" si="35"/>
        <v>0</v>
      </c>
    </row>
    <row r="768" spans="3:12" x14ac:dyDescent="0.2">
      <c r="C768" s="589"/>
      <c r="D768" s="590" t="s">
        <v>425</v>
      </c>
      <c r="E768" s="591">
        <f>(F768+G768+H768+I768+J768)*120</f>
        <v>0</v>
      </c>
      <c r="F768" s="3"/>
      <c r="G768" s="3"/>
      <c r="H768" s="3"/>
      <c r="I768" s="3"/>
      <c r="J768" s="3"/>
      <c r="K768" s="628">
        <f>SUM(F768:J768)</f>
        <v>0</v>
      </c>
      <c r="L768" s="630">
        <f t="shared" si="35"/>
        <v>0</v>
      </c>
    </row>
    <row r="769" spans="3:12" x14ac:dyDescent="0.2">
      <c r="C769" s="589"/>
      <c r="D769" s="590"/>
      <c r="E769" s="591"/>
      <c r="F769" s="3"/>
      <c r="G769" s="3"/>
      <c r="H769" s="3"/>
      <c r="I769" s="3"/>
      <c r="J769" s="3"/>
      <c r="K769" s="628"/>
      <c r="L769" s="630">
        <f t="shared" si="35"/>
        <v>0</v>
      </c>
    </row>
    <row r="770" spans="3:12" x14ac:dyDescent="0.2">
      <c r="C770" s="589"/>
      <c r="D770" s="590" t="s">
        <v>108</v>
      </c>
      <c r="E770" s="591">
        <f>(F770+G770+H770+J770)*112.7+(I770*119.6)</f>
        <v>0</v>
      </c>
      <c r="F770" s="3"/>
      <c r="G770" s="3"/>
      <c r="H770" s="3"/>
      <c r="I770" s="3"/>
      <c r="J770" s="3"/>
      <c r="K770" s="628">
        <f>SUM(F770:J770)</f>
        <v>0</v>
      </c>
      <c r="L770" s="630">
        <f t="shared" si="35"/>
        <v>0</v>
      </c>
    </row>
    <row r="771" spans="3:12" x14ac:dyDescent="0.2">
      <c r="C771" s="589"/>
      <c r="D771" s="590" t="s">
        <v>393</v>
      </c>
      <c r="E771" s="591">
        <f>(F771+G771+H771+J771)*112.7+(I771*119.6)</f>
        <v>0</v>
      </c>
      <c r="F771" s="3"/>
      <c r="G771" s="3"/>
      <c r="H771" s="3"/>
      <c r="I771" s="3"/>
      <c r="J771" s="3"/>
      <c r="K771" s="628">
        <f>SUM(F771:J771)</f>
        <v>0</v>
      </c>
      <c r="L771" s="630">
        <f t="shared" si="35"/>
        <v>0</v>
      </c>
    </row>
    <row r="772" spans="3:12" x14ac:dyDescent="0.2">
      <c r="C772" s="589"/>
      <c r="D772" s="590" t="s">
        <v>216</v>
      </c>
      <c r="E772" s="591">
        <f>(F772+G772+H772+J772)*112.7+(I772*119.6)</f>
        <v>0</v>
      </c>
      <c r="F772" s="3"/>
      <c r="G772" s="3"/>
      <c r="H772" s="3"/>
      <c r="I772" s="3"/>
      <c r="J772" s="3"/>
      <c r="K772" s="628">
        <f>SUM(F772:J772)</f>
        <v>0</v>
      </c>
      <c r="L772" s="630">
        <f t="shared" si="35"/>
        <v>0</v>
      </c>
    </row>
    <row r="773" spans="3:12" x14ac:dyDescent="0.2">
      <c r="C773" s="589"/>
      <c r="D773" s="590"/>
      <c r="E773" s="591"/>
      <c r="F773" s="3"/>
      <c r="G773" s="3"/>
      <c r="H773" s="3"/>
      <c r="I773" s="3"/>
      <c r="J773" s="3"/>
      <c r="K773" s="628"/>
      <c r="L773" s="630">
        <f t="shared" si="35"/>
        <v>0</v>
      </c>
    </row>
    <row r="774" spans="3:12" x14ac:dyDescent="0.2">
      <c r="C774" s="589"/>
      <c r="D774" s="590" t="s">
        <v>394</v>
      </c>
      <c r="E774" s="591">
        <f>(F774+G774+H774+I774+J774)*120</f>
        <v>0</v>
      </c>
      <c r="F774" s="3"/>
      <c r="G774" s="3"/>
      <c r="H774" s="3"/>
      <c r="I774" s="3"/>
      <c r="J774" s="3"/>
      <c r="K774" s="628">
        <f>SUM(F774:J774)</f>
        <v>0</v>
      </c>
      <c r="L774" s="630">
        <f t="shared" si="35"/>
        <v>0</v>
      </c>
    </row>
    <row r="775" spans="3:12" x14ac:dyDescent="0.2">
      <c r="C775" s="589"/>
      <c r="D775" s="590" t="s">
        <v>110</v>
      </c>
      <c r="E775" s="591">
        <f>(F775+G775+H775+J775)*112.7+(I775*119.6)</f>
        <v>0</v>
      </c>
      <c r="F775" s="3"/>
      <c r="G775" s="3"/>
      <c r="H775" s="3"/>
      <c r="I775" s="3"/>
      <c r="J775" s="3"/>
      <c r="K775" s="628">
        <f>SUM(F775:J775)</f>
        <v>0</v>
      </c>
      <c r="L775" s="630">
        <f t="shared" si="35"/>
        <v>0</v>
      </c>
    </row>
    <row r="776" spans="3:12" x14ac:dyDescent="0.2">
      <c r="C776" s="589"/>
      <c r="D776" s="590"/>
      <c r="E776" s="591"/>
      <c r="F776" s="3"/>
      <c r="G776" s="3"/>
      <c r="H776" s="3"/>
      <c r="I776" s="3"/>
      <c r="J776" s="3"/>
      <c r="K776" s="628">
        <f>SUM(F776:J776)</f>
        <v>0</v>
      </c>
      <c r="L776" s="630">
        <f t="shared" si="35"/>
        <v>0</v>
      </c>
    </row>
    <row r="777" spans="3:12" x14ac:dyDescent="0.2">
      <c r="C777" s="589"/>
      <c r="D777" s="590" t="s">
        <v>381</v>
      </c>
      <c r="E777" s="591">
        <f>(F777+G777+H777+I777+J777)*120+(240*0)+(0*45)</f>
        <v>0</v>
      </c>
      <c r="F777" s="3"/>
      <c r="G777" s="3"/>
      <c r="H777" s="3"/>
      <c r="I777" s="3"/>
      <c r="J777" s="3"/>
      <c r="K777" s="628">
        <f>SUM(F777:J777)</f>
        <v>0</v>
      </c>
      <c r="L777" s="630">
        <f t="shared" si="35"/>
        <v>0</v>
      </c>
    </row>
    <row r="778" spans="3:12" x14ac:dyDescent="0.2">
      <c r="C778" s="589"/>
      <c r="D778" s="590" t="s">
        <v>276</v>
      </c>
      <c r="E778" s="591">
        <f>(F778+G778+H778+J778)*112.7+(I778*119.6)</f>
        <v>0</v>
      </c>
      <c r="F778" s="3"/>
      <c r="G778" s="3"/>
      <c r="H778" s="3"/>
      <c r="I778" s="3"/>
      <c r="J778" s="3"/>
      <c r="K778" s="628">
        <f>SUM(F778:J778)</f>
        <v>0</v>
      </c>
      <c r="L778" s="630">
        <f t="shared" si="35"/>
        <v>0</v>
      </c>
    </row>
    <row r="779" spans="3:12" x14ac:dyDescent="0.2">
      <c r="C779" s="589"/>
      <c r="D779" s="590"/>
      <c r="E779" s="591"/>
      <c r="F779" s="3"/>
      <c r="G779" s="3"/>
      <c r="H779" s="3"/>
      <c r="I779" s="3"/>
      <c r="J779" s="3"/>
      <c r="K779" s="628"/>
      <c r="L779" s="630">
        <f t="shared" si="35"/>
        <v>0</v>
      </c>
    </row>
    <row r="780" spans="3:12" x14ac:dyDescent="0.2">
      <c r="C780" s="589" t="s">
        <v>581</v>
      </c>
      <c r="D780" s="590" t="s">
        <v>75</v>
      </c>
      <c r="E780" s="591">
        <f>(F780+G780+H780+I780+J780)*120</f>
        <v>1440</v>
      </c>
      <c r="F780" s="3">
        <v>4</v>
      </c>
      <c r="G780" s="3">
        <v>2</v>
      </c>
      <c r="H780" s="3"/>
      <c r="I780" s="3">
        <v>2</v>
      </c>
      <c r="J780" s="3">
        <v>4</v>
      </c>
      <c r="K780" s="628">
        <f t="shared" ref="K780:K786" si="36">SUM(F780:J780)</f>
        <v>12</v>
      </c>
      <c r="L780" s="630">
        <f t="shared" si="35"/>
        <v>3</v>
      </c>
    </row>
    <row r="781" spans="3:12" x14ac:dyDescent="0.2">
      <c r="C781" s="589"/>
      <c r="D781" s="590" t="s">
        <v>278</v>
      </c>
      <c r="E781" s="591">
        <f>(F781+G781+H781+I781+J781)*120</f>
        <v>0</v>
      </c>
      <c r="F781" s="3"/>
      <c r="G781" s="3"/>
      <c r="H781" s="3"/>
      <c r="I781" s="3"/>
      <c r="J781" s="3"/>
      <c r="K781" s="628">
        <f t="shared" si="36"/>
        <v>0</v>
      </c>
      <c r="L781" s="630">
        <f t="shared" si="35"/>
        <v>0</v>
      </c>
    </row>
    <row r="782" spans="3:12" x14ac:dyDescent="0.2">
      <c r="C782" s="589" t="s">
        <v>584</v>
      </c>
      <c r="D782" s="590" t="s">
        <v>270</v>
      </c>
      <c r="E782" s="591">
        <f>(F782+G782+H782+I782)*112.7+(J782*119.6)</f>
        <v>8618.0999999999985</v>
      </c>
      <c r="F782" s="3">
        <v>24</v>
      </c>
      <c r="G782" s="3">
        <v>12</v>
      </c>
      <c r="H782" s="3"/>
      <c r="I782" s="3">
        <v>15</v>
      </c>
      <c r="J782" s="3">
        <v>24</v>
      </c>
      <c r="K782" s="628">
        <f t="shared" si="36"/>
        <v>75</v>
      </c>
      <c r="L782" s="630">
        <f t="shared" si="35"/>
        <v>18.75</v>
      </c>
    </row>
    <row r="783" spans="3:12" x14ac:dyDescent="0.2">
      <c r="C783" s="589" t="s">
        <v>583</v>
      </c>
      <c r="D783" s="590" t="s">
        <v>274</v>
      </c>
      <c r="E783" s="591">
        <f>(F783+G783+H783+I783)*112.7+(J783*119.6)</f>
        <v>5280.8</v>
      </c>
      <c r="F783" s="3">
        <v>14</v>
      </c>
      <c r="G783" s="3">
        <v>9</v>
      </c>
      <c r="H783" s="3"/>
      <c r="I783" s="3">
        <v>9</v>
      </c>
      <c r="J783" s="3">
        <v>14</v>
      </c>
      <c r="K783" s="628">
        <f t="shared" si="36"/>
        <v>46</v>
      </c>
      <c r="L783" s="630">
        <f t="shared" si="35"/>
        <v>11.5</v>
      </c>
    </row>
    <row r="784" spans="3:12" x14ac:dyDescent="0.2">
      <c r="C784" s="589" t="s">
        <v>582</v>
      </c>
      <c r="D784" s="590" t="s">
        <v>395</v>
      </c>
      <c r="E784" s="591">
        <f>(F784+G784+H784+I784)*112.7+(J784*119.6)</f>
        <v>5280.8</v>
      </c>
      <c r="F784" s="3">
        <v>14</v>
      </c>
      <c r="G784" s="3">
        <v>9</v>
      </c>
      <c r="H784" s="3"/>
      <c r="I784" s="3">
        <v>9</v>
      </c>
      <c r="J784" s="3">
        <v>14</v>
      </c>
      <c r="K784" s="628">
        <f t="shared" si="36"/>
        <v>46</v>
      </c>
      <c r="L784" s="630">
        <f t="shared" si="35"/>
        <v>11.5</v>
      </c>
    </row>
    <row r="785" spans="3:12" x14ac:dyDescent="0.2">
      <c r="C785" s="683">
        <v>1170744610</v>
      </c>
      <c r="D785" s="590" t="s">
        <v>112</v>
      </c>
      <c r="E785" s="591">
        <f>(F785+G785+H785+I785)*112.7+(J785*119.6)</f>
        <v>5280.8</v>
      </c>
      <c r="F785" s="3">
        <v>14</v>
      </c>
      <c r="G785" s="3">
        <v>9</v>
      </c>
      <c r="H785" s="3"/>
      <c r="I785" s="3">
        <v>9</v>
      </c>
      <c r="J785" s="3">
        <v>14</v>
      </c>
      <c r="K785" s="628">
        <f t="shared" si="36"/>
        <v>46</v>
      </c>
      <c r="L785" s="630">
        <f t="shared" si="35"/>
        <v>11.5</v>
      </c>
    </row>
    <row r="786" spans="3:12" x14ac:dyDescent="0.2">
      <c r="C786" s="683">
        <v>1170744604</v>
      </c>
      <c r="D786" s="590" t="s">
        <v>72</v>
      </c>
      <c r="E786" s="591">
        <f>(F786+G786+H786+I786)*112.7+(J786*119.6)</f>
        <v>4126.2000000000007</v>
      </c>
      <c r="F786" s="3">
        <v>10</v>
      </c>
      <c r="G786" s="3">
        <v>10</v>
      </c>
      <c r="H786" s="3"/>
      <c r="I786" s="3">
        <v>6</v>
      </c>
      <c r="J786" s="3">
        <v>10</v>
      </c>
      <c r="K786" s="628">
        <f t="shared" si="36"/>
        <v>36</v>
      </c>
      <c r="L786" s="630">
        <f t="shared" si="35"/>
        <v>9</v>
      </c>
    </row>
    <row r="787" spans="3:12" x14ac:dyDescent="0.2">
      <c r="C787" s="683"/>
      <c r="D787" s="590" t="s">
        <v>187</v>
      </c>
      <c r="E787" s="591"/>
      <c r="F787" s="3"/>
      <c r="G787" s="3"/>
      <c r="H787" s="3"/>
      <c r="I787" s="3"/>
      <c r="J787" s="3">
        <v>9</v>
      </c>
      <c r="K787" s="628">
        <f>SUM(F787:J787)</f>
        <v>9</v>
      </c>
      <c r="L787" s="3"/>
    </row>
    <row r="788" spans="3:12" ht="16" x14ac:dyDescent="0.2">
      <c r="C788" s="683"/>
      <c r="D788" s="590"/>
      <c r="E788" s="592"/>
      <c r="F788" s="3"/>
      <c r="G788" s="3"/>
      <c r="H788" s="3"/>
      <c r="I788" s="3"/>
      <c r="J788" s="3"/>
      <c r="K788" s="628">
        <f>SUM(F788:J788)</f>
        <v>0</v>
      </c>
      <c r="L788" s="3"/>
    </row>
    <row r="789" spans="3:12" ht="17" thickBot="1" x14ac:dyDescent="0.25">
      <c r="C789" s="683"/>
      <c r="D789" s="590"/>
      <c r="E789" s="624"/>
      <c r="F789" s="69"/>
      <c r="G789" s="69"/>
      <c r="H789" s="69"/>
      <c r="I789" s="69"/>
      <c r="J789" s="69"/>
      <c r="K789" s="629"/>
      <c r="L789" s="3"/>
    </row>
    <row r="790" spans="3:12" ht="16" thickBot="1" x14ac:dyDescent="0.25">
      <c r="C790" s="596"/>
      <c r="D790" s="623" t="s">
        <v>19</v>
      </c>
      <c r="E790" s="625">
        <f>SUM(E764:E787)</f>
        <v>30026.699999999997</v>
      </c>
      <c r="F790" s="614">
        <f>SUM(F764:F789)</f>
        <v>80</v>
      </c>
      <c r="G790" s="614">
        <f>SUM(G764:G789)</f>
        <v>51</v>
      </c>
      <c r="H790" s="614">
        <f>SUM(H764:H789)</f>
        <v>0</v>
      </c>
      <c r="I790" s="614">
        <f>SUM(I764:I789)</f>
        <v>50</v>
      </c>
      <c r="J790" s="614">
        <f>SUM(J764:J789)</f>
        <v>89</v>
      </c>
      <c r="K790" s="626">
        <f>SUM(F790:J790)</f>
        <v>270</v>
      </c>
      <c r="L790" s="631">
        <f>SUM(L764:L789)</f>
        <v>65.25</v>
      </c>
    </row>
    <row r="791" spans="3:12" x14ac:dyDescent="0.2">
      <c r="C791" s="596"/>
      <c r="D791" s="593" t="s">
        <v>113</v>
      </c>
      <c r="E791" s="620"/>
      <c r="F791" s="610">
        <f>F761-F790</f>
        <v>17</v>
      </c>
      <c r="G791" s="610">
        <f>G761-G790</f>
        <v>22</v>
      </c>
      <c r="H791" s="610">
        <f>H761-H790</f>
        <v>0</v>
      </c>
      <c r="I791" s="610">
        <f>I761-I790</f>
        <v>18</v>
      </c>
      <c r="J791" s="610">
        <f>J761-J790</f>
        <v>16</v>
      </c>
      <c r="K791" s="636">
        <f>SUM(F791:J791)</f>
        <v>73</v>
      </c>
      <c r="L791" s="3"/>
    </row>
    <row r="792" spans="3:12" x14ac:dyDescent="0.2">
      <c r="C792" s="683"/>
      <c r="D792" s="593" t="s">
        <v>436</v>
      </c>
      <c r="E792" s="594"/>
      <c r="F792" s="581"/>
      <c r="G792" s="581"/>
      <c r="H792" s="581"/>
      <c r="I792" s="581"/>
      <c r="J792" s="581"/>
      <c r="K792" s="637">
        <f>K790+K791</f>
        <v>343</v>
      </c>
      <c r="L792" s="3"/>
    </row>
    <row r="794" spans="3:12" ht="18" x14ac:dyDescent="0.2">
      <c r="C794" s="685" t="s">
        <v>412</v>
      </c>
      <c r="D794" s="582">
        <v>45679</v>
      </c>
      <c r="E794" s="800"/>
      <c r="F794" s="685" t="s">
        <v>83</v>
      </c>
      <c r="G794" s="801" t="s">
        <v>65</v>
      </c>
      <c r="H794" s="802"/>
      <c r="I794" s="802"/>
      <c r="J794" s="802"/>
      <c r="K794" s="803"/>
    </row>
    <row r="795" spans="3:12" x14ac:dyDescent="0.2">
      <c r="C795" s="804"/>
      <c r="D795" s="805"/>
      <c r="E795" s="800"/>
      <c r="F795" s="683" t="s">
        <v>93</v>
      </c>
      <c r="G795" s="683" t="s">
        <v>93</v>
      </c>
      <c r="H795" s="683"/>
      <c r="I795" s="806"/>
      <c r="J795" s="806"/>
      <c r="K795" s="806"/>
    </row>
    <row r="796" spans="3:12" x14ac:dyDescent="0.2">
      <c r="C796" s="804"/>
      <c r="D796" s="805"/>
      <c r="E796" s="800"/>
      <c r="F796" s="683" t="s">
        <v>94</v>
      </c>
      <c r="G796" s="683" t="s">
        <v>95</v>
      </c>
      <c r="H796" s="683" t="s">
        <v>96</v>
      </c>
      <c r="I796" s="806"/>
      <c r="J796" s="806"/>
      <c r="K796" s="806"/>
    </row>
    <row r="797" spans="3:12" x14ac:dyDescent="0.2">
      <c r="C797" s="804"/>
      <c r="D797" s="805"/>
      <c r="E797" s="800"/>
      <c r="F797" s="683"/>
      <c r="G797" s="683"/>
      <c r="H797" s="683"/>
      <c r="I797" s="806"/>
      <c r="J797" s="806"/>
      <c r="K797" s="806"/>
    </row>
    <row r="798" spans="3:12" ht="16" x14ac:dyDescent="0.2">
      <c r="C798" s="683"/>
      <c r="D798" s="583" t="s">
        <v>97</v>
      </c>
      <c r="E798" s="584"/>
      <c r="F798" s="581"/>
      <c r="G798" s="585"/>
      <c r="H798" s="585"/>
      <c r="I798" s="586"/>
      <c r="J798" s="586"/>
      <c r="K798" s="586"/>
    </row>
    <row r="799" spans="3:12" ht="26" x14ac:dyDescent="0.2">
      <c r="C799" s="804"/>
      <c r="D799" s="587"/>
      <c r="E799" s="588"/>
      <c r="F799" s="585" t="s">
        <v>383</v>
      </c>
      <c r="G799" s="585" t="s">
        <v>384</v>
      </c>
      <c r="H799" s="585" t="s">
        <v>385</v>
      </c>
      <c r="I799" s="585" t="s">
        <v>386</v>
      </c>
      <c r="J799" s="585" t="s">
        <v>387</v>
      </c>
      <c r="K799" s="585" t="s">
        <v>84</v>
      </c>
    </row>
    <row r="800" spans="3:12" x14ac:dyDescent="0.2">
      <c r="C800" s="804"/>
      <c r="D800" s="684" t="s">
        <v>167</v>
      </c>
      <c r="E800" s="588"/>
      <c r="F800" s="580">
        <v>10</v>
      </c>
      <c r="G800" s="579">
        <v>5</v>
      </c>
      <c r="H800" s="580">
        <v>2</v>
      </c>
      <c r="I800" s="580">
        <v>3</v>
      </c>
      <c r="J800" s="580">
        <v>6</v>
      </c>
      <c r="K800" s="580">
        <f>SUM(F800:J800)</f>
        <v>26</v>
      </c>
    </row>
    <row r="801" spans="3:12" x14ac:dyDescent="0.2">
      <c r="C801" s="804"/>
      <c r="D801" s="684" t="s">
        <v>207</v>
      </c>
      <c r="E801" s="588"/>
      <c r="F801" s="618">
        <v>67</v>
      </c>
      <c r="G801" s="619">
        <v>35</v>
      </c>
      <c r="H801" s="618">
        <v>14</v>
      </c>
      <c r="I801" s="618">
        <v>33</v>
      </c>
      <c r="J801" s="618">
        <v>54</v>
      </c>
      <c r="K801" s="618">
        <f>SUM(F801:J801)</f>
        <v>203</v>
      </c>
    </row>
    <row r="802" spans="3:12" x14ac:dyDescent="0.2">
      <c r="C802" s="683"/>
      <c r="D802" s="684" t="s">
        <v>100</v>
      </c>
      <c r="E802" s="588"/>
      <c r="F802" s="581">
        <v>1</v>
      </c>
      <c r="G802" s="581"/>
      <c r="H802" s="581"/>
      <c r="I802" s="581"/>
      <c r="J802" s="581"/>
      <c r="K802" s="581">
        <f>SUM(F802:J802)</f>
        <v>1</v>
      </c>
    </row>
    <row r="803" spans="3:12" x14ac:dyDescent="0.2">
      <c r="C803" s="683"/>
      <c r="D803" s="684" t="s">
        <v>101</v>
      </c>
      <c r="E803" s="588"/>
      <c r="F803" s="581"/>
      <c r="G803" s="581"/>
      <c r="H803" s="581"/>
      <c r="I803" s="581"/>
      <c r="J803" s="581"/>
      <c r="K803" s="581">
        <f>SUM(F803:J803)</f>
        <v>0</v>
      </c>
    </row>
    <row r="804" spans="3:12" ht="16" thickBot="1" x14ac:dyDescent="0.25">
      <c r="C804" s="683"/>
      <c r="D804" s="597" t="s">
        <v>102</v>
      </c>
      <c r="E804" s="598"/>
      <c r="F804" s="599">
        <v>17</v>
      </c>
      <c r="G804" s="600">
        <v>22</v>
      </c>
      <c r="H804" s="600"/>
      <c r="I804" s="600">
        <v>18</v>
      </c>
      <c r="J804" s="600">
        <v>16</v>
      </c>
      <c r="K804" s="600">
        <f>SUM(F804:J804)</f>
        <v>73</v>
      </c>
    </row>
    <row r="805" spans="3:12" ht="17" thickBot="1" x14ac:dyDescent="0.25">
      <c r="C805" s="605"/>
      <c r="D805" s="612" t="s">
        <v>84</v>
      </c>
      <c r="E805" s="613"/>
      <c r="F805" s="614">
        <f>(F801+F804)-F803-F802</f>
        <v>83</v>
      </c>
      <c r="G805" s="615">
        <f>(G801+G804)-G803-G802</f>
        <v>57</v>
      </c>
      <c r="H805" s="616">
        <f>(H801+H804)-H803</f>
        <v>14</v>
      </c>
      <c r="I805" s="615">
        <f>(I801+I804)-I803-I802</f>
        <v>51</v>
      </c>
      <c r="J805" s="622">
        <f>(J801+J804)-J803-J802</f>
        <v>70</v>
      </c>
      <c r="K805" s="617">
        <f>(K801+K804)-K803-K802</f>
        <v>275</v>
      </c>
    </row>
    <row r="806" spans="3:12" ht="16" x14ac:dyDescent="0.2">
      <c r="C806" s="683"/>
      <c r="D806" s="608"/>
      <c r="E806" s="609"/>
      <c r="F806" s="610"/>
      <c r="G806" s="595"/>
      <c r="H806" s="611"/>
      <c r="I806" s="595"/>
      <c r="J806" s="595"/>
      <c r="K806" s="595"/>
    </row>
    <row r="807" spans="3:12" ht="16" thickBot="1" x14ac:dyDescent="0.25">
      <c r="C807" s="606" t="s">
        <v>388</v>
      </c>
      <c r="D807" s="607" t="s">
        <v>103</v>
      </c>
      <c r="E807" s="603" t="s">
        <v>84</v>
      </c>
      <c r="F807" s="602" t="s">
        <v>78</v>
      </c>
      <c r="G807" s="602" t="s">
        <v>79</v>
      </c>
      <c r="H807" s="602" t="s">
        <v>88</v>
      </c>
      <c r="I807" s="601" t="s">
        <v>87</v>
      </c>
      <c r="J807" s="601" t="s">
        <v>85</v>
      </c>
      <c r="K807" s="601" t="s">
        <v>84</v>
      </c>
      <c r="L807" s="174" t="s">
        <v>389</v>
      </c>
    </row>
    <row r="808" spans="3:12" x14ac:dyDescent="0.2">
      <c r="C808" s="589" t="s">
        <v>589</v>
      </c>
      <c r="D808" s="604" t="s">
        <v>105</v>
      </c>
      <c r="E808" s="591">
        <f>(F808+G808+H808+I808+J808)*100+(0*230)</f>
        <v>5400</v>
      </c>
      <c r="F808" s="3">
        <v>15</v>
      </c>
      <c r="G808" s="3">
        <v>12</v>
      </c>
      <c r="H808" s="3">
        <v>6</v>
      </c>
      <c r="I808" s="3">
        <v>6</v>
      </c>
      <c r="J808" s="3">
        <v>15</v>
      </c>
      <c r="K808" s="628">
        <f>SUM(F808:J808)</f>
        <v>54</v>
      </c>
      <c r="L808" s="630">
        <f>K808/4</f>
        <v>13.5</v>
      </c>
    </row>
    <row r="809" spans="3:12" x14ac:dyDescent="0.2">
      <c r="C809" s="589"/>
      <c r="D809" s="590" t="s">
        <v>390</v>
      </c>
      <c r="E809" s="591">
        <f>(F809+G809+H809+I809+J809)*120</f>
        <v>0</v>
      </c>
      <c r="F809" s="3"/>
      <c r="G809" s="3"/>
      <c r="H809" s="3"/>
      <c r="I809" s="3"/>
      <c r="J809" s="3"/>
      <c r="K809" s="628">
        <f>SUM(F809:J809)</f>
        <v>0</v>
      </c>
      <c r="L809" s="630">
        <f t="shared" ref="L809:L830" si="37">K809/4</f>
        <v>0</v>
      </c>
    </row>
    <row r="810" spans="3:12" x14ac:dyDescent="0.2">
      <c r="C810" s="589"/>
      <c r="D810" s="590" t="s">
        <v>391</v>
      </c>
      <c r="E810" s="591">
        <f>(F810+G810+H810+I810+J810)*120</f>
        <v>0</v>
      </c>
      <c r="F810" s="3"/>
      <c r="G810" s="3"/>
      <c r="H810" s="3"/>
      <c r="I810" s="3"/>
      <c r="J810" s="3"/>
      <c r="K810" s="628">
        <f>SUM(F810:J810)</f>
        <v>0</v>
      </c>
      <c r="L810" s="630">
        <f t="shared" si="37"/>
        <v>0</v>
      </c>
    </row>
    <row r="811" spans="3:12" x14ac:dyDescent="0.2">
      <c r="C811" s="589"/>
      <c r="D811" s="590" t="s">
        <v>392</v>
      </c>
      <c r="E811" s="591">
        <f>(F811+G811+H811+I811+J811)*120</f>
        <v>0</v>
      </c>
      <c r="F811" s="3"/>
      <c r="G811" s="3"/>
      <c r="H811" s="3"/>
      <c r="I811" s="3"/>
      <c r="J811" s="3"/>
      <c r="K811" s="628">
        <f>SUM(F811:J811)</f>
        <v>0</v>
      </c>
      <c r="L811" s="630">
        <f t="shared" si="37"/>
        <v>0</v>
      </c>
    </row>
    <row r="812" spans="3:12" x14ac:dyDescent="0.2">
      <c r="C812" s="589"/>
      <c r="D812" s="590" t="s">
        <v>425</v>
      </c>
      <c r="E812" s="591">
        <f>(F812+G812+H812+I812+J812)*120</f>
        <v>0</v>
      </c>
      <c r="F812" s="3"/>
      <c r="G812" s="3"/>
      <c r="H812" s="3"/>
      <c r="I812" s="3"/>
      <c r="J812" s="3"/>
      <c r="K812" s="628">
        <f>SUM(F812:J812)</f>
        <v>0</v>
      </c>
      <c r="L812" s="630">
        <f t="shared" si="37"/>
        <v>0</v>
      </c>
    </row>
    <row r="813" spans="3:12" x14ac:dyDescent="0.2">
      <c r="C813" s="589"/>
      <c r="D813" s="590"/>
      <c r="E813" s="591"/>
      <c r="F813" s="3"/>
      <c r="G813" s="3"/>
      <c r="H813" s="3"/>
      <c r="I813" s="3"/>
      <c r="J813" s="3"/>
      <c r="K813" s="628"/>
      <c r="L813" s="630">
        <f t="shared" si="37"/>
        <v>0</v>
      </c>
    </row>
    <row r="814" spans="3:12" x14ac:dyDescent="0.2">
      <c r="C814" s="589" t="s">
        <v>587</v>
      </c>
      <c r="D814" s="590" t="s">
        <v>108</v>
      </c>
      <c r="E814" s="591">
        <f>(F814+G814+H814+J814)*112.7+(I814*119.6)</f>
        <v>3443.1000000000004</v>
      </c>
      <c r="F814" s="3">
        <v>6</v>
      </c>
      <c r="G814" s="3">
        <v>5</v>
      </c>
      <c r="H814" s="3">
        <v>4</v>
      </c>
      <c r="I814" s="3">
        <v>9</v>
      </c>
      <c r="J814" s="3">
        <v>6</v>
      </c>
      <c r="K814" s="628">
        <f>SUM(F814:J814)</f>
        <v>30</v>
      </c>
      <c r="L814" s="630">
        <f t="shared" si="37"/>
        <v>7.5</v>
      </c>
    </row>
    <row r="815" spans="3:12" x14ac:dyDescent="0.2">
      <c r="C815" s="589" t="s">
        <v>586</v>
      </c>
      <c r="D815" s="590" t="s">
        <v>393</v>
      </c>
      <c r="E815" s="591">
        <f>(F815+G815+H815+J815)*112.7+(I815*119.6)</f>
        <v>2725.5</v>
      </c>
      <c r="F815" s="3">
        <v>6</v>
      </c>
      <c r="G815" s="3">
        <v>5</v>
      </c>
      <c r="H815" s="3">
        <v>4</v>
      </c>
      <c r="I815" s="3">
        <v>3</v>
      </c>
      <c r="J815" s="3">
        <v>6</v>
      </c>
      <c r="K815" s="628">
        <f>SUM(F815:J815)</f>
        <v>24</v>
      </c>
      <c r="L815" s="630">
        <f t="shared" si="37"/>
        <v>6</v>
      </c>
    </row>
    <row r="816" spans="3:12" x14ac:dyDescent="0.2">
      <c r="C816" s="589" t="s">
        <v>585</v>
      </c>
      <c r="D816" s="590" t="s">
        <v>216</v>
      </c>
      <c r="E816" s="591">
        <f>(F816+G816+H816+J816)*112.7+(I816*119.6)</f>
        <v>3443.1000000000004</v>
      </c>
      <c r="F816" s="3">
        <v>6</v>
      </c>
      <c r="G816" s="3">
        <v>9</v>
      </c>
      <c r="H816" s="3"/>
      <c r="I816" s="3">
        <v>9</v>
      </c>
      <c r="J816" s="3">
        <v>6</v>
      </c>
      <c r="K816" s="628">
        <f>SUM(F816:J816)</f>
        <v>30</v>
      </c>
      <c r="L816" s="630">
        <f t="shared" si="37"/>
        <v>7.5</v>
      </c>
    </row>
    <row r="817" spans="3:12" x14ac:dyDescent="0.2">
      <c r="C817" s="589"/>
      <c r="D817" s="590"/>
      <c r="E817" s="591"/>
      <c r="F817" s="3"/>
      <c r="G817" s="3"/>
      <c r="H817" s="3"/>
      <c r="I817" s="3"/>
      <c r="J817" s="3"/>
      <c r="K817" s="628"/>
      <c r="L817" s="630">
        <f t="shared" si="37"/>
        <v>0</v>
      </c>
    </row>
    <row r="818" spans="3:12" x14ac:dyDescent="0.2">
      <c r="C818" s="589"/>
      <c r="D818" s="590" t="s">
        <v>394</v>
      </c>
      <c r="E818" s="591">
        <f>(F818+G818+H818+I818+J818)*120</f>
        <v>0</v>
      </c>
      <c r="F818" s="3"/>
      <c r="G818" s="3"/>
      <c r="H818" s="3"/>
      <c r="I818" s="3"/>
      <c r="J818" s="3"/>
      <c r="K818" s="628">
        <f>SUM(F818:J818)</f>
        <v>0</v>
      </c>
      <c r="L818" s="630">
        <f t="shared" si="37"/>
        <v>0</v>
      </c>
    </row>
    <row r="819" spans="3:12" x14ac:dyDescent="0.2">
      <c r="C819" s="589" t="s">
        <v>588</v>
      </c>
      <c r="D819" s="590" t="s">
        <v>110</v>
      </c>
      <c r="E819" s="591">
        <f>(F819+G819+H819+J819)*112.7+(I819*119.6)</f>
        <v>7859.1</v>
      </c>
      <c r="F819" s="3">
        <v>30</v>
      </c>
      <c r="G819" s="3">
        <v>12</v>
      </c>
      <c r="H819" s="3"/>
      <c r="I819" s="3">
        <v>12</v>
      </c>
      <c r="J819" s="3">
        <v>15</v>
      </c>
      <c r="K819" s="628">
        <f>SUM(F819:J819)</f>
        <v>69</v>
      </c>
      <c r="L819" s="630">
        <f t="shared" si="37"/>
        <v>17.25</v>
      </c>
    </row>
    <row r="820" spans="3:12" x14ac:dyDescent="0.2">
      <c r="C820" s="589"/>
      <c r="D820" s="590"/>
      <c r="E820" s="591"/>
      <c r="F820" s="3"/>
      <c r="G820" s="3"/>
      <c r="H820" s="3"/>
      <c r="I820" s="3"/>
      <c r="J820" s="3"/>
      <c r="K820" s="628">
        <f>SUM(F820:J820)</f>
        <v>0</v>
      </c>
      <c r="L820" s="630">
        <f t="shared" si="37"/>
        <v>0</v>
      </c>
    </row>
    <row r="821" spans="3:12" x14ac:dyDescent="0.2">
      <c r="C821" s="589"/>
      <c r="D821" s="590" t="s">
        <v>381</v>
      </c>
      <c r="E821" s="591">
        <f>(F821+G821+H821+I821+J821)*120+(240*0)+(0*45)</f>
        <v>0</v>
      </c>
      <c r="F821" s="3"/>
      <c r="G821" s="3"/>
      <c r="H821" s="3"/>
      <c r="I821" s="3"/>
      <c r="J821" s="3"/>
      <c r="K821" s="628">
        <f>SUM(F821:J821)</f>
        <v>0</v>
      </c>
      <c r="L821" s="630">
        <f t="shared" si="37"/>
        <v>0</v>
      </c>
    </row>
    <row r="822" spans="3:12" x14ac:dyDescent="0.2">
      <c r="C822" s="589"/>
      <c r="D822" s="590" t="s">
        <v>276</v>
      </c>
      <c r="E822" s="591">
        <f>(F822+G822+H822+J822)*112.7+(I822*119.6)</f>
        <v>0</v>
      </c>
      <c r="F822" s="3"/>
      <c r="G822" s="3"/>
      <c r="H822" s="3"/>
      <c r="I822" s="3"/>
      <c r="J822" s="3"/>
      <c r="K822" s="628">
        <f>SUM(F822:J822)</f>
        <v>0</v>
      </c>
      <c r="L822" s="630">
        <f t="shared" si="37"/>
        <v>0</v>
      </c>
    </row>
    <row r="823" spans="3:12" x14ac:dyDescent="0.2">
      <c r="C823" s="589"/>
      <c r="D823" s="590"/>
      <c r="E823" s="591"/>
      <c r="F823" s="3"/>
      <c r="G823" s="3"/>
      <c r="H823" s="3"/>
      <c r="I823" s="3"/>
      <c r="J823" s="3"/>
      <c r="K823" s="628"/>
      <c r="L823" s="630">
        <f t="shared" si="37"/>
        <v>0</v>
      </c>
    </row>
    <row r="824" spans="3:12" x14ac:dyDescent="0.2">
      <c r="C824" s="589"/>
      <c r="D824" s="590" t="s">
        <v>75</v>
      </c>
      <c r="E824" s="591">
        <f>(F824+G824+H824+I824+J824)*120</f>
        <v>0</v>
      </c>
      <c r="F824" s="3"/>
      <c r="G824" s="3"/>
      <c r="H824" s="3"/>
      <c r="I824" s="3"/>
      <c r="J824" s="3"/>
      <c r="K824" s="628">
        <f t="shared" ref="K824:K830" si="38">SUM(F824:J824)</f>
        <v>0</v>
      </c>
      <c r="L824" s="630">
        <f t="shared" si="37"/>
        <v>0</v>
      </c>
    </row>
    <row r="825" spans="3:12" x14ac:dyDescent="0.2">
      <c r="C825" s="589"/>
      <c r="D825" s="590" t="s">
        <v>278</v>
      </c>
      <c r="E825" s="591">
        <f>(F825+G825+H825+I825+J825)*120</f>
        <v>0</v>
      </c>
      <c r="F825" s="3"/>
      <c r="G825" s="3"/>
      <c r="H825" s="3"/>
      <c r="I825" s="3"/>
      <c r="J825" s="3"/>
      <c r="K825" s="628">
        <f t="shared" si="38"/>
        <v>0</v>
      </c>
      <c r="L825" s="630">
        <f t="shared" si="37"/>
        <v>0</v>
      </c>
    </row>
    <row r="826" spans="3:12" x14ac:dyDescent="0.2">
      <c r="C826" s="589"/>
      <c r="D826" s="590" t="s">
        <v>270</v>
      </c>
      <c r="E826" s="591">
        <f>(F826+G826+H826+I826)*112.7+(J826*119.6)</f>
        <v>0</v>
      </c>
      <c r="F826" s="3"/>
      <c r="G826" s="3"/>
      <c r="H826" s="3"/>
      <c r="I826" s="3"/>
      <c r="J826" s="3"/>
      <c r="K826" s="628">
        <f t="shared" si="38"/>
        <v>0</v>
      </c>
      <c r="L826" s="630">
        <f t="shared" si="37"/>
        <v>0</v>
      </c>
    </row>
    <row r="827" spans="3:12" x14ac:dyDescent="0.2">
      <c r="C827" s="589"/>
      <c r="D827" s="590" t="s">
        <v>274</v>
      </c>
      <c r="E827" s="591">
        <f>(F827+G827+H827+I827)*112.7+(J827*119.6)</f>
        <v>0</v>
      </c>
      <c r="F827" s="3"/>
      <c r="G827" s="3"/>
      <c r="H827" s="3"/>
      <c r="I827" s="3"/>
      <c r="J827" s="3"/>
      <c r="K827" s="628">
        <f t="shared" si="38"/>
        <v>0</v>
      </c>
      <c r="L827" s="630">
        <f t="shared" si="37"/>
        <v>0</v>
      </c>
    </row>
    <row r="828" spans="3:12" x14ac:dyDescent="0.2">
      <c r="C828" s="589"/>
      <c r="D828" s="590" t="s">
        <v>395</v>
      </c>
      <c r="E828" s="591">
        <f>(F828+G828+H828+I828)*112.7+(J828*119.6)</f>
        <v>0</v>
      </c>
      <c r="F828" s="3"/>
      <c r="G828" s="3"/>
      <c r="H828" s="3"/>
      <c r="I828" s="3"/>
      <c r="J828" s="3"/>
      <c r="K828" s="628">
        <f t="shared" si="38"/>
        <v>0</v>
      </c>
      <c r="L828" s="630">
        <f t="shared" si="37"/>
        <v>0</v>
      </c>
    </row>
    <row r="829" spans="3:12" x14ac:dyDescent="0.2">
      <c r="C829" s="683"/>
      <c r="D829" s="590" t="s">
        <v>112</v>
      </c>
      <c r="E829" s="591">
        <f>(F829+G829+H829+I829)*112.7+(J829*119.6)</f>
        <v>0</v>
      </c>
      <c r="F829" s="3"/>
      <c r="G829" s="3"/>
      <c r="H829" s="3"/>
      <c r="I829" s="3"/>
      <c r="J829" s="3"/>
      <c r="K829" s="628">
        <f t="shared" si="38"/>
        <v>0</v>
      </c>
      <c r="L829" s="630">
        <f t="shared" si="37"/>
        <v>0</v>
      </c>
    </row>
    <row r="830" spans="3:12" x14ac:dyDescent="0.2">
      <c r="C830" s="683"/>
      <c r="D830" s="590" t="s">
        <v>72</v>
      </c>
      <c r="E830" s="591">
        <f>(F830+G830+H830+I830)*112.7+(J830*119.6)</f>
        <v>0</v>
      </c>
      <c r="F830" s="3"/>
      <c r="G830" s="3"/>
      <c r="H830" s="3"/>
      <c r="I830" s="3"/>
      <c r="J830" s="3"/>
      <c r="K830" s="628">
        <f t="shared" si="38"/>
        <v>0</v>
      </c>
      <c r="L830" s="630">
        <f t="shared" si="37"/>
        <v>0</v>
      </c>
    </row>
    <row r="831" spans="3:12" x14ac:dyDescent="0.2">
      <c r="C831" s="683"/>
      <c r="D831" s="590" t="s">
        <v>187</v>
      </c>
      <c r="E831" s="591"/>
      <c r="F831" s="3"/>
      <c r="G831" s="3"/>
      <c r="H831" s="3"/>
      <c r="I831" s="3"/>
      <c r="J831" s="3">
        <v>6</v>
      </c>
      <c r="K831" s="628">
        <f>SUM(F831:J831)</f>
        <v>6</v>
      </c>
      <c r="L831" s="3"/>
    </row>
    <row r="832" spans="3:12" ht="16" x14ac:dyDescent="0.2">
      <c r="C832" s="683"/>
      <c r="D832" s="590"/>
      <c r="E832" s="592"/>
      <c r="F832" s="3"/>
      <c r="G832" s="3"/>
      <c r="H832" s="3"/>
      <c r="I832" s="3"/>
      <c r="J832" s="3"/>
      <c r="K832" s="628">
        <f>SUM(F832:J832)</f>
        <v>0</v>
      </c>
      <c r="L832" s="3"/>
    </row>
    <row r="833" spans="3:12" ht="17" thickBot="1" x14ac:dyDescent="0.25">
      <c r="C833" s="683"/>
      <c r="D833" s="590"/>
      <c r="E833" s="624"/>
      <c r="F833" s="69"/>
      <c r="G833" s="69"/>
      <c r="H833" s="69"/>
      <c r="I833" s="69"/>
      <c r="J833" s="69"/>
      <c r="K833" s="629"/>
      <c r="L833" s="3"/>
    </row>
    <row r="834" spans="3:12" ht="16" thickBot="1" x14ac:dyDescent="0.25">
      <c r="C834" s="596"/>
      <c r="D834" s="623" t="s">
        <v>19</v>
      </c>
      <c r="E834" s="625">
        <f>SUM(E808:E831)</f>
        <v>22870.800000000003</v>
      </c>
      <c r="F834" s="614">
        <f>SUM(F808:F833)</f>
        <v>63</v>
      </c>
      <c r="G834" s="614">
        <f>SUM(G808:G833)</f>
        <v>43</v>
      </c>
      <c r="H834" s="614">
        <f>SUM(H808:H833)</f>
        <v>14</v>
      </c>
      <c r="I834" s="614">
        <f>SUM(I808:I833)</f>
        <v>39</v>
      </c>
      <c r="J834" s="614">
        <f>SUM(J808:J833)</f>
        <v>54</v>
      </c>
      <c r="K834" s="626">
        <f>SUM(F834:J834)</f>
        <v>213</v>
      </c>
      <c r="L834" s="631">
        <f>SUM(L808:L833)</f>
        <v>51.75</v>
      </c>
    </row>
    <row r="835" spans="3:12" x14ac:dyDescent="0.2">
      <c r="C835" s="596"/>
      <c r="D835" s="593" t="s">
        <v>113</v>
      </c>
      <c r="E835" s="620"/>
      <c r="F835" s="610">
        <f>F805-F834</f>
        <v>20</v>
      </c>
      <c r="G835" s="610">
        <f>G805-G834</f>
        <v>14</v>
      </c>
      <c r="H835" s="610">
        <f>H805-H834</f>
        <v>0</v>
      </c>
      <c r="I835" s="610">
        <f>I805-I834</f>
        <v>12</v>
      </c>
      <c r="J835" s="610">
        <f>J805-J834</f>
        <v>16</v>
      </c>
      <c r="K835" s="636">
        <f>SUM(F835:J835)</f>
        <v>62</v>
      </c>
      <c r="L835" s="3"/>
    </row>
    <row r="836" spans="3:12" x14ac:dyDescent="0.2">
      <c r="C836" s="683"/>
      <c r="D836" s="593" t="s">
        <v>436</v>
      </c>
      <c r="E836" s="594"/>
      <c r="F836" s="581"/>
      <c r="G836" s="581"/>
      <c r="H836" s="581"/>
      <c r="I836" s="581"/>
      <c r="J836" s="581"/>
      <c r="K836" s="637">
        <f>K834+K835</f>
        <v>275</v>
      </c>
      <c r="L836" s="3"/>
    </row>
    <row r="838" spans="3:12" ht="18" x14ac:dyDescent="0.2">
      <c r="C838" s="685" t="s">
        <v>412</v>
      </c>
      <c r="D838" s="582">
        <v>45680</v>
      </c>
      <c r="E838" s="800"/>
      <c r="F838" s="685" t="s">
        <v>83</v>
      </c>
      <c r="G838" s="801" t="s">
        <v>66</v>
      </c>
      <c r="H838" s="802"/>
      <c r="I838" s="802"/>
      <c r="J838" s="802"/>
      <c r="K838" s="803"/>
    </row>
    <row r="839" spans="3:12" x14ac:dyDescent="0.2">
      <c r="C839" s="804"/>
      <c r="D839" s="805"/>
      <c r="E839" s="800"/>
      <c r="F839" s="683" t="s">
        <v>93</v>
      </c>
      <c r="G839" s="683" t="s">
        <v>93</v>
      </c>
      <c r="H839" s="683"/>
      <c r="I839" s="806"/>
      <c r="J839" s="806"/>
      <c r="K839" s="806"/>
    </row>
    <row r="840" spans="3:12" x14ac:dyDescent="0.2">
      <c r="C840" s="804"/>
      <c r="D840" s="805"/>
      <c r="E840" s="800"/>
      <c r="F840" s="683" t="s">
        <v>94</v>
      </c>
      <c r="G840" s="683" t="s">
        <v>95</v>
      </c>
      <c r="H840" s="683" t="s">
        <v>96</v>
      </c>
      <c r="I840" s="806"/>
      <c r="J840" s="806"/>
      <c r="K840" s="806"/>
    </row>
    <row r="841" spans="3:12" x14ac:dyDescent="0.2">
      <c r="C841" s="804"/>
      <c r="D841" s="805"/>
      <c r="E841" s="800"/>
      <c r="F841" s="683"/>
      <c r="G841" s="683"/>
      <c r="H841" s="683"/>
      <c r="I841" s="806"/>
      <c r="J841" s="806"/>
      <c r="K841" s="806"/>
    </row>
    <row r="842" spans="3:12" ht="16" x14ac:dyDescent="0.2">
      <c r="C842" s="683"/>
      <c r="D842" s="583" t="s">
        <v>97</v>
      </c>
      <c r="E842" s="584"/>
      <c r="F842" s="581"/>
      <c r="G842" s="585"/>
      <c r="H842" s="585"/>
      <c r="I842" s="586"/>
      <c r="J842" s="586"/>
      <c r="K842" s="586"/>
    </row>
    <row r="843" spans="3:12" ht="26" x14ac:dyDescent="0.2">
      <c r="C843" s="804"/>
      <c r="D843" s="587"/>
      <c r="E843" s="588"/>
      <c r="F843" s="585" t="s">
        <v>383</v>
      </c>
      <c r="G843" s="585" t="s">
        <v>384</v>
      </c>
      <c r="H843" s="585" t="s">
        <v>385</v>
      </c>
      <c r="I843" s="585" t="s">
        <v>386</v>
      </c>
      <c r="J843" s="585" t="s">
        <v>387</v>
      </c>
      <c r="K843" s="585" t="s">
        <v>84</v>
      </c>
    </row>
    <row r="844" spans="3:12" x14ac:dyDescent="0.2">
      <c r="C844" s="804"/>
      <c r="D844" s="684" t="s">
        <v>167</v>
      </c>
      <c r="E844" s="588"/>
      <c r="F844" s="580"/>
      <c r="G844" s="579"/>
      <c r="H844" s="580"/>
      <c r="I844" s="580"/>
      <c r="J844" s="580"/>
      <c r="K844" s="580">
        <f>SUM(F844:J844)</f>
        <v>0</v>
      </c>
    </row>
    <row r="845" spans="3:12" x14ac:dyDescent="0.2">
      <c r="C845" s="804"/>
      <c r="D845" s="684" t="s">
        <v>207</v>
      </c>
      <c r="E845" s="588"/>
      <c r="F845" s="618"/>
      <c r="G845" s="619"/>
      <c r="H845" s="618"/>
      <c r="I845" s="618"/>
      <c r="J845" s="618"/>
      <c r="K845" s="618">
        <f>SUM(F845:J845)</f>
        <v>0</v>
      </c>
    </row>
    <row r="846" spans="3:12" x14ac:dyDescent="0.2">
      <c r="C846" s="683"/>
      <c r="D846" s="684" t="s">
        <v>100</v>
      </c>
      <c r="E846" s="588"/>
      <c r="F846" s="581"/>
      <c r="G846" s="581"/>
      <c r="H846" s="581"/>
      <c r="I846" s="581"/>
      <c r="J846" s="581"/>
      <c r="K846" s="581">
        <f>SUM(F846:J846)</f>
        <v>0</v>
      </c>
    </row>
    <row r="847" spans="3:12" x14ac:dyDescent="0.2">
      <c r="C847" s="683"/>
      <c r="D847" s="684" t="s">
        <v>101</v>
      </c>
      <c r="E847" s="588"/>
      <c r="F847" s="581">
        <v>1</v>
      </c>
      <c r="G847" s="581">
        <v>1</v>
      </c>
      <c r="H847" s="581"/>
      <c r="I847" s="581">
        <v>1</v>
      </c>
      <c r="J847" s="581"/>
      <c r="K847" s="581">
        <f>SUM(F847:J847)</f>
        <v>3</v>
      </c>
    </row>
    <row r="848" spans="3:12" ht="16" thickBot="1" x14ac:dyDescent="0.25">
      <c r="C848" s="683"/>
      <c r="D848" s="597" t="s">
        <v>102</v>
      </c>
      <c r="E848" s="598"/>
      <c r="F848" s="599">
        <v>20</v>
      </c>
      <c r="G848" s="600">
        <v>13</v>
      </c>
      <c r="H848" s="600"/>
      <c r="I848" s="600">
        <v>12</v>
      </c>
      <c r="J848" s="600">
        <v>16</v>
      </c>
      <c r="K848" s="600">
        <f>SUM(F848:J848)</f>
        <v>61</v>
      </c>
    </row>
    <row r="849" spans="3:12" ht="17" thickBot="1" x14ac:dyDescent="0.25">
      <c r="C849" s="605"/>
      <c r="D849" s="612" t="s">
        <v>84</v>
      </c>
      <c r="E849" s="613"/>
      <c r="F849" s="614">
        <f>(F845+F848)-F847-F846</f>
        <v>19</v>
      </c>
      <c r="G849" s="615">
        <f>(G845+G848)-G847-G846</f>
        <v>12</v>
      </c>
      <c r="H849" s="616">
        <f>(H845+H848)-H847</f>
        <v>0</v>
      </c>
      <c r="I849" s="615">
        <f>(I845+I848)-I847-I846</f>
        <v>11</v>
      </c>
      <c r="J849" s="622">
        <f>(J845+J848)-J847-J846</f>
        <v>16</v>
      </c>
      <c r="K849" s="617">
        <f>(K845+K848)-K847-K846</f>
        <v>58</v>
      </c>
    </row>
    <row r="850" spans="3:12" ht="16" x14ac:dyDescent="0.2">
      <c r="C850" s="683"/>
      <c r="D850" s="608"/>
      <c r="E850" s="609"/>
      <c r="F850" s="610"/>
      <c r="G850" s="595"/>
      <c r="H850" s="611"/>
      <c r="I850" s="595"/>
      <c r="J850" s="595"/>
      <c r="K850" s="595"/>
    </row>
    <row r="851" spans="3:12" ht="16" thickBot="1" x14ac:dyDescent="0.25">
      <c r="C851" s="606" t="s">
        <v>388</v>
      </c>
      <c r="D851" s="607" t="s">
        <v>103</v>
      </c>
      <c r="E851" s="603" t="s">
        <v>84</v>
      </c>
      <c r="F851" s="602" t="s">
        <v>78</v>
      </c>
      <c r="G851" s="602" t="s">
        <v>79</v>
      </c>
      <c r="H851" s="602" t="s">
        <v>88</v>
      </c>
      <c r="I851" s="601" t="s">
        <v>87</v>
      </c>
      <c r="J851" s="601" t="s">
        <v>85</v>
      </c>
      <c r="K851" s="601" t="s">
        <v>84</v>
      </c>
      <c r="L851" s="174" t="s">
        <v>389</v>
      </c>
    </row>
    <row r="852" spans="3:12" x14ac:dyDescent="0.2">
      <c r="C852" s="589"/>
      <c r="D852" s="604" t="s">
        <v>105</v>
      </c>
      <c r="E852" s="591">
        <f>(F852+G852+H852+I852+J852)*100+(0*230)</f>
        <v>0</v>
      </c>
      <c r="F852" s="3"/>
      <c r="G852" s="3"/>
      <c r="H852" s="3"/>
      <c r="I852" s="3"/>
      <c r="J852" s="3"/>
      <c r="K852" s="628"/>
      <c r="L852" s="630">
        <f>K852/4</f>
        <v>0</v>
      </c>
    </row>
    <row r="853" spans="3:12" x14ac:dyDescent="0.2">
      <c r="C853" s="589"/>
      <c r="D853" s="590" t="s">
        <v>390</v>
      </c>
      <c r="E853" s="591">
        <f>(F853+G853+H853+I853+J853)*120</f>
        <v>0</v>
      </c>
      <c r="F853" s="3"/>
      <c r="G853" s="3"/>
      <c r="H853" s="3"/>
      <c r="I853" s="3"/>
      <c r="J853" s="3"/>
      <c r="K853" s="628"/>
      <c r="L853" s="630">
        <f t="shared" ref="L853:L874" si="39">K853/4</f>
        <v>0</v>
      </c>
    </row>
    <row r="854" spans="3:12" x14ac:dyDescent="0.2">
      <c r="C854" s="589"/>
      <c r="D854" s="590" t="s">
        <v>391</v>
      </c>
      <c r="E854" s="591">
        <f>(F854+G854+H854+I854+J854)*120</f>
        <v>0</v>
      </c>
      <c r="F854" s="3"/>
      <c r="G854" s="3"/>
      <c r="H854" s="3"/>
      <c r="I854" s="3"/>
      <c r="J854" s="3"/>
      <c r="K854" s="628"/>
      <c r="L854" s="630">
        <f t="shared" si="39"/>
        <v>0</v>
      </c>
    </row>
    <row r="855" spans="3:12" x14ac:dyDescent="0.2">
      <c r="C855" s="589"/>
      <c r="D855" s="590" t="s">
        <v>392</v>
      </c>
      <c r="E855" s="591">
        <f>(F855+G855+H855+I855+J855)*120</f>
        <v>0</v>
      </c>
      <c r="F855" s="3"/>
      <c r="G855" s="3"/>
      <c r="H855" s="3"/>
      <c r="I855" s="3"/>
      <c r="J855" s="3"/>
      <c r="K855" s="628"/>
      <c r="L855" s="630">
        <f t="shared" si="39"/>
        <v>0</v>
      </c>
    </row>
    <row r="856" spans="3:12" x14ac:dyDescent="0.2">
      <c r="C856" s="589"/>
      <c r="D856" s="590" t="s">
        <v>425</v>
      </c>
      <c r="E856" s="591">
        <f>(F856+G856+H856+I856+J856)*120</f>
        <v>0</v>
      </c>
      <c r="F856" s="3"/>
      <c r="G856" s="3"/>
      <c r="H856" s="3"/>
      <c r="I856" s="3"/>
      <c r="J856" s="3"/>
      <c r="K856" s="628"/>
      <c r="L856" s="630">
        <f t="shared" si="39"/>
        <v>0</v>
      </c>
    </row>
    <row r="857" spans="3:12" x14ac:dyDescent="0.2">
      <c r="C857" s="589"/>
      <c r="D857" s="590"/>
      <c r="E857" s="591"/>
      <c r="F857" s="3"/>
      <c r="G857" s="3"/>
      <c r="H857" s="3"/>
      <c r="I857" s="3"/>
      <c r="J857" s="3"/>
      <c r="K857" s="628"/>
      <c r="L857" s="630">
        <f t="shared" si="39"/>
        <v>0</v>
      </c>
    </row>
    <row r="858" spans="3:12" x14ac:dyDescent="0.2">
      <c r="C858" s="589"/>
      <c r="D858" s="590" t="s">
        <v>108</v>
      </c>
      <c r="E858" s="591">
        <f>(F858+G858+H858+J858)*112.7+(I858*119.6)</f>
        <v>0</v>
      </c>
      <c r="F858" s="3"/>
      <c r="G858" s="3"/>
      <c r="H858" s="3"/>
      <c r="I858" s="3"/>
      <c r="J858" s="3"/>
      <c r="K858" s="628"/>
      <c r="L858" s="630">
        <f t="shared" si="39"/>
        <v>0</v>
      </c>
    </row>
    <row r="859" spans="3:12" x14ac:dyDescent="0.2">
      <c r="C859" s="589"/>
      <c r="D859" s="590" t="s">
        <v>393</v>
      </c>
      <c r="E859" s="591">
        <f>(F859+G859+H859+J859)*112.7+(I859*119.6)</f>
        <v>0</v>
      </c>
      <c r="F859" s="3"/>
      <c r="G859" s="3"/>
      <c r="H859" s="3"/>
      <c r="I859" s="3"/>
      <c r="J859" s="3"/>
      <c r="K859" s="628"/>
      <c r="L859" s="630">
        <f t="shared" si="39"/>
        <v>0</v>
      </c>
    </row>
    <row r="860" spans="3:12" x14ac:dyDescent="0.2">
      <c r="C860" s="589"/>
      <c r="D860" s="590" t="s">
        <v>216</v>
      </c>
      <c r="E860" s="591">
        <f>(F860+G860+H860+J860)*112.7+(I860*119.6)</f>
        <v>0</v>
      </c>
      <c r="F860" s="3"/>
      <c r="G860" s="3"/>
      <c r="H860" s="3"/>
      <c r="I860" s="3"/>
      <c r="J860" s="3"/>
      <c r="K860" s="628"/>
      <c r="L860" s="630">
        <f t="shared" si="39"/>
        <v>0</v>
      </c>
    </row>
    <row r="861" spans="3:12" x14ac:dyDescent="0.2">
      <c r="C861" s="589"/>
      <c r="D861" s="590"/>
      <c r="E861" s="591"/>
      <c r="F861" s="3"/>
      <c r="G861" s="3"/>
      <c r="H861" s="3"/>
      <c r="I861" s="3"/>
      <c r="J861" s="3"/>
      <c r="K861" s="628"/>
      <c r="L861" s="630">
        <f t="shared" si="39"/>
        <v>0</v>
      </c>
    </row>
    <row r="862" spans="3:12" x14ac:dyDescent="0.2">
      <c r="C862" s="589"/>
      <c r="D862" s="590" t="s">
        <v>394</v>
      </c>
      <c r="E862" s="591">
        <f>(F862+G862+H862+I862+J862)*120</f>
        <v>0</v>
      </c>
      <c r="F862" s="3"/>
      <c r="G862" s="3"/>
      <c r="H862" s="3"/>
      <c r="I862" s="3"/>
      <c r="J862" s="3"/>
      <c r="K862" s="628"/>
      <c r="L862" s="630">
        <f t="shared" si="39"/>
        <v>0</v>
      </c>
    </row>
    <row r="863" spans="3:12" x14ac:dyDescent="0.2">
      <c r="C863" s="589"/>
      <c r="D863" s="590" t="s">
        <v>110</v>
      </c>
      <c r="E863" s="591">
        <f>(F863+G863+H863+J863)*112.7+(I863*119.6)</f>
        <v>0</v>
      </c>
      <c r="F863" s="3"/>
      <c r="G863" s="3"/>
      <c r="H863" s="3"/>
      <c r="I863" s="3"/>
      <c r="J863" s="3"/>
      <c r="K863" s="628"/>
      <c r="L863" s="630">
        <f t="shared" si="39"/>
        <v>0</v>
      </c>
    </row>
    <row r="864" spans="3:12" x14ac:dyDescent="0.2">
      <c r="C864" s="589"/>
      <c r="D864" s="590"/>
      <c r="E864" s="591"/>
      <c r="F864" s="3"/>
      <c r="G864" s="3"/>
      <c r="H864" s="3"/>
      <c r="I864" s="3"/>
      <c r="J864" s="3"/>
      <c r="K864" s="628"/>
      <c r="L864" s="630">
        <f t="shared" si="39"/>
        <v>0</v>
      </c>
    </row>
    <row r="865" spans="3:12" x14ac:dyDescent="0.2">
      <c r="C865" s="589" t="s">
        <v>593</v>
      </c>
      <c r="D865" s="590" t="s">
        <v>381</v>
      </c>
      <c r="E865" s="591">
        <f>(F865+G865+H865+I865+J865)*120+(240*2)+(4*45)</f>
        <v>2340</v>
      </c>
      <c r="F865" s="3">
        <v>4</v>
      </c>
      <c r="G865" s="3">
        <v>4</v>
      </c>
      <c r="H865" s="3"/>
      <c r="I865" s="3">
        <v>2</v>
      </c>
      <c r="J865" s="3">
        <v>4</v>
      </c>
      <c r="K865" s="628"/>
      <c r="L865" s="630">
        <f t="shared" si="39"/>
        <v>0</v>
      </c>
    </row>
    <row r="866" spans="3:12" x14ac:dyDescent="0.2">
      <c r="C866" s="589" t="s">
        <v>594</v>
      </c>
      <c r="D866" s="590" t="s">
        <v>276</v>
      </c>
      <c r="E866" s="591">
        <f>(F866+G866+H866+J866)*112.7+(I866*119.6)</f>
        <v>3443.1000000000004</v>
      </c>
      <c r="F866" s="3">
        <v>8</v>
      </c>
      <c r="G866" s="3">
        <v>6</v>
      </c>
      <c r="H866" s="3"/>
      <c r="I866" s="3">
        <v>9</v>
      </c>
      <c r="J866" s="3">
        <v>7</v>
      </c>
      <c r="K866" s="628"/>
      <c r="L866" s="630">
        <f t="shared" si="39"/>
        <v>0</v>
      </c>
    </row>
    <row r="867" spans="3:12" x14ac:dyDescent="0.2">
      <c r="C867" s="589"/>
      <c r="D867" s="590"/>
      <c r="E867" s="591"/>
      <c r="F867" s="3"/>
      <c r="G867" s="3"/>
      <c r="H867" s="3"/>
      <c r="I867" s="3"/>
      <c r="J867" s="3"/>
      <c r="K867" s="628"/>
      <c r="L867" s="630">
        <f t="shared" si="39"/>
        <v>0</v>
      </c>
    </row>
    <row r="868" spans="3:12" x14ac:dyDescent="0.2">
      <c r="C868" s="589"/>
      <c r="D868" s="590" t="s">
        <v>75</v>
      </c>
      <c r="E868" s="591">
        <f>(F868+G868+H868+I868+J868)*120</f>
        <v>0</v>
      </c>
      <c r="F868" s="3"/>
      <c r="G868" s="3"/>
      <c r="H868" s="3"/>
      <c r="I868" s="3"/>
      <c r="J868" s="3"/>
      <c r="K868" s="628">
        <f t="shared" ref="K868:K874" si="40">SUM(F868:J868)</f>
        <v>0</v>
      </c>
      <c r="L868" s="630">
        <f t="shared" si="39"/>
        <v>0</v>
      </c>
    </row>
    <row r="869" spans="3:12" x14ac:dyDescent="0.2">
      <c r="C869" s="589"/>
      <c r="D869" s="590" t="s">
        <v>278</v>
      </c>
      <c r="E869" s="591">
        <f>(F869+G869+H869+I869+J869)*120</f>
        <v>0</v>
      </c>
      <c r="F869" s="3"/>
      <c r="G869" s="3"/>
      <c r="H869" s="3"/>
      <c r="I869" s="3"/>
      <c r="J869" s="3"/>
      <c r="K869" s="628">
        <f t="shared" si="40"/>
        <v>0</v>
      </c>
      <c r="L869" s="630">
        <f t="shared" si="39"/>
        <v>0</v>
      </c>
    </row>
    <row r="870" spans="3:12" x14ac:dyDescent="0.2">
      <c r="C870" s="589"/>
      <c r="D870" s="590" t="s">
        <v>270</v>
      </c>
      <c r="E870" s="591">
        <f>(F870+G870+H870+I870)*112.7+(J870*119.6)</f>
        <v>0</v>
      </c>
      <c r="F870" s="3"/>
      <c r="G870" s="3"/>
      <c r="H870" s="3"/>
      <c r="I870" s="3"/>
      <c r="J870" s="3"/>
      <c r="K870" s="628">
        <f t="shared" si="40"/>
        <v>0</v>
      </c>
      <c r="L870" s="630">
        <f t="shared" si="39"/>
        <v>0</v>
      </c>
    </row>
    <row r="871" spans="3:12" x14ac:dyDescent="0.2">
      <c r="C871" s="589"/>
      <c r="D871" s="590" t="s">
        <v>274</v>
      </c>
      <c r="E871" s="591">
        <f>(F871+G871+H871+I871)*112.7+(J871*119.6)</f>
        <v>0</v>
      </c>
      <c r="F871" s="3"/>
      <c r="G871" s="3"/>
      <c r="H871" s="3"/>
      <c r="I871" s="3"/>
      <c r="J871" s="3"/>
      <c r="K871" s="628">
        <f t="shared" si="40"/>
        <v>0</v>
      </c>
      <c r="L871" s="630">
        <f t="shared" si="39"/>
        <v>0</v>
      </c>
    </row>
    <row r="872" spans="3:12" x14ac:dyDescent="0.2">
      <c r="C872" s="589"/>
      <c r="D872" s="590" t="s">
        <v>395</v>
      </c>
      <c r="E872" s="591">
        <f>(F872+G872+H872+I872)*112.7+(J872*119.6)</f>
        <v>0</v>
      </c>
      <c r="F872" s="3"/>
      <c r="G872" s="3"/>
      <c r="H872" s="3"/>
      <c r="I872" s="3"/>
      <c r="J872" s="3"/>
      <c r="K872" s="628">
        <f t="shared" si="40"/>
        <v>0</v>
      </c>
      <c r="L872" s="630">
        <f t="shared" si="39"/>
        <v>0</v>
      </c>
    </row>
    <row r="873" spans="3:12" x14ac:dyDescent="0.2">
      <c r="C873" s="683"/>
      <c r="D873" s="590" t="s">
        <v>112</v>
      </c>
      <c r="E873" s="591">
        <f>(F873+G873+H873+I873)*112.7+(J873*119.6)</f>
        <v>0</v>
      </c>
      <c r="F873" s="3"/>
      <c r="G873" s="3"/>
      <c r="H873" s="3"/>
      <c r="I873" s="3"/>
      <c r="J873" s="3"/>
      <c r="K873" s="628">
        <f t="shared" si="40"/>
        <v>0</v>
      </c>
      <c r="L873" s="630">
        <f t="shared" si="39"/>
        <v>0</v>
      </c>
    </row>
    <row r="874" spans="3:12" x14ac:dyDescent="0.2">
      <c r="C874" s="683"/>
      <c r="D874" s="590" t="s">
        <v>72</v>
      </c>
      <c r="E874" s="591">
        <f>(F874+G874+H874+I874)*112.7+(J874*119.6)</f>
        <v>0</v>
      </c>
      <c r="F874" s="3"/>
      <c r="G874" s="3"/>
      <c r="H874" s="3"/>
      <c r="I874" s="3"/>
      <c r="J874" s="3"/>
      <c r="K874" s="628">
        <f t="shared" si="40"/>
        <v>0</v>
      </c>
      <c r="L874" s="630">
        <f t="shared" si="39"/>
        <v>0</v>
      </c>
    </row>
    <row r="875" spans="3:12" x14ac:dyDescent="0.2">
      <c r="C875" s="683"/>
      <c r="D875" s="590" t="s">
        <v>187</v>
      </c>
      <c r="E875" s="591"/>
      <c r="F875" s="3"/>
      <c r="G875" s="3"/>
      <c r="H875" s="3"/>
      <c r="I875" s="3"/>
      <c r="J875" s="3">
        <v>2</v>
      </c>
      <c r="K875" s="628">
        <f>SUM(F875:J875)</f>
        <v>2</v>
      </c>
      <c r="L875" s="3"/>
    </row>
    <row r="876" spans="3:12" ht="16" x14ac:dyDescent="0.2">
      <c r="C876" s="683"/>
      <c r="D876" s="590"/>
      <c r="E876" s="592"/>
      <c r="F876" s="3"/>
      <c r="G876" s="3"/>
      <c r="H876" s="3"/>
      <c r="I876" s="3"/>
      <c r="J876" s="3"/>
      <c r="K876" s="628">
        <f>SUM(F876:J876)</f>
        <v>0</v>
      </c>
      <c r="L876" s="3"/>
    </row>
    <row r="877" spans="3:12" ht="17" thickBot="1" x14ac:dyDescent="0.25">
      <c r="C877" s="683"/>
      <c r="D877" s="590"/>
      <c r="E877" s="624"/>
      <c r="F877" s="69"/>
      <c r="G877" s="69"/>
      <c r="H877" s="69"/>
      <c r="I877" s="69"/>
      <c r="J877" s="69"/>
      <c r="K877" s="629"/>
      <c r="L877" s="3"/>
    </row>
    <row r="878" spans="3:12" ht="16" thickBot="1" x14ac:dyDescent="0.25">
      <c r="C878" s="596"/>
      <c r="D878" s="623" t="s">
        <v>19</v>
      </c>
      <c r="E878" s="625">
        <f>SUM(E852:E875)</f>
        <v>5783.1</v>
      </c>
      <c r="F878" s="614">
        <f>SUM(F852:F877)</f>
        <v>12</v>
      </c>
      <c r="G878" s="614">
        <f>SUM(G852:G877)</f>
        <v>10</v>
      </c>
      <c r="H878" s="614">
        <f>SUM(H852:H877)</f>
        <v>0</v>
      </c>
      <c r="I878" s="614">
        <f>SUM(I852:I877)</f>
        <v>11</v>
      </c>
      <c r="J878" s="614">
        <f>SUM(J852:J877)</f>
        <v>13</v>
      </c>
      <c r="K878" s="626">
        <f>SUM(F878:J878)</f>
        <v>46</v>
      </c>
      <c r="L878" s="631">
        <f>SUM(L852:L877)</f>
        <v>0</v>
      </c>
    </row>
    <row r="879" spans="3:12" x14ac:dyDescent="0.2">
      <c r="C879" s="596"/>
      <c r="D879" s="593" t="s">
        <v>113</v>
      </c>
      <c r="E879" s="620"/>
      <c r="F879" s="610">
        <f>F849-F878</f>
        <v>7</v>
      </c>
      <c r="G879" s="610">
        <f>G849-G878</f>
        <v>2</v>
      </c>
      <c r="H879" s="610">
        <f>H849-H878</f>
        <v>0</v>
      </c>
      <c r="I879" s="610">
        <f>I849-I878</f>
        <v>0</v>
      </c>
      <c r="J879" s="610">
        <f>J849-J878</f>
        <v>3</v>
      </c>
      <c r="K879" s="636">
        <f>SUM(F879:J879)</f>
        <v>12</v>
      </c>
      <c r="L879" s="3"/>
    </row>
    <row r="880" spans="3:12" x14ac:dyDescent="0.2">
      <c r="C880" s="683"/>
      <c r="D880" s="593" t="s">
        <v>436</v>
      </c>
      <c r="E880" s="594"/>
      <c r="F880" s="581"/>
      <c r="G880" s="581"/>
      <c r="H880" s="581"/>
      <c r="I880" s="581"/>
      <c r="J880" s="581"/>
      <c r="K880" s="637">
        <f>K878+K879</f>
        <v>58</v>
      </c>
      <c r="L880" s="3"/>
    </row>
    <row r="883" spans="3:12" ht="18" x14ac:dyDescent="0.2">
      <c r="C883" s="685" t="s">
        <v>412</v>
      </c>
      <c r="D883" s="582">
        <v>45681</v>
      </c>
      <c r="E883" s="800"/>
      <c r="F883" s="685" t="s">
        <v>83</v>
      </c>
      <c r="G883" s="801" t="s">
        <v>67</v>
      </c>
      <c r="H883" s="802"/>
      <c r="I883" s="802"/>
      <c r="J883" s="802"/>
      <c r="K883" s="803"/>
    </row>
    <row r="884" spans="3:12" x14ac:dyDescent="0.2">
      <c r="C884" s="804"/>
      <c r="D884" s="805"/>
      <c r="E884" s="800"/>
      <c r="F884" s="683" t="s">
        <v>93</v>
      </c>
      <c r="G884" s="683" t="s">
        <v>93</v>
      </c>
      <c r="H884" s="683"/>
      <c r="I884" s="806"/>
      <c r="J884" s="806"/>
      <c r="K884" s="806"/>
    </row>
    <row r="885" spans="3:12" x14ac:dyDescent="0.2">
      <c r="C885" s="804"/>
      <c r="D885" s="805"/>
      <c r="E885" s="800"/>
      <c r="F885" s="683" t="s">
        <v>94</v>
      </c>
      <c r="G885" s="683" t="s">
        <v>95</v>
      </c>
      <c r="H885" s="683" t="s">
        <v>96</v>
      </c>
      <c r="I885" s="806"/>
      <c r="J885" s="806"/>
      <c r="K885" s="806"/>
    </row>
    <row r="886" spans="3:12" x14ac:dyDescent="0.2">
      <c r="C886" s="804"/>
      <c r="D886" s="805"/>
      <c r="E886" s="800"/>
      <c r="F886" s="683"/>
      <c r="G886" s="683"/>
      <c r="H886" s="683"/>
      <c r="I886" s="806"/>
      <c r="J886" s="806"/>
      <c r="K886" s="806"/>
    </row>
    <row r="887" spans="3:12" ht="16" x14ac:dyDescent="0.2">
      <c r="C887" s="683"/>
      <c r="D887" s="583" t="s">
        <v>97</v>
      </c>
      <c r="E887" s="584"/>
      <c r="F887" s="581"/>
      <c r="G887" s="585"/>
      <c r="H887" s="585"/>
      <c r="I887" s="586"/>
      <c r="J887" s="586"/>
      <c r="K887" s="586"/>
    </row>
    <row r="888" spans="3:12" ht="26" x14ac:dyDescent="0.2">
      <c r="C888" s="804"/>
      <c r="D888" s="587"/>
      <c r="E888" s="588"/>
      <c r="F888" s="585" t="s">
        <v>383</v>
      </c>
      <c r="G888" s="585" t="s">
        <v>384</v>
      </c>
      <c r="H888" s="585" t="s">
        <v>385</v>
      </c>
      <c r="I888" s="585" t="s">
        <v>386</v>
      </c>
      <c r="J888" s="585" t="s">
        <v>387</v>
      </c>
      <c r="K888" s="585" t="s">
        <v>84</v>
      </c>
    </row>
    <row r="889" spans="3:12" x14ac:dyDescent="0.2">
      <c r="C889" s="804"/>
      <c r="D889" s="684" t="s">
        <v>167</v>
      </c>
      <c r="E889" s="588"/>
      <c r="F889" s="580">
        <v>15</v>
      </c>
      <c r="G889" s="579">
        <v>9</v>
      </c>
      <c r="H889" s="580">
        <v>4</v>
      </c>
      <c r="I889" s="580">
        <v>6</v>
      </c>
      <c r="J889" s="580">
        <v>11</v>
      </c>
      <c r="K889" s="580">
        <f>SUM(F889:J889)</f>
        <v>45</v>
      </c>
    </row>
    <row r="890" spans="3:12" x14ac:dyDescent="0.2">
      <c r="C890" s="804"/>
      <c r="D890" s="684" t="s">
        <v>207</v>
      </c>
      <c r="E890" s="588"/>
      <c r="F890" s="618">
        <v>105</v>
      </c>
      <c r="G890" s="619">
        <v>63</v>
      </c>
      <c r="H890" s="618">
        <v>28</v>
      </c>
      <c r="I890" s="618">
        <v>66</v>
      </c>
      <c r="J890" s="618">
        <v>98</v>
      </c>
      <c r="K890" s="618">
        <f>SUM(F890:J890)</f>
        <v>360</v>
      </c>
    </row>
    <row r="891" spans="3:12" x14ac:dyDescent="0.2">
      <c r="C891" s="683"/>
      <c r="D891" s="684" t="s">
        <v>100</v>
      </c>
      <c r="E891" s="588"/>
      <c r="F891" s="581"/>
      <c r="G891" s="581"/>
      <c r="H891" s="581"/>
      <c r="I891" s="581"/>
      <c r="J891" s="581"/>
      <c r="K891" s="581">
        <f>SUM(F891:J891)</f>
        <v>0</v>
      </c>
    </row>
    <row r="892" spans="3:12" x14ac:dyDescent="0.2">
      <c r="C892" s="683"/>
      <c r="D892" s="684" t="s">
        <v>101</v>
      </c>
      <c r="E892" s="588"/>
      <c r="F892" s="581"/>
      <c r="G892" s="581">
        <v>3</v>
      </c>
      <c r="H892" s="581"/>
      <c r="I892" s="581"/>
      <c r="J892" s="581">
        <v>1</v>
      </c>
      <c r="K892" s="581">
        <f>SUM(F892:J892)</f>
        <v>4</v>
      </c>
    </row>
    <row r="893" spans="3:12" ht="16" thickBot="1" x14ac:dyDescent="0.25">
      <c r="C893" s="683"/>
      <c r="D893" s="597" t="s">
        <v>102</v>
      </c>
      <c r="E893" s="598"/>
      <c r="F893" s="599">
        <v>7</v>
      </c>
      <c r="G893" s="600">
        <v>3</v>
      </c>
      <c r="H893" s="600"/>
      <c r="I893" s="600">
        <v>2</v>
      </c>
      <c r="J893" s="600">
        <v>1</v>
      </c>
      <c r="K893" s="600">
        <f>SUM(F893:J893)</f>
        <v>13</v>
      </c>
    </row>
    <row r="894" spans="3:12" ht="17" thickBot="1" x14ac:dyDescent="0.25">
      <c r="C894" s="605"/>
      <c r="D894" s="612" t="s">
        <v>84</v>
      </c>
      <c r="E894" s="613"/>
      <c r="F894" s="614">
        <f>(F890+F893)-F892-F891</f>
        <v>112</v>
      </c>
      <c r="G894" s="615">
        <f>(G890+G893)-G892-G891</f>
        <v>63</v>
      </c>
      <c r="H894" s="616">
        <f>(H890+H893)-H892</f>
        <v>28</v>
      </c>
      <c r="I894" s="615">
        <f>(I890+I893)-I892-I891</f>
        <v>68</v>
      </c>
      <c r="J894" s="622">
        <f>(J890+J893)-J892-J891</f>
        <v>98</v>
      </c>
      <c r="K894" s="617">
        <f>(K890+K893)-K892-K891</f>
        <v>369</v>
      </c>
    </row>
    <row r="895" spans="3:12" ht="16" x14ac:dyDescent="0.2">
      <c r="C895" s="683"/>
      <c r="D895" s="608"/>
      <c r="E895" s="609"/>
      <c r="F895" s="610"/>
      <c r="G895" s="595"/>
      <c r="H895" s="611"/>
      <c r="I895" s="595"/>
      <c r="J895" s="595"/>
      <c r="K895" s="595"/>
    </row>
    <row r="896" spans="3:12" ht="16" thickBot="1" x14ac:dyDescent="0.25">
      <c r="C896" s="606" t="s">
        <v>388</v>
      </c>
      <c r="D896" s="607" t="s">
        <v>103</v>
      </c>
      <c r="E896" s="603" t="s">
        <v>84</v>
      </c>
      <c r="F896" s="602" t="s">
        <v>78</v>
      </c>
      <c r="G896" s="602" t="s">
        <v>79</v>
      </c>
      <c r="H896" s="602" t="s">
        <v>88</v>
      </c>
      <c r="I896" s="601" t="s">
        <v>87</v>
      </c>
      <c r="J896" s="601" t="s">
        <v>85</v>
      </c>
      <c r="K896" s="601" t="s">
        <v>84</v>
      </c>
      <c r="L896" s="174" t="s">
        <v>389</v>
      </c>
    </row>
    <row r="897" spans="3:12" x14ac:dyDescent="0.2">
      <c r="C897" s="589"/>
      <c r="D897" s="604" t="s">
        <v>105</v>
      </c>
      <c r="E897" s="591">
        <f>(F897+G897+H897+I897+J897)*100+(0*230)</f>
        <v>8000</v>
      </c>
      <c r="F897" s="3">
        <v>24</v>
      </c>
      <c r="G897" s="3">
        <v>14</v>
      </c>
      <c r="H897" s="3">
        <v>12</v>
      </c>
      <c r="I897" s="3">
        <v>6</v>
      </c>
      <c r="J897" s="3">
        <v>24</v>
      </c>
      <c r="K897" s="628">
        <f t="shared" ref="K897:K912" si="41">SUM(F897:J897)</f>
        <v>80</v>
      </c>
      <c r="L897" s="630">
        <f>K897/4</f>
        <v>20</v>
      </c>
    </row>
    <row r="898" spans="3:12" x14ac:dyDescent="0.2">
      <c r="C898" s="589"/>
      <c r="D898" s="590" t="s">
        <v>390</v>
      </c>
      <c r="E898" s="591">
        <f>(F898+G898+H898+I898+J898)*120</f>
        <v>1200</v>
      </c>
      <c r="F898" s="3">
        <v>2</v>
      </c>
      <c r="G898" s="3">
        <v>2</v>
      </c>
      <c r="H898" s="3">
        <v>2</v>
      </c>
      <c r="I898" s="3">
        <v>2</v>
      </c>
      <c r="J898" s="3">
        <v>2</v>
      </c>
      <c r="K898" s="628">
        <f t="shared" si="41"/>
        <v>10</v>
      </c>
      <c r="L898" s="630">
        <f t="shared" ref="L898:L919" si="42">K898/4</f>
        <v>2.5</v>
      </c>
    </row>
    <row r="899" spans="3:12" x14ac:dyDescent="0.2">
      <c r="C899" s="589"/>
      <c r="D899" s="590" t="s">
        <v>391</v>
      </c>
      <c r="E899" s="591">
        <f>(F899+G899+H899+I899+J899)*120</f>
        <v>0</v>
      </c>
      <c r="F899" s="3"/>
      <c r="G899" s="3"/>
      <c r="H899" s="3"/>
      <c r="I899" s="3"/>
      <c r="J899" s="3"/>
      <c r="K899" s="628">
        <f t="shared" si="41"/>
        <v>0</v>
      </c>
      <c r="L899" s="630">
        <f t="shared" si="42"/>
        <v>0</v>
      </c>
    </row>
    <row r="900" spans="3:12" x14ac:dyDescent="0.2">
      <c r="C900" s="589"/>
      <c r="D900" s="590" t="s">
        <v>392</v>
      </c>
      <c r="E900" s="591">
        <f>(F900+G900+H900+I900+J900)*120</f>
        <v>0</v>
      </c>
      <c r="F900" s="3"/>
      <c r="G900" s="3"/>
      <c r="H900" s="3"/>
      <c r="I900" s="3"/>
      <c r="J900" s="3"/>
      <c r="K900" s="628">
        <f t="shared" si="41"/>
        <v>0</v>
      </c>
      <c r="L900" s="630">
        <f t="shared" si="42"/>
        <v>0</v>
      </c>
    </row>
    <row r="901" spans="3:12" x14ac:dyDescent="0.2">
      <c r="C901" s="589"/>
      <c r="D901" s="590" t="s">
        <v>425</v>
      </c>
      <c r="E901" s="591">
        <f>(F901+G901+H901+I901+J901)*120</f>
        <v>0</v>
      </c>
      <c r="F901" s="3"/>
      <c r="G901" s="3"/>
      <c r="H901" s="3"/>
      <c r="I901" s="3"/>
      <c r="J901" s="3"/>
      <c r="K901" s="628">
        <f t="shared" si="41"/>
        <v>0</v>
      </c>
      <c r="L901" s="630">
        <f t="shared" si="42"/>
        <v>0</v>
      </c>
    </row>
    <row r="902" spans="3:12" x14ac:dyDescent="0.2">
      <c r="C902" s="589"/>
      <c r="D902" s="590"/>
      <c r="E902" s="591"/>
      <c r="F902" s="3"/>
      <c r="G902" s="3"/>
      <c r="H902" s="3"/>
      <c r="I902" s="3"/>
      <c r="J902" s="3"/>
      <c r="K902" s="628">
        <f t="shared" si="41"/>
        <v>0</v>
      </c>
      <c r="L902" s="630">
        <f t="shared" si="42"/>
        <v>0</v>
      </c>
    </row>
    <row r="903" spans="3:12" x14ac:dyDescent="0.2">
      <c r="C903" s="589" t="s">
        <v>600</v>
      </c>
      <c r="D903" s="590" t="s">
        <v>108</v>
      </c>
      <c r="E903" s="591">
        <f>(F903+G903+H903+J903)*112.7+(I903*119.6)</f>
        <v>4816.2</v>
      </c>
      <c r="F903" s="3">
        <v>10</v>
      </c>
      <c r="G903" s="3">
        <v>5</v>
      </c>
      <c r="H903" s="3">
        <v>4</v>
      </c>
      <c r="I903" s="3">
        <v>12</v>
      </c>
      <c r="J903" s="3">
        <v>11</v>
      </c>
      <c r="K903" s="628">
        <f t="shared" si="41"/>
        <v>42</v>
      </c>
      <c r="L903" s="630">
        <f t="shared" si="42"/>
        <v>10.5</v>
      </c>
    </row>
    <row r="904" spans="3:12" x14ac:dyDescent="0.2">
      <c r="C904" s="589" t="s">
        <v>599</v>
      </c>
      <c r="D904" s="590" t="s">
        <v>393</v>
      </c>
      <c r="E904" s="591">
        <f>(F904+G904+H904+J904)*112.7+(I904*119.6)</f>
        <v>3422.4</v>
      </c>
      <c r="F904" s="3">
        <v>8</v>
      </c>
      <c r="G904" s="3">
        <v>5</v>
      </c>
      <c r="H904" s="3">
        <v>4</v>
      </c>
      <c r="I904" s="3">
        <v>6</v>
      </c>
      <c r="J904" s="3">
        <v>7</v>
      </c>
      <c r="K904" s="628">
        <f t="shared" si="41"/>
        <v>30</v>
      </c>
      <c r="L904" s="630">
        <f t="shared" si="42"/>
        <v>7.5</v>
      </c>
    </row>
    <row r="905" spans="3:12" x14ac:dyDescent="0.2">
      <c r="C905" s="589" t="s">
        <v>598</v>
      </c>
      <c r="D905" s="590" t="s">
        <v>216</v>
      </c>
      <c r="E905" s="591">
        <f>(F905+G905+H905+J905)*112.7+(I905*119.6)</f>
        <v>4457.3999999999996</v>
      </c>
      <c r="F905" s="3">
        <v>10</v>
      </c>
      <c r="G905" s="3">
        <v>9</v>
      </c>
      <c r="H905" s="3"/>
      <c r="I905" s="3">
        <v>9</v>
      </c>
      <c r="J905" s="3">
        <v>11</v>
      </c>
      <c r="K905" s="628">
        <f t="shared" si="41"/>
        <v>39</v>
      </c>
      <c r="L905" s="630">
        <f t="shared" si="42"/>
        <v>9.75</v>
      </c>
    </row>
    <row r="906" spans="3:12" x14ac:dyDescent="0.2">
      <c r="C906" s="589"/>
      <c r="D906" s="590"/>
      <c r="E906" s="591"/>
      <c r="F906" s="3"/>
      <c r="G906" s="3"/>
      <c r="H906" s="3"/>
      <c r="I906" s="3"/>
      <c r="J906" s="3"/>
      <c r="K906" s="628">
        <f t="shared" si="41"/>
        <v>0</v>
      </c>
      <c r="L906" s="630">
        <f t="shared" si="42"/>
        <v>0</v>
      </c>
    </row>
    <row r="907" spans="3:12" x14ac:dyDescent="0.2">
      <c r="C907" s="589"/>
      <c r="D907" s="590" t="s">
        <v>394</v>
      </c>
      <c r="E907" s="591">
        <f>(F907+G907+H907+I907+J907)*120</f>
        <v>0</v>
      </c>
      <c r="F907" s="3"/>
      <c r="G907" s="3"/>
      <c r="H907" s="3"/>
      <c r="I907" s="3"/>
      <c r="J907" s="3"/>
      <c r="K907" s="628">
        <f t="shared" si="41"/>
        <v>0</v>
      </c>
      <c r="L907" s="630">
        <f t="shared" si="42"/>
        <v>0</v>
      </c>
    </row>
    <row r="908" spans="3:12" x14ac:dyDescent="0.2">
      <c r="D908" s="590" t="s">
        <v>110</v>
      </c>
      <c r="E908" s="591">
        <f>(F908+G908+H908+J908)*112.7+(I908*119.6)</f>
        <v>0</v>
      </c>
      <c r="F908" s="3"/>
      <c r="G908" s="3"/>
      <c r="H908" s="3"/>
      <c r="I908" s="3"/>
      <c r="J908" s="3"/>
      <c r="K908" s="628">
        <f t="shared" si="41"/>
        <v>0</v>
      </c>
      <c r="L908" s="630">
        <f t="shared" si="42"/>
        <v>0</v>
      </c>
    </row>
    <row r="909" spans="3:12" x14ac:dyDescent="0.2">
      <c r="C909" s="589"/>
      <c r="D909" s="590"/>
      <c r="E909" s="591"/>
      <c r="F909" s="3"/>
      <c r="G909" s="3"/>
      <c r="H909" s="3"/>
      <c r="I909" s="3"/>
      <c r="J909" s="3"/>
      <c r="K909" s="628">
        <f t="shared" si="41"/>
        <v>0</v>
      </c>
      <c r="L909" s="630">
        <f t="shared" si="42"/>
        <v>0</v>
      </c>
    </row>
    <row r="910" spans="3:12" x14ac:dyDescent="0.2">
      <c r="C910" s="589"/>
      <c r="D910" s="590" t="s">
        <v>381</v>
      </c>
      <c r="E910" s="591">
        <f>(F910+G910+H910+I910+J910)*120+(240*0)+(0*45)</f>
        <v>0</v>
      </c>
      <c r="F910" s="3"/>
      <c r="G910" s="3"/>
      <c r="H910" s="3"/>
      <c r="I910" s="3"/>
      <c r="J910" s="3"/>
      <c r="K910" s="628">
        <f t="shared" si="41"/>
        <v>0</v>
      </c>
      <c r="L910" s="630">
        <f t="shared" si="42"/>
        <v>0</v>
      </c>
    </row>
    <row r="911" spans="3:12" x14ac:dyDescent="0.2">
      <c r="C911" s="589"/>
      <c r="D911" s="590" t="s">
        <v>276</v>
      </c>
      <c r="E911" s="591">
        <f>(F911+G911+H911+J911)*112.7+(I911*119.6)</f>
        <v>0</v>
      </c>
      <c r="F911" s="3"/>
      <c r="G911" s="3"/>
      <c r="H911" s="3"/>
      <c r="I911" s="3"/>
      <c r="J911" s="3"/>
      <c r="K911" s="628">
        <f t="shared" si="41"/>
        <v>0</v>
      </c>
      <c r="L911" s="630">
        <f t="shared" si="42"/>
        <v>0</v>
      </c>
    </row>
    <row r="912" spans="3:12" x14ac:dyDescent="0.2">
      <c r="C912" s="589"/>
      <c r="D912" s="590"/>
      <c r="E912" s="591"/>
      <c r="F912" s="3"/>
      <c r="G912" s="3"/>
      <c r="H912" s="3"/>
      <c r="I912" s="3"/>
      <c r="J912" s="3"/>
      <c r="K912" s="628">
        <f t="shared" si="41"/>
        <v>0</v>
      </c>
      <c r="L912" s="630">
        <f t="shared" si="42"/>
        <v>0</v>
      </c>
    </row>
    <row r="913" spans="3:12" x14ac:dyDescent="0.2">
      <c r="C913" s="589"/>
      <c r="D913" s="590" t="s">
        <v>75</v>
      </c>
      <c r="E913" s="591">
        <f>(F913+G913+H913+I913+J913)*120</f>
        <v>0</v>
      </c>
      <c r="F913" s="3"/>
      <c r="G913" s="3"/>
      <c r="H913" s="3"/>
      <c r="I913" s="3"/>
      <c r="J913" s="3"/>
      <c r="K913" s="628">
        <f t="shared" ref="K913:K919" si="43">SUM(F913:J913)</f>
        <v>0</v>
      </c>
      <c r="L913" s="630">
        <f t="shared" si="42"/>
        <v>0</v>
      </c>
    </row>
    <row r="914" spans="3:12" x14ac:dyDescent="0.2">
      <c r="C914" s="589"/>
      <c r="D914" s="590" t="s">
        <v>278</v>
      </c>
      <c r="E914" s="591">
        <f>(F914+G914+H914+I914+J914)*120</f>
        <v>0</v>
      </c>
      <c r="F914" s="3"/>
      <c r="G914" s="3"/>
      <c r="H914" s="3"/>
      <c r="I914" s="3"/>
      <c r="J914" s="3"/>
      <c r="K914" s="628">
        <f t="shared" si="43"/>
        <v>0</v>
      </c>
      <c r="L914" s="630">
        <f t="shared" si="42"/>
        <v>0</v>
      </c>
    </row>
    <row r="915" spans="3:12" x14ac:dyDescent="0.2">
      <c r="C915" s="589"/>
      <c r="D915" s="590" t="s">
        <v>270</v>
      </c>
      <c r="E915" s="591">
        <f>(F915+G915+H915+I915)*112.7+(J915*119.6)</f>
        <v>0</v>
      </c>
      <c r="F915" s="3"/>
      <c r="G915" s="3"/>
      <c r="H915" s="3"/>
      <c r="I915" s="3"/>
      <c r="J915" s="3"/>
      <c r="K915" s="628">
        <f t="shared" si="43"/>
        <v>0</v>
      </c>
      <c r="L915" s="630">
        <f t="shared" si="42"/>
        <v>0</v>
      </c>
    </row>
    <row r="916" spans="3:12" x14ac:dyDescent="0.2">
      <c r="C916" s="589"/>
      <c r="D916" s="590" t="s">
        <v>274</v>
      </c>
      <c r="E916" s="591">
        <f>(F916+G916+H916+I916)*112.7+(J916*119.6)</f>
        <v>0</v>
      </c>
      <c r="F916" s="3"/>
      <c r="G916" s="3"/>
      <c r="H916" s="3"/>
      <c r="I916" s="3"/>
      <c r="J916" s="3"/>
      <c r="K916" s="628">
        <f t="shared" si="43"/>
        <v>0</v>
      </c>
      <c r="L916" s="630">
        <f t="shared" si="42"/>
        <v>0</v>
      </c>
    </row>
    <row r="917" spans="3:12" x14ac:dyDescent="0.2">
      <c r="C917" s="589"/>
      <c r="D917" s="590" t="s">
        <v>395</v>
      </c>
      <c r="E917" s="591">
        <f>(F917+G917+H917+I917)*112.7+(J917*119.6)</f>
        <v>0</v>
      </c>
      <c r="F917" s="3"/>
      <c r="G917" s="3"/>
      <c r="H917" s="3"/>
      <c r="I917" s="3"/>
      <c r="J917" s="3"/>
      <c r="K917" s="628">
        <f t="shared" si="43"/>
        <v>0</v>
      </c>
      <c r="L917" s="630">
        <f t="shared" si="42"/>
        <v>0</v>
      </c>
    </row>
    <row r="918" spans="3:12" x14ac:dyDescent="0.2">
      <c r="C918" s="683"/>
      <c r="D918" s="590" t="s">
        <v>112</v>
      </c>
      <c r="E918" s="591">
        <f>(F918+G918+H918+I918)*112.7+(J918*119.6)</f>
        <v>0</v>
      </c>
      <c r="F918" s="3"/>
      <c r="G918" s="3"/>
      <c r="H918" s="3"/>
      <c r="I918" s="3"/>
      <c r="J918" s="3"/>
      <c r="K918" s="628">
        <f t="shared" si="43"/>
        <v>0</v>
      </c>
      <c r="L918" s="630">
        <f t="shared" si="42"/>
        <v>0</v>
      </c>
    </row>
    <row r="919" spans="3:12" x14ac:dyDescent="0.2">
      <c r="C919" s="683"/>
      <c r="D919" s="590" t="s">
        <v>72</v>
      </c>
      <c r="E919" s="591">
        <f>(F919+G919+H919+I919)*112.7+(J919*119.6)</f>
        <v>0</v>
      </c>
      <c r="F919" s="3"/>
      <c r="G919" s="3"/>
      <c r="H919" s="3"/>
      <c r="I919" s="3"/>
      <c r="J919" s="3"/>
      <c r="K919" s="628">
        <f t="shared" si="43"/>
        <v>0</v>
      </c>
      <c r="L919" s="630">
        <f t="shared" si="42"/>
        <v>0</v>
      </c>
    </row>
    <row r="920" spans="3:12" x14ac:dyDescent="0.2">
      <c r="C920" s="683"/>
      <c r="D920" s="590" t="s">
        <v>187</v>
      </c>
      <c r="E920" s="591"/>
      <c r="F920" s="3"/>
      <c r="G920" s="3"/>
      <c r="H920" s="3">
        <v>1</v>
      </c>
      <c r="I920" s="3">
        <v>1</v>
      </c>
      <c r="J920" s="3">
        <v>8</v>
      </c>
      <c r="K920" s="628">
        <f>SUM(F920:J920)</f>
        <v>10</v>
      </c>
      <c r="L920" s="3"/>
    </row>
    <row r="921" spans="3:12" ht="16" x14ac:dyDescent="0.2">
      <c r="C921" s="683"/>
      <c r="D921" s="590"/>
      <c r="E921" s="592"/>
      <c r="F921" s="3"/>
      <c r="G921" s="3"/>
      <c r="H921" s="3"/>
      <c r="I921" s="3"/>
      <c r="J921" s="3"/>
      <c r="K921" s="628">
        <f>SUM(F921:J921)</f>
        <v>0</v>
      </c>
      <c r="L921" s="3"/>
    </row>
    <row r="922" spans="3:12" ht="17" thickBot="1" x14ac:dyDescent="0.25">
      <c r="C922" s="683"/>
      <c r="D922" s="590"/>
      <c r="E922" s="624"/>
      <c r="F922" s="69"/>
      <c r="G922" s="69"/>
      <c r="H922" s="69"/>
      <c r="I922" s="69"/>
      <c r="J922" s="69"/>
      <c r="K922" s="629"/>
      <c r="L922" s="3"/>
    </row>
    <row r="923" spans="3:12" ht="16" thickBot="1" x14ac:dyDescent="0.25">
      <c r="C923" s="596"/>
      <c r="D923" s="623" t="s">
        <v>19</v>
      </c>
      <c r="E923" s="625">
        <f>SUM(E897:E920)</f>
        <v>21896</v>
      </c>
      <c r="F923" s="614">
        <f>SUM(F897:F922)</f>
        <v>54</v>
      </c>
      <c r="G923" s="614">
        <f>SUM(G897:G922)</f>
        <v>35</v>
      </c>
      <c r="H923" s="614">
        <f>SUM(H897:H922)</f>
        <v>23</v>
      </c>
      <c r="I923" s="614">
        <f>SUM(I897:I922)</f>
        <v>36</v>
      </c>
      <c r="J923" s="614">
        <f>SUM(J897:J922)</f>
        <v>63</v>
      </c>
      <c r="K923" s="626">
        <f>SUM(F923:J923)</f>
        <v>211</v>
      </c>
      <c r="L923" s="631">
        <f>SUM(L897:L922)</f>
        <v>50.25</v>
      </c>
    </row>
    <row r="924" spans="3:12" x14ac:dyDescent="0.2">
      <c r="C924" s="596"/>
      <c r="D924" s="593" t="s">
        <v>113</v>
      </c>
      <c r="E924" s="620"/>
      <c r="F924" s="610">
        <f>F894-F923</f>
        <v>58</v>
      </c>
      <c r="G924" s="610">
        <f>G894-G923</f>
        <v>28</v>
      </c>
      <c r="H924" s="610">
        <f>H894-H923</f>
        <v>5</v>
      </c>
      <c r="I924" s="610">
        <f>I894-I923</f>
        <v>32</v>
      </c>
      <c r="J924" s="610">
        <f>J894-J923</f>
        <v>35</v>
      </c>
      <c r="K924" s="636">
        <f>SUM(F924:J924)</f>
        <v>158</v>
      </c>
      <c r="L924" s="3"/>
    </row>
    <row r="925" spans="3:12" x14ac:dyDescent="0.2">
      <c r="C925" s="683"/>
      <c r="D925" s="593" t="s">
        <v>436</v>
      </c>
      <c r="E925" s="594"/>
      <c r="F925" s="581"/>
      <c r="G925" s="581"/>
      <c r="H925" s="581"/>
      <c r="I925" s="581"/>
      <c r="J925" s="581"/>
      <c r="K925" s="637">
        <f>K923+K924</f>
        <v>369</v>
      </c>
      <c r="L925" s="3"/>
    </row>
    <row r="927" spans="3:12" ht="18" x14ac:dyDescent="0.2">
      <c r="C927" s="685" t="s">
        <v>412</v>
      </c>
      <c r="D927" s="582">
        <v>45682</v>
      </c>
      <c r="E927" s="800"/>
      <c r="F927" s="685" t="s">
        <v>83</v>
      </c>
      <c r="G927" s="801" t="s">
        <v>68</v>
      </c>
      <c r="H927" s="802"/>
      <c r="I927" s="802"/>
      <c r="J927" s="802"/>
      <c r="K927" s="803"/>
    </row>
    <row r="928" spans="3:12" x14ac:dyDescent="0.2">
      <c r="C928" s="804"/>
      <c r="D928" s="805"/>
      <c r="E928" s="800"/>
      <c r="F928" s="683" t="s">
        <v>93</v>
      </c>
      <c r="G928" s="683" t="s">
        <v>93</v>
      </c>
      <c r="H928" s="683"/>
      <c r="I928" s="806"/>
      <c r="J928" s="806"/>
      <c r="K928" s="806"/>
    </row>
    <row r="929" spans="3:12" x14ac:dyDescent="0.2">
      <c r="C929" s="804"/>
      <c r="D929" s="805"/>
      <c r="E929" s="800"/>
      <c r="F929" s="683" t="s">
        <v>94</v>
      </c>
      <c r="G929" s="683" t="s">
        <v>95</v>
      </c>
      <c r="H929" s="683" t="s">
        <v>96</v>
      </c>
      <c r="I929" s="806"/>
      <c r="J929" s="806"/>
      <c r="K929" s="806"/>
    </row>
    <row r="930" spans="3:12" x14ac:dyDescent="0.2">
      <c r="C930" s="804"/>
      <c r="D930" s="805"/>
      <c r="E930" s="800"/>
      <c r="F930" s="683"/>
      <c r="G930" s="683"/>
      <c r="H930" s="683"/>
      <c r="I930" s="806"/>
      <c r="J930" s="806"/>
      <c r="K930" s="806"/>
    </row>
    <row r="931" spans="3:12" ht="16" x14ac:dyDescent="0.2">
      <c r="C931" s="683"/>
      <c r="D931" s="583" t="s">
        <v>97</v>
      </c>
      <c r="E931" s="584"/>
      <c r="F931" s="581"/>
      <c r="G931" s="585"/>
      <c r="H931" s="585"/>
      <c r="I931" s="586"/>
      <c r="J931" s="586"/>
      <c r="K931" s="586"/>
    </row>
    <row r="932" spans="3:12" ht="26" x14ac:dyDescent="0.2">
      <c r="C932" s="804"/>
      <c r="D932" s="587"/>
      <c r="E932" s="588"/>
      <c r="F932" s="585" t="s">
        <v>383</v>
      </c>
      <c r="G932" s="585" t="s">
        <v>384</v>
      </c>
      <c r="H932" s="585" t="s">
        <v>385</v>
      </c>
      <c r="I932" s="585" t="s">
        <v>386</v>
      </c>
      <c r="J932" s="585" t="s">
        <v>387</v>
      </c>
      <c r="K932" s="585" t="s">
        <v>84</v>
      </c>
    </row>
    <row r="933" spans="3:12" x14ac:dyDescent="0.2">
      <c r="C933" s="804"/>
      <c r="D933" s="684" t="s">
        <v>167</v>
      </c>
      <c r="E933" s="588"/>
      <c r="F933" s="580"/>
      <c r="G933" s="579"/>
      <c r="H933" s="580"/>
      <c r="I933" s="580"/>
      <c r="J933" s="580"/>
      <c r="K933" s="580">
        <f>SUM(F933:J933)</f>
        <v>0</v>
      </c>
    </row>
    <row r="934" spans="3:12" x14ac:dyDescent="0.2">
      <c r="C934" s="804"/>
      <c r="D934" s="684" t="s">
        <v>207</v>
      </c>
      <c r="E934" s="588"/>
      <c r="F934" s="618"/>
      <c r="G934" s="619"/>
      <c r="H934" s="618"/>
      <c r="I934" s="618"/>
      <c r="J934" s="618"/>
      <c r="K934" s="618">
        <f>SUM(F934:J934)</f>
        <v>0</v>
      </c>
    </row>
    <row r="935" spans="3:12" x14ac:dyDescent="0.2">
      <c r="C935" s="683"/>
      <c r="D935" s="684" t="s">
        <v>100</v>
      </c>
      <c r="E935" s="588"/>
      <c r="F935" s="581"/>
      <c r="G935" s="581"/>
      <c r="H935" s="581"/>
      <c r="I935" s="581"/>
      <c r="J935" s="581"/>
      <c r="K935" s="581">
        <f>SUM(F935:J935)</f>
        <v>0</v>
      </c>
    </row>
    <row r="936" spans="3:12" x14ac:dyDescent="0.2">
      <c r="C936" s="683"/>
      <c r="D936" s="684" t="s">
        <v>101</v>
      </c>
      <c r="E936" s="588"/>
      <c r="F936" s="581"/>
      <c r="G936" s="581"/>
      <c r="H936" s="581"/>
      <c r="I936" s="581"/>
      <c r="J936" s="581"/>
      <c r="K936" s="581">
        <f>SUM(F936:J936)</f>
        <v>0</v>
      </c>
    </row>
    <row r="937" spans="3:12" ht="16" thickBot="1" x14ac:dyDescent="0.25">
      <c r="C937" s="683"/>
      <c r="D937" s="597" t="s">
        <v>102</v>
      </c>
      <c r="E937" s="598"/>
      <c r="F937" s="599">
        <v>58</v>
      </c>
      <c r="G937" s="600">
        <v>28</v>
      </c>
      <c r="H937" s="600">
        <v>5</v>
      </c>
      <c r="I937" s="600">
        <v>32</v>
      </c>
      <c r="J937" s="600">
        <v>35</v>
      </c>
      <c r="K937" s="600">
        <f>SUM(F937:J937)</f>
        <v>158</v>
      </c>
    </row>
    <row r="938" spans="3:12" ht="17" thickBot="1" x14ac:dyDescent="0.25">
      <c r="C938" s="605"/>
      <c r="D938" s="612" t="s">
        <v>84</v>
      </c>
      <c r="E938" s="613"/>
      <c r="F938" s="614">
        <f>(F934+F937)-F936-F935</f>
        <v>58</v>
      </c>
      <c r="G938" s="615">
        <f>(G934+G937)-G936-G935</f>
        <v>28</v>
      </c>
      <c r="H938" s="616">
        <f>(H934+H937)-H936</f>
        <v>5</v>
      </c>
      <c r="I938" s="615">
        <f>(I934+I937)-I936-I935</f>
        <v>32</v>
      </c>
      <c r="J938" s="622">
        <f>(J934+J937)-J936-J935</f>
        <v>35</v>
      </c>
      <c r="K938" s="617">
        <f>(K934+K937)-K936-K935</f>
        <v>158</v>
      </c>
    </row>
    <row r="939" spans="3:12" ht="16" x14ac:dyDescent="0.2">
      <c r="C939" s="683"/>
      <c r="D939" s="608"/>
      <c r="E939" s="609"/>
      <c r="F939" s="610"/>
      <c r="G939" s="595"/>
      <c r="H939" s="611"/>
      <c r="I939" s="595"/>
      <c r="J939" s="595"/>
      <c r="K939" s="595"/>
    </row>
    <row r="940" spans="3:12" ht="16" thickBot="1" x14ac:dyDescent="0.25">
      <c r="C940" s="606" t="s">
        <v>388</v>
      </c>
      <c r="D940" s="607" t="s">
        <v>103</v>
      </c>
      <c r="E940" s="603" t="s">
        <v>84</v>
      </c>
      <c r="F940" s="602" t="s">
        <v>78</v>
      </c>
      <c r="G940" s="602" t="s">
        <v>79</v>
      </c>
      <c r="H940" s="602" t="s">
        <v>88</v>
      </c>
      <c r="I940" s="601" t="s">
        <v>87</v>
      </c>
      <c r="J940" s="601" t="s">
        <v>85</v>
      </c>
      <c r="K940" s="601" t="s">
        <v>84</v>
      </c>
      <c r="L940" s="174" t="s">
        <v>389</v>
      </c>
    </row>
    <row r="941" spans="3:12" x14ac:dyDescent="0.2">
      <c r="C941" s="589"/>
      <c r="D941" s="604" t="s">
        <v>105</v>
      </c>
      <c r="E941" s="591">
        <f>(F941+G941+H941+I941+J941)*100+(0*230)</f>
        <v>0</v>
      </c>
      <c r="F941" s="3"/>
      <c r="G941" s="3"/>
      <c r="H941" s="3"/>
      <c r="I941" s="3"/>
      <c r="J941" s="3"/>
      <c r="K941" s="628">
        <f t="shared" ref="K941:K963" si="44">SUM(F941:J941)</f>
        <v>0</v>
      </c>
      <c r="L941" s="630">
        <f>K941/4</f>
        <v>0</v>
      </c>
    </row>
    <row r="942" spans="3:12" x14ac:dyDescent="0.2">
      <c r="C942" s="589"/>
      <c r="D942" s="590" t="s">
        <v>390</v>
      </c>
      <c r="E942" s="591">
        <f>(F942+G942+H942+I942+J942)*120</f>
        <v>0</v>
      </c>
      <c r="F942" s="3"/>
      <c r="G942" s="3"/>
      <c r="H942" s="3"/>
      <c r="I942" s="3"/>
      <c r="J942" s="3"/>
      <c r="K942" s="628">
        <f t="shared" si="44"/>
        <v>0</v>
      </c>
      <c r="L942" s="630">
        <f t="shared" ref="L942:L963" si="45">K942/4</f>
        <v>0</v>
      </c>
    </row>
    <row r="943" spans="3:12" x14ac:dyDescent="0.2">
      <c r="C943" s="589"/>
      <c r="D943" s="590" t="s">
        <v>391</v>
      </c>
      <c r="E943" s="591">
        <f>(F943+G943+H943+I943+J943)*120</f>
        <v>0</v>
      </c>
      <c r="F943" s="3"/>
      <c r="G943" s="3"/>
      <c r="H943" s="3"/>
      <c r="I943" s="3"/>
      <c r="J943" s="3"/>
      <c r="K943" s="628">
        <f t="shared" si="44"/>
        <v>0</v>
      </c>
      <c r="L943" s="630">
        <f t="shared" si="45"/>
        <v>0</v>
      </c>
    </row>
    <row r="944" spans="3:12" x14ac:dyDescent="0.2">
      <c r="C944" s="589"/>
      <c r="D944" s="590" t="s">
        <v>392</v>
      </c>
      <c r="E944" s="591">
        <f>(F944+G944+H944+I944+J944)*120</f>
        <v>0</v>
      </c>
      <c r="F944" s="3"/>
      <c r="G944" s="3"/>
      <c r="H944" s="3"/>
      <c r="I944" s="3"/>
      <c r="J944" s="3"/>
      <c r="K944" s="628">
        <f t="shared" si="44"/>
        <v>0</v>
      </c>
      <c r="L944" s="630">
        <f t="shared" si="45"/>
        <v>0</v>
      </c>
    </row>
    <row r="945" spans="3:12" x14ac:dyDescent="0.2">
      <c r="C945" s="589"/>
      <c r="D945" s="590" t="s">
        <v>425</v>
      </c>
      <c r="E945" s="591">
        <f>(F945+G945+H945+I945+J945)*120</f>
        <v>0</v>
      </c>
      <c r="F945" s="3"/>
      <c r="G945" s="3"/>
      <c r="H945" s="3"/>
      <c r="I945" s="3"/>
      <c r="J945" s="3"/>
      <c r="K945" s="628">
        <f t="shared" si="44"/>
        <v>0</v>
      </c>
      <c r="L945" s="630">
        <f t="shared" si="45"/>
        <v>0</v>
      </c>
    </row>
    <row r="946" spans="3:12" x14ac:dyDescent="0.2">
      <c r="C946" s="589"/>
      <c r="D946" s="590"/>
      <c r="E946" s="591"/>
      <c r="F946" s="3"/>
      <c r="G946" s="3"/>
      <c r="H946" s="3"/>
      <c r="I946" s="3"/>
      <c r="J946" s="3"/>
      <c r="K946" s="628">
        <f t="shared" si="44"/>
        <v>0</v>
      </c>
      <c r="L946" s="630">
        <f t="shared" si="45"/>
        <v>0</v>
      </c>
    </row>
    <row r="947" spans="3:12" x14ac:dyDescent="0.2">
      <c r="C947" s="589"/>
      <c r="D947" s="590" t="s">
        <v>108</v>
      </c>
      <c r="E947" s="591">
        <f>(F947+G947+H947+J947)*112.7+(I947*119.6)</f>
        <v>0</v>
      </c>
      <c r="F947" s="3"/>
      <c r="G947" s="3"/>
      <c r="H947" s="3"/>
      <c r="I947" s="3"/>
      <c r="J947" s="3"/>
      <c r="K947" s="628">
        <f t="shared" si="44"/>
        <v>0</v>
      </c>
      <c r="L947" s="630">
        <f t="shared" si="45"/>
        <v>0</v>
      </c>
    </row>
    <row r="948" spans="3:12" x14ac:dyDescent="0.2">
      <c r="C948" s="589"/>
      <c r="D948" s="590" t="s">
        <v>393</v>
      </c>
      <c r="E948" s="591">
        <f>(F948+G948+H948+J948)*112.7+(I948*119.6)</f>
        <v>0</v>
      </c>
      <c r="F948" s="3"/>
      <c r="G948" s="3"/>
      <c r="H948" s="3"/>
      <c r="I948" s="3"/>
      <c r="J948" s="3"/>
      <c r="K948" s="628">
        <f t="shared" si="44"/>
        <v>0</v>
      </c>
      <c r="L948" s="630">
        <f t="shared" si="45"/>
        <v>0</v>
      </c>
    </row>
    <row r="949" spans="3:12" x14ac:dyDescent="0.2">
      <c r="C949" s="589"/>
      <c r="D949" s="590" t="s">
        <v>216</v>
      </c>
      <c r="E949" s="591">
        <f>(F949+G949+H949+J949)*112.7+(I949*119.6)</f>
        <v>0</v>
      </c>
      <c r="F949" s="3"/>
      <c r="G949" s="3"/>
      <c r="H949" s="3"/>
      <c r="I949" s="3"/>
      <c r="J949" s="3"/>
      <c r="K949" s="628">
        <f t="shared" si="44"/>
        <v>0</v>
      </c>
      <c r="L949" s="630">
        <f t="shared" si="45"/>
        <v>0</v>
      </c>
    </row>
    <row r="950" spans="3:12" x14ac:dyDescent="0.2">
      <c r="C950" s="589"/>
      <c r="D950" s="590"/>
      <c r="E950" s="591"/>
      <c r="F950" s="3"/>
      <c r="G950" s="3"/>
      <c r="H950" s="3"/>
      <c r="I950" s="3"/>
      <c r="J950" s="3"/>
      <c r="K950" s="628">
        <f t="shared" si="44"/>
        <v>0</v>
      </c>
      <c r="L950" s="630">
        <f t="shared" si="45"/>
        <v>0</v>
      </c>
    </row>
    <row r="951" spans="3:12" x14ac:dyDescent="0.2">
      <c r="C951" s="589"/>
      <c r="D951" s="590" t="s">
        <v>394</v>
      </c>
      <c r="E951" s="591">
        <f>(F951+G951+H951+I951+J951)*120</f>
        <v>5040</v>
      </c>
      <c r="F951" s="3">
        <v>16</v>
      </c>
      <c r="G951" s="3">
        <v>4</v>
      </c>
      <c r="H951" s="3">
        <v>5</v>
      </c>
      <c r="I951" s="3">
        <v>5</v>
      </c>
      <c r="J951" s="3">
        <v>12</v>
      </c>
      <c r="K951" s="628">
        <f t="shared" si="44"/>
        <v>42</v>
      </c>
      <c r="L951" s="630">
        <f t="shared" si="45"/>
        <v>10.5</v>
      </c>
    </row>
    <row r="952" spans="3:12" x14ac:dyDescent="0.2">
      <c r="C952" s="589" t="s">
        <v>601</v>
      </c>
      <c r="D952" s="590" t="s">
        <v>110</v>
      </c>
      <c r="E952" s="591">
        <f>(F952+G952+H952+J952)*112.7+(I952*119.6)</f>
        <v>12562.6</v>
      </c>
      <c r="F952" s="3">
        <v>40</v>
      </c>
      <c r="G952" s="3">
        <v>24</v>
      </c>
      <c r="H952" s="3"/>
      <c r="I952" s="3">
        <v>24</v>
      </c>
      <c r="J952" s="3">
        <v>22</v>
      </c>
      <c r="K952" s="628">
        <f t="shared" si="44"/>
        <v>110</v>
      </c>
      <c r="L952" s="630">
        <f t="shared" si="45"/>
        <v>27.5</v>
      </c>
    </row>
    <row r="953" spans="3:12" x14ac:dyDescent="0.2">
      <c r="C953" s="589"/>
      <c r="D953" s="590"/>
      <c r="E953" s="591"/>
      <c r="F953" s="3"/>
      <c r="G953" s="3"/>
      <c r="H953" s="3"/>
      <c r="I953" s="3"/>
      <c r="J953" s="3"/>
      <c r="K953" s="628">
        <f t="shared" si="44"/>
        <v>0</v>
      </c>
      <c r="L953" s="630">
        <f t="shared" si="45"/>
        <v>0</v>
      </c>
    </row>
    <row r="954" spans="3:12" x14ac:dyDescent="0.2">
      <c r="C954" s="589"/>
      <c r="D954" s="590" t="s">
        <v>381</v>
      </c>
      <c r="E954" s="591">
        <f>(F954+G954+H954+I954+J954)*120+(240*0)+(0*45)</f>
        <v>0</v>
      </c>
      <c r="F954" s="3"/>
      <c r="G954" s="3"/>
      <c r="H954" s="3"/>
      <c r="I954" s="3"/>
      <c r="J954" s="3"/>
      <c r="K954" s="628">
        <f t="shared" si="44"/>
        <v>0</v>
      </c>
      <c r="L954" s="630">
        <f t="shared" si="45"/>
        <v>0</v>
      </c>
    </row>
    <row r="955" spans="3:12" x14ac:dyDescent="0.2">
      <c r="C955" s="589"/>
      <c r="D955" s="590" t="s">
        <v>276</v>
      </c>
      <c r="E955" s="591">
        <f>(F955+G955+H955+J955)*112.7+(I955*119.6)</f>
        <v>0</v>
      </c>
      <c r="F955" s="3"/>
      <c r="G955" s="3"/>
      <c r="H955" s="3"/>
      <c r="I955" s="3"/>
      <c r="J955" s="3"/>
      <c r="K955" s="628">
        <f t="shared" si="44"/>
        <v>0</v>
      </c>
      <c r="L955" s="630">
        <f t="shared" si="45"/>
        <v>0</v>
      </c>
    </row>
    <row r="956" spans="3:12" x14ac:dyDescent="0.2">
      <c r="C956" s="589"/>
      <c r="D956" s="590"/>
      <c r="E956" s="591"/>
      <c r="F956" s="3"/>
      <c r="G956" s="3"/>
      <c r="H956" s="3"/>
      <c r="I956" s="3"/>
      <c r="J956" s="3"/>
      <c r="K956" s="628">
        <f t="shared" si="44"/>
        <v>0</v>
      </c>
      <c r="L956" s="630">
        <f t="shared" si="45"/>
        <v>0</v>
      </c>
    </row>
    <row r="957" spans="3:12" x14ac:dyDescent="0.2">
      <c r="C957" s="589"/>
      <c r="D957" s="590" t="s">
        <v>75</v>
      </c>
      <c r="E957" s="591">
        <f>(F957+G957+H957+I957+J957)*120</f>
        <v>0</v>
      </c>
      <c r="F957" s="3"/>
      <c r="G957" s="3"/>
      <c r="H957" s="3"/>
      <c r="I957" s="3"/>
      <c r="J957" s="3"/>
      <c r="K957" s="628">
        <f t="shared" si="44"/>
        <v>0</v>
      </c>
      <c r="L957" s="630">
        <f t="shared" si="45"/>
        <v>0</v>
      </c>
    </row>
    <row r="958" spans="3:12" x14ac:dyDescent="0.2">
      <c r="C958" s="589"/>
      <c r="D958" s="590" t="s">
        <v>278</v>
      </c>
      <c r="E958" s="591">
        <f>(F958+G958+H958+I958+J958)*120</f>
        <v>0</v>
      </c>
      <c r="F958" s="3"/>
      <c r="G958" s="3"/>
      <c r="H958" s="3"/>
      <c r="I958" s="3"/>
      <c r="J958" s="3"/>
      <c r="K958" s="628">
        <f t="shared" si="44"/>
        <v>0</v>
      </c>
      <c r="L958" s="630">
        <f t="shared" si="45"/>
        <v>0</v>
      </c>
    </row>
    <row r="959" spans="3:12" x14ac:dyDescent="0.2">
      <c r="C959" s="589"/>
      <c r="D959" s="590" t="s">
        <v>270</v>
      </c>
      <c r="E959" s="591">
        <f>(F959+G959+H959+I959)*112.7+(J959*119.6)</f>
        <v>0</v>
      </c>
      <c r="F959" s="3"/>
      <c r="G959" s="3"/>
      <c r="H959" s="3"/>
      <c r="I959" s="3"/>
      <c r="J959" s="3"/>
      <c r="K959" s="628">
        <f t="shared" si="44"/>
        <v>0</v>
      </c>
      <c r="L959" s="630">
        <f t="shared" si="45"/>
        <v>0</v>
      </c>
    </row>
    <row r="960" spans="3:12" x14ac:dyDescent="0.2">
      <c r="C960" s="589"/>
      <c r="D960" s="590" t="s">
        <v>274</v>
      </c>
      <c r="E960" s="591">
        <f>(F960+G960+H960+I960)*112.7+(J960*119.6)</f>
        <v>0</v>
      </c>
      <c r="F960" s="3"/>
      <c r="G960" s="3"/>
      <c r="H960" s="3"/>
      <c r="I960" s="3"/>
      <c r="J960" s="3"/>
      <c r="K960" s="628">
        <f t="shared" si="44"/>
        <v>0</v>
      </c>
      <c r="L960" s="630">
        <f t="shared" si="45"/>
        <v>0</v>
      </c>
    </row>
    <row r="961" spans="3:12" x14ac:dyDescent="0.2">
      <c r="C961" s="589"/>
      <c r="D961" s="590" t="s">
        <v>395</v>
      </c>
      <c r="E961" s="591">
        <f>(F961+G961+H961+I961)*112.7+(J961*119.6)</f>
        <v>0</v>
      </c>
      <c r="F961" s="3"/>
      <c r="G961" s="3"/>
      <c r="H961" s="3"/>
      <c r="I961" s="3"/>
      <c r="J961" s="3"/>
      <c r="K961" s="628">
        <f t="shared" si="44"/>
        <v>0</v>
      </c>
      <c r="L961" s="630">
        <f t="shared" si="45"/>
        <v>0</v>
      </c>
    </row>
    <row r="962" spans="3:12" x14ac:dyDescent="0.2">
      <c r="C962" s="683"/>
      <c r="D962" s="590" t="s">
        <v>112</v>
      </c>
      <c r="E962" s="591">
        <f>(F962+G962+H962+I962)*112.7+(J962*119.6)</f>
        <v>0</v>
      </c>
      <c r="F962" s="3"/>
      <c r="G962" s="3"/>
      <c r="H962" s="3"/>
      <c r="I962" s="3"/>
      <c r="J962" s="3"/>
      <c r="K962" s="628">
        <f t="shared" si="44"/>
        <v>0</v>
      </c>
      <c r="L962" s="630">
        <f t="shared" si="45"/>
        <v>0</v>
      </c>
    </row>
    <row r="963" spans="3:12" x14ac:dyDescent="0.2">
      <c r="C963" s="683"/>
      <c r="D963" s="590" t="s">
        <v>72</v>
      </c>
      <c r="E963" s="591">
        <f>(F963+G963+H963+I963)*112.7+(J963*119.6)</f>
        <v>0</v>
      </c>
      <c r="F963" s="3"/>
      <c r="G963" s="3"/>
      <c r="H963" s="3"/>
      <c r="I963" s="3"/>
      <c r="J963" s="3"/>
      <c r="K963" s="628">
        <f t="shared" si="44"/>
        <v>0</v>
      </c>
      <c r="L963" s="630">
        <f t="shared" si="45"/>
        <v>0</v>
      </c>
    </row>
    <row r="964" spans="3:12" x14ac:dyDescent="0.2">
      <c r="C964" s="683"/>
      <c r="D964" s="590" t="s">
        <v>187</v>
      </c>
      <c r="E964" s="591"/>
      <c r="F964" s="3"/>
      <c r="G964" s="3"/>
      <c r="H964" s="3"/>
      <c r="I964" s="3"/>
      <c r="J964" s="3"/>
      <c r="K964" s="628">
        <f>SUM(F964:J964)</f>
        <v>0</v>
      </c>
      <c r="L964" s="3"/>
    </row>
    <row r="965" spans="3:12" ht="16" x14ac:dyDescent="0.2">
      <c r="C965" s="683"/>
      <c r="D965" s="590"/>
      <c r="E965" s="592"/>
      <c r="F965" s="3"/>
      <c r="G965" s="3"/>
      <c r="H965" s="3"/>
      <c r="I965" s="3"/>
      <c r="J965" s="3"/>
      <c r="K965" s="628">
        <f>SUM(F965:J965)</f>
        <v>0</v>
      </c>
      <c r="L965" s="3"/>
    </row>
    <row r="966" spans="3:12" ht="17" thickBot="1" x14ac:dyDescent="0.25">
      <c r="C966" s="683"/>
      <c r="D966" s="590"/>
      <c r="E966" s="624"/>
      <c r="F966" s="69"/>
      <c r="G966" s="69"/>
      <c r="H966" s="69"/>
      <c r="I966" s="69"/>
      <c r="J966" s="69"/>
      <c r="K966" s="629"/>
      <c r="L966" s="3"/>
    </row>
    <row r="967" spans="3:12" ht="16" thickBot="1" x14ac:dyDescent="0.25">
      <c r="C967" s="596"/>
      <c r="D967" s="623" t="s">
        <v>19</v>
      </c>
      <c r="E967" s="625">
        <f>SUM(E941:E964)</f>
        <v>17602.599999999999</v>
      </c>
      <c r="F967" s="614">
        <f>SUM(F941:F966)</f>
        <v>56</v>
      </c>
      <c r="G967" s="614">
        <f>SUM(G941:G966)</f>
        <v>28</v>
      </c>
      <c r="H967" s="614">
        <f>SUM(H941:H966)</f>
        <v>5</v>
      </c>
      <c r="I967" s="614">
        <f>SUM(I941:I966)</f>
        <v>29</v>
      </c>
      <c r="J967" s="614">
        <f>SUM(J941:J966)</f>
        <v>34</v>
      </c>
      <c r="K967" s="626">
        <f>SUM(F967:J967)</f>
        <v>152</v>
      </c>
      <c r="L967" s="631">
        <f>SUM(L941:L966)</f>
        <v>38</v>
      </c>
    </row>
    <row r="968" spans="3:12" x14ac:dyDescent="0.2">
      <c r="C968" s="596"/>
      <c r="D968" s="593" t="s">
        <v>113</v>
      </c>
      <c r="E968" s="620"/>
      <c r="F968" s="610">
        <f>F938-F967</f>
        <v>2</v>
      </c>
      <c r="G968" s="610">
        <f>G938-G967</f>
        <v>0</v>
      </c>
      <c r="H968" s="610">
        <f>H938-H967</f>
        <v>0</v>
      </c>
      <c r="I968" s="610">
        <f>I938-I967</f>
        <v>3</v>
      </c>
      <c r="J968" s="610">
        <f>J938-J967</f>
        <v>1</v>
      </c>
      <c r="K968" s="636">
        <f>SUM(F968:J968)</f>
        <v>6</v>
      </c>
      <c r="L968" s="3"/>
    </row>
    <row r="969" spans="3:12" x14ac:dyDescent="0.2">
      <c r="C969" s="683"/>
      <c r="D969" s="593" t="s">
        <v>436</v>
      </c>
      <c r="E969" s="594"/>
      <c r="F969" s="581"/>
      <c r="G969" s="581"/>
      <c r="H969" s="581"/>
      <c r="I969" s="581"/>
      <c r="J969" s="581"/>
      <c r="K969" s="637">
        <f>K967+K968</f>
        <v>158</v>
      </c>
      <c r="L969" s="3"/>
    </row>
    <row r="971" spans="3:12" ht="18" x14ac:dyDescent="0.2">
      <c r="C971" s="685" t="s">
        <v>412</v>
      </c>
      <c r="D971" s="582">
        <v>45684</v>
      </c>
      <c r="E971" s="800"/>
      <c r="F971" s="685" t="s">
        <v>83</v>
      </c>
      <c r="G971" s="801" t="s">
        <v>63</v>
      </c>
      <c r="H971" s="802"/>
      <c r="I971" s="802"/>
      <c r="J971" s="802"/>
      <c r="K971" s="803"/>
    </row>
    <row r="972" spans="3:12" x14ac:dyDescent="0.2">
      <c r="C972" s="804"/>
      <c r="D972" s="805"/>
      <c r="E972" s="800"/>
      <c r="F972" s="683" t="s">
        <v>93</v>
      </c>
      <c r="G972" s="683" t="s">
        <v>93</v>
      </c>
      <c r="H972" s="683"/>
      <c r="I972" s="806"/>
      <c r="J972" s="806"/>
      <c r="K972" s="806"/>
    </row>
    <row r="973" spans="3:12" x14ac:dyDescent="0.2">
      <c r="C973" s="804"/>
      <c r="D973" s="805"/>
      <c r="E973" s="800"/>
      <c r="F973" s="683" t="s">
        <v>94</v>
      </c>
      <c r="G973" s="683" t="s">
        <v>95</v>
      </c>
      <c r="H973" s="683" t="s">
        <v>96</v>
      </c>
      <c r="I973" s="806"/>
      <c r="J973" s="806"/>
      <c r="K973" s="806"/>
    </row>
    <row r="974" spans="3:12" x14ac:dyDescent="0.2">
      <c r="C974" s="804"/>
      <c r="D974" s="805"/>
      <c r="E974" s="800"/>
      <c r="F974" s="683"/>
      <c r="G974" s="683"/>
      <c r="H974" s="683"/>
      <c r="I974" s="806"/>
      <c r="J974" s="806"/>
      <c r="K974" s="806"/>
    </row>
    <row r="975" spans="3:12" ht="16" x14ac:dyDescent="0.2">
      <c r="C975" s="683"/>
      <c r="D975" s="583" t="s">
        <v>97</v>
      </c>
      <c r="E975" s="584"/>
      <c r="F975" s="581"/>
      <c r="G975" s="585"/>
      <c r="H975" s="585"/>
      <c r="I975" s="586"/>
      <c r="J975" s="586"/>
      <c r="K975" s="586"/>
    </row>
    <row r="976" spans="3:12" ht="26" x14ac:dyDescent="0.2">
      <c r="C976" s="804"/>
      <c r="D976" s="587"/>
      <c r="E976" s="588"/>
      <c r="F976" s="585" t="s">
        <v>383</v>
      </c>
      <c r="G976" s="585" t="s">
        <v>384</v>
      </c>
      <c r="H976" s="585" t="s">
        <v>385</v>
      </c>
      <c r="I976" s="585" t="s">
        <v>386</v>
      </c>
      <c r="J976" s="585" t="s">
        <v>387</v>
      </c>
      <c r="K976" s="585" t="s">
        <v>84</v>
      </c>
    </row>
    <row r="977" spans="3:12" x14ac:dyDescent="0.2">
      <c r="C977" s="804"/>
      <c r="D977" s="684" t="s">
        <v>167</v>
      </c>
      <c r="E977" s="588"/>
      <c r="F977" s="580">
        <v>12</v>
      </c>
      <c r="G977" s="579">
        <v>8</v>
      </c>
      <c r="H977" s="580">
        <v>3</v>
      </c>
      <c r="I977" s="580">
        <v>4</v>
      </c>
      <c r="J977" s="580">
        <v>10</v>
      </c>
      <c r="K977" s="580">
        <f>SUM(F977:J977)</f>
        <v>37</v>
      </c>
    </row>
    <row r="978" spans="3:12" x14ac:dyDescent="0.2">
      <c r="C978" s="804"/>
      <c r="D978" s="684" t="s">
        <v>207</v>
      </c>
      <c r="E978" s="588"/>
      <c r="F978" s="618">
        <v>84</v>
      </c>
      <c r="G978" s="619">
        <v>56</v>
      </c>
      <c r="H978" s="618">
        <v>21</v>
      </c>
      <c r="I978" s="618">
        <v>44</v>
      </c>
      <c r="J978" s="618">
        <v>86.5</v>
      </c>
      <c r="K978" s="618">
        <f>SUM(F978:J978)</f>
        <v>291.5</v>
      </c>
    </row>
    <row r="979" spans="3:12" x14ac:dyDescent="0.2">
      <c r="C979" s="683"/>
      <c r="D979" s="684" t="s">
        <v>100</v>
      </c>
      <c r="E979" s="588"/>
      <c r="F979" s="581"/>
      <c r="G979" s="581"/>
      <c r="H979" s="581"/>
      <c r="I979" s="581"/>
      <c r="J979" s="581"/>
      <c r="K979" s="581">
        <f>SUM(F979:J979)</f>
        <v>0</v>
      </c>
    </row>
    <row r="980" spans="3:12" x14ac:dyDescent="0.2">
      <c r="C980" s="683"/>
      <c r="D980" s="684" t="s">
        <v>101</v>
      </c>
      <c r="E980" s="588"/>
      <c r="F980" s="581"/>
      <c r="G980" s="581">
        <v>1</v>
      </c>
      <c r="H980" s="581"/>
      <c r="I980" s="581"/>
      <c r="J980" s="581"/>
      <c r="K980" s="581">
        <f>SUM(F980:J980)</f>
        <v>1</v>
      </c>
    </row>
    <row r="981" spans="3:12" ht="16" thickBot="1" x14ac:dyDescent="0.25">
      <c r="C981" s="683"/>
      <c r="D981" s="597" t="s">
        <v>102</v>
      </c>
      <c r="E981" s="598"/>
      <c r="F981" s="599"/>
      <c r="G981" s="600"/>
      <c r="H981" s="600"/>
      <c r="I981" s="600">
        <v>3</v>
      </c>
      <c r="J981" s="600">
        <v>1</v>
      </c>
      <c r="K981" s="600">
        <f>SUM(F981:J981)</f>
        <v>4</v>
      </c>
    </row>
    <row r="982" spans="3:12" ht="17" thickBot="1" x14ac:dyDescent="0.25">
      <c r="C982" s="605"/>
      <c r="D982" s="612" t="s">
        <v>84</v>
      </c>
      <c r="E982" s="613"/>
      <c r="F982" s="614">
        <f>(F978+F981)-F980-F979</f>
        <v>84</v>
      </c>
      <c r="G982" s="615">
        <f>(G978+G981)-G980-G979</f>
        <v>55</v>
      </c>
      <c r="H982" s="616">
        <f>(H978+H981)-H980</f>
        <v>21</v>
      </c>
      <c r="I982" s="615">
        <f>(I978+I981)-I980-I979</f>
        <v>47</v>
      </c>
      <c r="J982" s="622">
        <f>(J978+J981)-J980-J979</f>
        <v>87.5</v>
      </c>
      <c r="K982" s="617">
        <f>(K978+K981)-K980-K979</f>
        <v>294.5</v>
      </c>
    </row>
    <row r="983" spans="3:12" ht="16" x14ac:dyDescent="0.2">
      <c r="C983" s="683"/>
      <c r="D983" s="608"/>
      <c r="E983" s="609"/>
      <c r="F983" s="610"/>
      <c r="G983" s="595"/>
      <c r="H983" s="611"/>
      <c r="I983" s="595"/>
      <c r="J983" s="595"/>
      <c r="K983" s="595"/>
    </row>
    <row r="984" spans="3:12" ht="16" thickBot="1" x14ac:dyDescent="0.25">
      <c r="C984" s="606" t="s">
        <v>388</v>
      </c>
      <c r="D984" s="607" t="s">
        <v>103</v>
      </c>
      <c r="E984" s="603" t="s">
        <v>84</v>
      </c>
      <c r="F984" s="602" t="s">
        <v>78</v>
      </c>
      <c r="G984" s="602" t="s">
        <v>79</v>
      </c>
      <c r="H984" s="602" t="s">
        <v>88</v>
      </c>
      <c r="I984" s="601" t="s">
        <v>87</v>
      </c>
      <c r="J984" s="601" t="s">
        <v>85</v>
      </c>
      <c r="K984" s="601" t="s">
        <v>84</v>
      </c>
      <c r="L984" s="174" t="s">
        <v>389</v>
      </c>
    </row>
    <row r="985" spans="3:12" x14ac:dyDescent="0.2">
      <c r="C985" s="589" t="s">
        <v>608</v>
      </c>
      <c r="D985" s="604" t="s">
        <v>105</v>
      </c>
      <c r="E985" s="591">
        <f>(F985+G985+H985+I985+J985)*100+(0*230)</f>
        <v>4200</v>
      </c>
      <c r="F985" s="3">
        <v>14</v>
      </c>
      <c r="G985" s="3">
        <v>12</v>
      </c>
      <c r="H985" s="3">
        <v>2</v>
      </c>
      <c r="I985" s="3">
        <v>1</v>
      </c>
      <c r="J985" s="3">
        <v>13</v>
      </c>
      <c r="K985" s="628">
        <f t="shared" ref="K985:K1007" si="46">SUM(F985:J985)</f>
        <v>42</v>
      </c>
      <c r="L985" s="630">
        <f>K985/4</f>
        <v>10.5</v>
      </c>
    </row>
    <row r="986" spans="3:12" x14ac:dyDescent="0.2">
      <c r="C986" s="589"/>
      <c r="D986" s="590" t="s">
        <v>390</v>
      </c>
      <c r="E986" s="591">
        <f>(F986+G986+H986+I986+J986)*120</f>
        <v>0</v>
      </c>
      <c r="F986" s="3"/>
      <c r="G986" s="3"/>
      <c r="H986" s="3"/>
      <c r="I986" s="3"/>
      <c r="J986" s="3"/>
      <c r="K986" s="628">
        <f t="shared" si="46"/>
        <v>0</v>
      </c>
      <c r="L986" s="630">
        <f t="shared" ref="L986:L1007" si="47">K986/4</f>
        <v>0</v>
      </c>
    </row>
    <row r="987" spans="3:12" x14ac:dyDescent="0.2">
      <c r="C987" s="589" t="s">
        <v>609</v>
      </c>
      <c r="D987" s="590" t="s">
        <v>391</v>
      </c>
      <c r="E987" s="591">
        <f>(F987+G987+H987+I987+J987)*120</f>
        <v>3600</v>
      </c>
      <c r="F987" s="3">
        <v>6</v>
      </c>
      <c r="G987" s="3">
        <v>6</v>
      </c>
      <c r="H987" s="3">
        <v>6</v>
      </c>
      <c r="I987" s="3">
        <v>6</v>
      </c>
      <c r="J987" s="3">
        <v>6</v>
      </c>
      <c r="K987" s="628">
        <f t="shared" si="46"/>
        <v>30</v>
      </c>
      <c r="L987" s="630">
        <f t="shared" si="47"/>
        <v>7.5</v>
      </c>
    </row>
    <row r="988" spans="3:12" x14ac:dyDescent="0.2">
      <c r="C988" s="589" t="s">
        <v>610</v>
      </c>
      <c r="D988" s="590" t="s">
        <v>392</v>
      </c>
      <c r="E988" s="591">
        <f>(F988+G988+H988+I988+J988)*120</f>
        <v>2400</v>
      </c>
      <c r="F988" s="3">
        <v>6</v>
      </c>
      <c r="G988" s="3">
        <v>2</v>
      </c>
      <c r="H988" s="3">
        <v>6</v>
      </c>
      <c r="I988" s="3"/>
      <c r="J988" s="3">
        <v>6</v>
      </c>
      <c r="K988" s="628">
        <f t="shared" si="46"/>
        <v>20</v>
      </c>
      <c r="L988" s="630">
        <f t="shared" si="47"/>
        <v>5</v>
      </c>
    </row>
    <row r="989" spans="3:12" x14ac:dyDescent="0.2">
      <c r="C989" s="589"/>
      <c r="D989" s="590" t="s">
        <v>425</v>
      </c>
      <c r="E989" s="591">
        <f>(F989+G989+H989+I989+J989)*120</f>
        <v>0</v>
      </c>
      <c r="F989" s="3"/>
      <c r="G989" s="3"/>
      <c r="H989" s="3"/>
      <c r="I989" s="3"/>
      <c r="J989" s="3"/>
      <c r="K989" s="628">
        <f t="shared" si="46"/>
        <v>0</v>
      </c>
      <c r="L989" s="630">
        <f t="shared" si="47"/>
        <v>0</v>
      </c>
    </row>
    <row r="990" spans="3:12" x14ac:dyDescent="0.2">
      <c r="C990" s="589"/>
      <c r="D990" s="590"/>
      <c r="E990" s="591"/>
      <c r="F990" s="3"/>
      <c r="G990" s="3"/>
      <c r="H990" s="3"/>
      <c r="I990" s="3"/>
      <c r="J990" s="3"/>
      <c r="K990" s="628">
        <f t="shared" si="46"/>
        <v>0</v>
      </c>
      <c r="L990" s="630">
        <f t="shared" si="47"/>
        <v>0</v>
      </c>
    </row>
    <row r="991" spans="3:12" x14ac:dyDescent="0.2">
      <c r="C991" s="589" t="s">
        <v>613</v>
      </c>
      <c r="D991" s="590" t="s">
        <v>108</v>
      </c>
      <c r="E991" s="591">
        <f>(F991+G991+H991+J991)*112.7+(I991*119.6)</f>
        <v>4457.3999999999996</v>
      </c>
      <c r="F991" s="3">
        <v>10</v>
      </c>
      <c r="G991" s="3">
        <v>5</v>
      </c>
      <c r="H991" s="3">
        <v>4</v>
      </c>
      <c r="I991" s="3">
        <v>9</v>
      </c>
      <c r="J991" s="3">
        <v>11</v>
      </c>
      <c r="K991" s="628">
        <f t="shared" si="46"/>
        <v>39</v>
      </c>
      <c r="L991" s="630">
        <f t="shared" si="47"/>
        <v>9.75</v>
      </c>
    </row>
    <row r="992" spans="3:12" x14ac:dyDescent="0.2">
      <c r="C992" s="589" t="s">
        <v>612</v>
      </c>
      <c r="D992" s="590" t="s">
        <v>393</v>
      </c>
      <c r="E992" s="591">
        <f>(F992+G992+H992+J992)*112.7+(I992*119.6)</f>
        <v>2387.4</v>
      </c>
      <c r="F992" s="3">
        <v>6</v>
      </c>
      <c r="G992" s="3">
        <v>3</v>
      </c>
      <c r="H992" s="3">
        <v>3</v>
      </c>
      <c r="I992" s="3">
        <v>3</v>
      </c>
      <c r="J992" s="3">
        <v>6</v>
      </c>
      <c r="K992" s="628">
        <f t="shared" si="46"/>
        <v>21</v>
      </c>
      <c r="L992" s="630">
        <f t="shared" si="47"/>
        <v>5.25</v>
      </c>
    </row>
    <row r="993" spans="3:12" x14ac:dyDescent="0.2">
      <c r="C993" s="589" t="s">
        <v>611</v>
      </c>
      <c r="D993" s="590" t="s">
        <v>216</v>
      </c>
      <c r="E993" s="591">
        <f>(F993+G993+H993+J993)*112.7+(I993*119.6)</f>
        <v>3781.2</v>
      </c>
      <c r="F993" s="3">
        <v>8</v>
      </c>
      <c r="G993" s="3">
        <v>9</v>
      </c>
      <c r="H993" s="3"/>
      <c r="I993" s="3">
        <v>9</v>
      </c>
      <c r="J993" s="3">
        <v>7</v>
      </c>
      <c r="K993" s="628">
        <f t="shared" si="46"/>
        <v>33</v>
      </c>
      <c r="L993" s="630">
        <f t="shared" si="47"/>
        <v>8.25</v>
      </c>
    </row>
    <row r="994" spans="3:12" x14ac:dyDescent="0.2">
      <c r="C994" s="589"/>
      <c r="D994" s="590"/>
      <c r="E994" s="591"/>
      <c r="F994" s="3"/>
      <c r="G994" s="3"/>
      <c r="H994" s="3"/>
      <c r="I994" s="3"/>
      <c r="J994" s="3"/>
      <c r="K994" s="628">
        <f t="shared" si="46"/>
        <v>0</v>
      </c>
      <c r="L994" s="630">
        <f t="shared" si="47"/>
        <v>0</v>
      </c>
    </row>
    <row r="995" spans="3:12" x14ac:dyDescent="0.2">
      <c r="C995" s="589"/>
      <c r="D995" s="590" t="s">
        <v>394</v>
      </c>
      <c r="E995" s="591">
        <f>(F995+G995+H995+I995+J995)*120</f>
        <v>0</v>
      </c>
      <c r="F995" s="3"/>
      <c r="G995" s="3"/>
      <c r="H995" s="3"/>
      <c r="I995" s="3"/>
      <c r="J995" s="3"/>
      <c r="K995" s="628">
        <f t="shared" si="46"/>
        <v>0</v>
      </c>
      <c r="L995" s="630">
        <f t="shared" si="47"/>
        <v>0</v>
      </c>
    </row>
    <row r="996" spans="3:12" x14ac:dyDescent="0.2">
      <c r="C996" s="589" t="s">
        <v>614</v>
      </c>
      <c r="D996" s="590" t="s">
        <v>110</v>
      </c>
      <c r="E996" s="591">
        <f>(F996+G996+H996+J996)*112.7+(I996*119.6)</f>
        <v>9929.1</v>
      </c>
      <c r="F996" s="3">
        <v>30</v>
      </c>
      <c r="G996" s="3">
        <v>18</v>
      </c>
      <c r="H996" s="3"/>
      <c r="I996" s="3">
        <v>18</v>
      </c>
      <c r="J996" s="3">
        <v>21</v>
      </c>
      <c r="K996" s="628">
        <f t="shared" si="46"/>
        <v>87</v>
      </c>
      <c r="L996" s="630">
        <f t="shared" si="47"/>
        <v>21.75</v>
      </c>
    </row>
    <row r="997" spans="3:12" x14ac:dyDescent="0.2">
      <c r="C997" s="589"/>
      <c r="D997" s="590"/>
      <c r="E997" s="591"/>
      <c r="F997" s="3"/>
      <c r="G997" s="3"/>
      <c r="H997" s="3"/>
      <c r="I997" s="3"/>
      <c r="J997" s="3"/>
      <c r="K997" s="628">
        <f t="shared" si="46"/>
        <v>0</v>
      </c>
      <c r="L997" s="630">
        <f t="shared" si="47"/>
        <v>0</v>
      </c>
    </row>
    <row r="998" spans="3:12" x14ac:dyDescent="0.2">
      <c r="C998" s="589"/>
      <c r="D998" s="590" t="s">
        <v>381</v>
      </c>
      <c r="E998" s="591">
        <f>(F998+G998+H998+I998+J998)*120+(240*0)+(0*45)</f>
        <v>0</v>
      </c>
      <c r="F998" s="3"/>
      <c r="G998" s="3"/>
      <c r="H998" s="3"/>
      <c r="I998" s="3"/>
      <c r="J998" s="3"/>
      <c r="K998" s="628">
        <f t="shared" si="46"/>
        <v>0</v>
      </c>
      <c r="L998" s="630">
        <f t="shared" si="47"/>
        <v>0</v>
      </c>
    </row>
    <row r="999" spans="3:12" x14ac:dyDescent="0.2">
      <c r="C999" s="589"/>
      <c r="D999" s="590" t="s">
        <v>276</v>
      </c>
      <c r="E999" s="591">
        <f>(F999+G999+H999+J999)*112.7+(I999*119.6)</f>
        <v>0</v>
      </c>
      <c r="F999" s="3"/>
      <c r="G999" s="3"/>
      <c r="H999" s="3"/>
      <c r="I999" s="3"/>
      <c r="J999" s="3"/>
      <c r="K999" s="628">
        <f t="shared" si="46"/>
        <v>0</v>
      </c>
      <c r="L999" s="630">
        <f t="shared" si="47"/>
        <v>0</v>
      </c>
    </row>
    <row r="1000" spans="3:12" x14ac:dyDescent="0.2">
      <c r="C1000" s="589"/>
      <c r="D1000" s="590"/>
      <c r="E1000" s="591"/>
      <c r="F1000" s="3"/>
      <c r="G1000" s="3"/>
      <c r="H1000" s="3"/>
      <c r="I1000" s="3"/>
      <c r="J1000" s="3"/>
      <c r="K1000" s="628">
        <f t="shared" si="46"/>
        <v>0</v>
      </c>
      <c r="L1000" s="630">
        <f t="shared" si="47"/>
        <v>0</v>
      </c>
    </row>
    <row r="1001" spans="3:12" x14ac:dyDescent="0.2">
      <c r="C1001" s="589"/>
      <c r="D1001" s="590" t="s">
        <v>75</v>
      </c>
      <c r="E1001" s="591">
        <f>(F1001+G1001+H1001+I1001+J1001)*120</f>
        <v>0</v>
      </c>
      <c r="F1001" s="3"/>
      <c r="G1001" s="3"/>
      <c r="H1001" s="3"/>
      <c r="I1001" s="3"/>
      <c r="J1001" s="3"/>
      <c r="K1001" s="628">
        <f t="shared" si="46"/>
        <v>0</v>
      </c>
      <c r="L1001" s="630">
        <f t="shared" si="47"/>
        <v>0</v>
      </c>
    </row>
    <row r="1002" spans="3:12" x14ac:dyDescent="0.2">
      <c r="C1002" s="589"/>
      <c r="D1002" s="590" t="s">
        <v>278</v>
      </c>
      <c r="E1002" s="591">
        <f>(F1002+G1002+H1002+I1002+J1002)*120</f>
        <v>0</v>
      </c>
      <c r="F1002" s="3"/>
      <c r="G1002" s="3"/>
      <c r="H1002" s="3"/>
      <c r="I1002" s="3"/>
      <c r="J1002" s="3"/>
      <c r="K1002" s="628">
        <f t="shared" si="46"/>
        <v>0</v>
      </c>
      <c r="L1002" s="630">
        <f t="shared" si="47"/>
        <v>0</v>
      </c>
    </row>
    <row r="1003" spans="3:12" x14ac:dyDescent="0.2">
      <c r="C1003" s="589"/>
      <c r="D1003" s="590" t="s">
        <v>270</v>
      </c>
      <c r="E1003" s="591">
        <f>(F1003+G1003+H1003+I1003)*112.7+(J1003*119.6)</f>
        <v>0</v>
      </c>
      <c r="F1003" s="3"/>
      <c r="G1003" s="3"/>
      <c r="H1003" s="3"/>
      <c r="I1003" s="3"/>
      <c r="J1003" s="3"/>
      <c r="K1003" s="628">
        <f t="shared" si="46"/>
        <v>0</v>
      </c>
      <c r="L1003" s="630">
        <f t="shared" si="47"/>
        <v>0</v>
      </c>
    </row>
    <row r="1004" spans="3:12" x14ac:dyDescent="0.2">
      <c r="C1004" s="589"/>
      <c r="D1004" s="590" t="s">
        <v>274</v>
      </c>
      <c r="E1004" s="591">
        <f>(F1004+G1004+H1004+I1004)*112.7+(J1004*119.6)</f>
        <v>0</v>
      </c>
      <c r="F1004" s="3"/>
      <c r="G1004" s="3"/>
      <c r="H1004" s="3"/>
      <c r="I1004" s="3"/>
      <c r="J1004" s="3"/>
      <c r="K1004" s="628">
        <f t="shared" si="46"/>
        <v>0</v>
      </c>
      <c r="L1004" s="630">
        <f t="shared" si="47"/>
        <v>0</v>
      </c>
    </row>
    <row r="1005" spans="3:12" x14ac:dyDescent="0.2">
      <c r="C1005" s="589"/>
      <c r="D1005" s="590" t="s">
        <v>395</v>
      </c>
      <c r="E1005" s="591">
        <f>(F1005+G1005+H1005+I1005)*112.7+(J1005*119.6)</f>
        <v>0</v>
      </c>
      <c r="F1005" s="3"/>
      <c r="G1005" s="3"/>
      <c r="H1005" s="3"/>
      <c r="I1005" s="3"/>
      <c r="J1005" s="3"/>
      <c r="K1005" s="628">
        <f t="shared" si="46"/>
        <v>0</v>
      </c>
      <c r="L1005" s="630">
        <f t="shared" si="47"/>
        <v>0</v>
      </c>
    </row>
    <row r="1006" spans="3:12" x14ac:dyDescent="0.2">
      <c r="C1006" s="683"/>
      <c r="D1006" s="590" t="s">
        <v>112</v>
      </c>
      <c r="E1006" s="591">
        <f>(F1006+G1006+H1006+I1006)*112.7+(J1006*119.6)</f>
        <v>0</v>
      </c>
      <c r="F1006" s="3"/>
      <c r="G1006" s="3"/>
      <c r="H1006" s="3"/>
      <c r="I1006" s="3"/>
      <c r="J1006" s="3"/>
      <c r="K1006" s="628">
        <f t="shared" si="46"/>
        <v>0</v>
      </c>
      <c r="L1006" s="630">
        <f t="shared" si="47"/>
        <v>0</v>
      </c>
    </row>
    <row r="1007" spans="3:12" x14ac:dyDescent="0.2">
      <c r="C1007" s="683"/>
      <c r="D1007" s="590" t="s">
        <v>72</v>
      </c>
      <c r="E1007" s="591">
        <f>(F1007+G1007+H1007+I1007)*112.7+(J1007*119.6)</f>
        <v>0</v>
      </c>
      <c r="F1007" s="3"/>
      <c r="G1007" s="3"/>
      <c r="H1007" s="3"/>
      <c r="I1007" s="3"/>
      <c r="J1007" s="3"/>
      <c r="K1007" s="628">
        <f t="shared" si="46"/>
        <v>0</v>
      </c>
      <c r="L1007" s="630">
        <f t="shared" si="47"/>
        <v>0</v>
      </c>
    </row>
    <row r="1008" spans="3:12" x14ac:dyDescent="0.2">
      <c r="C1008" s="683"/>
      <c r="D1008" s="590" t="s">
        <v>187</v>
      </c>
      <c r="E1008" s="591"/>
      <c r="F1008" s="3"/>
      <c r="G1008" s="3"/>
      <c r="H1008" s="3"/>
      <c r="I1008" s="3"/>
      <c r="J1008" s="3">
        <v>8</v>
      </c>
      <c r="K1008" s="628">
        <f>SUM(F1008:J1008)</f>
        <v>8</v>
      </c>
      <c r="L1008" s="3"/>
    </row>
    <row r="1009" spans="3:12" ht="16" x14ac:dyDescent="0.2">
      <c r="C1009" s="683"/>
      <c r="D1009" s="590"/>
      <c r="E1009" s="592"/>
      <c r="F1009" s="3"/>
      <c r="G1009" s="3"/>
      <c r="H1009" s="3"/>
      <c r="I1009" s="3"/>
      <c r="J1009" s="3"/>
      <c r="K1009" s="628">
        <f>SUM(F1009:J1009)</f>
        <v>0</v>
      </c>
      <c r="L1009" s="3"/>
    </row>
    <row r="1010" spans="3:12" ht="17" thickBot="1" x14ac:dyDescent="0.25">
      <c r="C1010" s="683"/>
      <c r="D1010" s="590"/>
      <c r="E1010" s="624"/>
      <c r="F1010" s="69"/>
      <c r="G1010" s="69"/>
      <c r="H1010" s="69"/>
      <c r="I1010" s="69"/>
      <c r="J1010" s="69"/>
      <c r="K1010" s="629"/>
      <c r="L1010" s="3"/>
    </row>
    <row r="1011" spans="3:12" ht="16" thickBot="1" x14ac:dyDescent="0.25">
      <c r="C1011" s="596"/>
      <c r="D1011" s="623" t="s">
        <v>19</v>
      </c>
      <c r="E1011" s="625">
        <f>SUM(E985:E1008)</f>
        <v>30755.1</v>
      </c>
      <c r="F1011" s="614">
        <f>SUM(F985:F1010)</f>
        <v>80</v>
      </c>
      <c r="G1011" s="614">
        <f>SUM(G985:G1010)</f>
        <v>55</v>
      </c>
      <c r="H1011" s="614">
        <f>SUM(H985:H1010)</f>
        <v>21</v>
      </c>
      <c r="I1011" s="614">
        <f>SUM(I985:I1010)</f>
        <v>46</v>
      </c>
      <c r="J1011" s="614">
        <f>SUM(J985:J1010)</f>
        <v>78</v>
      </c>
      <c r="K1011" s="626">
        <f>SUM(F1011:J1011)</f>
        <v>280</v>
      </c>
      <c r="L1011" s="631">
        <f>SUM(L985:L1010)</f>
        <v>68</v>
      </c>
    </row>
    <row r="1012" spans="3:12" x14ac:dyDescent="0.2">
      <c r="C1012" s="596"/>
      <c r="D1012" s="593" t="s">
        <v>113</v>
      </c>
      <c r="E1012" s="620"/>
      <c r="F1012" s="610">
        <f>F982-F1011</f>
        <v>4</v>
      </c>
      <c r="G1012" s="610">
        <f>G982-G1011</f>
        <v>0</v>
      </c>
      <c r="H1012" s="610">
        <f>H982-H1011</f>
        <v>0</v>
      </c>
      <c r="I1012" s="610">
        <f>I982-I1011</f>
        <v>1</v>
      </c>
      <c r="J1012" s="610">
        <f>J982-J1011</f>
        <v>9.5</v>
      </c>
      <c r="K1012" s="636">
        <f>SUM(F1012:J1012)</f>
        <v>14.5</v>
      </c>
      <c r="L1012" s="3"/>
    </row>
    <row r="1013" spans="3:12" x14ac:dyDescent="0.2">
      <c r="C1013" s="683"/>
      <c r="D1013" s="593" t="s">
        <v>436</v>
      </c>
      <c r="E1013" s="594"/>
      <c r="F1013" s="581"/>
      <c r="G1013" s="581"/>
      <c r="H1013" s="581"/>
      <c r="I1013" s="581"/>
      <c r="J1013" s="581"/>
      <c r="K1013" s="637">
        <f>K1011+K1012</f>
        <v>294.5</v>
      </c>
      <c r="L1013" s="3"/>
    </row>
    <row r="1015" spans="3:12" ht="18" x14ac:dyDescent="0.2">
      <c r="C1015" s="685" t="s">
        <v>412</v>
      </c>
      <c r="D1015" s="582">
        <v>45685</v>
      </c>
      <c r="E1015" s="800"/>
      <c r="F1015" s="685" t="s">
        <v>83</v>
      </c>
      <c r="G1015" s="801" t="s">
        <v>64</v>
      </c>
      <c r="H1015" s="802"/>
      <c r="I1015" s="802"/>
      <c r="J1015" s="802"/>
      <c r="K1015" s="803"/>
    </row>
    <row r="1016" spans="3:12" x14ac:dyDescent="0.2">
      <c r="C1016" s="804"/>
      <c r="D1016" s="805"/>
      <c r="E1016" s="800"/>
      <c r="F1016" s="683" t="s">
        <v>93</v>
      </c>
      <c r="G1016" s="683" t="s">
        <v>93</v>
      </c>
      <c r="H1016" s="683"/>
      <c r="I1016" s="806"/>
      <c r="J1016" s="806"/>
      <c r="K1016" s="806"/>
    </row>
    <row r="1017" spans="3:12" x14ac:dyDescent="0.2">
      <c r="C1017" s="804"/>
      <c r="D1017" s="805"/>
      <c r="E1017" s="800"/>
      <c r="F1017" s="683" t="s">
        <v>94</v>
      </c>
      <c r="G1017" s="683" t="s">
        <v>95</v>
      </c>
      <c r="H1017" s="683" t="s">
        <v>96</v>
      </c>
      <c r="I1017" s="806"/>
      <c r="J1017" s="806"/>
      <c r="K1017" s="806"/>
    </row>
    <row r="1018" spans="3:12" x14ac:dyDescent="0.2">
      <c r="C1018" s="804"/>
      <c r="D1018" s="805"/>
      <c r="E1018" s="800"/>
      <c r="F1018" s="683"/>
      <c r="G1018" s="683"/>
      <c r="H1018" s="683"/>
      <c r="I1018" s="806"/>
      <c r="J1018" s="806"/>
      <c r="K1018" s="806"/>
    </row>
    <row r="1019" spans="3:12" ht="16" x14ac:dyDescent="0.2">
      <c r="C1019" s="683"/>
      <c r="D1019" s="583" t="s">
        <v>97</v>
      </c>
      <c r="E1019" s="584"/>
      <c r="F1019" s="581"/>
      <c r="G1019" s="585"/>
      <c r="H1019" s="585"/>
      <c r="I1019" s="586"/>
      <c r="J1019" s="586"/>
      <c r="K1019" s="586"/>
    </row>
    <row r="1020" spans="3:12" ht="26" x14ac:dyDescent="0.2">
      <c r="C1020" s="804"/>
      <c r="D1020" s="587"/>
      <c r="E1020" s="588"/>
      <c r="F1020" s="585" t="s">
        <v>383</v>
      </c>
      <c r="G1020" s="585" t="s">
        <v>384</v>
      </c>
      <c r="H1020" s="585" t="s">
        <v>385</v>
      </c>
      <c r="I1020" s="585" t="s">
        <v>386</v>
      </c>
      <c r="J1020" s="585" t="s">
        <v>387</v>
      </c>
      <c r="K1020" s="585" t="s">
        <v>84</v>
      </c>
    </row>
    <row r="1021" spans="3:12" x14ac:dyDescent="0.2">
      <c r="C1021" s="804"/>
      <c r="D1021" s="684" t="s">
        <v>167</v>
      </c>
      <c r="E1021" s="588"/>
      <c r="F1021" s="580">
        <v>13</v>
      </c>
      <c r="G1021" s="579">
        <v>9</v>
      </c>
      <c r="H1021" s="580"/>
      <c r="I1021" s="580">
        <v>6</v>
      </c>
      <c r="J1021" s="580">
        <v>11</v>
      </c>
      <c r="K1021" s="580">
        <f>SUM(F1021:J1021)</f>
        <v>39</v>
      </c>
    </row>
    <row r="1022" spans="3:12" x14ac:dyDescent="0.2">
      <c r="C1022" s="804"/>
      <c r="D1022" s="684" t="s">
        <v>207</v>
      </c>
      <c r="E1022" s="588"/>
      <c r="F1022" s="618">
        <f>F1021*7</f>
        <v>91</v>
      </c>
      <c r="G1022" s="619">
        <v>63</v>
      </c>
      <c r="H1022" s="618"/>
      <c r="I1022" s="618">
        <v>66</v>
      </c>
      <c r="J1022" s="618">
        <v>99</v>
      </c>
      <c r="K1022" s="618">
        <f>SUM(F1022:J1022)</f>
        <v>319</v>
      </c>
    </row>
    <row r="1023" spans="3:12" x14ac:dyDescent="0.2">
      <c r="C1023" s="683"/>
      <c r="D1023" s="684" t="s">
        <v>100</v>
      </c>
      <c r="E1023" s="588"/>
      <c r="F1023" s="581"/>
      <c r="G1023" s="581"/>
      <c r="H1023" s="581"/>
      <c r="I1023" s="581"/>
      <c r="J1023" s="581"/>
      <c r="K1023" s="581">
        <f>SUM(F1023:J1023)</f>
        <v>0</v>
      </c>
    </row>
    <row r="1024" spans="3:12" x14ac:dyDescent="0.2">
      <c r="C1024" s="683"/>
      <c r="D1024" s="684" t="s">
        <v>101</v>
      </c>
      <c r="E1024" s="588"/>
      <c r="F1024" s="581">
        <v>3</v>
      </c>
      <c r="G1024" s="581"/>
      <c r="H1024" s="581"/>
      <c r="I1024" s="581"/>
      <c r="J1024" s="581"/>
      <c r="K1024" s="581">
        <f>SUM(F1024:J1024)</f>
        <v>3</v>
      </c>
    </row>
    <row r="1025" spans="3:12" ht="16" thickBot="1" x14ac:dyDescent="0.25">
      <c r="C1025" s="683"/>
      <c r="D1025" s="597" t="s">
        <v>102</v>
      </c>
      <c r="E1025" s="598"/>
      <c r="F1025" s="599"/>
      <c r="G1025" s="600"/>
      <c r="H1025" s="600"/>
      <c r="I1025" s="600"/>
      <c r="J1025" s="600">
        <v>3</v>
      </c>
      <c r="K1025" s="600">
        <f>SUM(F1025:J1025)</f>
        <v>3</v>
      </c>
    </row>
    <row r="1026" spans="3:12" ht="17" thickBot="1" x14ac:dyDescent="0.25">
      <c r="C1026" s="605"/>
      <c r="D1026" s="612" t="s">
        <v>84</v>
      </c>
      <c r="E1026" s="613"/>
      <c r="F1026" s="614">
        <f>(F1022+F1025)-F1024-F1023</f>
        <v>88</v>
      </c>
      <c r="G1026" s="615">
        <f>(G1022+G1025)-G1024-G1023</f>
        <v>63</v>
      </c>
      <c r="H1026" s="616">
        <f>(H1022+H1025)-H1024</f>
        <v>0</v>
      </c>
      <c r="I1026" s="615">
        <f>(I1022+I1025)-I1024-I1023</f>
        <v>66</v>
      </c>
      <c r="J1026" s="622">
        <f>(J1022+J1025)-J1024-J1023</f>
        <v>102</v>
      </c>
      <c r="K1026" s="617">
        <f>(K1022+K1025)-K1024-K1023</f>
        <v>319</v>
      </c>
    </row>
    <row r="1027" spans="3:12" ht="16" x14ac:dyDescent="0.2">
      <c r="C1027" s="683"/>
      <c r="D1027" s="608"/>
      <c r="E1027" s="609"/>
      <c r="F1027" s="610"/>
      <c r="G1027" s="595"/>
      <c r="H1027" s="611"/>
      <c r="I1027" s="595"/>
      <c r="J1027" s="595"/>
      <c r="K1027" s="595"/>
    </row>
    <row r="1028" spans="3:12" ht="16" thickBot="1" x14ac:dyDescent="0.25">
      <c r="C1028" s="606" t="s">
        <v>388</v>
      </c>
      <c r="D1028" s="607" t="s">
        <v>103</v>
      </c>
      <c r="E1028" s="603" t="s">
        <v>84</v>
      </c>
      <c r="F1028" s="602" t="s">
        <v>78</v>
      </c>
      <c r="G1028" s="602" t="s">
        <v>79</v>
      </c>
      <c r="H1028" s="602" t="s">
        <v>88</v>
      </c>
      <c r="I1028" s="601" t="s">
        <v>87</v>
      </c>
      <c r="J1028" s="601" t="s">
        <v>85</v>
      </c>
      <c r="K1028" s="601" t="s">
        <v>84</v>
      </c>
      <c r="L1028" s="174" t="s">
        <v>389</v>
      </c>
    </row>
    <row r="1029" spans="3:12" x14ac:dyDescent="0.2">
      <c r="C1029" s="589"/>
      <c r="D1029" s="604" t="s">
        <v>105</v>
      </c>
      <c r="E1029" s="591">
        <f>(F1029+G1029+H1029+I1029+J1029)*100+(0*230)</f>
        <v>0</v>
      </c>
      <c r="F1029" s="3"/>
      <c r="G1029" s="3"/>
      <c r="H1029" s="3"/>
      <c r="I1029" s="3"/>
      <c r="J1029" s="3"/>
      <c r="K1029" s="628">
        <f t="shared" ref="K1029:K1051" si="48">SUM(F1029:J1029)</f>
        <v>0</v>
      </c>
      <c r="L1029" s="630">
        <f>K1029/4</f>
        <v>0</v>
      </c>
    </row>
    <row r="1030" spans="3:12" x14ac:dyDescent="0.2">
      <c r="C1030" s="589"/>
      <c r="D1030" s="590" t="s">
        <v>390</v>
      </c>
      <c r="E1030" s="591">
        <f>(F1030+G1030+H1030+I1030+J1030)*120</f>
        <v>0</v>
      </c>
      <c r="F1030" s="3"/>
      <c r="G1030" s="3"/>
      <c r="H1030" s="3"/>
      <c r="I1030" s="3"/>
      <c r="J1030" s="3"/>
      <c r="K1030" s="628">
        <f t="shared" si="48"/>
        <v>0</v>
      </c>
      <c r="L1030" s="630">
        <f t="shared" ref="L1030:L1051" si="49">K1030/4</f>
        <v>0</v>
      </c>
    </row>
    <row r="1031" spans="3:12" x14ac:dyDescent="0.2">
      <c r="C1031" s="589"/>
      <c r="D1031" s="590" t="s">
        <v>391</v>
      </c>
      <c r="E1031" s="591">
        <f>(F1031+G1031+H1031+I1031+J1031)*120</f>
        <v>0</v>
      </c>
      <c r="F1031" s="3"/>
      <c r="G1031" s="3"/>
      <c r="H1031" s="3"/>
      <c r="I1031" s="3"/>
      <c r="J1031" s="3"/>
      <c r="K1031" s="628">
        <f t="shared" si="48"/>
        <v>0</v>
      </c>
      <c r="L1031" s="630">
        <f t="shared" si="49"/>
        <v>0</v>
      </c>
    </row>
    <row r="1032" spans="3:12" x14ac:dyDescent="0.2">
      <c r="C1032" s="589"/>
      <c r="D1032" s="590" t="s">
        <v>392</v>
      </c>
      <c r="E1032" s="591">
        <f>(F1032+G1032+H1032+I1032+J1032)*120</f>
        <v>0</v>
      </c>
      <c r="F1032" s="3"/>
      <c r="G1032" s="3"/>
      <c r="H1032" s="3"/>
      <c r="I1032" s="3"/>
      <c r="J1032" s="3"/>
      <c r="K1032" s="628">
        <f t="shared" si="48"/>
        <v>0</v>
      </c>
      <c r="L1032" s="630">
        <f t="shared" si="49"/>
        <v>0</v>
      </c>
    </row>
    <row r="1033" spans="3:12" x14ac:dyDescent="0.2">
      <c r="C1033" s="589"/>
      <c r="D1033" s="590" t="s">
        <v>425</v>
      </c>
      <c r="E1033" s="591">
        <f>(F1033+G1033+H1033+I1033+J1033)*120</f>
        <v>0</v>
      </c>
      <c r="F1033" s="3"/>
      <c r="G1033" s="3"/>
      <c r="H1033" s="3"/>
      <c r="I1033" s="3"/>
      <c r="J1033" s="3"/>
      <c r="K1033" s="628">
        <f t="shared" si="48"/>
        <v>0</v>
      </c>
      <c r="L1033" s="630">
        <f t="shared" si="49"/>
        <v>0</v>
      </c>
    </row>
    <row r="1034" spans="3:12" x14ac:dyDescent="0.2">
      <c r="C1034" s="589"/>
      <c r="D1034" s="590"/>
      <c r="E1034" s="591"/>
      <c r="F1034" s="3"/>
      <c r="G1034" s="3"/>
      <c r="H1034" s="3"/>
      <c r="I1034" s="3"/>
      <c r="J1034" s="3"/>
      <c r="K1034" s="628">
        <f t="shared" si="48"/>
        <v>0</v>
      </c>
      <c r="L1034" s="630">
        <f t="shared" si="49"/>
        <v>0</v>
      </c>
    </row>
    <row r="1035" spans="3:12" x14ac:dyDescent="0.2">
      <c r="C1035" s="589"/>
      <c r="D1035" s="590" t="s">
        <v>108</v>
      </c>
      <c r="E1035" s="591">
        <f>(F1035+G1035+H1035+J1035)*112.7+(I1035*119.6)</f>
        <v>0</v>
      </c>
      <c r="F1035" s="3"/>
      <c r="G1035" s="3"/>
      <c r="H1035" s="3"/>
      <c r="I1035" s="3"/>
      <c r="J1035" s="3"/>
      <c r="K1035" s="628">
        <f t="shared" si="48"/>
        <v>0</v>
      </c>
      <c r="L1035" s="630">
        <f t="shared" si="49"/>
        <v>0</v>
      </c>
    </row>
    <row r="1036" spans="3:12" x14ac:dyDescent="0.2">
      <c r="C1036" s="589"/>
      <c r="D1036" s="590" t="s">
        <v>393</v>
      </c>
      <c r="E1036" s="591">
        <f>(F1036+G1036+H1036+J1036)*112.7+(I1036*119.6)</f>
        <v>0</v>
      </c>
      <c r="F1036" s="3"/>
      <c r="G1036" s="3"/>
      <c r="H1036" s="3"/>
      <c r="I1036" s="3"/>
      <c r="J1036" s="3"/>
      <c r="K1036" s="628">
        <f t="shared" si="48"/>
        <v>0</v>
      </c>
      <c r="L1036" s="630">
        <f t="shared" si="49"/>
        <v>0</v>
      </c>
    </row>
    <row r="1037" spans="3:12" x14ac:dyDescent="0.2">
      <c r="C1037" s="589"/>
      <c r="D1037" s="590" t="s">
        <v>216</v>
      </c>
      <c r="E1037" s="591">
        <f>(F1037+G1037+H1037+J1037)*112.7+(I1037*119.6)</f>
        <v>0</v>
      </c>
      <c r="F1037" s="3"/>
      <c r="G1037" s="3"/>
      <c r="H1037" s="3"/>
      <c r="I1037" s="3"/>
      <c r="J1037" s="3"/>
      <c r="K1037" s="628">
        <f t="shared" si="48"/>
        <v>0</v>
      </c>
      <c r="L1037" s="630">
        <f t="shared" si="49"/>
        <v>0</v>
      </c>
    </row>
    <row r="1038" spans="3:12" x14ac:dyDescent="0.2">
      <c r="C1038" s="589"/>
      <c r="D1038" s="590"/>
      <c r="E1038" s="591"/>
      <c r="F1038" s="3"/>
      <c r="G1038" s="3"/>
      <c r="H1038" s="3"/>
      <c r="I1038" s="3"/>
      <c r="J1038" s="3"/>
      <c r="K1038" s="628">
        <f t="shared" si="48"/>
        <v>0</v>
      </c>
      <c r="L1038" s="630">
        <f t="shared" si="49"/>
        <v>0</v>
      </c>
    </row>
    <row r="1039" spans="3:12" x14ac:dyDescent="0.2">
      <c r="C1039" s="589"/>
      <c r="D1039" s="590" t="s">
        <v>394</v>
      </c>
      <c r="E1039" s="591">
        <f>(F1039+G1039+H1039+I1039+J1039)*120</f>
        <v>0</v>
      </c>
      <c r="F1039" s="3"/>
      <c r="G1039" s="3"/>
      <c r="H1039" s="3"/>
      <c r="I1039" s="3"/>
      <c r="J1039" s="3"/>
      <c r="K1039" s="628">
        <f t="shared" si="48"/>
        <v>0</v>
      </c>
      <c r="L1039" s="630">
        <f t="shared" si="49"/>
        <v>0</v>
      </c>
    </row>
    <row r="1040" spans="3:12" x14ac:dyDescent="0.2">
      <c r="C1040" s="589"/>
      <c r="D1040" s="590" t="s">
        <v>110</v>
      </c>
      <c r="E1040" s="591">
        <f>(F1040+G1040+H1040+J1040)*112.7+(I1040*119.6)</f>
        <v>0</v>
      </c>
      <c r="F1040" s="3"/>
      <c r="G1040" s="3"/>
      <c r="H1040" s="3"/>
      <c r="I1040" s="3"/>
      <c r="J1040" s="3"/>
      <c r="K1040" s="628">
        <f t="shared" si="48"/>
        <v>0</v>
      </c>
      <c r="L1040" s="630">
        <f t="shared" si="49"/>
        <v>0</v>
      </c>
    </row>
    <row r="1041" spans="3:12" x14ac:dyDescent="0.2">
      <c r="C1041" s="589"/>
      <c r="D1041" s="590"/>
      <c r="E1041" s="591"/>
      <c r="F1041" s="3"/>
      <c r="G1041" s="3"/>
      <c r="H1041" s="3"/>
      <c r="I1041" s="3"/>
      <c r="J1041" s="3"/>
      <c r="K1041" s="628">
        <f t="shared" si="48"/>
        <v>0</v>
      </c>
      <c r="L1041" s="630">
        <f t="shared" si="49"/>
        <v>0</v>
      </c>
    </row>
    <row r="1042" spans="3:12" x14ac:dyDescent="0.2">
      <c r="C1042" s="589"/>
      <c r="D1042" s="590" t="s">
        <v>381</v>
      </c>
      <c r="E1042" s="591">
        <f>(F1042+G1042+H1042+I1042+J1042)*120+(240*0)+(0*45)</f>
        <v>0</v>
      </c>
      <c r="F1042" s="3"/>
      <c r="G1042" s="3"/>
      <c r="H1042" s="3"/>
      <c r="I1042" s="3"/>
      <c r="J1042" s="3"/>
      <c r="K1042" s="628">
        <f t="shared" si="48"/>
        <v>0</v>
      </c>
      <c r="L1042" s="630">
        <f t="shared" si="49"/>
        <v>0</v>
      </c>
    </row>
    <row r="1043" spans="3:12" x14ac:dyDescent="0.2">
      <c r="C1043" s="589"/>
      <c r="D1043" s="590" t="s">
        <v>276</v>
      </c>
      <c r="E1043" s="591">
        <f>(F1043+G1043+H1043+J1043)*112.7+(I1043*119.6)</f>
        <v>0</v>
      </c>
      <c r="F1043" s="3"/>
      <c r="G1043" s="3"/>
      <c r="H1043" s="3"/>
      <c r="I1043" s="3"/>
      <c r="J1043" s="3"/>
      <c r="K1043" s="628">
        <f t="shared" si="48"/>
        <v>0</v>
      </c>
      <c r="L1043" s="630">
        <f t="shared" si="49"/>
        <v>0</v>
      </c>
    </row>
    <row r="1044" spans="3:12" x14ac:dyDescent="0.2">
      <c r="C1044" s="589"/>
      <c r="D1044" s="590"/>
      <c r="E1044" s="591"/>
      <c r="F1044" s="3"/>
      <c r="G1044" s="3"/>
      <c r="H1044" s="3"/>
      <c r="I1044" s="3"/>
      <c r="J1044" s="3"/>
      <c r="K1044" s="628">
        <f t="shared" si="48"/>
        <v>0</v>
      </c>
      <c r="L1044" s="630">
        <f t="shared" si="49"/>
        <v>0</v>
      </c>
    </row>
    <row r="1045" spans="3:12" x14ac:dyDescent="0.2">
      <c r="C1045" s="589"/>
      <c r="D1045" s="590" t="s">
        <v>75</v>
      </c>
      <c r="E1045" s="591">
        <f>(F1045+G1045+H1045+I1045+J1045)*120</f>
        <v>0</v>
      </c>
      <c r="F1045" s="3"/>
      <c r="G1045" s="3"/>
      <c r="H1045" s="3"/>
      <c r="I1045" s="3"/>
      <c r="J1045" s="3"/>
      <c r="K1045" s="628">
        <f t="shared" si="48"/>
        <v>0</v>
      </c>
      <c r="L1045" s="630">
        <f t="shared" si="49"/>
        <v>0</v>
      </c>
    </row>
    <row r="1046" spans="3:12" x14ac:dyDescent="0.2">
      <c r="C1046" s="589"/>
      <c r="D1046" s="590" t="s">
        <v>278</v>
      </c>
      <c r="E1046" s="591">
        <f>(F1046+G1046+H1046+I1046+J1046)*120</f>
        <v>0</v>
      </c>
      <c r="F1046" s="3"/>
      <c r="G1046" s="3"/>
      <c r="H1046" s="3"/>
      <c r="I1046" s="3"/>
      <c r="J1046" s="3"/>
      <c r="K1046" s="628">
        <f t="shared" si="48"/>
        <v>0</v>
      </c>
      <c r="L1046" s="630">
        <f t="shared" si="49"/>
        <v>0</v>
      </c>
    </row>
    <row r="1047" spans="3:12" x14ac:dyDescent="0.2">
      <c r="C1047" s="589" t="s">
        <v>622</v>
      </c>
      <c r="D1047" s="590" t="s">
        <v>270</v>
      </c>
      <c r="E1047" s="591">
        <f>(F1047+G1047+H1047+I1047)*112.7+(J1047*119.6)</f>
        <v>8618.0999999999985</v>
      </c>
      <c r="F1047" s="3">
        <v>24</v>
      </c>
      <c r="G1047" s="3">
        <v>12</v>
      </c>
      <c r="H1047" s="3"/>
      <c r="I1047" s="3">
        <v>15</v>
      </c>
      <c r="J1047" s="3">
        <v>24</v>
      </c>
      <c r="K1047" s="628">
        <f t="shared" si="48"/>
        <v>75</v>
      </c>
      <c r="L1047" s="630">
        <f t="shared" si="49"/>
        <v>18.75</v>
      </c>
    </row>
    <row r="1048" spans="3:12" x14ac:dyDescent="0.2">
      <c r="C1048" s="589" t="s">
        <v>621</v>
      </c>
      <c r="D1048" s="590" t="s">
        <v>274</v>
      </c>
      <c r="E1048" s="591">
        <f>(F1048+G1048+H1048+I1048)*112.7+(J1048*119.6)</f>
        <v>6189.3</v>
      </c>
      <c r="F1048" s="3">
        <v>15</v>
      </c>
      <c r="G1048" s="3">
        <v>12</v>
      </c>
      <c r="H1048" s="3"/>
      <c r="I1048" s="3">
        <v>12</v>
      </c>
      <c r="J1048" s="3">
        <v>15</v>
      </c>
      <c r="K1048" s="628">
        <f t="shared" si="48"/>
        <v>54</v>
      </c>
      <c r="L1048" s="630">
        <f t="shared" si="49"/>
        <v>13.5</v>
      </c>
    </row>
    <row r="1049" spans="3:12" x14ac:dyDescent="0.2">
      <c r="C1049" s="589" t="s">
        <v>620</v>
      </c>
      <c r="D1049" s="590" t="s">
        <v>395</v>
      </c>
      <c r="E1049" s="591">
        <f>(F1049+G1049+H1049+I1049)*112.7+(J1049*119.6)</f>
        <v>6189.3</v>
      </c>
      <c r="F1049" s="3">
        <v>15</v>
      </c>
      <c r="G1049" s="3">
        <v>12</v>
      </c>
      <c r="H1049" s="3"/>
      <c r="I1049" s="3">
        <v>12</v>
      </c>
      <c r="J1049" s="3">
        <v>15</v>
      </c>
      <c r="K1049" s="628">
        <f t="shared" si="48"/>
        <v>54</v>
      </c>
      <c r="L1049" s="630">
        <f t="shared" si="49"/>
        <v>13.5</v>
      </c>
    </row>
    <row r="1050" spans="3:12" x14ac:dyDescent="0.2">
      <c r="C1050" s="683">
        <v>1171572620</v>
      </c>
      <c r="D1050" s="590" t="s">
        <v>112</v>
      </c>
      <c r="E1050" s="591">
        <f>(F1050+G1050+H1050+I1050)*112.7+(J1050*119.6)</f>
        <v>6189.3</v>
      </c>
      <c r="F1050" s="3">
        <v>15</v>
      </c>
      <c r="G1050" s="3">
        <v>12</v>
      </c>
      <c r="H1050" s="3"/>
      <c r="I1050" s="3">
        <v>12</v>
      </c>
      <c r="J1050" s="3">
        <v>15</v>
      </c>
      <c r="K1050" s="628">
        <f t="shared" si="48"/>
        <v>54</v>
      </c>
      <c r="L1050" s="630">
        <f t="shared" si="49"/>
        <v>13.5</v>
      </c>
    </row>
    <row r="1051" spans="3:12" x14ac:dyDescent="0.2">
      <c r="C1051" s="683">
        <v>1171572618</v>
      </c>
      <c r="D1051" s="590" t="s">
        <v>72</v>
      </c>
      <c r="E1051" s="591">
        <f>(F1051+G1051+H1051+I1051)*112.7+(J1051*119.6)</f>
        <v>5478.6</v>
      </c>
      <c r="F1051" s="3">
        <v>15</v>
      </c>
      <c r="G1051" s="3">
        <v>15</v>
      </c>
      <c r="H1051" s="3"/>
      <c r="I1051" s="3">
        <v>8</v>
      </c>
      <c r="J1051" s="3">
        <v>10</v>
      </c>
      <c r="K1051" s="628">
        <f t="shared" si="48"/>
        <v>48</v>
      </c>
      <c r="L1051" s="630">
        <f t="shared" si="49"/>
        <v>12</v>
      </c>
    </row>
    <row r="1052" spans="3:12" x14ac:dyDescent="0.2">
      <c r="C1052" s="683"/>
      <c r="D1052" s="590" t="s">
        <v>187</v>
      </c>
      <c r="E1052" s="591"/>
      <c r="F1052" s="3"/>
      <c r="G1052" s="3"/>
      <c r="H1052" s="3"/>
      <c r="I1052" s="3"/>
      <c r="J1052" s="3"/>
      <c r="K1052" s="628">
        <f>SUM(F1052:J1052)</f>
        <v>0</v>
      </c>
      <c r="L1052" s="3"/>
    </row>
    <row r="1053" spans="3:12" ht="16" x14ac:dyDescent="0.2">
      <c r="C1053" s="683"/>
      <c r="D1053" s="590" t="s">
        <v>619</v>
      </c>
      <c r="E1053" s="592"/>
      <c r="F1053" s="3"/>
      <c r="G1053" s="3"/>
      <c r="H1053" s="3"/>
      <c r="I1053" s="3">
        <v>1</v>
      </c>
      <c r="J1053" s="3"/>
      <c r="K1053" s="628">
        <f>SUM(F1053:J1053)</f>
        <v>1</v>
      </c>
      <c r="L1053" s="3"/>
    </row>
    <row r="1054" spans="3:12" ht="17" thickBot="1" x14ac:dyDescent="0.25">
      <c r="C1054" s="683"/>
      <c r="D1054" s="590"/>
      <c r="E1054" s="624"/>
      <c r="F1054" s="69"/>
      <c r="G1054" s="69"/>
      <c r="H1054" s="69"/>
      <c r="I1054" s="69"/>
      <c r="J1054" s="69"/>
      <c r="K1054" s="629"/>
      <c r="L1054" s="3"/>
    </row>
    <row r="1055" spans="3:12" ht="16" thickBot="1" x14ac:dyDescent="0.25">
      <c r="C1055" s="596"/>
      <c r="D1055" s="623" t="s">
        <v>19</v>
      </c>
      <c r="E1055" s="625">
        <f>SUM(E1029:E1052)</f>
        <v>32664.6</v>
      </c>
      <c r="F1055" s="614">
        <f>SUM(F1029:F1054)</f>
        <v>84</v>
      </c>
      <c r="G1055" s="614">
        <f>SUM(G1029:G1054)</f>
        <v>63</v>
      </c>
      <c r="H1055" s="614">
        <f>SUM(H1029:H1054)</f>
        <v>0</v>
      </c>
      <c r="I1055" s="614">
        <f>SUM(I1029:I1054)</f>
        <v>60</v>
      </c>
      <c r="J1055" s="614">
        <f>SUM(J1029:J1054)</f>
        <v>79</v>
      </c>
      <c r="K1055" s="626">
        <f>SUM(F1055:J1055)</f>
        <v>286</v>
      </c>
      <c r="L1055" s="631">
        <f>SUM(L1029:L1054)</f>
        <v>71.25</v>
      </c>
    </row>
    <row r="1056" spans="3:12" x14ac:dyDescent="0.2">
      <c r="C1056" s="596"/>
      <c r="D1056" s="593" t="s">
        <v>113</v>
      </c>
      <c r="E1056" s="620"/>
      <c r="F1056" s="610">
        <f>F1026-F1055</f>
        <v>4</v>
      </c>
      <c r="G1056" s="610">
        <f>G1026-G1055</f>
        <v>0</v>
      </c>
      <c r="H1056" s="610">
        <f>H1026-H1055</f>
        <v>0</v>
      </c>
      <c r="I1056" s="610">
        <f>I1026-I1055</f>
        <v>6</v>
      </c>
      <c r="J1056" s="610">
        <f>J1026-J1055</f>
        <v>23</v>
      </c>
      <c r="K1056" s="636">
        <f>SUM(F1056:J1056)</f>
        <v>33</v>
      </c>
      <c r="L1056" s="3"/>
    </row>
    <row r="1057" spans="3:12" x14ac:dyDescent="0.2">
      <c r="C1057" s="683"/>
      <c r="D1057" s="593" t="s">
        <v>436</v>
      </c>
      <c r="E1057" s="594"/>
      <c r="F1057" s="581"/>
      <c r="G1057" s="581"/>
      <c r="H1057" s="581"/>
      <c r="I1057" s="581"/>
      <c r="J1057" s="581"/>
      <c r="K1057" s="637">
        <f>K1055+K1056</f>
        <v>319</v>
      </c>
      <c r="L1057" s="3"/>
    </row>
    <row r="1059" spans="3:12" ht="18" x14ac:dyDescent="0.2">
      <c r="C1059" s="685" t="s">
        <v>412</v>
      </c>
      <c r="D1059" s="582">
        <v>45686</v>
      </c>
      <c r="E1059" s="800"/>
      <c r="F1059" s="685" t="s">
        <v>83</v>
      </c>
      <c r="G1059" s="801" t="s">
        <v>65</v>
      </c>
      <c r="H1059" s="802"/>
      <c r="I1059" s="802"/>
      <c r="J1059" s="802"/>
      <c r="K1059" s="803"/>
    </row>
    <row r="1060" spans="3:12" x14ac:dyDescent="0.2">
      <c r="C1060" s="804"/>
      <c r="D1060" s="805"/>
      <c r="E1060" s="800"/>
      <c r="F1060" s="683" t="s">
        <v>93</v>
      </c>
      <c r="G1060" s="683" t="s">
        <v>93</v>
      </c>
      <c r="H1060" s="683"/>
      <c r="I1060" s="806"/>
      <c r="J1060" s="806"/>
      <c r="K1060" s="806"/>
    </row>
    <row r="1061" spans="3:12" x14ac:dyDescent="0.2">
      <c r="C1061" s="804"/>
      <c r="D1061" s="805"/>
      <c r="E1061" s="800"/>
      <c r="F1061" s="683" t="s">
        <v>94</v>
      </c>
      <c r="G1061" s="683" t="s">
        <v>95</v>
      </c>
      <c r="H1061" s="683" t="s">
        <v>96</v>
      </c>
      <c r="I1061" s="806"/>
      <c r="J1061" s="806"/>
      <c r="K1061" s="806"/>
    </row>
    <row r="1062" spans="3:12" x14ac:dyDescent="0.2">
      <c r="C1062" s="804"/>
      <c r="D1062" s="805"/>
      <c r="E1062" s="800"/>
      <c r="F1062" s="683"/>
      <c r="G1062" s="683"/>
      <c r="H1062" s="683"/>
      <c r="I1062" s="806"/>
      <c r="J1062" s="806"/>
      <c r="K1062" s="806"/>
    </row>
    <row r="1063" spans="3:12" ht="16" x14ac:dyDescent="0.2">
      <c r="C1063" s="683"/>
      <c r="D1063" s="583" t="s">
        <v>97</v>
      </c>
      <c r="E1063" s="584"/>
      <c r="F1063" s="581"/>
      <c r="G1063" s="585"/>
      <c r="H1063" s="585"/>
      <c r="I1063" s="586"/>
      <c r="J1063" s="586"/>
      <c r="K1063" s="586"/>
    </row>
    <row r="1064" spans="3:12" ht="26" x14ac:dyDescent="0.2">
      <c r="C1064" s="804"/>
      <c r="D1064" s="587"/>
      <c r="E1064" s="588"/>
      <c r="F1064" s="585" t="s">
        <v>383</v>
      </c>
      <c r="G1064" s="585" t="s">
        <v>384</v>
      </c>
      <c r="H1064" s="585" t="s">
        <v>385</v>
      </c>
      <c r="I1064" s="585" t="s">
        <v>386</v>
      </c>
      <c r="J1064" s="585" t="s">
        <v>387</v>
      </c>
      <c r="K1064" s="585" t="s">
        <v>84</v>
      </c>
    </row>
    <row r="1065" spans="3:12" x14ac:dyDescent="0.2">
      <c r="C1065" s="804"/>
      <c r="D1065" s="684" t="s">
        <v>167</v>
      </c>
      <c r="E1065" s="588"/>
      <c r="F1065" s="580">
        <v>10</v>
      </c>
      <c r="G1065" s="579">
        <v>7</v>
      </c>
      <c r="H1065" s="580">
        <v>2</v>
      </c>
      <c r="I1065" s="580">
        <v>4</v>
      </c>
      <c r="J1065" s="580">
        <v>8</v>
      </c>
      <c r="K1065" s="580">
        <f>SUM(F1065:J1065)</f>
        <v>31</v>
      </c>
    </row>
    <row r="1066" spans="3:12" x14ac:dyDescent="0.2">
      <c r="C1066" s="804"/>
      <c r="D1066" s="684" t="s">
        <v>207</v>
      </c>
      <c r="E1066" s="588"/>
      <c r="F1066" s="618">
        <f>F1065*7</f>
        <v>70</v>
      </c>
      <c r="G1066" s="619">
        <v>49</v>
      </c>
      <c r="H1066" s="618">
        <v>14</v>
      </c>
      <c r="I1066" s="618">
        <v>44</v>
      </c>
      <c r="J1066" s="618">
        <v>70</v>
      </c>
      <c r="K1066" s="618">
        <f>SUM(F1066:J1066)</f>
        <v>247</v>
      </c>
    </row>
    <row r="1067" spans="3:12" x14ac:dyDescent="0.2">
      <c r="C1067" s="683"/>
      <c r="D1067" s="684" t="s">
        <v>100</v>
      </c>
      <c r="E1067" s="588"/>
      <c r="F1067" s="581"/>
      <c r="G1067" s="581"/>
      <c r="H1067" s="581"/>
      <c r="I1067" s="581"/>
      <c r="J1067" s="581"/>
      <c r="K1067" s="581">
        <f>SUM(F1067:J1067)</f>
        <v>0</v>
      </c>
    </row>
    <row r="1068" spans="3:12" x14ac:dyDescent="0.2">
      <c r="C1068" s="683"/>
      <c r="D1068" s="684" t="s">
        <v>101</v>
      </c>
      <c r="E1068" s="588"/>
      <c r="F1068" s="581">
        <v>2</v>
      </c>
      <c r="G1068" s="581">
        <v>1</v>
      </c>
      <c r="H1068" s="581"/>
      <c r="I1068" s="581"/>
      <c r="J1068" s="581">
        <v>1</v>
      </c>
      <c r="K1068" s="581">
        <f>SUM(F1068:J1068)</f>
        <v>4</v>
      </c>
    </row>
    <row r="1069" spans="3:12" ht="16" thickBot="1" x14ac:dyDescent="0.25">
      <c r="C1069" s="683"/>
      <c r="D1069" s="597" t="s">
        <v>102</v>
      </c>
      <c r="E1069" s="598"/>
      <c r="F1069" s="599">
        <v>4</v>
      </c>
      <c r="G1069" s="600">
        <v>2</v>
      </c>
      <c r="H1069" s="600"/>
      <c r="I1069" s="600">
        <v>6</v>
      </c>
      <c r="J1069" s="600">
        <v>21</v>
      </c>
      <c r="K1069" s="600">
        <f>SUM(F1069:J1069)</f>
        <v>33</v>
      </c>
    </row>
    <row r="1070" spans="3:12" ht="17" thickBot="1" x14ac:dyDescent="0.25">
      <c r="C1070" s="605"/>
      <c r="D1070" s="612" t="s">
        <v>84</v>
      </c>
      <c r="E1070" s="613"/>
      <c r="F1070" s="614">
        <f>(F1066+F1069)-F1068-F1067</f>
        <v>72</v>
      </c>
      <c r="G1070" s="615">
        <f>(G1066+G1069)-G1068-G1067</f>
        <v>50</v>
      </c>
      <c r="H1070" s="616">
        <f>(H1066+H1069)-H1068</f>
        <v>14</v>
      </c>
      <c r="I1070" s="615">
        <f>(I1066+I1069)-I1068-I1067</f>
        <v>50</v>
      </c>
      <c r="J1070" s="622">
        <f>(J1066+J1069)-J1068-J1067</f>
        <v>90</v>
      </c>
      <c r="K1070" s="617">
        <f>(K1066+K1069)-K1068-K1067</f>
        <v>276</v>
      </c>
    </row>
    <row r="1071" spans="3:12" ht="16" x14ac:dyDescent="0.2">
      <c r="C1071" s="683"/>
      <c r="D1071" s="608"/>
      <c r="E1071" s="609"/>
      <c r="F1071" s="610"/>
      <c r="G1071" s="595"/>
      <c r="H1071" s="611"/>
      <c r="I1071" s="595"/>
      <c r="J1071" s="595"/>
      <c r="K1071" s="595"/>
    </row>
    <row r="1072" spans="3:12" ht="16" thickBot="1" x14ac:dyDescent="0.25">
      <c r="C1072" s="606" t="s">
        <v>388</v>
      </c>
      <c r="D1072" s="607" t="s">
        <v>103</v>
      </c>
      <c r="E1072" s="603" t="s">
        <v>84</v>
      </c>
      <c r="F1072" s="602" t="s">
        <v>78</v>
      </c>
      <c r="G1072" s="602" t="s">
        <v>79</v>
      </c>
      <c r="H1072" s="602" t="s">
        <v>88</v>
      </c>
      <c r="I1072" s="601" t="s">
        <v>87</v>
      </c>
      <c r="J1072" s="601" t="s">
        <v>85</v>
      </c>
      <c r="K1072" s="601" t="s">
        <v>84</v>
      </c>
      <c r="L1072" s="174" t="s">
        <v>389</v>
      </c>
    </row>
    <row r="1073" spans="3:12" x14ac:dyDescent="0.2">
      <c r="C1073" s="589" t="s">
        <v>626</v>
      </c>
      <c r="D1073" s="604" t="s">
        <v>105</v>
      </c>
      <c r="E1073" s="591">
        <f>(F1073+G1073+H1073+I1073+J1073)*100+(0*230)</f>
        <v>5600</v>
      </c>
      <c r="F1073" s="3">
        <v>12</v>
      </c>
      <c r="G1073" s="3">
        <v>8</v>
      </c>
      <c r="H1073" s="3">
        <v>5</v>
      </c>
      <c r="I1073" s="3">
        <v>7</v>
      </c>
      <c r="J1073" s="3">
        <v>24</v>
      </c>
      <c r="K1073" s="628">
        <f t="shared" ref="K1073:K1095" si="50">SUM(F1073:J1073)</f>
        <v>56</v>
      </c>
      <c r="L1073" s="630">
        <f>K1073/4</f>
        <v>14</v>
      </c>
    </row>
    <row r="1074" spans="3:12" x14ac:dyDescent="0.2">
      <c r="C1074" s="589" t="s">
        <v>627</v>
      </c>
      <c r="D1074" s="590" t="s">
        <v>390</v>
      </c>
      <c r="E1074" s="591">
        <f>(F1074+G1074+H1074+I1074+J1074)*120</f>
        <v>1440</v>
      </c>
      <c r="F1074" s="3">
        <v>2</v>
      </c>
      <c r="G1074" s="3">
        <v>2</v>
      </c>
      <c r="H1074" s="3">
        <v>2</v>
      </c>
      <c r="I1074" s="3">
        <v>2</v>
      </c>
      <c r="J1074" s="3">
        <v>4</v>
      </c>
      <c r="K1074" s="628">
        <f t="shared" si="50"/>
        <v>12</v>
      </c>
      <c r="L1074" s="630">
        <f t="shared" ref="L1074:L1095" si="51">K1074/4</f>
        <v>3</v>
      </c>
    </row>
    <row r="1075" spans="3:12" x14ac:dyDescent="0.2">
      <c r="C1075" s="589"/>
      <c r="D1075" s="590" t="s">
        <v>391</v>
      </c>
      <c r="E1075" s="591">
        <f>(F1075+G1075+H1075+I1075+J1075)*120</f>
        <v>0</v>
      </c>
      <c r="F1075" s="3"/>
      <c r="G1075" s="3"/>
      <c r="H1075" s="3"/>
      <c r="I1075" s="3"/>
      <c r="J1075" s="3"/>
      <c r="K1075" s="628">
        <f t="shared" si="50"/>
        <v>0</v>
      </c>
      <c r="L1075" s="630">
        <f t="shared" si="51"/>
        <v>0</v>
      </c>
    </row>
    <row r="1076" spans="3:12" x14ac:dyDescent="0.2">
      <c r="C1076" s="589"/>
      <c r="D1076" s="590" t="s">
        <v>392</v>
      </c>
      <c r="E1076" s="591">
        <f>(F1076+G1076+H1076+I1076+J1076)*120</f>
        <v>0</v>
      </c>
      <c r="F1076" s="3"/>
      <c r="G1076" s="3"/>
      <c r="H1076" s="3"/>
      <c r="I1076" s="3"/>
      <c r="J1076" s="3"/>
      <c r="K1076" s="628">
        <f t="shared" si="50"/>
        <v>0</v>
      </c>
      <c r="L1076" s="630">
        <f t="shared" si="51"/>
        <v>0</v>
      </c>
    </row>
    <row r="1077" spans="3:12" x14ac:dyDescent="0.2">
      <c r="C1077" s="589"/>
      <c r="D1077" s="590" t="s">
        <v>425</v>
      </c>
      <c r="E1077" s="591">
        <f>(F1077+G1077+H1077+I1077+J1077)*120</f>
        <v>0</v>
      </c>
      <c r="F1077" s="3"/>
      <c r="G1077" s="3"/>
      <c r="H1077" s="3"/>
      <c r="I1077" s="3"/>
      <c r="J1077" s="3"/>
      <c r="K1077" s="628">
        <f t="shared" si="50"/>
        <v>0</v>
      </c>
      <c r="L1077" s="630">
        <f t="shared" si="51"/>
        <v>0</v>
      </c>
    </row>
    <row r="1078" spans="3:12" x14ac:dyDescent="0.2">
      <c r="C1078" s="589"/>
      <c r="D1078" s="590"/>
      <c r="E1078" s="591"/>
      <c r="F1078" s="3"/>
      <c r="G1078" s="3"/>
      <c r="H1078" s="3"/>
      <c r="I1078" s="3"/>
      <c r="J1078" s="3"/>
      <c r="K1078" s="628">
        <f t="shared" si="50"/>
        <v>0</v>
      </c>
      <c r="L1078" s="630">
        <f t="shared" si="51"/>
        <v>0</v>
      </c>
    </row>
    <row r="1079" spans="3:12" x14ac:dyDescent="0.2">
      <c r="C1079" s="589" t="s">
        <v>630</v>
      </c>
      <c r="D1079" s="590" t="s">
        <v>108</v>
      </c>
      <c r="E1079" s="591">
        <f>(F1079+G1079+H1079+J1079)*112.7+(I1079*119.6)</f>
        <v>3210.8</v>
      </c>
      <c r="F1079" s="3">
        <v>6</v>
      </c>
      <c r="G1079" s="3">
        <v>4</v>
      </c>
      <c r="H1079" s="3">
        <v>4</v>
      </c>
      <c r="I1079" s="3">
        <v>8</v>
      </c>
      <c r="J1079" s="3">
        <v>6</v>
      </c>
      <c r="K1079" s="628">
        <f t="shared" si="50"/>
        <v>28</v>
      </c>
      <c r="L1079" s="630">
        <f t="shared" si="51"/>
        <v>7</v>
      </c>
    </row>
    <row r="1080" spans="3:12" x14ac:dyDescent="0.2">
      <c r="C1080" s="589" t="s">
        <v>629</v>
      </c>
      <c r="D1080" s="590" t="s">
        <v>393</v>
      </c>
      <c r="E1080" s="591">
        <f>(F1080+G1080+H1080+J1080)*112.7+(I1080*119.6)</f>
        <v>2387.4</v>
      </c>
      <c r="F1080" s="3">
        <v>6</v>
      </c>
      <c r="G1080" s="3">
        <v>3</v>
      </c>
      <c r="H1080" s="3">
        <v>3</v>
      </c>
      <c r="I1080" s="3">
        <v>3</v>
      </c>
      <c r="J1080" s="3">
        <v>6</v>
      </c>
      <c r="K1080" s="628">
        <f t="shared" si="50"/>
        <v>21</v>
      </c>
      <c r="L1080" s="630">
        <f t="shared" si="51"/>
        <v>5.25</v>
      </c>
    </row>
    <row r="1081" spans="3:12" x14ac:dyDescent="0.2">
      <c r="C1081" s="589" t="s">
        <v>628</v>
      </c>
      <c r="D1081" s="590" t="s">
        <v>216</v>
      </c>
      <c r="E1081" s="591">
        <f>(F1081+G1081+H1081+J1081)*112.7+(I1081*119.6)</f>
        <v>3210.8</v>
      </c>
      <c r="F1081" s="3">
        <v>6</v>
      </c>
      <c r="G1081" s="3">
        <v>8</v>
      </c>
      <c r="H1081" s="3"/>
      <c r="I1081" s="3">
        <v>8</v>
      </c>
      <c r="J1081" s="3">
        <v>6</v>
      </c>
      <c r="K1081" s="628">
        <f t="shared" si="50"/>
        <v>28</v>
      </c>
      <c r="L1081" s="630">
        <f t="shared" si="51"/>
        <v>7</v>
      </c>
    </row>
    <row r="1082" spans="3:12" x14ac:dyDescent="0.2">
      <c r="C1082" s="589"/>
      <c r="D1082" s="590"/>
      <c r="E1082" s="591"/>
      <c r="F1082" s="3"/>
      <c r="G1082" s="3"/>
      <c r="H1082" s="3"/>
      <c r="I1082" s="3"/>
      <c r="J1082" s="3"/>
      <c r="K1082" s="628">
        <f t="shared" si="50"/>
        <v>0</v>
      </c>
      <c r="L1082" s="630">
        <f t="shared" si="51"/>
        <v>0</v>
      </c>
    </row>
    <row r="1083" spans="3:12" x14ac:dyDescent="0.2">
      <c r="C1083" s="589"/>
      <c r="D1083" s="590" t="s">
        <v>394</v>
      </c>
      <c r="E1083" s="591">
        <f>(F1083+G1083+H1083+I1083+J1083)*120</f>
        <v>0</v>
      </c>
      <c r="F1083" s="3"/>
      <c r="G1083" s="3"/>
      <c r="H1083" s="3"/>
      <c r="I1083" s="3"/>
      <c r="J1083" s="3"/>
      <c r="K1083" s="628">
        <f t="shared" si="50"/>
        <v>0</v>
      </c>
      <c r="L1083" s="630">
        <f t="shared" si="51"/>
        <v>0</v>
      </c>
    </row>
    <row r="1084" spans="3:12" x14ac:dyDescent="0.2">
      <c r="C1084" s="589" t="s">
        <v>631</v>
      </c>
      <c r="D1084" s="590" t="s">
        <v>110</v>
      </c>
      <c r="E1084" s="591">
        <f>(F1084+G1084+H1084+J1084)*112.7+(I1084*119.6)</f>
        <v>8422.6</v>
      </c>
      <c r="F1084" s="3">
        <v>30</v>
      </c>
      <c r="G1084" s="3">
        <v>12</v>
      </c>
      <c r="H1084" s="3"/>
      <c r="I1084" s="3">
        <v>12</v>
      </c>
      <c r="J1084" s="3">
        <v>20</v>
      </c>
      <c r="K1084" s="628">
        <f t="shared" si="50"/>
        <v>74</v>
      </c>
      <c r="L1084" s="630">
        <f t="shared" si="51"/>
        <v>18.5</v>
      </c>
    </row>
    <row r="1085" spans="3:12" x14ac:dyDescent="0.2">
      <c r="C1085" s="589"/>
      <c r="D1085" s="590"/>
      <c r="E1085" s="591"/>
      <c r="F1085" s="3"/>
      <c r="G1085" s="3"/>
      <c r="H1085" s="3"/>
      <c r="I1085" s="3"/>
      <c r="J1085" s="3"/>
      <c r="K1085" s="628">
        <f t="shared" si="50"/>
        <v>0</v>
      </c>
      <c r="L1085" s="630">
        <f t="shared" si="51"/>
        <v>0</v>
      </c>
    </row>
    <row r="1086" spans="3:12" x14ac:dyDescent="0.2">
      <c r="C1086" s="589"/>
      <c r="D1086" s="590" t="s">
        <v>381</v>
      </c>
      <c r="E1086" s="591">
        <f>(F1086+G1086+H1086+I1086+J1086)*120+(240*0)+(0*45)</f>
        <v>0</v>
      </c>
      <c r="F1086" s="3"/>
      <c r="G1086" s="3"/>
      <c r="H1086" s="3"/>
      <c r="I1086" s="3"/>
      <c r="J1086" s="3"/>
      <c r="K1086" s="628">
        <f t="shared" si="50"/>
        <v>0</v>
      </c>
      <c r="L1086" s="630">
        <f t="shared" si="51"/>
        <v>0</v>
      </c>
    </row>
    <row r="1087" spans="3:12" x14ac:dyDescent="0.2">
      <c r="C1087" s="589"/>
      <c r="D1087" s="590" t="s">
        <v>276</v>
      </c>
      <c r="E1087" s="591">
        <f>(F1087+G1087+H1087+J1087)*112.7+(I1087*119.6)</f>
        <v>0</v>
      </c>
      <c r="F1087" s="3"/>
      <c r="G1087" s="3"/>
      <c r="H1087" s="3"/>
      <c r="I1087" s="3"/>
      <c r="J1087" s="3"/>
      <c r="K1087" s="628">
        <f t="shared" si="50"/>
        <v>0</v>
      </c>
      <c r="L1087" s="630">
        <f t="shared" si="51"/>
        <v>0</v>
      </c>
    </row>
    <row r="1088" spans="3:12" x14ac:dyDescent="0.2">
      <c r="C1088" s="589"/>
      <c r="D1088" s="590"/>
      <c r="E1088" s="591"/>
      <c r="F1088" s="3"/>
      <c r="G1088" s="3"/>
      <c r="H1088" s="3"/>
      <c r="I1088" s="3"/>
      <c r="J1088" s="3"/>
      <c r="K1088" s="628">
        <f t="shared" si="50"/>
        <v>0</v>
      </c>
      <c r="L1088" s="630">
        <f t="shared" si="51"/>
        <v>0</v>
      </c>
    </row>
    <row r="1089" spans="3:12" x14ac:dyDescent="0.2">
      <c r="C1089" s="589"/>
      <c r="D1089" s="590" t="s">
        <v>75</v>
      </c>
      <c r="E1089" s="591">
        <f>(F1089+G1089+H1089+I1089+J1089)*120</f>
        <v>0</v>
      </c>
      <c r="F1089" s="3"/>
      <c r="G1089" s="3"/>
      <c r="H1089" s="3"/>
      <c r="I1089" s="3"/>
      <c r="J1089" s="3"/>
      <c r="K1089" s="628">
        <f t="shared" si="50"/>
        <v>0</v>
      </c>
      <c r="L1089" s="630">
        <f t="shared" si="51"/>
        <v>0</v>
      </c>
    </row>
    <row r="1090" spans="3:12" x14ac:dyDescent="0.2">
      <c r="C1090" s="589"/>
      <c r="D1090" s="590" t="s">
        <v>278</v>
      </c>
      <c r="E1090" s="591">
        <f>(F1090+G1090+H1090+I1090+J1090)*120</f>
        <v>0</v>
      </c>
      <c r="F1090" s="3"/>
      <c r="G1090" s="3"/>
      <c r="H1090" s="3"/>
      <c r="I1090" s="3"/>
      <c r="J1090" s="3"/>
      <c r="K1090" s="628">
        <f t="shared" si="50"/>
        <v>0</v>
      </c>
      <c r="L1090" s="630">
        <f t="shared" si="51"/>
        <v>0</v>
      </c>
    </row>
    <row r="1091" spans="3:12" x14ac:dyDescent="0.2">
      <c r="C1091" s="589"/>
      <c r="D1091" s="590" t="s">
        <v>270</v>
      </c>
      <c r="E1091" s="591">
        <f>(F1091+G1091+H1091+I1091)*112.7+(J1091*119.6)</f>
        <v>0</v>
      </c>
      <c r="F1091" s="3"/>
      <c r="G1091" s="3"/>
      <c r="H1091" s="3"/>
      <c r="I1091" s="3"/>
      <c r="J1091" s="3"/>
      <c r="K1091" s="628">
        <f t="shared" si="50"/>
        <v>0</v>
      </c>
      <c r="L1091" s="630">
        <f t="shared" si="51"/>
        <v>0</v>
      </c>
    </row>
    <row r="1092" spans="3:12" x14ac:dyDescent="0.2">
      <c r="C1092" s="589"/>
      <c r="D1092" s="590" t="s">
        <v>274</v>
      </c>
      <c r="E1092" s="591">
        <f>(F1092+G1092+H1092+I1092)*112.7+(J1092*119.6)</f>
        <v>0</v>
      </c>
      <c r="F1092" s="3"/>
      <c r="G1092" s="3"/>
      <c r="H1092" s="3"/>
      <c r="I1092" s="3"/>
      <c r="J1092" s="3"/>
      <c r="K1092" s="628">
        <f t="shared" si="50"/>
        <v>0</v>
      </c>
      <c r="L1092" s="630">
        <f t="shared" si="51"/>
        <v>0</v>
      </c>
    </row>
    <row r="1093" spans="3:12" x14ac:dyDescent="0.2">
      <c r="C1093" s="589"/>
      <c r="D1093" s="590" t="s">
        <v>395</v>
      </c>
      <c r="E1093" s="591">
        <f>(F1093+G1093+H1093+I1093)*112.7+(J1093*119.6)</f>
        <v>0</v>
      </c>
      <c r="F1093" s="3"/>
      <c r="G1093" s="3"/>
      <c r="H1093" s="3"/>
      <c r="I1093" s="3"/>
      <c r="J1093" s="3"/>
      <c r="K1093" s="628">
        <f t="shared" si="50"/>
        <v>0</v>
      </c>
      <c r="L1093" s="630">
        <f t="shared" si="51"/>
        <v>0</v>
      </c>
    </row>
    <row r="1094" spans="3:12" x14ac:dyDescent="0.2">
      <c r="C1094" s="683"/>
      <c r="D1094" s="590" t="s">
        <v>112</v>
      </c>
      <c r="E1094" s="591">
        <f>(F1094+G1094+H1094+I1094)*112.7+(J1094*119.6)</f>
        <v>0</v>
      </c>
      <c r="F1094" s="3"/>
      <c r="G1094" s="3"/>
      <c r="H1094" s="3"/>
      <c r="I1094" s="3"/>
      <c r="J1094" s="3"/>
      <c r="K1094" s="628">
        <f t="shared" si="50"/>
        <v>0</v>
      </c>
      <c r="L1094" s="630">
        <f t="shared" si="51"/>
        <v>0</v>
      </c>
    </row>
    <row r="1095" spans="3:12" x14ac:dyDescent="0.2">
      <c r="C1095" s="683"/>
      <c r="D1095" s="590" t="s">
        <v>72</v>
      </c>
      <c r="E1095" s="591">
        <f>(F1095+G1095+H1095+I1095)*112.7+(J1095*119.6)</f>
        <v>0</v>
      </c>
      <c r="F1095" s="3"/>
      <c r="G1095" s="3"/>
      <c r="H1095" s="3"/>
      <c r="I1095" s="3"/>
      <c r="J1095" s="3"/>
      <c r="K1095" s="628">
        <f t="shared" si="50"/>
        <v>0</v>
      </c>
      <c r="L1095" s="630">
        <f t="shared" si="51"/>
        <v>0</v>
      </c>
    </row>
    <row r="1096" spans="3:12" x14ac:dyDescent="0.2">
      <c r="C1096" s="683"/>
      <c r="D1096" s="590" t="s">
        <v>187</v>
      </c>
      <c r="E1096" s="591"/>
      <c r="F1096" s="3"/>
      <c r="G1096" s="3">
        <v>1</v>
      </c>
      <c r="H1096" s="3"/>
      <c r="I1096" s="3"/>
      <c r="J1096" s="3">
        <v>10</v>
      </c>
      <c r="K1096" s="628">
        <f>SUM(F1096:J1096)</f>
        <v>11</v>
      </c>
      <c r="L1096" s="3"/>
    </row>
    <row r="1097" spans="3:12" ht="16" x14ac:dyDescent="0.2">
      <c r="C1097" s="683"/>
      <c r="D1097" s="590"/>
      <c r="E1097" s="592"/>
      <c r="F1097" s="3"/>
      <c r="G1097" s="3"/>
      <c r="H1097" s="3"/>
      <c r="I1097" s="3"/>
      <c r="J1097" s="3"/>
      <c r="K1097" s="628">
        <f>SUM(F1097:J1097)</f>
        <v>0</v>
      </c>
      <c r="L1097" s="3"/>
    </row>
    <row r="1098" spans="3:12" ht="17" thickBot="1" x14ac:dyDescent="0.25">
      <c r="C1098" s="683"/>
      <c r="D1098" s="590"/>
      <c r="E1098" s="624"/>
      <c r="F1098" s="69"/>
      <c r="G1098" s="69"/>
      <c r="H1098" s="69"/>
      <c r="I1098" s="69"/>
      <c r="J1098" s="69"/>
      <c r="K1098" s="629"/>
      <c r="L1098" s="3"/>
    </row>
    <row r="1099" spans="3:12" ht="16" thickBot="1" x14ac:dyDescent="0.25">
      <c r="C1099" s="596"/>
      <c r="D1099" s="623" t="s">
        <v>19</v>
      </c>
      <c r="E1099" s="625">
        <f>SUM(E1073:E1096)</f>
        <v>24271.599999999999</v>
      </c>
      <c r="F1099" s="614">
        <f>SUM(F1073:F1098)</f>
        <v>62</v>
      </c>
      <c r="G1099" s="614">
        <f>SUM(G1073:G1098)</f>
        <v>38</v>
      </c>
      <c r="H1099" s="614">
        <f>SUM(H1073:H1098)</f>
        <v>14</v>
      </c>
      <c r="I1099" s="614">
        <f>SUM(I1073:I1098)</f>
        <v>40</v>
      </c>
      <c r="J1099" s="614">
        <f>SUM(J1073:J1098)</f>
        <v>76</v>
      </c>
      <c r="K1099" s="626">
        <f>SUM(F1099:J1099)</f>
        <v>230</v>
      </c>
      <c r="L1099" s="631">
        <f>SUM(L1073:L1098)</f>
        <v>54.75</v>
      </c>
    </row>
    <row r="1100" spans="3:12" x14ac:dyDescent="0.2">
      <c r="C1100" s="596"/>
      <c r="D1100" s="593" t="s">
        <v>113</v>
      </c>
      <c r="E1100" s="620"/>
      <c r="F1100" s="610">
        <f>F1070-F1099</f>
        <v>10</v>
      </c>
      <c r="G1100" s="610">
        <f>G1070-G1099</f>
        <v>12</v>
      </c>
      <c r="H1100" s="610">
        <f>H1070-H1099</f>
        <v>0</v>
      </c>
      <c r="I1100" s="610">
        <f>I1070-I1099</f>
        <v>10</v>
      </c>
      <c r="J1100" s="610">
        <f>J1070-J1099</f>
        <v>14</v>
      </c>
      <c r="K1100" s="636">
        <f>SUM(F1100:J1100)</f>
        <v>46</v>
      </c>
      <c r="L1100" s="3"/>
    </row>
    <row r="1101" spans="3:12" x14ac:dyDescent="0.2">
      <c r="C1101" s="683"/>
      <c r="D1101" s="593" t="s">
        <v>436</v>
      </c>
      <c r="E1101" s="594"/>
      <c r="F1101" s="581"/>
      <c r="G1101" s="581"/>
      <c r="H1101" s="581"/>
      <c r="I1101" s="581"/>
      <c r="J1101" s="581"/>
      <c r="K1101" s="637">
        <f>K1099+K1100</f>
        <v>276</v>
      </c>
      <c r="L1101" s="3"/>
    </row>
    <row r="1103" spans="3:12" ht="18" x14ac:dyDescent="0.2">
      <c r="C1103" s="685" t="s">
        <v>412</v>
      </c>
      <c r="D1103" s="582">
        <v>45687</v>
      </c>
      <c r="E1103" s="800"/>
      <c r="F1103" s="685" t="s">
        <v>83</v>
      </c>
      <c r="G1103" s="801" t="s">
        <v>66</v>
      </c>
      <c r="H1103" s="802"/>
      <c r="I1103" s="802"/>
      <c r="J1103" s="802"/>
      <c r="K1103" s="803"/>
    </row>
    <row r="1104" spans="3:12" x14ac:dyDescent="0.2">
      <c r="C1104" s="804"/>
      <c r="D1104" s="805"/>
      <c r="E1104" s="800"/>
      <c r="F1104" s="683" t="s">
        <v>93</v>
      </c>
      <c r="G1104" s="683" t="s">
        <v>93</v>
      </c>
      <c r="H1104" s="683"/>
      <c r="I1104" s="806"/>
      <c r="J1104" s="806"/>
      <c r="K1104" s="806"/>
    </row>
    <row r="1105" spans="3:12" x14ac:dyDescent="0.2">
      <c r="C1105" s="804"/>
      <c r="D1105" s="805"/>
      <c r="E1105" s="800"/>
      <c r="F1105" s="683" t="s">
        <v>94</v>
      </c>
      <c r="G1105" s="683" t="s">
        <v>95</v>
      </c>
      <c r="H1105" s="683" t="s">
        <v>96</v>
      </c>
      <c r="I1105" s="806"/>
      <c r="J1105" s="806"/>
      <c r="K1105" s="806"/>
    </row>
    <row r="1106" spans="3:12" x14ac:dyDescent="0.2">
      <c r="C1106" s="804"/>
      <c r="D1106" s="805"/>
      <c r="E1106" s="800"/>
      <c r="F1106" s="683"/>
      <c r="G1106" s="683"/>
      <c r="H1106" s="683"/>
      <c r="I1106" s="806"/>
      <c r="J1106" s="806"/>
      <c r="K1106" s="806"/>
    </row>
    <row r="1107" spans="3:12" ht="16" x14ac:dyDescent="0.2">
      <c r="C1107" s="683"/>
      <c r="D1107" s="583" t="s">
        <v>97</v>
      </c>
      <c r="E1107" s="584"/>
      <c r="F1107" s="581"/>
      <c r="G1107" s="585"/>
      <c r="H1107" s="585"/>
      <c r="I1107" s="586"/>
      <c r="J1107" s="586"/>
      <c r="K1107" s="586"/>
    </row>
    <row r="1108" spans="3:12" ht="26" x14ac:dyDescent="0.2">
      <c r="C1108" s="804"/>
      <c r="D1108" s="587"/>
      <c r="E1108" s="588"/>
      <c r="F1108" s="585" t="s">
        <v>383</v>
      </c>
      <c r="G1108" s="585" t="s">
        <v>384</v>
      </c>
      <c r="H1108" s="585" t="s">
        <v>385</v>
      </c>
      <c r="I1108" s="585" t="s">
        <v>386</v>
      </c>
      <c r="J1108" s="585" t="s">
        <v>387</v>
      </c>
      <c r="K1108" s="585" t="s">
        <v>84</v>
      </c>
    </row>
    <row r="1109" spans="3:12" x14ac:dyDescent="0.2">
      <c r="C1109" s="804"/>
      <c r="D1109" s="684" t="s">
        <v>167</v>
      </c>
      <c r="E1109" s="588"/>
      <c r="F1109" s="580"/>
      <c r="G1109" s="579"/>
      <c r="H1109" s="580"/>
      <c r="I1109" s="580"/>
      <c r="J1109" s="580"/>
      <c r="K1109" s="580">
        <f>SUM(F1109:J1109)</f>
        <v>0</v>
      </c>
    </row>
    <row r="1110" spans="3:12" x14ac:dyDescent="0.2">
      <c r="C1110" s="804"/>
      <c r="D1110" s="684" t="s">
        <v>207</v>
      </c>
      <c r="E1110" s="588"/>
      <c r="F1110" s="618"/>
      <c r="G1110" s="619"/>
      <c r="H1110" s="618"/>
      <c r="I1110" s="618"/>
      <c r="J1110" s="618"/>
      <c r="K1110" s="618">
        <f>SUM(F1110:J1110)</f>
        <v>0</v>
      </c>
    </row>
    <row r="1111" spans="3:12" x14ac:dyDescent="0.2">
      <c r="C1111" s="683"/>
      <c r="D1111" s="684" t="s">
        <v>100</v>
      </c>
      <c r="E1111" s="588"/>
      <c r="F1111" s="581"/>
      <c r="G1111" s="581"/>
      <c r="H1111" s="581"/>
      <c r="I1111" s="581"/>
      <c r="J1111" s="581"/>
      <c r="K1111" s="581">
        <f>SUM(F1111:J1111)</f>
        <v>0</v>
      </c>
    </row>
    <row r="1112" spans="3:12" x14ac:dyDescent="0.2">
      <c r="C1112" s="683"/>
      <c r="D1112" s="684" t="s">
        <v>101</v>
      </c>
      <c r="E1112" s="588"/>
      <c r="F1112" s="581"/>
      <c r="G1112" s="581">
        <v>1</v>
      </c>
      <c r="H1112" s="581"/>
      <c r="I1112" s="581"/>
      <c r="J1112" s="581">
        <v>1</v>
      </c>
      <c r="K1112" s="581">
        <f>SUM(F1112:J1112)</f>
        <v>2</v>
      </c>
    </row>
    <row r="1113" spans="3:12" ht="16" thickBot="1" x14ac:dyDescent="0.25">
      <c r="C1113" s="683"/>
      <c r="D1113" s="597" t="s">
        <v>102</v>
      </c>
      <c r="E1113" s="598"/>
      <c r="F1113" s="599">
        <v>10</v>
      </c>
      <c r="G1113" s="600">
        <v>12</v>
      </c>
      <c r="H1113" s="600"/>
      <c r="I1113" s="600">
        <v>10</v>
      </c>
      <c r="J1113" s="600">
        <v>14</v>
      </c>
      <c r="K1113" s="600">
        <f>SUM(F1113:J1113)</f>
        <v>46</v>
      </c>
    </row>
    <row r="1114" spans="3:12" ht="17" thickBot="1" x14ac:dyDescent="0.25">
      <c r="C1114" s="605"/>
      <c r="D1114" s="612" t="s">
        <v>84</v>
      </c>
      <c r="E1114" s="613"/>
      <c r="F1114" s="614">
        <f>(F1110+F1113)-F1112-F1111</f>
        <v>10</v>
      </c>
      <c r="G1114" s="615">
        <f>(G1110+G1113)-G1112-G1111</f>
        <v>11</v>
      </c>
      <c r="H1114" s="616">
        <f>(H1110+H1113)-H1112</f>
        <v>0</v>
      </c>
      <c r="I1114" s="615">
        <f>(I1110+I1113)-I1112-I1111</f>
        <v>10</v>
      </c>
      <c r="J1114" s="622">
        <f>(J1110+J1113)-J1112-J1111</f>
        <v>13</v>
      </c>
      <c r="K1114" s="617">
        <f>(K1110+K1113)-K1112-K1111</f>
        <v>44</v>
      </c>
    </row>
    <row r="1115" spans="3:12" ht="16" x14ac:dyDescent="0.2">
      <c r="C1115" s="683"/>
      <c r="D1115" s="608"/>
      <c r="E1115" s="609"/>
      <c r="F1115" s="610"/>
      <c r="G1115" s="595"/>
      <c r="H1115" s="611"/>
      <c r="I1115" s="595"/>
      <c r="J1115" s="595"/>
      <c r="K1115" s="595"/>
    </row>
    <row r="1116" spans="3:12" ht="16" thickBot="1" x14ac:dyDescent="0.25">
      <c r="C1116" s="606" t="s">
        <v>388</v>
      </c>
      <c r="D1116" s="607" t="s">
        <v>103</v>
      </c>
      <c r="E1116" s="603" t="s">
        <v>84</v>
      </c>
      <c r="F1116" s="602"/>
      <c r="G1116" s="602"/>
      <c r="H1116" s="602"/>
      <c r="I1116" s="601"/>
      <c r="J1116" s="601"/>
      <c r="K1116" s="601" t="s">
        <v>84</v>
      </c>
      <c r="L1116" s="174" t="s">
        <v>389</v>
      </c>
    </row>
    <row r="1117" spans="3:12" x14ac:dyDescent="0.2">
      <c r="C1117" s="589"/>
      <c r="D1117" s="604" t="s">
        <v>105</v>
      </c>
      <c r="E1117" s="591">
        <f>(F1117+G1117+H1117+I1117+J1117)*100+(0*230)</f>
        <v>0</v>
      </c>
      <c r="F1117" s="3"/>
      <c r="G1117" s="3"/>
      <c r="H1117" s="3"/>
      <c r="I1117" s="3"/>
      <c r="J1117" s="3"/>
      <c r="K1117" s="628">
        <f t="shared" ref="K1117:K1139" si="52">SUM(F1117:J1117)</f>
        <v>0</v>
      </c>
      <c r="L1117" s="630">
        <f>K1117/4</f>
        <v>0</v>
      </c>
    </row>
    <row r="1118" spans="3:12" x14ac:dyDescent="0.2">
      <c r="C1118" s="589"/>
      <c r="D1118" s="590" t="s">
        <v>390</v>
      </c>
      <c r="E1118" s="591">
        <f>(F1118+G1118+H1118+I1118+J1118)*120</f>
        <v>0</v>
      </c>
      <c r="F1118" s="3"/>
      <c r="G1118" s="3"/>
      <c r="H1118" s="3"/>
      <c r="I1118" s="3"/>
      <c r="J1118" s="3"/>
      <c r="K1118" s="628">
        <f t="shared" si="52"/>
        <v>0</v>
      </c>
      <c r="L1118" s="630">
        <f t="shared" ref="L1118:L1139" si="53">K1118/4</f>
        <v>0</v>
      </c>
    </row>
    <row r="1119" spans="3:12" x14ac:dyDescent="0.2">
      <c r="C1119" s="589"/>
      <c r="D1119" s="590" t="s">
        <v>391</v>
      </c>
      <c r="E1119" s="591">
        <f>(F1119+G1119+H1119+I1119+J1119)*120</f>
        <v>0</v>
      </c>
      <c r="F1119" s="3"/>
      <c r="G1119" s="3"/>
      <c r="H1119" s="3"/>
      <c r="I1119" s="3"/>
      <c r="J1119" s="3"/>
      <c r="K1119" s="628">
        <f t="shared" si="52"/>
        <v>0</v>
      </c>
      <c r="L1119" s="630">
        <f t="shared" si="53"/>
        <v>0</v>
      </c>
    </row>
    <row r="1120" spans="3:12" x14ac:dyDescent="0.2">
      <c r="C1120" s="589"/>
      <c r="D1120" s="590" t="s">
        <v>392</v>
      </c>
      <c r="E1120" s="591">
        <f>(F1120+G1120+H1120+I1120+J1120)*120</f>
        <v>0</v>
      </c>
      <c r="F1120" s="3"/>
      <c r="G1120" s="3"/>
      <c r="H1120" s="3"/>
      <c r="I1120" s="3"/>
      <c r="J1120" s="3"/>
      <c r="K1120" s="628">
        <f t="shared" si="52"/>
        <v>0</v>
      </c>
      <c r="L1120" s="630">
        <f t="shared" si="53"/>
        <v>0</v>
      </c>
    </row>
    <row r="1121" spans="3:12" x14ac:dyDescent="0.2">
      <c r="C1121" s="589"/>
      <c r="D1121" s="590" t="s">
        <v>425</v>
      </c>
      <c r="E1121" s="591">
        <f>(F1121+G1121+H1121+I1121+J1121)*120</f>
        <v>0</v>
      </c>
      <c r="F1121" s="3"/>
      <c r="G1121" s="3"/>
      <c r="H1121" s="3"/>
      <c r="I1121" s="3"/>
      <c r="J1121" s="3"/>
      <c r="K1121" s="628">
        <f t="shared" si="52"/>
        <v>0</v>
      </c>
      <c r="L1121" s="630">
        <f t="shared" si="53"/>
        <v>0</v>
      </c>
    </row>
    <row r="1122" spans="3:12" x14ac:dyDescent="0.2">
      <c r="C1122" s="589"/>
      <c r="D1122" s="590"/>
      <c r="E1122" s="591"/>
      <c r="F1122" s="3"/>
      <c r="G1122" s="3"/>
      <c r="H1122" s="3"/>
      <c r="I1122" s="3"/>
      <c r="J1122" s="3"/>
      <c r="K1122" s="628">
        <f t="shared" si="52"/>
        <v>0</v>
      </c>
      <c r="L1122" s="630">
        <f t="shared" si="53"/>
        <v>0</v>
      </c>
    </row>
    <row r="1123" spans="3:12" x14ac:dyDescent="0.2">
      <c r="C1123" s="589"/>
      <c r="D1123" s="590" t="s">
        <v>108</v>
      </c>
      <c r="E1123" s="591">
        <f>(F1123+G1123+H1123+J1123)*112.7+(I1123*119.6)</f>
        <v>0</v>
      </c>
      <c r="F1123" s="3"/>
      <c r="G1123" s="3"/>
      <c r="H1123" s="3"/>
      <c r="I1123" s="3"/>
      <c r="J1123" s="3"/>
      <c r="K1123" s="628">
        <f t="shared" si="52"/>
        <v>0</v>
      </c>
      <c r="L1123" s="630">
        <f t="shared" si="53"/>
        <v>0</v>
      </c>
    </row>
    <row r="1124" spans="3:12" x14ac:dyDescent="0.2">
      <c r="C1124" s="589"/>
      <c r="D1124" s="590" t="s">
        <v>393</v>
      </c>
      <c r="E1124" s="591">
        <f>(F1124+G1124+H1124+J1124)*112.7+(I1124*119.6)</f>
        <v>0</v>
      </c>
      <c r="F1124" s="3"/>
      <c r="G1124" s="3"/>
      <c r="H1124" s="3"/>
      <c r="I1124" s="3"/>
      <c r="J1124" s="3"/>
      <c r="K1124" s="628">
        <f t="shared" si="52"/>
        <v>0</v>
      </c>
      <c r="L1124" s="630">
        <f t="shared" si="53"/>
        <v>0</v>
      </c>
    </row>
    <row r="1125" spans="3:12" x14ac:dyDescent="0.2">
      <c r="C1125" s="589"/>
      <c r="D1125" s="590" t="s">
        <v>216</v>
      </c>
      <c r="E1125" s="591">
        <f>(F1125+G1125+H1125+J1125)*112.7+(I1125*119.6)</f>
        <v>0</v>
      </c>
      <c r="F1125" s="3"/>
      <c r="G1125" s="3"/>
      <c r="H1125" s="3"/>
      <c r="I1125" s="3"/>
      <c r="J1125" s="3"/>
      <c r="K1125" s="628">
        <f t="shared" si="52"/>
        <v>0</v>
      </c>
      <c r="L1125" s="630">
        <f t="shared" si="53"/>
        <v>0</v>
      </c>
    </row>
    <row r="1126" spans="3:12" x14ac:dyDescent="0.2">
      <c r="C1126" s="589"/>
      <c r="D1126" s="590"/>
      <c r="E1126" s="591"/>
      <c r="F1126" s="3"/>
      <c r="G1126" s="3"/>
      <c r="H1126" s="3"/>
      <c r="I1126" s="3"/>
      <c r="J1126" s="3"/>
      <c r="K1126" s="628">
        <f t="shared" si="52"/>
        <v>0</v>
      </c>
      <c r="L1126" s="630">
        <f t="shared" si="53"/>
        <v>0</v>
      </c>
    </row>
    <row r="1127" spans="3:12" x14ac:dyDescent="0.2">
      <c r="C1127" s="589"/>
      <c r="D1127" s="590" t="s">
        <v>394</v>
      </c>
      <c r="E1127" s="591">
        <f>(F1127+G1127+H1127+I1127+J1127)*120</f>
        <v>0</v>
      </c>
      <c r="F1127" s="3"/>
      <c r="G1127" s="3"/>
      <c r="H1127" s="3"/>
      <c r="I1127" s="3"/>
      <c r="J1127" s="3"/>
      <c r="K1127" s="628">
        <f t="shared" si="52"/>
        <v>0</v>
      </c>
      <c r="L1127" s="630">
        <f t="shared" si="53"/>
        <v>0</v>
      </c>
    </row>
    <row r="1128" spans="3:12" x14ac:dyDescent="0.2">
      <c r="C1128" s="589"/>
      <c r="D1128" s="590" t="s">
        <v>110</v>
      </c>
      <c r="E1128" s="591">
        <f>(F1128+G1128+H1128+J1128)*112.7+(I1128*119.6)</f>
        <v>0</v>
      </c>
      <c r="F1128" s="3"/>
      <c r="G1128" s="3"/>
      <c r="H1128" s="3"/>
      <c r="I1128" s="3"/>
      <c r="J1128" s="3"/>
      <c r="K1128" s="628">
        <f t="shared" si="52"/>
        <v>0</v>
      </c>
      <c r="L1128" s="630">
        <f t="shared" si="53"/>
        <v>0</v>
      </c>
    </row>
    <row r="1129" spans="3:12" x14ac:dyDescent="0.2">
      <c r="C1129" s="589"/>
      <c r="D1129" s="590"/>
      <c r="E1129" s="591"/>
      <c r="F1129" s="3"/>
      <c r="G1129" s="3"/>
      <c r="H1129" s="3"/>
      <c r="I1129" s="3"/>
      <c r="J1129" s="3"/>
      <c r="K1129" s="628">
        <f t="shared" si="52"/>
        <v>0</v>
      </c>
      <c r="L1129" s="630">
        <f t="shared" si="53"/>
        <v>0</v>
      </c>
    </row>
    <row r="1130" spans="3:12" x14ac:dyDescent="0.2">
      <c r="C1130" s="589" t="s">
        <v>634</v>
      </c>
      <c r="D1130" s="590" t="s">
        <v>381</v>
      </c>
      <c r="E1130" s="591">
        <f>(F1130+G1130+H1130+I1130+J1130)*120+(240*4)+(4*45)</f>
        <v>3300</v>
      </c>
      <c r="F1130" s="3">
        <v>4</v>
      </c>
      <c r="G1130" s="3">
        <v>5</v>
      </c>
      <c r="H1130" s="3"/>
      <c r="I1130" s="3">
        <v>4</v>
      </c>
      <c r="J1130" s="3">
        <v>5</v>
      </c>
      <c r="K1130" s="628">
        <f t="shared" si="52"/>
        <v>18</v>
      </c>
      <c r="L1130" s="630">
        <f t="shared" si="53"/>
        <v>4.5</v>
      </c>
    </row>
    <row r="1131" spans="3:12" x14ac:dyDescent="0.2">
      <c r="C1131" s="589" t="s">
        <v>635</v>
      </c>
      <c r="D1131" s="590" t="s">
        <v>276</v>
      </c>
      <c r="E1131" s="591">
        <f>(F1131+G1131+H1131+J1131)*112.7+(I1131*119.6)</f>
        <v>2746.2</v>
      </c>
      <c r="F1131" s="3">
        <v>6</v>
      </c>
      <c r="G1131" s="3">
        <v>6</v>
      </c>
      <c r="H1131" s="3"/>
      <c r="I1131" s="3">
        <v>6</v>
      </c>
      <c r="J1131" s="3">
        <v>6</v>
      </c>
      <c r="K1131" s="628">
        <f t="shared" si="52"/>
        <v>24</v>
      </c>
      <c r="L1131" s="630">
        <f t="shared" si="53"/>
        <v>6</v>
      </c>
    </row>
    <row r="1132" spans="3:12" x14ac:dyDescent="0.2">
      <c r="C1132" s="589"/>
      <c r="D1132" s="590"/>
      <c r="E1132" s="591"/>
      <c r="F1132" s="3"/>
      <c r="G1132" s="3"/>
      <c r="H1132" s="3"/>
      <c r="I1132" s="3"/>
      <c r="J1132" s="3"/>
      <c r="K1132" s="628">
        <f t="shared" si="52"/>
        <v>0</v>
      </c>
      <c r="L1132" s="630">
        <f t="shared" si="53"/>
        <v>0</v>
      </c>
    </row>
    <row r="1133" spans="3:12" x14ac:dyDescent="0.2">
      <c r="C1133" s="589"/>
      <c r="D1133" s="590" t="s">
        <v>75</v>
      </c>
      <c r="E1133" s="591">
        <f>(F1133+G1133+H1133+I1133+J1133)*120</f>
        <v>0</v>
      </c>
      <c r="F1133" s="3"/>
      <c r="G1133" s="3"/>
      <c r="H1133" s="3"/>
      <c r="I1133" s="3"/>
      <c r="J1133" s="3"/>
      <c r="K1133" s="628">
        <f t="shared" si="52"/>
        <v>0</v>
      </c>
      <c r="L1133" s="630">
        <f t="shared" si="53"/>
        <v>0</v>
      </c>
    </row>
    <row r="1134" spans="3:12" x14ac:dyDescent="0.2">
      <c r="C1134" s="589"/>
      <c r="D1134" s="590" t="s">
        <v>278</v>
      </c>
      <c r="E1134" s="591">
        <f>(F1134+G1134+H1134+I1134+J1134)*120</f>
        <v>0</v>
      </c>
      <c r="F1134" s="3"/>
      <c r="G1134" s="3"/>
      <c r="H1134" s="3"/>
      <c r="I1134" s="3"/>
      <c r="J1134" s="3"/>
      <c r="K1134" s="628">
        <f t="shared" si="52"/>
        <v>0</v>
      </c>
      <c r="L1134" s="630">
        <f t="shared" si="53"/>
        <v>0</v>
      </c>
    </row>
    <row r="1135" spans="3:12" x14ac:dyDescent="0.2">
      <c r="C1135" s="589"/>
      <c r="D1135" s="590" t="s">
        <v>270</v>
      </c>
      <c r="E1135" s="591">
        <f>(F1135+G1135+H1135+I1135)*112.7+(J1135*119.6)</f>
        <v>0</v>
      </c>
      <c r="F1135" s="3"/>
      <c r="G1135" s="3"/>
      <c r="H1135" s="3"/>
      <c r="I1135" s="3"/>
      <c r="J1135" s="3"/>
      <c r="K1135" s="628">
        <f t="shared" si="52"/>
        <v>0</v>
      </c>
      <c r="L1135" s="630">
        <f t="shared" si="53"/>
        <v>0</v>
      </c>
    </row>
    <row r="1136" spans="3:12" x14ac:dyDescent="0.2">
      <c r="C1136" s="589"/>
      <c r="D1136" s="590" t="s">
        <v>274</v>
      </c>
      <c r="E1136" s="591">
        <f>(F1136+G1136+H1136+I1136)*112.7+(J1136*119.6)</f>
        <v>0</v>
      </c>
      <c r="F1136" s="3"/>
      <c r="G1136" s="3"/>
      <c r="H1136" s="3"/>
      <c r="I1136" s="3"/>
      <c r="J1136" s="3"/>
      <c r="K1136" s="628">
        <f t="shared" si="52"/>
        <v>0</v>
      </c>
      <c r="L1136" s="630">
        <f t="shared" si="53"/>
        <v>0</v>
      </c>
    </row>
    <row r="1137" spans="3:12" x14ac:dyDescent="0.2">
      <c r="C1137" s="589"/>
      <c r="D1137" s="590" t="s">
        <v>395</v>
      </c>
      <c r="E1137" s="591">
        <f>(F1137+G1137+H1137+I1137)*112.7+(J1137*119.6)</f>
        <v>0</v>
      </c>
      <c r="F1137" s="3"/>
      <c r="G1137" s="3"/>
      <c r="H1137" s="3"/>
      <c r="I1137" s="3"/>
      <c r="J1137" s="3"/>
      <c r="K1137" s="628">
        <f t="shared" si="52"/>
        <v>0</v>
      </c>
      <c r="L1137" s="630">
        <f t="shared" si="53"/>
        <v>0</v>
      </c>
    </row>
    <row r="1138" spans="3:12" x14ac:dyDescent="0.2">
      <c r="C1138" s="683"/>
      <c r="D1138" s="590" t="s">
        <v>112</v>
      </c>
      <c r="E1138" s="591">
        <f>(F1138+G1138+H1138+I1138)*112.7+(J1138*119.6)</f>
        <v>0</v>
      </c>
      <c r="F1138" s="3"/>
      <c r="G1138" s="3"/>
      <c r="H1138" s="3"/>
      <c r="I1138" s="3"/>
      <c r="J1138" s="3"/>
      <c r="K1138" s="628">
        <f t="shared" si="52"/>
        <v>0</v>
      </c>
      <c r="L1138" s="630">
        <f t="shared" si="53"/>
        <v>0</v>
      </c>
    </row>
    <row r="1139" spans="3:12" x14ac:dyDescent="0.2">
      <c r="C1139" s="683"/>
      <c r="D1139" s="590" t="s">
        <v>72</v>
      </c>
      <c r="E1139" s="591">
        <f>(F1139+G1139+H1139+I1139)*112.7+(J1139*119.6)</f>
        <v>0</v>
      </c>
      <c r="F1139" s="3"/>
      <c r="G1139" s="3"/>
      <c r="H1139" s="3"/>
      <c r="I1139" s="3"/>
      <c r="J1139" s="3"/>
      <c r="K1139" s="628">
        <f t="shared" si="52"/>
        <v>0</v>
      </c>
      <c r="L1139" s="630">
        <f t="shared" si="53"/>
        <v>0</v>
      </c>
    </row>
    <row r="1140" spans="3:12" x14ac:dyDescent="0.2">
      <c r="C1140" s="683"/>
      <c r="D1140" s="590" t="s">
        <v>187</v>
      </c>
      <c r="E1140" s="591"/>
      <c r="F1140" s="3"/>
      <c r="G1140" s="3"/>
      <c r="H1140" s="3"/>
      <c r="I1140" s="3"/>
      <c r="J1140" s="3">
        <v>2</v>
      </c>
      <c r="K1140" s="628">
        <f>SUM(F1140:J1140)</f>
        <v>2</v>
      </c>
      <c r="L1140" s="3"/>
    </row>
    <row r="1141" spans="3:12" ht="16" x14ac:dyDescent="0.2">
      <c r="C1141" s="683"/>
      <c r="D1141" s="590"/>
      <c r="E1141" s="592"/>
      <c r="F1141" s="3"/>
      <c r="G1141" s="3"/>
      <c r="H1141" s="3"/>
      <c r="I1141" s="3"/>
      <c r="J1141" s="3"/>
      <c r="K1141" s="628">
        <f>SUM(F1141:J1141)</f>
        <v>0</v>
      </c>
      <c r="L1141" s="3"/>
    </row>
    <row r="1142" spans="3:12" ht="17" thickBot="1" x14ac:dyDescent="0.25">
      <c r="C1142" s="683"/>
      <c r="D1142" s="590"/>
      <c r="E1142" s="624"/>
      <c r="F1142" s="69"/>
      <c r="G1142" s="69"/>
      <c r="H1142" s="69"/>
      <c r="I1142" s="69"/>
      <c r="J1142" s="69"/>
      <c r="K1142" s="629"/>
      <c r="L1142" s="3"/>
    </row>
    <row r="1143" spans="3:12" ht="16" thickBot="1" x14ac:dyDescent="0.25">
      <c r="C1143" s="596"/>
      <c r="D1143" s="623" t="s">
        <v>19</v>
      </c>
      <c r="E1143" s="625">
        <f>SUM(E1117:E1140)</f>
        <v>6046.2</v>
      </c>
      <c r="F1143" s="614">
        <f>SUM(F1117:F1142)</f>
        <v>10</v>
      </c>
      <c r="G1143" s="614">
        <f>SUM(G1117:G1142)</f>
        <v>11</v>
      </c>
      <c r="H1143" s="614">
        <f>SUM(H1117:H1142)</f>
        <v>0</v>
      </c>
      <c r="I1143" s="614">
        <f>SUM(I1117:I1142)</f>
        <v>10</v>
      </c>
      <c r="J1143" s="614">
        <f>SUM(J1117:J1142)</f>
        <v>13</v>
      </c>
      <c r="K1143" s="626">
        <f>SUM(F1143:J1143)</f>
        <v>44</v>
      </c>
      <c r="L1143" s="631">
        <f>SUM(L1117:L1142)</f>
        <v>10.5</v>
      </c>
    </row>
    <row r="1144" spans="3:12" x14ac:dyDescent="0.2">
      <c r="C1144" s="596"/>
      <c r="D1144" s="593" t="s">
        <v>113</v>
      </c>
      <c r="E1144" s="620"/>
      <c r="F1144" s="610">
        <f>F1114-F1143</f>
        <v>0</v>
      </c>
      <c r="G1144" s="610">
        <f>G1114-G1143</f>
        <v>0</v>
      </c>
      <c r="H1144" s="610">
        <f>H1114-H1143</f>
        <v>0</v>
      </c>
      <c r="I1144" s="610">
        <f>I1114-I1143</f>
        <v>0</v>
      </c>
      <c r="J1144" s="610">
        <f>J1114-J1143</f>
        <v>0</v>
      </c>
      <c r="K1144" s="636">
        <f>SUM(F1144:J1144)</f>
        <v>0</v>
      </c>
      <c r="L1144" s="3"/>
    </row>
    <row r="1145" spans="3:12" x14ac:dyDescent="0.2">
      <c r="C1145" s="683"/>
      <c r="D1145" s="593" t="s">
        <v>436</v>
      </c>
      <c r="E1145" s="594"/>
      <c r="F1145" s="581"/>
      <c r="G1145" s="581"/>
      <c r="H1145" s="581"/>
      <c r="I1145" s="581"/>
      <c r="J1145" s="581"/>
      <c r="K1145" s="637">
        <f>K1143+K1144</f>
        <v>44</v>
      </c>
      <c r="L1145" s="3"/>
    </row>
    <row r="1147" spans="3:12" ht="18" x14ac:dyDescent="0.2">
      <c r="C1147" s="685" t="s">
        <v>412</v>
      </c>
      <c r="D1147" s="582">
        <v>45688</v>
      </c>
      <c r="E1147" s="800"/>
      <c r="F1147" s="685" t="s">
        <v>83</v>
      </c>
      <c r="G1147" s="801" t="s">
        <v>67</v>
      </c>
      <c r="H1147" s="802"/>
      <c r="I1147" s="802"/>
      <c r="J1147" s="802"/>
      <c r="K1147" s="803"/>
    </row>
    <row r="1148" spans="3:12" x14ac:dyDescent="0.2">
      <c r="C1148" s="804"/>
      <c r="D1148" s="805"/>
      <c r="E1148" s="800"/>
      <c r="F1148" s="683" t="s">
        <v>93</v>
      </c>
      <c r="G1148" s="683" t="s">
        <v>93</v>
      </c>
      <c r="H1148" s="683"/>
      <c r="I1148" s="806"/>
      <c r="J1148" s="806"/>
      <c r="K1148" s="806"/>
    </row>
    <row r="1149" spans="3:12" x14ac:dyDescent="0.2">
      <c r="C1149" s="804"/>
      <c r="D1149" s="805"/>
      <c r="E1149" s="800"/>
      <c r="F1149" s="683" t="s">
        <v>94</v>
      </c>
      <c r="G1149" s="683" t="s">
        <v>95</v>
      </c>
      <c r="H1149" s="683" t="s">
        <v>96</v>
      </c>
      <c r="I1149" s="806"/>
      <c r="J1149" s="806"/>
      <c r="K1149" s="806"/>
    </row>
    <row r="1150" spans="3:12" x14ac:dyDescent="0.2">
      <c r="C1150" s="804"/>
      <c r="D1150" s="805"/>
      <c r="E1150" s="800"/>
      <c r="F1150" s="683"/>
      <c r="G1150" s="683"/>
      <c r="H1150" s="683"/>
      <c r="I1150" s="806"/>
      <c r="J1150" s="806"/>
      <c r="K1150" s="806"/>
    </row>
    <row r="1151" spans="3:12" ht="16" x14ac:dyDescent="0.2">
      <c r="C1151" s="683"/>
      <c r="D1151" s="583" t="s">
        <v>97</v>
      </c>
      <c r="E1151" s="584"/>
      <c r="F1151" s="581"/>
      <c r="G1151" s="585"/>
      <c r="H1151" s="585"/>
      <c r="I1151" s="586"/>
      <c r="J1151" s="586"/>
      <c r="K1151" s="586"/>
    </row>
    <row r="1152" spans="3:12" ht="26" x14ac:dyDescent="0.2">
      <c r="C1152" s="804"/>
      <c r="D1152" s="587"/>
      <c r="E1152" s="588"/>
      <c r="F1152" s="585" t="s">
        <v>383</v>
      </c>
      <c r="G1152" s="585" t="s">
        <v>384</v>
      </c>
      <c r="H1152" s="585" t="s">
        <v>385</v>
      </c>
      <c r="I1152" s="585" t="s">
        <v>386</v>
      </c>
      <c r="J1152" s="585" t="s">
        <v>387</v>
      </c>
      <c r="K1152" s="585" t="s">
        <v>84</v>
      </c>
    </row>
    <row r="1153" spans="3:12" x14ac:dyDescent="0.2">
      <c r="C1153" s="804"/>
      <c r="D1153" s="684" t="s">
        <v>167</v>
      </c>
      <c r="E1153" s="588"/>
      <c r="F1153" s="580">
        <v>15</v>
      </c>
      <c r="G1153" s="579">
        <v>8</v>
      </c>
      <c r="H1153" s="580">
        <v>5</v>
      </c>
      <c r="I1153" s="580">
        <v>5</v>
      </c>
      <c r="J1153" s="580">
        <v>11</v>
      </c>
      <c r="K1153" s="580">
        <f>SUM(F1153:J1153)</f>
        <v>44</v>
      </c>
    </row>
    <row r="1154" spans="3:12" x14ac:dyDescent="0.2">
      <c r="C1154" s="804"/>
      <c r="D1154" s="684" t="s">
        <v>207</v>
      </c>
      <c r="E1154" s="588"/>
      <c r="F1154" s="618">
        <f>15*7</f>
        <v>105</v>
      </c>
      <c r="G1154" s="619">
        <v>56</v>
      </c>
      <c r="H1154" s="618">
        <v>35</v>
      </c>
      <c r="I1154" s="618">
        <v>55</v>
      </c>
      <c r="J1154" s="618">
        <v>92</v>
      </c>
      <c r="K1154" s="618">
        <f>SUM(F1154:J1154)</f>
        <v>343</v>
      </c>
    </row>
    <row r="1155" spans="3:12" x14ac:dyDescent="0.2">
      <c r="C1155" s="683"/>
      <c r="D1155" s="684" t="s">
        <v>100</v>
      </c>
      <c r="E1155" s="588"/>
      <c r="F1155" s="581"/>
      <c r="G1155" s="581"/>
      <c r="H1155" s="581"/>
      <c r="I1155" s="581"/>
      <c r="J1155" s="581"/>
      <c r="K1155" s="581">
        <f>SUM(F1155:J1155)</f>
        <v>0</v>
      </c>
    </row>
    <row r="1156" spans="3:12" x14ac:dyDescent="0.2">
      <c r="C1156" s="683"/>
      <c r="D1156" s="684" t="s">
        <v>101</v>
      </c>
      <c r="E1156" s="588"/>
      <c r="F1156" s="581">
        <v>3</v>
      </c>
      <c r="G1156" s="581">
        <v>2</v>
      </c>
      <c r="H1156" s="581">
        <v>1</v>
      </c>
      <c r="I1156" s="581"/>
      <c r="J1156" s="581"/>
      <c r="K1156" s="581">
        <f>SUM(F1156:J1156)</f>
        <v>6</v>
      </c>
    </row>
    <row r="1157" spans="3:12" ht="16" thickBot="1" x14ac:dyDescent="0.25">
      <c r="C1157" s="683"/>
      <c r="D1157" s="597" t="s">
        <v>102</v>
      </c>
      <c r="E1157" s="598"/>
      <c r="F1157" s="599"/>
      <c r="G1157" s="600">
        <v>2</v>
      </c>
      <c r="H1157" s="600"/>
      <c r="I1157" s="600"/>
      <c r="J1157" s="600"/>
      <c r="K1157" s="600">
        <f>SUM(F1157:J1157)</f>
        <v>2</v>
      </c>
    </row>
    <row r="1158" spans="3:12" ht="17" thickBot="1" x14ac:dyDescent="0.25">
      <c r="C1158" s="605"/>
      <c r="D1158" s="612" t="s">
        <v>84</v>
      </c>
      <c r="E1158" s="613"/>
      <c r="F1158" s="614">
        <f>(F1154+F1157)-F1156-F1155</f>
        <v>102</v>
      </c>
      <c r="G1158" s="615">
        <f>(G1154+G1157)-G1156-G1155</f>
        <v>56</v>
      </c>
      <c r="H1158" s="616">
        <f>(H1154+H1157)-H1156</f>
        <v>34</v>
      </c>
      <c r="I1158" s="615">
        <f>(I1154+I1157)-I1156-I1155</f>
        <v>55</v>
      </c>
      <c r="J1158" s="622">
        <f>(J1154+J1157)-J1156-J1155</f>
        <v>92</v>
      </c>
      <c r="K1158" s="617">
        <f>(K1154+K1157)-K1156-K1155</f>
        <v>339</v>
      </c>
    </row>
    <row r="1159" spans="3:12" ht="16" x14ac:dyDescent="0.2">
      <c r="C1159" s="683"/>
      <c r="D1159" s="608"/>
      <c r="E1159" s="609"/>
      <c r="F1159" s="610"/>
      <c r="G1159" s="595"/>
      <c r="H1159" s="611"/>
      <c r="I1159" s="595"/>
      <c r="J1159" s="595"/>
      <c r="K1159" s="595"/>
    </row>
    <row r="1160" spans="3:12" ht="16" thickBot="1" x14ac:dyDescent="0.25">
      <c r="C1160" s="606" t="s">
        <v>388</v>
      </c>
      <c r="D1160" s="607" t="s">
        <v>103</v>
      </c>
      <c r="E1160" s="603" t="s">
        <v>84</v>
      </c>
      <c r="F1160" s="602"/>
      <c r="G1160" s="602"/>
      <c r="H1160" s="602"/>
      <c r="I1160" s="601"/>
      <c r="J1160" s="601"/>
      <c r="K1160" s="601" t="s">
        <v>84</v>
      </c>
      <c r="L1160" s="174" t="s">
        <v>389</v>
      </c>
    </row>
    <row r="1161" spans="3:12" x14ac:dyDescent="0.2">
      <c r="C1161" s="589" t="s">
        <v>641</v>
      </c>
      <c r="D1161" s="604" t="s">
        <v>105</v>
      </c>
      <c r="E1161" s="591">
        <f>(F1161+G1161+H1161+I1161+J1161)*100+(0*230)</f>
        <v>5800</v>
      </c>
      <c r="F1161" s="3">
        <v>16</v>
      </c>
      <c r="G1161" s="3">
        <v>8</v>
      </c>
      <c r="H1161" s="3">
        <v>10</v>
      </c>
      <c r="I1161" s="3">
        <v>4</v>
      </c>
      <c r="J1161" s="3">
        <v>20</v>
      </c>
      <c r="K1161" s="628">
        <f t="shared" ref="K1161:K1183" si="54">SUM(F1161:J1161)</f>
        <v>58</v>
      </c>
      <c r="L1161" s="630">
        <f>K1161/4</f>
        <v>14.5</v>
      </c>
    </row>
    <row r="1162" spans="3:12" x14ac:dyDescent="0.2">
      <c r="C1162" s="589"/>
      <c r="D1162" s="590" t="s">
        <v>390</v>
      </c>
      <c r="E1162" s="591">
        <f>(F1162+G1162+H1162+I1162+J1162)*120</f>
        <v>0</v>
      </c>
      <c r="F1162" s="3"/>
      <c r="G1162" s="3"/>
      <c r="H1162" s="3"/>
      <c r="I1162" s="3"/>
      <c r="J1162" s="3"/>
      <c r="K1162" s="628">
        <f t="shared" si="54"/>
        <v>0</v>
      </c>
      <c r="L1162" s="630">
        <f t="shared" ref="L1162:L1183" si="55">K1162/4</f>
        <v>0</v>
      </c>
    </row>
    <row r="1163" spans="3:12" x14ac:dyDescent="0.2">
      <c r="C1163" s="589"/>
      <c r="D1163" s="590" t="s">
        <v>391</v>
      </c>
      <c r="E1163" s="591">
        <f>(F1163+G1163+H1163+I1163+J1163)*120</f>
        <v>0</v>
      </c>
      <c r="F1163" s="3"/>
      <c r="G1163" s="3"/>
      <c r="H1163" s="3"/>
      <c r="I1163" s="3"/>
      <c r="J1163" s="3"/>
      <c r="K1163" s="628">
        <f t="shared" si="54"/>
        <v>0</v>
      </c>
      <c r="L1163" s="630">
        <f t="shared" si="55"/>
        <v>0</v>
      </c>
    </row>
    <row r="1164" spans="3:12" x14ac:dyDescent="0.2">
      <c r="C1164" s="589" t="s">
        <v>642</v>
      </c>
      <c r="D1164" s="590" t="s">
        <v>392</v>
      </c>
      <c r="E1164" s="591">
        <f>(F1164+G1164+H1164+I1164+J1164)*120</f>
        <v>2400</v>
      </c>
      <c r="F1164" s="3">
        <v>6</v>
      </c>
      <c r="G1164" s="3">
        <v>2</v>
      </c>
      <c r="H1164" s="3">
        <v>6</v>
      </c>
      <c r="I1164" s="3"/>
      <c r="J1164" s="3">
        <v>6</v>
      </c>
      <c r="K1164" s="628">
        <f t="shared" si="54"/>
        <v>20</v>
      </c>
      <c r="L1164" s="630">
        <f t="shared" si="55"/>
        <v>5</v>
      </c>
    </row>
    <row r="1165" spans="3:12" x14ac:dyDescent="0.2">
      <c r="C1165" s="589"/>
      <c r="D1165" s="590" t="s">
        <v>425</v>
      </c>
      <c r="E1165" s="591">
        <f>(F1165+G1165+H1165+I1165+J1165)*120</f>
        <v>0</v>
      </c>
      <c r="F1165" s="3"/>
      <c r="G1165" s="3"/>
      <c r="H1165" s="3"/>
      <c r="I1165" s="3"/>
      <c r="J1165" s="3"/>
      <c r="K1165" s="628">
        <f t="shared" si="54"/>
        <v>0</v>
      </c>
      <c r="L1165" s="630">
        <f t="shared" si="55"/>
        <v>0</v>
      </c>
    </row>
    <row r="1166" spans="3:12" x14ac:dyDescent="0.2">
      <c r="C1166" s="589"/>
      <c r="D1166" s="590"/>
      <c r="E1166" s="591"/>
      <c r="F1166" s="3"/>
      <c r="G1166" s="3"/>
      <c r="H1166" s="3"/>
      <c r="I1166" s="3"/>
      <c r="J1166" s="3"/>
      <c r="K1166" s="628">
        <f t="shared" si="54"/>
        <v>0</v>
      </c>
      <c r="L1166" s="630">
        <f t="shared" si="55"/>
        <v>0</v>
      </c>
    </row>
    <row r="1167" spans="3:12" x14ac:dyDescent="0.2">
      <c r="C1167" s="589" t="s">
        <v>644</v>
      </c>
      <c r="D1167" s="590" t="s">
        <v>108</v>
      </c>
      <c r="E1167" s="591">
        <f>(F1167+G1167+H1167+J1167)*112.7+(I1167*119.6)</f>
        <v>5041.6000000000004</v>
      </c>
      <c r="F1167" s="3">
        <v>10</v>
      </c>
      <c r="G1167" s="3">
        <v>6</v>
      </c>
      <c r="H1167" s="3">
        <v>6</v>
      </c>
      <c r="I1167" s="3">
        <v>12</v>
      </c>
      <c r="J1167" s="3">
        <v>10</v>
      </c>
      <c r="K1167" s="628">
        <f t="shared" si="54"/>
        <v>44</v>
      </c>
      <c r="L1167" s="630">
        <f t="shared" si="55"/>
        <v>11</v>
      </c>
    </row>
    <row r="1168" spans="3:12" x14ac:dyDescent="0.2">
      <c r="C1168" s="589" t="s">
        <v>643</v>
      </c>
      <c r="D1168" s="590" t="s">
        <v>393</v>
      </c>
      <c r="E1168" s="591">
        <f>(F1168+G1168+H1168+J1168)*112.7+(I1168*119.6)</f>
        <v>2612.8000000000002</v>
      </c>
      <c r="F1168" s="3">
        <v>9</v>
      </c>
      <c r="G1168" s="3">
        <v>4</v>
      </c>
      <c r="H1168" s="3">
        <v>4</v>
      </c>
      <c r="I1168" s="3">
        <v>3</v>
      </c>
      <c r="J1168" s="3">
        <v>3</v>
      </c>
      <c r="K1168" s="628">
        <f t="shared" si="54"/>
        <v>23</v>
      </c>
      <c r="L1168" s="630">
        <f t="shared" si="55"/>
        <v>5.75</v>
      </c>
    </row>
    <row r="1169" spans="3:12" x14ac:dyDescent="0.2">
      <c r="C1169" s="589" t="s">
        <v>646</v>
      </c>
      <c r="D1169" s="590" t="s">
        <v>216</v>
      </c>
      <c r="E1169" s="591">
        <f>(F1169+G1169+H1169+J1169)*112.7+(I1169*119.6)</f>
        <v>3661.6000000000004</v>
      </c>
      <c r="F1169" s="3">
        <v>8</v>
      </c>
      <c r="G1169" s="3">
        <v>8</v>
      </c>
      <c r="H1169" s="3"/>
      <c r="I1169" s="3">
        <v>8</v>
      </c>
      <c r="J1169" s="3">
        <v>8</v>
      </c>
      <c r="K1169" s="628">
        <f t="shared" si="54"/>
        <v>32</v>
      </c>
      <c r="L1169" s="630">
        <f t="shared" si="55"/>
        <v>8</v>
      </c>
    </row>
    <row r="1170" spans="3:12" x14ac:dyDescent="0.2">
      <c r="C1170" s="589"/>
      <c r="D1170" s="590"/>
      <c r="E1170" s="591"/>
      <c r="F1170" s="3"/>
      <c r="G1170" s="3"/>
      <c r="H1170" s="3"/>
      <c r="I1170" s="3"/>
      <c r="J1170" s="3"/>
      <c r="K1170" s="628">
        <f t="shared" si="54"/>
        <v>0</v>
      </c>
      <c r="L1170" s="630">
        <f t="shared" si="55"/>
        <v>0</v>
      </c>
    </row>
    <row r="1171" spans="3:12" x14ac:dyDescent="0.2">
      <c r="C1171" s="589" t="s">
        <v>634</v>
      </c>
      <c r="D1171" s="590" t="s">
        <v>394</v>
      </c>
      <c r="E1171" s="591">
        <f>(F1171+G1171+H1171+I1171+J1171)*120</f>
        <v>5760</v>
      </c>
      <c r="F1171" s="3">
        <v>12</v>
      </c>
      <c r="G1171" s="3">
        <v>8</v>
      </c>
      <c r="H1171" s="3">
        <v>8</v>
      </c>
      <c r="I1171" s="3">
        <v>8</v>
      </c>
      <c r="J1171" s="3">
        <v>12</v>
      </c>
      <c r="K1171" s="628">
        <f t="shared" si="54"/>
        <v>48</v>
      </c>
      <c r="L1171" s="630">
        <f t="shared" si="55"/>
        <v>12</v>
      </c>
    </row>
    <row r="1172" spans="3:12" x14ac:dyDescent="0.2">
      <c r="C1172" s="589" t="s">
        <v>645</v>
      </c>
      <c r="D1172" s="590" t="s">
        <v>110</v>
      </c>
      <c r="E1172" s="591">
        <f>(F1172+G1172+H1172+J1172)*112.7+(I1172*119.6)</f>
        <v>10957.2</v>
      </c>
      <c r="F1172" s="3">
        <v>40</v>
      </c>
      <c r="G1172" s="3">
        <v>16</v>
      </c>
      <c r="H1172" s="3"/>
      <c r="I1172" s="3">
        <v>20</v>
      </c>
      <c r="J1172" s="3">
        <v>20</v>
      </c>
      <c r="K1172" s="628">
        <f t="shared" si="54"/>
        <v>96</v>
      </c>
      <c r="L1172" s="630">
        <f t="shared" si="55"/>
        <v>24</v>
      </c>
    </row>
    <row r="1173" spans="3:12" x14ac:dyDescent="0.2">
      <c r="C1173" s="589"/>
      <c r="D1173" s="590"/>
      <c r="E1173" s="591"/>
      <c r="F1173" s="3"/>
      <c r="G1173" s="3"/>
      <c r="H1173" s="3"/>
      <c r="I1173" s="3"/>
      <c r="J1173" s="3"/>
      <c r="K1173" s="628">
        <f t="shared" si="54"/>
        <v>0</v>
      </c>
      <c r="L1173" s="630">
        <f t="shared" si="55"/>
        <v>0</v>
      </c>
    </row>
    <row r="1174" spans="3:12" x14ac:dyDescent="0.2">
      <c r="C1174" s="589"/>
      <c r="D1174" s="590" t="s">
        <v>381</v>
      </c>
      <c r="E1174" s="591">
        <f>(F1174+G1174+H1174+I1174+J1174)*120+(240*0)+(0*45)</f>
        <v>0</v>
      </c>
      <c r="F1174" s="3"/>
      <c r="G1174" s="3"/>
      <c r="H1174" s="3"/>
      <c r="I1174" s="3"/>
      <c r="J1174" s="3"/>
      <c r="K1174" s="628">
        <f t="shared" si="54"/>
        <v>0</v>
      </c>
      <c r="L1174" s="630">
        <f t="shared" si="55"/>
        <v>0</v>
      </c>
    </row>
    <row r="1175" spans="3:12" x14ac:dyDescent="0.2">
      <c r="C1175" s="589"/>
      <c r="D1175" s="590" t="s">
        <v>276</v>
      </c>
      <c r="E1175" s="591">
        <f>(F1175+G1175+H1175+J1175)*112.7+(I1175*119.6)</f>
        <v>0</v>
      </c>
      <c r="F1175" s="3"/>
      <c r="G1175" s="3"/>
      <c r="H1175" s="3"/>
      <c r="I1175" s="3"/>
      <c r="J1175" s="3"/>
      <c r="K1175" s="628">
        <f t="shared" si="54"/>
        <v>0</v>
      </c>
      <c r="L1175" s="630">
        <f t="shared" si="55"/>
        <v>0</v>
      </c>
    </row>
    <row r="1176" spans="3:12" x14ac:dyDescent="0.2">
      <c r="C1176" s="589"/>
      <c r="D1176" s="590"/>
      <c r="E1176" s="591"/>
      <c r="F1176" s="3"/>
      <c r="G1176" s="3"/>
      <c r="H1176" s="3"/>
      <c r="I1176" s="3"/>
      <c r="J1176" s="3"/>
      <c r="K1176" s="628">
        <f t="shared" si="54"/>
        <v>0</v>
      </c>
      <c r="L1176" s="630">
        <f t="shared" si="55"/>
        <v>0</v>
      </c>
    </row>
    <row r="1177" spans="3:12" x14ac:dyDescent="0.2">
      <c r="C1177" s="589"/>
      <c r="D1177" s="590" t="s">
        <v>75</v>
      </c>
      <c r="E1177" s="591">
        <f>(F1177+G1177+H1177+I1177+J1177)*120</f>
        <v>0</v>
      </c>
      <c r="F1177" s="3"/>
      <c r="G1177" s="3"/>
      <c r="H1177" s="3"/>
      <c r="I1177" s="3"/>
      <c r="J1177" s="3"/>
      <c r="K1177" s="628">
        <f t="shared" si="54"/>
        <v>0</v>
      </c>
      <c r="L1177" s="630">
        <f t="shared" si="55"/>
        <v>0</v>
      </c>
    </row>
    <row r="1178" spans="3:12" x14ac:dyDescent="0.2">
      <c r="C1178" s="589"/>
      <c r="D1178" s="590" t="s">
        <v>278</v>
      </c>
      <c r="E1178" s="591">
        <f>(F1178+G1178+H1178+I1178+J1178)*120</f>
        <v>0</v>
      </c>
      <c r="F1178" s="3"/>
      <c r="G1178" s="3"/>
      <c r="H1178" s="3"/>
      <c r="I1178" s="3"/>
      <c r="J1178" s="3"/>
      <c r="K1178" s="628">
        <f t="shared" si="54"/>
        <v>0</v>
      </c>
      <c r="L1178" s="630">
        <f t="shared" si="55"/>
        <v>0</v>
      </c>
    </row>
    <row r="1179" spans="3:12" x14ac:dyDescent="0.2">
      <c r="C1179" s="589"/>
      <c r="D1179" s="590" t="s">
        <v>270</v>
      </c>
      <c r="E1179" s="591">
        <f>(F1179+G1179+H1179+I1179)*112.7+(J1179*119.6)</f>
        <v>0</v>
      </c>
      <c r="F1179" s="3"/>
      <c r="G1179" s="3"/>
      <c r="H1179" s="3"/>
      <c r="I1179" s="3"/>
      <c r="J1179" s="3"/>
      <c r="K1179" s="628">
        <f t="shared" si="54"/>
        <v>0</v>
      </c>
      <c r="L1179" s="630">
        <f t="shared" si="55"/>
        <v>0</v>
      </c>
    </row>
    <row r="1180" spans="3:12" x14ac:dyDescent="0.2">
      <c r="C1180" s="589"/>
      <c r="D1180" s="590" t="s">
        <v>274</v>
      </c>
      <c r="E1180" s="591">
        <f>(F1180+G1180+H1180+I1180)*112.7+(J1180*119.6)</f>
        <v>0</v>
      </c>
      <c r="F1180" s="3"/>
      <c r="G1180" s="3"/>
      <c r="H1180" s="3"/>
      <c r="I1180" s="3"/>
      <c r="J1180" s="3"/>
      <c r="K1180" s="628">
        <f t="shared" si="54"/>
        <v>0</v>
      </c>
      <c r="L1180" s="630">
        <f t="shared" si="55"/>
        <v>0</v>
      </c>
    </row>
    <row r="1181" spans="3:12" x14ac:dyDescent="0.2">
      <c r="C1181" s="589"/>
      <c r="D1181" s="590" t="s">
        <v>395</v>
      </c>
      <c r="E1181" s="591">
        <f>(F1181+G1181+H1181+I1181)*112.7+(J1181*119.6)</f>
        <v>0</v>
      </c>
      <c r="F1181" s="3"/>
      <c r="G1181" s="3"/>
      <c r="H1181" s="3"/>
      <c r="I1181" s="3"/>
      <c r="J1181" s="3"/>
      <c r="K1181" s="628">
        <f t="shared" si="54"/>
        <v>0</v>
      </c>
      <c r="L1181" s="630">
        <f t="shared" si="55"/>
        <v>0</v>
      </c>
    </row>
    <row r="1182" spans="3:12" x14ac:dyDescent="0.2">
      <c r="C1182" s="683"/>
      <c r="D1182" s="590" t="s">
        <v>112</v>
      </c>
      <c r="E1182" s="591">
        <f>(F1182+G1182+H1182+I1182)*112.7+(J1182*119.6)</f>
        <v>0</v>
      </c>
      <c r="F1182" s="3"/>
      <c r="G1182" s="3"/>
      <c r="H1182" s="3"/>
      <c r="I1182" s="3"/>
      <c r="J1182" s="3"/>
      <c r="K1182" s="628">
        <f t="shared" si="54"/>
        <v>0</v>
      </c>
      <c r="L1182" s="630">
        <f t="shared" si="55"/>
        <v>0</v>
      </c>
    </row>
    <row r="1183" spans="3:12" x14ac:dyDescent="0.2">
      <c r="C1183" s="683"/>
      <c r="D1183" s="590" t="s">
        <v>72</v>
      </c>
      <c r="E1183" s="591">
        <f>(F1183+G1183+H1183+I1183)*112.7+(J1183*119.6)</f>
        <v>0</v>
      </c>
      <c r="F1183" s="3"/>
      <c r="G1183" s="3"/>
      <c r="H1183" s="3"/>
      <c r="I1183" s="3"/>
      <c r="J1183" s="3"/>
      <c r="K1183" s="628">
        <f t="shared" si="54"/>
        <v>0</v>
      </c>
      <c r="L1183" s="630">
        <f t="shared" si="55"/>
        <v>0</v>
      </c>
    </row>
    <row r="1184" spans="3:12" x14ac:dyDescent="0.2">
      <c r="C1184" s="683"/>
      <c r="D1184" s="590" t="s">
        <v>187</v>
      </c>
      <c r="E1184" s="591"/>
      <c r="F1184" s="3"/>
      <c r="G1184" s="3">
        <v>2</v>
      </c>
      <c r="H1184" s="3"/>
      <c r="I1184" s="3"/>
      <c r="J1184" s="3">
        <v>8</v>
      </c>
      <c r="K1184" s="628">
        <f>SUM(F1184:J1184)</f>
        <v>10</v>
      </c>
      <c r="L1184" s="3"/>
    </row>
    <row r="1185" spans="3:12" ht="16" x14ac:dyDescent="0.2">
      <c r="C1185" s="683"/>
      <c r="D1185" s="590" t="s">
        <v>647</v>
      </c>
      <c r="E1185" s="592"/>
      <c r="F1185" s="3"/>
      <c r="G1185" s="3">
        <v>2</v>
      </c>
      <c r="H1185" s="3"/>
      <c r="I1185" s="3"/>
      <c r="J1185" s="3">
        <v>4</v>
      </c>
      <c r="K1185" s="628">
        <f>SUM(F1185:J1185)</f>
        <v>6</v>
      </c>
      <c r="L1185" s="3"/>
    </row>
    <row r="1186" spans="3:12" ht="17" thickBot="1" x14ac:dyDescent="0.25">
      <c r="C1186" s="683"/>
      <c r="D1186" s="590"/>
      <c r="E1186" s="624"/>
      <c r="F1186" s="69"/>
      <c r="G1186" s="69"/>
      <c r="H1186" s="69"/>
      <c r="I1186" s="69"/>
      <c r="J1186" s="69"/>
      <c r="K1186" s="629"/>
      <c r="L1186" s="3"/>
    </row>
    <row r="1187" spans="3:12" ht="16" thickBot="1" x14ac:dyDescent="0.25">
      <c r="C1187" s="596"/>
      <c r="D1187" s="623" t="s">
        <v>19</v>
      </c>
      <c r="E1187" s="625">
        <f>SUM(E1161:E1184)</f>
        <v>36233.199999999997</v>
      </c>
      <c r="F1187" s="614">
        <f>SUM(F1161:F1186)</f>
        <v>101</v>
      </c>
      <c r="G1187" s="614">
        <f>SUM(G1161:G1186)</f>
        <v>56</v>
      </c>
      <c r="H1187" s="614">
        <f>SUM(H1161:H1186)</f>
        <v>34</v>
      </c>
      <c r="I1187" s="614">
        <f>SUM(I1161:I1186)</f>
        <v>55</v>
      </c>
      <c r="J1187" s="614">
        <f>SUM(J1161:J1186)</f>
        <v>91</v>
      </c>
      <c r="K1187" s="626">
        <f>SUM(F1187:J1187)</f>
        <v>337</v>
      </c>
      <c r="L1187" s="631">
        <f>SUM(L1161:L1186)</f>
        <v>80.25</v>
      </c>
    </row>
    <row r="1188" spans="3:12" x14ac:dyDescent="0.2">
      <c r="C1188" s="596"/>
      <c r="D1188" s="593" t="s">
        <v>113</v>
      </c>
      <c r="E1188" s="620"/>
      <c r="F1188" s="610">
        <f>F1158-F1187</f>
        <v>1</v>
      </c>
      <c r="G1188" s="610">
        <f>G1158-G1187</f>
        <v>0</v>
      </c>
      <c r="H1188" s="610">
        <f>H1158-H1187</f>
        <v>0</v>
      </c>
      <c r="I1188" s="610">
        <f>I1158-I1187</f>
        <v>0</v>
      </c>
      <c r="J1188" s="610">
        <f>J1158-J1187</f>
        <v>1</v>
      </c>
      <c r="K1188" s="636">
        <f>SUM(F1188:J1188)</f>
        <v>2</v>
      </c>
      <c r="L1188" s="3"/>
    </row>
    <row r="1189" spans="3:12" x14ac:dyDescent="0.2">
      <c r="C1189" s="683"/>
      <c r="D1189" s="593" t="s">
        <v>436</v>
      </c>
      <c r="E1189" s="594"/>
      <c r="F1189" s="581"/>
      <c r="G1189" s="581"/>
      <c r="H1189" s="581"/>
      <c r="I1189" s="581"/>
      <c r="J1189" s="581"/>
      <c r="K1189" s="637">
        <f>K1187+K1188</f>
        <v>339</v>
      </c>
      <c r="L1189" s="3"/>
    </row>
    <row r="1191" spans="3:12" ht="18" x14ac:dyDescent="0.2">
      <c r="C1191" s="685" t="s">
        <v>412</v>
      </c>
      <c r="D1191" s="582">
        <v>45689</v>
      </c>
      <c r="E1191" s="800"/>
      <c r="F1191" s="685" t="s">
        <v>83</v>
      </c>
      <c r="G1191" s="801" t="s">
        <v>68</v>
      </c>
      <c r="H1191" s="802"/>
      <c r="I1191" s="802"/>
      <c r="J1191" s="802"/>
      <c r="K1191" s="803"/>
    </row>
    <row r="1192" spans="3:12" x14ac:dyDescent="0.2">
      <c r="C1192" s="804"/>
      <c r="D1192" s="805"/>
      <c r="E1192" s="800"/>
      <c r="F1192" s="683" t="s">
        <v>93</v>
      </c>
      <c r="G1192" s="683" t="s">
        <v>93</v>
      </c>
      <c r="H1192" s="683"/>
      <c r="I1192" s="806"/>
      <c r="J1192" s="806"/>
      <c r="K1192" s="806"/>
    </row>
    <row r="1193" spans="3:12" x14ac:dyDescent="0.2">
      <c r="C1193" s="804"/>
      <c r="D1193" s="805"/>
      <c r="E1193" s="800"/>
      <c r="F1193" s="683" t="s">
        <v>94</v>
      </c>
      <c r="G1193" s="683" t="s">
        <v>95</v>
      </c>
      <c r="H1193" s="683" t="s">
        <v>96</v>
      </c>
      <c r="I1193" s="806"/>
      <c r="J1193" s="806"/>
      <c r="K1193" s="806"/>
    </row>
    <row r="1194" spans="3:12" x14ac:dyDescent="0.2">
      <c r="C1194" s="804"/>
      <c r="D1194" s="805"/>
      <c r="E1194" s="800"/>
      <c r="F1194" s="683"/>
      <c r="G1194" s="683"/>
      <c r="H1194" s="683"/>
      <c r="I1194" s="806"/>
      <c r="J1194" s="806"/>
      <c r="K1194" s="806"/>
    </row>
    <row r="1195" spans="3:12" ht="16" x14ac:dyDescent="0.2">
      <c r="C1195" s="683"/>
      <c r="D1195" s="583" t="s">
        <v>97</v>
      </c>
      <c r="E1195" s="584"/>
      <c r="F1195" s="581"/>
      <c r="G1195" s="585"/>
      <c r="H1195" s="585"/>
      <c r="I1195" s="586"/>
      <c r="J1195" s="586"/>
      <c r="K1195" s="586"/>
    </row>
    <row r="1196" spans="3:12" ht="26" x14ac:dyDescent="0.2">
      <c r="C1196" s="804"/>
      <c r="D1196" s="587"/>
      <c r="E1196" s="588"/>
      <c r="F1196" s="585" t="s">
        <v>383</v>
      </c>
      <c r="G1196" s="585" t="s">
        <v>384</v>
      </c>
      <c r="H1196" s="585" t="s">
        <v>385</v>
      </c>
      <c r="I1196" s="585" t="s">
        <v>386</v>
      </c>
      <c r="J1196" s="585" t="s">
        <v>387</v>
      </c>
      <c r="K1196" s="585" t="s">
        <v>84</v>
      </c>
    </row>
    <row r="1197" spans="3:12" x14ac:dyDescent="0.2">
      <c r="C1197" s="804"/>
      <c r="D1197" s="684" t="s">
        <v>167</v>
      </c>
      <c r="E1197" s="588"/>
      <c r="F1197" s="580">
        <v>10</v>
      </c>
      <c r="G1197" s="579">
        <v>4</v>
      </c>
      <c r="H1197" s="580"/>
      <c r="I1197" s="580">
        <v>1</v>
      </c>
      <c r="J1197" s="580">
        <v>2</v>
      </c>
      <c r="K1197" s="580">
        <f>SUM(F1197:J1197)</f>
        <v>17</v>
      </c>
    </row>
    <row r="1198" spans="3:12" x14ac:dyDescent="0.2">
      <c r="C1198" s="804"/>
      <c r="D1198" s="684" t="s">
        <v>207</v>
      </c>
      <c r="E1198" s="588"/>
      <c r="F1198" s="618">
        <v>70</v>
      </c>
      <c r="G1198" s="619">
        <v>28</v>
      </c>
      <c r="H1198" s="618"/>
      <c r="I1198" s="618">
        <v>11</v>
      </c>
      <c r="J1198" s="618">
        <v>18</v>
      </c>
      <c r="K1198" s="618">
        <f>SUM(F1198:J1198)</f>
        <v>127</v>
      </c>
    </row>
    <row r="1199" spans="3:12" x14ac:dyDescent="0.2">
      <c r="C1199" s="683"/>
      <c r="D1199" s="684" t="s">
        <v>100</v>
      </c>
      <c r="E1199" s="588"/>
      <c r="F1199" s="581"/>
      <c r="G1199" s="581"/>
      <c r="H1199" s="581"/>
      <c r="I1199" s="581"/>
      <c r="J1199" s="581"/>
      <c r="K1199" s="581">
        <f>SUM(F1199:J1199)</f>
        <v>0</v>
      </c>
    </row>
    <row r="1200" spans="3:12" x14ac:dyDescent="0.2">
      <c r="C1200" s="683"/>
      <c r="D1200" s="684" t="s">
        <v>101</v>
      </c>
      <c r="E1200" s="588"/>
      <c r="F1200" s="581"/>
      <c r="G1200" s="581"/>
      <c r="H1200" s="581"/>
      <c r="I1200" s="581"/>
      <c r="J1200" s="581"/>
      <c r="K1200" s="581">
        <f>SUM(F1200:J1200)</f>
        <v>0</v>
      </c>
    </row>
    <row r="1201" spans="3:12" ht="16" thickBot="1" x14ac:dyDescent="0.25">
      <c r="C1201" s="683"/>
      <c r="D1201" s="597" t="s">
        <v>102</v>
      </c>
      <c r="E1201" s="598"/>
      <c r="F1201" s="599">
        <v>9</v>
      </c>
      <c r="G1201" s="600">
        <v>9</v>
      </c>
      <c r="H1201" s="600"/>
      <c r="I1201" s="600">
        <v>10</v>
      </c>
      <c r="J1201" s="600">
        <v>10</v>
      </c>
      <c r="K1201" s="600">
        <f>SUM(F1201:J1201)</f>
        <v>38</v>
      </c>
    </row>
    <row r="1202" spans="3:12" ht="17" thickBot="1" x14ac:dyDescent="0.25">
      <c r="C1202" s="605"/>
      <c r="D1202" s="612" t="s">
        <v>84</v>
      </c>
      <c r="E1202" s="613"/>
      <c r="F1202" s="614">
        <f>(F1198+F1201)-F1200-F1199</f>
        <v>79</v>
      </c>
      <c r="G1202" s="615">
        <f>(G1198+G1201)-G1200-G1199</f>
        <v>37</v>
      </c>
      <c r="H1202" s="616">
        <f>(H1198+H1201)-H1200</f>
        <v>0</v>
      </c>
      <c r="I1202" s="615">
        <f>(I1198+I1201)-I1200-I1199</f>
        <v>21</v>
      </c>
      <c r="J1202" s="622">
        <f>(J1198+J1201)-J1200-J1199</f>
        <v>28</v>
      </c>
      <c r="K1202" s="617">
        <f>(K1198+K1201)-K1200-K1199</f>
        <v>165</v>
      </c>
    </row>
    <row r="1203" spans="3:12" ht="16" x14ac:dyDescent="0.2">
      <c r="C1203" s="683"/>
      <c r="D1203" s="608"/>
      <c r="E1203" s="609"/>
      <c r="F1203" s="610"/>
      <c r="G1203" s="595"/>
      <c r="H1203" s="611"/>
      <c r="I1203" s="595"/>
      <c r="J1203" s="595"/>
      <c r="K1203" s="595"/>
    </row>
    <row r="1204" spans="3:12" ht="16" thickBot="1" x14ac:dyDescent="0.25">
      <c r="C1204" s="606" t="s">
        <v>388</v>
      </c>
      <c r="D1204" s="607" t="s">
        <v>103</v>
      </c>
      <c r="E1204" s="603" t="s">
        <v>84</v>
      </c>
      <c r="F1204" s="602"/>
      <c r="G1204" s="602"/>
      <c r="H1204" s="602"/>
      <c r="I1204" s="601"/>
      <c r="J1204" s="601"/>
      <c r="K1204" s="601" t="s">
        <v>84</v>
      </c>
      <c r="L1204" s="174" t="s">
        <v>389</v>
      </c>
    </row>
    <row r="1205" spans="3:12" x14ac:dyDescent="0.2">
      <c r="C1205" s="589" t="s">
        <v>650</v>
      </c>
      <c r="D1205" s="604" t="s">
        <v>105</v>
      </c>
      <c r="E1205" s="591">
        <f>(F1205+G1205+H1205+I1205+J1205)*100+(7*230)</f>
        <v>5210</v>
      </c>
      <c r="F1205" s="3">
        <v>8</v>
      </c>
      <c r="G1205" s="3">
        <v>10</v>
      </c>
      <c r="H1205" s="3"/>
      <c r="I1205" s="3"/>
      <c r="J1205" s="3">
        <v>18</v>
      </c>
      <c r="K1205" s="628">
        <f t="shared" ref="K1205:K1227" si="56">SUM(F1205:J1205)</f>
        <v>36</v>
      </c>
      <c r="L1205" s="630">
        <f>K1205/4</f>
        <v>9</v>
      </c>
    </row>
    <row r="1206" spans="3:12" x14ac:dyDescent="0.2">
      <c r="C1206" s="589"/>
      <c r="D1206" s="590" t="s">
        <v>390</v>
      </c>
      <c r="E1206" s="591">
        <f>(F1206+G1206+H1206+I1206+J1206)*120</f>
        <v>0</v>
      </c>
      <c r="F1206" s="3"/>
      <c r="G1206" s="3"/>
      <c r="H1206" s="3"/>
      <c r="I1206" s="3"/>
      <c r="J1206" s="3"/>
      <c r="K1206" s="628">
        <f t="shared" si="56"/>
        <v>0</v>
      </c>
      <c r="L1206" s="630">
        <f t="shared" ref="L1206:L1227" si="57">K1206/4</f>
        <v>0</v>
      </c>
    </row>
    <row r="1207" spans="3:12" x14ac:dyDescent="0.2">
      <c r="C1207" s="589"/>
      <c r="D1207" s="590" t="s">
        <v>391</v>
      </c>
      <c r="E1207" s="591">
        <f>(F1207+G1207+H1207+I1207+J1207)*120</f>
        <v>0</v>
      </c>
      <c r="F1207" s="3"/>
      <c r="G1207" s="3"/>
      <c r="H1207" s="3"/>
      <c r="I1207" s="3"/>
      <c r="J1207" s="3"/>
      <c r="K1207" s="628">
        <f t="shared" si="56"/>
        <v>0</v>
      </c>
      <c r="L1207" s="630">
        <f t="shared" si="57"/>
        <v>0</v>
      </c>
    </row>
    <row r="1208" spans="3:12" x14ac:dyDescent="0.2">
      <c r="C1208" s="589"/>
      <c r="D1208" s="590" t="s">
        <v>392</v>
      </c>
      <c r="E1208" s="591">
        <f>(F1208+G1208+H1208+I1208+J1208)*120</f>
        <v>0</v>
      </c>
      <c r="F1208" s="3"/>
      <c r="G1208" s="3"/>
      <c r="H1208" s="3"/>
      <c r="I1208" s="3"/>
      <c r="J1208" s="3"/>
      <c r="K1208" s="628">
        <f t="shared" si="56"/>
        <v>0</v>
      </c>
      <c r="L1208" s="630">
        <f t="shared" si="57"/>
        <v>0</v>
      </c>
    </row>
    <row r="1209" spans="3:12" x14ac:dyDescent="0.2">
      <c r="C1209" s="589"/>
      <c r="D1209" s="590" t="s">
        <v>425</v>
      </c>
      <c r="E1209" s="591">
        <f>(F1209+G1209+H1209+I1209+J1209)*120</f>
        <v>0</v>
      </c>
      <c r="F1209" s="3"/>
      <c r="G1209" s="3"/>
      <c r="H1209" s="3"/>
      <c r="I1209" s="3"/>
      <c r="J1209" s="3"/>
      <c r="K1209" s="628">
        <f t="shared" si="56"/>
        <v>0</v>
      </c>
      <c r="L1209" s="630">
        <f t="shared" si="57"/>
        <v>0</v>
      </c>
    </row>
    <row r="1210" spans="3:12" x14ac:dyDescent="0.2">
      <c r="C1210" s="589"/>
      <c r="D1210" s="590"/>
      <c r="E1210" s="591"/>
      <c r="F1210" s="3"/>
      <c r="G1210" s="3"/>
      <c r="H1210" s="3"/>
      <c r="I1210" s="3"/>
      <c r="J1210" s="3"/>
      <c r="K1210" s="628">
        <f t="shared" si="56"/>
        <v>0</v>
      </c>
      <c r="L1210" s="630">
        <f t="shared" si="57"/>
        <v>0</v>
      </c>
    </row>
    <row r="1211" spans="3:12" x14ac:dyDescent="0.2">
      <c r="C1211" s="589"/>
      <c r="D1211" s="590" t="s">
        <v>108</v>
      </c>
      <c r="E1211" s="591">
        <f>(F1211+G1211+H1211+J1211)*112.7+(I1211*119.6)</f>
        <v>0</v>
      </c>
      <c r="F1211" s="3"/>
      <c r="G1211" s="3"/>
      <c r="H1211" s="3"/>
      <c r="I1211" s="3"/>
      <c r="J1211" s="3"/>
      <c r="K1211" s="628">
        <f t="shared" si="56"/>
        <v>0</v>
      </c>
      <c r="L1211" s="630">
        <f t="shared" si="57"/>
        <v>0</v>
      </c>
    </row>
    <row r="1212" spans="3:12" x14ac:dyDescent="0.2">
      <c r="C1212" s="589"/>
      <c r="D1212" s="590" t="s">
        <v>393</v>
      </c>
      <c r="E1212" s="591">
        <f>(F1212+G1212+H1212+J1212)*112.7+(I1212*119.6)</f>
        <v>0</v>
      </c>
      <c r="F1212" s="3"/>
      <c r="G1212" s="3"/>
      <c r="H1212" s="3"/>
      <c r="I1212" s="3"/>
      <c r="J1212" s="3"/>
      <c r="K1212" s="628">
        <f t="shared" si="56"/>
        <v>0</v>
      </c>
      <c r="L1212" s="630">
        <f t="shared" si="57"/>
        <v>0</v>
      </c>
    </row>
    <row r="1213" spans="3:12" x14ac:dyDescent="0.2">
      <c r="C1213" s="589"/>
      <c r="D1213" s="590" t="s">
        <v>216</v>
      </c>
      <c r="E1213" s="591">
        <f>(F1213+G1213+H1213+J1213)*112.7+(I1213*119.6)</f>
        <v>0</v>
      </c>
      <c r="F1213" s="3"/>
      <c r="G1213" s="3"/>
      <c r="H1213" s="3"/>
      <c r="I1213" s="3"/>
      <c r="J1213" s="3"/>
      <c r="K1213" s="628">
        <f t="shared" si="56"/>
        <v>0</v>
      </c>
      <c r="L1213" s="630">
        <f t="shared" si="57"/>
        <v>0</v>
      </c>
    </row>
    <row r="1214" spans="3:12" x14ac:dyDescent="0.2">
      <c r="C1214" s="589"/>
      <c r="D1214" s="590"/>
      <c r="E1214" s="591"/>
      <c r="F1214" s="3"/>
      <c r="G1214" s="3"/>
      <c r="H1214" s="3"/>
      <c r="I1214" s="3"/>
      <c r="J1214" s="3"/>
      <c r="K1214" s="628">
        <f t="shared" si="56"/>
        <v>0</v>
      </c>
      <c r="L1214" s="630">
        <f t="shared" si="57"/>
        <v>0</v>
      </c>
    </row>
    <row r="1215" spans="3:12" x14ac:dyDescent="0.2">
      <c r="C1215" s="589"/>
      <c r="D1215" s="590" t="s">
        <v>394</v>
      </c>
      <c r="E1215" s="591">
        <f>(F1215+G1215+H1215+I1215+J1215)*120</f>
        <v>0</v>
      </c>
      <c r="F1215" s="3"/>
      <c r="G1215" s="3"/>
      <c r="H1215" s="3"/>
      <c r="I1215" s="3"/>
      <c r="J1215" s="3"/>
      <c r="K1215" s="628">
        <f t="shared" si="56"/>
        <v>0</v>
      </c>
      <c r="L1215" s="630">
        <f t="shared" si="57"/>
        <v>0</v>
      </c>
    </row>
    <row r="1216" spans="3:12" x14ac:dyDescent="0.2">
      <c r="C1216" s="589" t="s">
        <v>649</v>
      </c>
      <c r="D1216" s="590" t="s">
        <v>110</v>
      </c>
      <c r="E1216" s="591">
        <f>(F1216+G1216+H1216+J1216)*112.7+(I1216*119.6)</f>
        <v>9880.8000000000011</v>
      </c>
      <c r="F1216" s="3">
        <v>60</v>
      </c>
      <c r="G1216" s="3">
        <v>16</v>
      </c>
      <c r="H1216" s="3"/>
      <c r="I1216" s="3">
        <v>11</v>
      </c>
      <c r="J1216" s="3"/>
      <c r="K1216" s="628">
        <f t="shared" si="56"/>
        <v>87</v>
      </c>
      <c r="L1216" s="630">
        <f t="shared" si="57"/>
        <v>21.75</v>
      </c>
    </row>
    <row r="1217" spans="3:12" x14ac:dyDescent="0.2">
      <c r="C1217" s="589"/>
      <c r="D1217" s="590"/>
      <c r="E1217" s="591"/>
      <c r="F1217" s="3"/>
      <c r="G1217" s="3"/>
      <c r="H1217" s="3"/>
      <c r="I1217" s="3"/>
      <c r="J1217" s="3"/>
      <c r="K1217" s="628">
        <f t="shared" si="56"/>
        <v>0</v>
      </c>
      <c r="L1217" s="630">
        <f t="shared" si="57"/>
        <v>0</v>
      </c>
    </row>
    <row r="1218" spans="3:12" x14ac:dyDescent="0.2">
      <c r="C1218" s="589" t="s">
        <v>651</v>
      </c>
      <c r="D1218" s="590" t="s">
        <v>381</v>
      </c>
      <c r="E1218" s="591">
        <f>(F1218+G1218+H1218+I1218+J1218)*120+(240*4)+(4*45)</f>
        <v>3300</v>
      </c>
      <c r="F1218" s="3">
        <v>5</v>
      </c>
      <c r="G1218" s="3">
        <v>5</v>
      </c>
      <c r="H1218" s="3"/>
      <c r="I1218" s="3">
        <v>4</v>
      </c>
      <c r="J1218" s="3">
        <v>4</v>
      </c>
      <c r="K1218" s="628">
        <f t="shared" si="56"/>
        <v>18</v>
      </c>
      <c r="L1218" s="630">
        <f t="shared" si="57"/>
        <v>4.5</v>
      </c>
    </row>
    <row r="1219" spans="3:12" x14ac:dyDescent="0.2">
      <c r="C1219" s="589" t="s">
        <v>635</v>
      </c>
      <c r="D1219" s="590" t="s">
        <v>276</v>
      </c>
      <c r="E1219" s="591">
        <f>(F1219+G1219+H1219+J1219)*112.7+(I1219*119.6)</f>
        <v>2746.2</v>
      </c>
      <c r="F1219" s="3">
        <v>6</v>
      </c>
      <c r="G1219" s="3">
        <v>6</v>
      </c>
      <c r="H1219" s="3"/>
      <c r="I1219" s="3">
        <v>6</v>
      </c>
      <c r="J1219" s="3">
        <v>6</v>
      </c>
      <c r="K1219" s="628">
        <f t="shared" si="56"/>
        <v>24</v>
      </c>
      <c r="L1219" s="630">
        <f t="shared" si="57"/>
        <v>6</v>
      </c>
    </row>
    <row r="1220" spans="3:12" x14ac:dyDescent="0.2">
      <c r="C1220" s="589"/>
      <c r="D1220" s="590"/>
      <c r="E1220" s="591"/>
      <c r="F1220" s="3"/>
      <c r="G1220" s="3"/>
      <c r="H1220" s="3"/>
      <c r="I1220" s="3"/>
      <c r="J1220" s="3"/>
      <c r="K1220" s="628">
        <f t="shared" si="56"/>
        <v>0</v>
      </c>
      <c r="L1220" s="630">
        <f t="shared" si="57"/>
        <v>0</v>
      </c>
    </row>
    <row r="1221" spans="3:12" x14ac:dyDescent="0.2">
      <c r="C1221" s="589"/>
      <c r="D1221" s="590" t="s">
        <v>75</v>
      </c>
      <c r="E1221" s="591">
        <f>(F1221+G1221+H1221+I1221+J1221)*120</f>
        <v>0</v>
      </c>
      <c r="F1221" s="3"/>
      <c r="G1221" s="3"/>
      <c r="H1221" s="3"/>
      <c r="I1221" s="3"/>
      <c r="J1221" s="3"/>
      <c r="K1221" s="628">
        <f t="shared" si="56"/>
        <v>0</v>
      </c>
      <c r="L1221" s="630">
        <f t="shared" si="57"/>
        <v>0</v>
      </c>
    </row>
    <row r="1222" spans="3:12" x14ac:dyDescent="0.2">
      <c r="C1222" s="589"/>
      <c r="D1222" s="590" t="s">
        <v>278</v>
      </c>
      <c r="E1222" s="591">
        <f>(F1222+G1222+H1222+I1222+J1222)*120</f>
        <v>0</v>
      </c>
      <c r="F1222" s="3"/>
      <c r="G1222" s="3"/>
      <c r="H1222" s="3"/>
      <c r="I1222" s="3"/>
      <c r="J1222" s="3"/>
      <c r="K1222" s="628">
        <f t="shared" si="56"/>
        <v>0</v>
      </c>
      <c r="L1222" s="630">
        <f t="shared" si="57"/>
        <v>0</v>
      </c>
    </row>
    <row r="1223" spans="3:12" x14ac:dyDescent="0.2">
      <c r="C1223" s="589"/>
      <c r="D1223" s="590" t="s">
        <v>270</v>
      </c>
      <c r="E1223" s="591">
        <f>(F1223+G1223+H1223+I1223)*112.7+(J1223*119.6)</f>
        <v>0</v>
      </c>
      <c r="F1223" s="3"/>
      <c r="G1223" s="3"/>
      <c r="H1223" s="3"/>
      <c r="I1223" s="3"/>
      <c r="J1223" s="3"/>
      <c r="K1223" s="628">
        <f t="shared" si="56"/>
        <v>0</v>
      </c>
      <c r="L1223" s="630">
        <f t="shared" si="57"/>
        <v>0</v>
      </c>
    </row>
    <row r="1224" spans="3:12" x14ac:dyDescent="0.2">
      <c r="C1224" s="589"/>
      <c r="D1224" s="590" t="s">
        <v>274</v>
      </c>
      <c r="E1224" s="591">
        <f>(F1224+G1224+H1224+I1224)*112.7+(J1224*119.6)</f>
        <v>0</v>
      </c>
      <c r="F1224" s="3"/>
      <c r="G1224" s="3"/>
      <c r="H1224" s="3"/>
      <c r="I1224" s="3"/>
      <c r="J1224" s="3"/>
      <c r="K1224" s="628">
        <f t="shared" si="56"/>
        <v>0</v>
      </c>
      <c r="L1224" s="630">
        <f t="shared" si="57"/>
        <v>0</v>
      </c>
    </row>
    <row r="1225" spans="3:12" x14ac:dyDescent="0.2">
      <c r="C1225" s="589"/>
      <c r="D1225" s="590" t="s">
        <v>395</v>
      </c>
      <c r="E1225" s="591">
        <f>(F1225+G1225+H1225+I1225)*112.7+(J1225*119.6)</f>
        <v>0</v>
      </c>
      <c r="F1225" s="3"/>
      <c r="G1225" s="3"/>
      <c r="H1225" s="3"/>
      <c r="I1225" s="3"/>
      <c r="J1225" s="3"/>
      <c r="K1225" s="628">
        <f t="shared" si="56"/>
        <v>0</v>
      </c>
      <c r="L1225" s="630">
        <f t="shared" si="57"/>
        <v>0</v>
      </c>
    </row>
    <row r="1226" spans="3:12" x14ac:dyDescent="0.2">
      <c r="C1226" s="683"/>
      <c r="D1226" s="590" t="s">
        <v>112</v>
      </c>
      <c r="E1226" s="591">
        <f>(F1226+G1226+H1226+I1226)*112.7+(J1226*119.6)</f>
        <v>0</v>
      </c>
      <c r="F1226" s="3"/>
      <c r="G1226" s="3"/>
      <c r="H1226" s="3"/>
      <c r="I1226" s="3"/>
      <c r="J1226" s="3"/>
      <c r="K1226" s="628">
        <f t="shared" si="56"/>
        <v>0</v>
      </c>
      <c r="L1226" s="630">
        <f t="shared" si="57"/>
        <v>0</v>
      </c>
    </row>
    <row r="1227" spans="3:12" x14ac:dyDescent="0.2">
      <c r="C1227" s="683"/>
      <c r="D1227" s="590" t="s">
        <v>72</v>
      </c>
      <c r="E1227" s="591">
        <f>(F1227+G1227+H1227+I1227)*112.7+(J1227*119.6)</f>
        <v>0</v>
      </c>
      <c r="F1227" s="3"/>
      <c r="G1227" s="3"/>
      <c r="H1227" s="3"/>
      <c r="I1227" s="3"/>
      <c r="J1227" s="3"/>
      <c r="K1227" s="628">
        <f t="shared" si="56"/>
        <v>0</v>
      </c>
      <c r="L1227" s="630">
        <f t="shared" si="57"/>
        <v>0</v>
      </c>
    </row>
    <row r="1228" spans="3:12" x14ac:dyDescent="0.2">
      <c r="C1228" s="683"/>
      <c r="D1228" s="590" t="s">
        <v>187</v>
      </c>
      <c r="E1228" s="591"/>
      <c r="F1228" s="3"/>
      <c r="G1228" s="3"/>
      <c r="H1228" s="3"/>
      <c r="I1228" s="3"/>
      <c r="J1228" s="3"/>
      <c r="K1228" s="628">
        <f>SUM(F1228:J1228)</f>
        <v>0</v>
      </c>
      <c r="L1228" s="3"/>
    </row>
    <row r="1229" spans="3:12" ht="16" x14ac:dyDescent="0.2">
      <c r="C1229" s="683"/>
      <c r="D1229" s="590" t="s">
        <v>647</v>
      </c>
      <c r="E1229" s="592"/>
      <c r="F1229" s="3"/>
      <c r="G1229" s="3"/>
      <c r="H1229" s="3"/>
      <c r="I1229" s="3"/>
      <c r="J1229" s="3"/>
      <c r="K1229" s="628">
        <f>SUM(F1229:J1229)</f>
        <v>0</v>
      </c>
      <c r="L1229" s="3"/>
    </row>
    <row r="1230" spans="3:12" ht="17" thickBot="1" x14ac:dyDescent="0.25">
      <c r="C1230" s="683"/>
      <c r="D1230" s="590"/>
      <c r="E1230" s="624"/>
      <c r="F1230" s="69"/>
      <c r="G1230" s="69"/>
      <c r="H1230" s="69"/>
      <c r="I1230" s="69"/>
      <c r="J1230" s="69"/>
      <c r="K1230" s="629"/>
      <c r="L1230" s="3"/>
    </row>
    <row r="1231" spans="3:12" ht="16" thickBot="1" x14ac:dyDescent="0.25">
      <c r="C1231" s="596"/>
      <c r="D1231" s="623" t="s">
        <v>19</v>
      </c>
      <c r="E1231" s="625">
        <f>SUM(E1205:E1228)</f>
        <v>21137.000000000004</v>
      </c>
      <c r="F1231" s="614">
        <f>SUM(F1205:F1230)</f>
        <v>79</v>
      </c>
      <c r="G1231" s="614">
        <f>SUM(G1205:G1230)</f>
        <v>37</v>
      </c>
      <c r="H1231" s="614">
        <f>SUM(H1205:H1230)</f>
        <v>0</v>
      </c>
      <c r="I1231" s="614">
        <f>SUM(I1205:I1230)</f>
        <v>21</v>
      </c>
      <c r="J1231" s="614">
        <f>SUM(J1205:J1230)</f>
        <v>28</v>
      </c>
      <c r="K1231" s="626">
        <f>SUM(F1231:J1231)</f>
        <v>165</v>
      </c>
      <c r="L1231" s="631">
        <f>SUM(L1205:L1230)</f>
        <v>41.25</v>
      </c>
    </row>
    <row r="1232" spans="3:12" x14ac:dyDescent="0.2">
      <c r="C1232" s="596"/>
      <c r="D1232" s="593" t="s">
        <v>113</v>
      </c>
      <c r="E1232" s="620"/>
      <c r="F1232" s="610">
        <f>F1202-F1231</f>
        <v>0</v>
      </c>
      <c r="G1232" s="610">
        <f>G1202-G1231</f>
        <v>0</v>
      </c>
      <c r="H1232" s="610">
        <f>H1202-H1231</f>
        <v>0</v>
      </c>
      <c r="I1232" s="610">
        <f>I1202-I1231</f>
        <v>0</v>
      </c>
      <c r="J1232" s="610">
        <f>J1202-J1231</f>
        <v>0</v>
      </c>
      <c r="K1232" s="636">
        <f>SUM(F1232:J1232)</f>
        <v>0</v>
      </c>
      <c r="L1232" s="3"/>
    </row>
    <row r="1233" spans="3:12" x14ac:dyDescent="0.2">
      <c r="C1233" s="683"/>
      <c r="D1233" s="593" t="s">
        <v>436</v>
      </c>
      <c r="E1233" s="594"/>
      <c r="F1233" s="581"/>
      <c r="G1233" s="581"/>
      <c r="H1233" s="581"/>
      <c r="I1233" s="581"/>
      <c r="J1233" s="581"/>
      <c r="K1233" s="637">
        <f>K1231+K1232</f>
        <v>165</v>
      </c>
      <c r="L1233" s="3"/>
    </row>
    <row r="1235" spans="3:12" ht="18" x14ac:dyDescent="0.2">
      <c r="C1235" s="685" t="s">
        <v>412</v>
      </c>
      <c r="D1235" s="582">
        <v>45691</v>
      </c>
      <c r="E1235" s="800"/>
      <c r="F1235" s="685" t="s">
        <v>83</v>
      </c>
      <c r="G1235" s="801" t="s">
        <v>63</v>
      </c>
      <c r="H1235" s="802"/>
      <c r="I1235" s="802"/>
      <c r="J1235" s="802"/>
      <c r="K1235" s="803"/>
    </row>
    <row r="1236" spans="3:12" x14ac:dyDescent="0.2">
      <c r="C1236" s="804"/>
      <c r="D1236" s="805"/>
      <c r="E1236" s="800"/>
      <c r="F1236" s="683" t="s">
        <v>93</v>
      </c>
      <c r="G1236" s="683" t="s">
        <v>93</v>
      </c>
      <c r="H1236" s="683"/>
      <c r="I1236" s="806"/>
      <c r="J1236" s="806"/>
      <c r="K1236" s="806"/>
    </row>
    <row r="1237" spans="3:12" x14ac:dyDescent="0.2">
      <c r="C1237" s="804"/>
      <c r="D1237" s="805"/>
      <c r="E1237" s="800"/>
      <c r="F1237" s="683" t="s">
        <v>94</v>
      </c>
      <c r="G1237" s="683" t="s">
        <v>95</v>
      </c>
      <c r="H1237" s="683" t="s">
        <v>96</v>
      </c>
      <c r="I1237" s="806"/>
      <c r="J1237" s="806"/>
      <c r="K1237" s="806"/>
    </row>
    <row r="1238" spans="3:12" x14ac:dyDescent="0.2">
      <c r="C1238" s="804"/>
      <c r="D1238" s="805"/>
      <c r="E1238" s="800"/>
      <c r="F1238" s="683"/>
      <c r="G1238" s="683"/>
      <c r="H1238" s="683"/>
      <c r="I1238" s="806"/>
      <c r="J1238" s="806"/>
      <c r="K1238" s="806"/>
    </row>
    <row r="1239" spans="3:12" ht="16" x14ac:dyDescent="0.2">
      <c r="C1239" s="683"/>
      <c r="D1239" s="583" t="s">
        <v>97</v>
      </c>
      <c r="E1239" s="584"/>
      <c r="F1239" s="581"/>
      <c r="G1239" s="585"/>
      <c r="H1239" s="585"/>
      <c r="I1239" s="586"/>
      <c r="J1239" s="586"/>
      <c r="K1239" s="586"/>
    </row>
    <row r="1240" spans="3:12" ht="26" x14ac:dyDescent="0.2">
      <c r="C1240" s="804"/>
      <c r="D1240" s="587"/>
      <c r="E1240" s="588"/>
      <c r="F1240" s="585" t="s">
        <v>383</v>
      </c>
      <c r="G1240" s="585" t="s">
        <v>384</v>
      </c>
      <c r="H1240" s="585" t="s">
        <v>385</v>
      </c>
      <c r="I1240" s="585" t="s">
        <v>386</v>
      </c>
      <c r="J1240" s="585" t="s">
        <v>387</v>
      </c>
      <c r="K1240" s="585" t="s">
        <v>84</v>
      </c>
    </row>
    <row r="1241" spans="3:12" x14ac:dyDescent="0.2">
      <c r="C1241" s="804"/>
      <c r="D1241" s="684" t="s">
        <v>167</v>
      </c>
      <c r="E1241" s="588"/>
      <c r="F1241" s="580">
        <v>12</v>
      </c>
      <c r="G1241" s="579">
        <v>7</v>
      </c>
      <c r="H1241" s="580">
        <v>3</v>
      </c>
      <c r="I1241" s="580">
        <v>4</v>
      </c>
      <c r="J1241" s="580">
        <v>8</v>
      </c>
      <c r="K1241" s="580">
        <f>SUM(F1241:J1241)</f>
        <v>34</v>
      </c>
    </row>
    <row r="1242" spans="3:12" x14ac:dyDescent="0.2">
      <c r="C1242" s="804"/>
      <c r="D1242" s="684" t="s">
        <v>207</v>
      </c>
      <c r="E1242" s="588"/>
      <c r="F1242" s="618">
        <v>84</v>
      </c>
      <c r="G1242" s="619">
        <v>49</v>
      </c>
      <c r="H1242" s="618">
        <v>21</v>
      </c>
      <c r="I1242" s="618">
        <v>44</v>
      </c>
      <c r="J1242" s="618">
        <v>70</v>
      </c>
      <c r="K1242" s="618">
        <f>SUM(F1242:J1242)</f>
        <v>268</v>
      </c>
    </row>
    <row r="1243" spans="3:12" x14ac:dyDescent="0.2">
      <c r="C1243" s="683"/>
      <c r="D1243" s="684" t="s">
        <v>100</v>
      </c>
      <c r="E1243" s="588"/>
      <c r="F1243" s="581"/>
      <c r="G1243" s="581">
        <v>1</v>
      </c>
      <c r="H1243" s="581"/>
      <c r="I1243" s="581"/>
      <c r="J1243" s="581"/>
      <c r="K1243" s="581">
        <f>SUM(F1243:J1243)</f>
        <v>1</v>
      </c>
    </row>
    <row r="1244" spans="3:12" x14ac:dyDescent="0.2">
      <c r="C1244" s="683"/>
      <c r="D1244" s="684" t="s">
        <v>101</v>
      </c>
      <c r="E1244" s="588"/>
      <c r="F1244" s="581">
        <v>1</v>
      </c>
      <c r="G1244" s="581"/>
      <c r="H1244" s="581"/>
      <c r="I1244" s="581"/>
      <c r="J1244" s="581">
        <v>1</v>
      </c>
      <c r="K1244" s="581">
        <f>SUM(F1244:J1244)</f>
        <v>2</v>
      </c>
    </row>
    <row r="1245" spans="3:12" ht="16" thickBot="1" x14ac:dyDescent="0.25">
      <c r="C1245" s="683"/>
      <c r="D1245" s="597" t="s">
        <v>102</v>
      </c>
      <c r="E1245" s="598"/>
      <c r="F1245" s="599"/>
      <c r="G1245" s="600"/>
      <c r="H1245" s="600"/>
      <c r="I1245" s="600"/>
      <c r="J1245" s="600"/>
      <c r="K1245" s="600">
        <f>SUM(F1245:J1245)</f>
        <v>0</v>
      </c>
    </row>
    <row r="1246" spans="3:12" ht="17" thickBot="1" x14ac:dyDescent="0.25">
      <c r="C1246" s="605"/>
      <c r="D1246" s="612" t="s">
        <v>84</v>
      </c>
      <c r="E1246" s="613"/>
      <c r="F1246" s="614">
        <f>(F1242+F1245)-F1244-F1243</f>
        <v>83</v>
      </c>
      <c r="G1246" s="615">
        <f>(G1242+G1245)-G1244-G1243</f>
        <v>48</v>
      </c>
      <c r="H1246" s="616">
        <f>(H1242+H1245)-H1244</f>
        <v>21</v>
      </c>
      <c r="I1246" s="615">
        <f>(I1242+I1245)-I1244-I1243</f>
        <v>44</v>
      </c>
      <c r="J1246" s="622">
        <f>(J1242+J1245)-J1244-J1243</f>
        <v>69</v>
      </c>
      <c r="K1246" s="617">
        <f>(K1242+K1245)-K1244-K1243</f>
        <v>265</v>
      </c>
    </row>
    <row r="1247" spans="3:12" ht="16" x14ac:dyDescent="0.2">
      <c r="C1247" s="683"/>
      <c r="D1247" s="608"/>
      <c r="E1247" s="609"/>
      <c r="F1247" s="610"/>
      <c r="G1247" s="595"/>
      <c r="H1247" s="611"/>
      <c r="I1247" s="595"/>
      <c r="J1247" s="595"/>
      <c r="K1247" s="595"/>
    </row>
    <row r="1248" spans="3:12" ht="16" thickBot="1" x14ac:dyDescent="0.25">
      <c r="C1248" s="606" t="s">
        <v>388</v>
      </c>
      <c r="D1248" s="607" t="s">
        <v>103</v>
      </c>
      <c r="E1248" s="603" t="s">
        <v>84</v>
      </c>
      <c r="F1248" s="602"/>
      <c r="G1248" s="602"/>
      <c r="H1248" s="602"/>
      <c r="I1248" s="601"/>
      <c r="J1248" s="601"/>
      <c r="K1248" s="601" t="s">
        <v>84</v>
      </c>
      <c r="L1248" s="174" t="s">
        <v>389</v>
      </c>
    </row>
    <row r="1249" spans="3:12" x14ac:dyDescent="0.2">
      <c r="C1249" s="589" t="s">
        <v>652</v>
      </c>
      <c r="D1249" s="604" t="s">
        <v>105</v>
      </c>
      <c r="E1249" s="591">
        <f>(F1249+G1249+H1249+I1249+J1249)*100+(0*230)</f>
        <v>4900</v>
      </c>
      <c r="F1249" s="3">
        <v>20</v>
      </c>
      <c r="G1249" s="3">
        <v>8</v>
      </c>
      <c r="H1249" s="3">
        <v>4</v>
      </c>
      <c r="I1249" s="3">
        <v>6</v>
      </c>
      <c r="J1249" s="3">
        <v>11</v>
      </c>
      <c r="K1249" s="628">
        <f t="shared" ref="K1249:K1271" si="58">SUM(F1249:J1249)</f>
        <v>49</v>
      </c>
      <c r="L1249" s="630">
        <f>K1249/4</f>
        <v>12.25</v>
      </c>
    </row>
    <row r="1250" spans="3:12" x14ac:dyDescent="0.2">
      <c r="C1250" s="589" t="s">
        <v>653</v>
      </c>
      <c r="D1250" s="590" t="s">
        <v>390</v>
      </c>
      <c r="E1250" s="591">
        <f>(F1250+G1250+H1250+I1250+J1250)*120</f>
        <v>1440</v>
      </c>
      <c r="F1250" s="3">
        <v>3</v>
      </c>
      <c r="G1250" s="3">
        <v>3</v>
      </c>
      <c r="H1250" s="3">
        <v>2</v>
      </c>
      <c r="I1250" s="3">
        <v>2</v>
      </c>
      <c r="J1250" s="3">
        <v>2</v>
      </c>
      <c r="K1250" s="628">
        <f t="shared" si="58"/>
        <v>12</v>
      </c>
      <c r="L1250" s="630">
        <f t="shared" ref="L1250:L1271" si="59">K1250/4</f>
        <v>3</v>
      </c>
    </row>
    <row r="1251" spans="3:12" x14ac:dyDescent="0.2">
      <c r="C1251" s="589"/>
      <c r="D1251" s="590" t="s">
        <v>391</v>
      </c>
      <c r="E1251" s="591">
        <f>(F1251+G1251+H1251+I1251+J1251)*120</f>
        <v>0</v>
      </c>
      <c r="F1251" s="3"/>
      <c r="G1251" s="3"/>
      <c r="H1251" s="3"/>
      <c r="I1251" s="3"/>
      <c r="J1251" s="3"/>
      <c r="K1251" s="628">
        <f t="shared" si="58"/>
        <v>0</v>
      </c>
      <c r="L1251" s="630">
        <f t="shared" si="59"/>
        <v>0</v>
      </c>
    </row>
    <row r="1252" spans="3:12" x14ac:dyDescent="0.2">
      <c r="C1252" s="589" t="s">
        <v>654</v>
      </c>
      <c r="D1252" s="590" t="s">
        <v>392</v>
      </c>
      <c r="E1252" s="591">
        <f>(F1252+G1252+H1252+I1252+J1252)*120</f>
        <v>2400</v>
      </c>
      <c r="F1252" s="3">
        <v>6</v>
      </c>
      <c r="G1252" s="3">
        <v>2</v>
      </c>
      <c r="H1252" s="3">
        <v>6</v>
      </c>
      <c r="I1252" s="3"/>
      <c r="J1252" s="3">
        <v>6</v>
      </c>
      <c r="K1252" s="628">
        <f t="shared" si="58"/>
        <v>20</v>
      </c>
      <c r="L1252" s="630">
        <f t="shared" si="59"/>
        <v>5</v>
      </c>
    </row>
    <row r="1253" spans="3:12" x14ac:dyDescent="0.2">
      <c r="C1253" s="589"/>
      <c r="D1253" s="590" t="s">
        <v>425</v>
      </c>
      <c r="E1253" s="591">
        <f>(F1253+G1253+H1253+I1253+J1253)*120</f>
        <v>0</v>
      </c>
      <c r="F1253" s="3"/>
      <c r="G1253" s="3"/>
      <c r="H1253" s="3"/>
      <c r="I1253" s="3"/>
      <c r="J1253" s="3"/>
      <c r="K1253" s="628">
        <f t="shared" si="58"/>
        <v>0</v>
      </c>
      <c r="L1253" s="630">
        <f t="shared" si="59"/>
        <v>0</v>
      </c>
    </row>
    <row r="1254" spans="3:12" x14ac:dyDescent="0.2">
      <c r="C1254" s="589"/>
      <c r="D1254" s="590"/>
      <c r="E1254" s="591"/>
      <c r="F1254" s="3"/>
      <c r="G1254" s="3"/>
      <c r="H1254" s="3"/>
      <c r="I1254" s="3"/>
      <c r="J1254" s="3"/>
      <c r="K1254" s="628">
        <f t="shared" si="58"/>
        <v>0</v>
      </c>
      <c r="L1254" s="630">
        <f t="shared" si="59"/>
        <v>0</v>
      </c>
    </row>
    <row r="1255" spans="3:12" x14ac:dyDescent="0.2">
      <c r="C1255" s="589" t="s">
        <v>657</v>
      </c>
      <c r="D1255" s="590" t="s">
        <v>108</v>
      </c>
      <c r="E1255" s="591">
        <f>(F1255+G1255+H1255+J1255)*112.7+(I1255*119.6)</f>
        <v>4112.3999999999996</v>
      </c>
      <c r="F1255" s="3">
        <v>10</v>
      </c>
      <c r="G1255" s="3">
        <v>4</v>
      </c>
      <c r="H1255" s="3">
        <v>4</v>
      </c>
      <c r="I1255" s="3">
        <v>8</v>
      </c>
      <c r="J1255" s="3">
        <v>10</v>
      </c>
      <c r="K1255" s="628">
        <f t="shared" si="58"/>
        <v>36</v>
      </c>
      <c r="L1255" s="630">
        <f t="shared" si="59"/>
        <v>9</v>
      </c>
    </row>
    <row r="1256" spans="3:12" x14ac:dyDescent="0.2">
      <c r="C1256" s="589" t="s">
        <v>656</v>
      </c>
      <c r="D1256" s="590" t="s">
        <v>393</v>
      </c>
      <c r="E1256" s="591">
        <f>(F1256+G1256+H1256+J1256)*112.7+(I1256*119.6)</f>
        <v>2732.4</v>
      </c>
      <c r="F1256" s="3">
        <v>6</v>
      </c>
      <c r="G1256" s="3">
        <v>4</v>
      </c>
      <c r="H1256" s="3">
        <v>4</v>
      </c>
      <c r="I1256" s="3">
        <v>4</v>
      </c>
      <c r="J1256" s="3">
        <v>6</v>
      </c>
      <c r="K1256" s="628">
        <f t="shared" si="58"/>
        <v>24</v>
      </c>
      <c r="L1256" s="630">
        <f t="shared" si="59"/>
        <v>6</v>
      </c>
    </row>
    <row r="1257" spans="3:12" x14ac:dyDescent="0.2">
      <c r="C1257" s="589" t="s">
        <v>655</v>
      </c>
      <c r="D1257" s="590" t="s">
        <v>216</v>
      </c>
      <c r="E1257" s="591">
        <f>(F1257+G1257+H1257+J1257)*112.7+(I1257*119.6)</f>
        <v>3661.6000000000004</v>
      </c>
      <c r="F1257" s="3">
        <v>8</v>
      </c>
      <c r="G1257" s="3">
        <v>8</v>
      </c>
      <c r="H1257" s="3"/>
      <c r="I1257" s="3">
        <v>8</v>
      </c>
      <c r="J1257" s="3">
        <v>8</v>
      </c>
      <c r="K1257" s="628">
        <f t="shared" si="58"/>
        <v>32</v>
      </c>
      <c r="L1257" s="630">
        <f t="shared" si="59"/>
        <v>8</v>
      </c>
    </row>
    <row r="1258" spans="3:12" x14ac:dyDescent="0.2">
      <c r="C1258" s="589"/>
      <c r="D1258" s="590"/>
      <c r="E1258" s="591"/>
      <c r="F1258" s="3"/>
      <c r="G1258" s="3"/>
      <c r="H1258" s="3"/>
      <c r="I1258" s="3"/>
      <c r="J1258" s="3"/>
      <c r="K1258" s="628">
        <f t="shared" si="58"/>
        <v>0</v>
      </c>
      <c r="L1258" s="630">
        <f t="shared" si="59"/>
        <v>0</v>
      </c>
    </row>
    <row r="1259" spans="3:12" x14ac:dyDescent="0.2">
      <c r="C1259" s="589"/>
      <c r="D1259" s="590" t="s">
        <v>394</v>
      </c>
      <c r="E1259" s="591">
        <f>(F1259+G1259+H1259+I1259+J1259)*120</f>
        <v>0</v>
      </c>
      <c r="F1259" s="3"/>
      <c r="G1259" s="3"/>
      <c r="H1259" s="3"/>
      <c r="I1259" s="3"/>
      <c r="J1259" s="3"/>
      <c r="K1259" s="628">
        <f t="shared" si="58"/>
        <v>0</v>
      </c>
      <c r="L1259" s="630">
        <f t="shared" si="59"/>
        <v>0</v>
      </c>
    </row>
    <row r="1260" spans="3:12" x14ac:dyDescent="0.2">
      <c r="C1260" s="589" t="s">
        <v>658</v>
      </c>
      <c r="D1260" s="590" t="s">
        <v>110</v>
      </c>
      <c r="E1260" s="591">
        <f>(F1260+G1260+H1260+J1260)*112.7+(I1260*119.6)</f>
        <v>9126.4</v>
      </c>
      <c r="F1260" s="3">
        <v>30</v>
      </c>
      <c r="G1260" s="3">
        <v>16</v>
      </c>
      <c r="H1260" s="3"/>
      <c r="I1260" s="3">
        <v>16</v>
      </c>
      <c r="J1260" s="3">
        <v>18</v>
      </c>
      <c r="K1260" s="628">
        <f t="shared" si="58"/>
        <v>80</v>
      </c>
      <c r="L1260" s="630">
        <f t="shared" si="59"/>
        <v>20</v>
      </c>
    </row>
    <row r="1261" spans="3:12" x14ac:dyDescent="0.2">
      <c r="C1261" s="589"/>
      <c r="D1261" s="590"/>
      <c r="E1261" s="591"/>
      <c r="F1261" s="3"/>
      <c r="G1261" s="3"/>
      <c r="H1261" s="3"/>
      <c r="I1261" s="3"/>
      <c r="J1261" s="3"/>
      <c r="K1261" s="628">
        <f t="shared" si="58"/>
        <v>0</v>
      </c>
      <c r="L1261" s="630">
        <f t="shared" si="59"/>
        <v>0</v>
      </c>
    </row>
    <row r="1262" spans="3:12" x14ac:dyDescent="0.2">
      <c r="C1262" s="589"/>
      <c r="D1262" s="590" t="s">
        <v>381</v>
      </c>
      <c r="E1262" s="591">
        <f>(F1262+G1262+H1262+I1262+J1262)*120+(240*0)+(0*45)</f>
        <v>0</v>
      </c>
      <c r="F1262" s="3"/>
      <c r="G1262" s="3"/>
      <c r="H1262" s="3"/>
      <c r="I1262" s="3"/>
      <c r="J1262" s="3"/>
      <c r="K1262" s="628">
        <f t="shared" si="58"/>
        <v>0</v>
      </c>
      <c r="L1262" s="630">
        <f t="shared" si="59"/>
        <v>0</v>
      </c>
    </row>
    <row r="1263" spans="3:12" x14ac:dyDescent="0.2">
      <c r="C1263" s="589"/>
      <c r="D1263" s="590" t="s">
        <v>276</v>
      </c>
      <c r="E1263" s="591">
        <f>(F1263+G1263+H1263+J1263)*112.7+(I1263*119.6)</f>
        <v>0</v>
      </c>
      <c r="F1263" s="3"/>
      <c r="G1263" s="3"/>
      <c r="H1263" s="3"/>
      <c r="I1263" s="3"/>
      <c r="J1263" s="3"/>
      <c r="K1263" s="628">
        <f t="shared" si="58"/>
        <v>0</v>
      </c>
      <c r="L1263" s="630">
        <f t="shared" si="59"/>
        <v>0</v>
      </c>
    </row>
    <row r="1264" spans="3:12" x14ac:dyDescent="0.2">
      <c r="C1264" s="589"/>
      <c r="D1264" s="590"/>
      <c r="E1264" s="591"/>
      <c r="F1264" s="3"/>
      <c r="G1264" s="3"/>
      <c r="H1264" s="3"/>
      <c r="I1264" s="3"/>
      <c r="J1264" s="3"/>
      <c r="K1264" s="628">
        <f t="shared" si="58"/>
        <v>0</v>
      </c>
      <c r="L1264" s="630">
        <f t="shared" si="59"/>
        <v>0</v>
      </c>
    </row>
    <row r="1265" spans="3:12" x14ac:dyDescent="0.2">
      <c r="C1265" s="589"/>
      <c r="D1265" s="590" t="s">
        <v>75</v>
      </c>
      <c r="E1265" s="591">
        <f>(F1265+G1265+H1265+I1265+J1265)*120</f>
        <v>0</v>
      </c>
      <c r="F1265" s="3"/>
      <c r="G1265" s="3"/>
      <c r="H1265" s="3"/>
      <c r="I1265" s="3"/>
      <c r="J1265" s="3"/>
      <c r="K1265" s="628">
        <f t="shared" si="58"/>
        <v>0</v>
      </c>
      <c r="L1265" s="630">
        <f t="shared" si="59"/>
        <v>0</v>
      </c>
    </row>
    <row r="1266" spans="3:12" x14ac:dyDescent="0.2">
      <c r="C1266" s="589"/>
      <c r="D1266" s="590" t="s">
        <v>278</v>
      </c>
      <c r="E1266" s="591">
        <f>(F1266+G1266+H1266+I1266+J1266)*120</f>
        <v>0</v>
      </c>
      <c r="F1266" s="3"/>
      <c r="G1266" s="3"/>
      <c r="H1266" s="3"/>
      <c r="I1266" s="3"/>
      <c r="J1266" s="3"/>
      <c r="K1266" s="628">
        <f t="shared" si="58"/>
        <v>0</v>
      </c>
      <c r="L1266" s="630">
        <f t="shared" si="59"/>
        <v>0</v>
      </c>
    </row>
    <row r="1267" spans="3:12" x14ac:dyDescent="0.2">
      <c r="C1267" s="589"/>
      <c r="D1267" s="590" t="s">
        <v>270</v>
      </c>
      <c r="E1267" s="591">
        <f>(F1267+G1267+H1267+I1267)*112.7+(J1267*119.6)</f>
        <v>0</v>
      </c>
      <c r="F1267" s="3"/>
      <c r="G1267" s="3"/>
      <c r="H1267" s="3"/>
      <c r="I1267" s="3"/>
      <c r="J1267" s="3"/>
      <c r="K1267" s="628">
        <f t="shared" si="58"/>
        <v>0</v>
      </c>
      <c r="L1267" s="630">
        <f t="shared" si="59"/>
        <v>0</v>
      </c>
    </row>
    <row r="1268" spans="3:12" x14ac:dyDescent="0.2">
      <c r="C1268" s="589"/>
      <c r="D1268" s="590" t="s">
        <v>274</v>
      </c>
      <c r="E1268" s="591">
        <f>(F1268+G1268+H1268+I1268)*112.7+(J1268*119.6)</f>
        <v>0</v>
      </c>
      <c r="F1268" s="3"/>
      <c r="G1268" s="3"/>
      <c r="H1268" s="3"/>
      <c r="I1268" s="3"/>
      <c r="J1268" s="3"/>
      <c r="K1268" s="628">
        <f t="shared" si="58"/>
        <v>0</v>
      </c>
      <c r="L1268" s="630">
        <f t="shared" si="59"/>
        <v>0</v>
      </c>
    </row>
    <row r="1269" spans="3:12" x14ac:dyDescent="0.2">
      <c r="C1269" s="589"/>
      <c r="D1269" s="590" t="s">
        <v>395</v>
      </c>
      <c r="E1269" s="591">
        <f>(F1269+G1269+H1269+I1269)*112.7+(J1269*119.6)</f>
        <v>0</v>
      </c>
      <c r="F1269" s="3"/>
      <c r="G1269" s="3"/>
      <c r="H1269" s="3"/>
      <c r="I1269" s="3"/>
      <c r="J1269" s="3"/>
      <c r="K1269" s="628">
        <f t="shared" si="58"/>
        <v>0</v>
      </c>
      <c r="L1269" s="630">
        <f t="shared" si="59"/>
        <v>0</v>
      </c>
    </row>
    <row r="1270" spans="3:12" x14ac:dyDescent="0.2">
      <c r="C1270" s="683"/>
      <c r="D1270" s="590" t="s">
        <v>112</v>
      </c>
      <c r="E1270" s="591">
        <f>(F1270+G1270+H1270+I1270)*112.7+(J1270*119.6)</f>
        <v>0</v>
      </c>
      <c r="F1270" s="3"/>
      <c r="G1270" s="3"/>
      <c r="H1270" s="3"/>
      <c r="I1270" s="3"/>
      <c r="J1270" s="3"/>
      <c r="K1270" s="628">
        <f t="shared" si="58"/>
        <v>0</v>
      </c>
      <c r="L1270" s="630">
        <f t="shared" si="59"/>
        <v>0</v>
      </c>
    </row>
    <row r="1271" spans="3:12" x14ac:dyDescent="0.2">
      <c r="C1271" s="683"/>
      <c r="D1271" s="590" t="s">
        <v>72</v>
      </c>
      <c r="E1271" s="591">
        <f>(F1271+G1271+H1271+I1271)*112.7+(J1271*119.6)</f>
        <v>0</v>
      </c>
      <c r="F1271" s="3"/>
      <c r="G1271" s="3"/>
      <c r="H1271" s="3"/>
      <c r="I1271" s="3"/>
      <c r="J1271" s="3"/>
      <c r="K1271" s="628">
        <f t="shared" si="58"/>
        <v>0</v>
      </c>
      <c r="L1271" s="630">
        <f t="shared" si="59"/>
        <v>0</v>
      </c>
    </row>
    <row r="1272" spans="3:12" x14ac:dyDescent="0.2">
      <c r="C1272" s="683"/>
      <c r="D1272" s="590" t="s">
        <v>187</v>
      </c>
      <c r="E1272" s="591"/>
      <c r="F1272" s="3"/>
      <c r="G1272" s="3">
        <v>2</v>
      </c>
      <c r="H1272" s="3">
        <v>1</v>
      </c>
      <c r="I1272" s="3"/>
      <c r="J1272" s="3">
        <v>8</v>
      </c>
      <c r="K1272" s="628">
        <f>SUM(F1272:J1272)</f>
        <v>11</v>
      </c>
      <c r="L1272" s="3"/>
    </row>
    <row r="1273" spans="3:12" ht="16" x14ac:dyDescent="0.2">
      <c r="C1273" s="683"/>
      <c r="D1273" s="590" t="s">
        <v>647</v>
      </c>
      <c r="E1273" s="592"/>
      <c r="F1273" s="3"/>
      <c r="G1273" s="3">
        <v>1</v>
      </c>
      <c r="H1273" s="3"/>
      <c r="I1273" s="3"/>
      <c r="J1273" s="3"/>
      <c r="K1273" s="628">
        <f>SUM(F1273:J1273)</f>
        <v>1</v>
      </c>
      <c r="L1273" s="3"/>
    </row>
    <row r="1274" spans="3:12" ht="17" thickBot="1" x14ac:dyDescent="0.25">
      <c r="C1274" s="683"/>
      <c r="D1274" s="590"/>
      <c r="E1274" s="624"/>
      <c r="F1274" s="69"/>
      <c r="G1274" s="69"/>
      <c r="H1274" s="69"/>
      <c r="I1274" s="69"/>
      <c r="J1274" s="69"/>
      <c r="K1274" s="629"/>
      <c r="L1274" s="3"/>
    </row>
    <row r="1275" spans="3:12" ht="16" thickBot="1" x14ac:dyDescent="0.25">
      <c r="C1275" s="596"/>
      <c r="D1275" s="623" t="s">
        <v>19</v>
      </c>
      <c r="E1275" s="625">
        <f>SUM(E1249:E1272)</f>
        <v>28372.800000000003</v>
      </c>
      <c r="F1275" s="614">
        <f>SUM(F1249:F1274)</f>
        <v>83</v>
      </c>
      <c r="G1275" s="614">
        <f>SUM(G1249:G1274)</f>
        <v>48</v>
      </c>
      <c r="H1275" s="614">
        <f>SUM(H1249:H1274)</f>
        <v>21</v>
      </c>
      <c r="I1275" s="614">
        <f>SUM(I1249:I1274)</f>
        <v>44</v>
      </c>
      <c r="J1275" s="614">
        <f>SUM(J1249:J1274)</f>
        <v>69</v>
      </c>
      <c r="K1275" s="626">
        <f>SUM(F1275:J1275)</f>
        <v>265</v>
      </c>
      <c r="L1275" s="631">
        <f>SUM(L1249:L1274)</f>
        <v>63.25</v>
      </c>
    </row>
    <row r="1276" spans="3:12" x14ac:dyDescent="0.2">
      <c r="C1276" s="596"/>
      <c r="D1276" s="593" t="s">
        <v>113</v>
      </c>
      <c r="E1276" s="620"/>
      <c r="F1276" s="610">
        <f>F1246-F1275</f>
        <v>0</v>
      </c>
      <c r="G1276" s="610">
        <f>G1246-G1275</f>
        <v>0</v>
      </c>
      <c r="H1276" s="610">
        <f>H1246-H1275</f>
        <v>0</v>
      </c>
      <c r="I1276" s="610">
        <f>I1246-I1275</f>
        <v>0</v>
      </c>
      <c r="J1276" s="610">
        <f>J1246-J1275</f>
        <v>0</v>
      </c>
      <c r="K1276" s="636">
        <f>SUM(F1276:J1276)</f>
        <v>0</v>
      </c>
      <c r="L1276" s="3"/>
    </row>
    <row r="1277" spans="3:12" x14ac:dyDescent="0.2">
      <c r="C1277" s="683"/>
      <c r="D1277" s="593" t="s">
        <v>436</v>
      </c>
      <c r="E1277" s="594"/>
      <c r="F1277" s="581"/>
      <c r="G1277" s="581"/>
      <c r="H1277" s="581"/>
      <c r="I1277" s="581"/>
      <c r="J1277" s="581"/>
      <c r="K1277" s="637">
        <f>K1275+K1276</f>
        <v>265</v>
      </c>
      <c r="L1277" s="3"/>
    </row>
    <row r="1279" spans="3:12" ht="18" x14ac:dyDescent="0.2">
      <c r="C1279" s="685" t="s">
        <v>412</v>
      </c>
      <c r="D1279" s="582">
        <v>45692</v>
      </c>
      <c r="E1279" s="800"/>
      <c r="F1279" s="685" t="s">
        <v>83</v>
      </c>
      <c r="G1279" s="801" t="s">
        <v>64</v>
      </c>
      <c r="H1279" s="802"/>
      <c r="I1279" s="802"/>
      <c r="J1279" s="802"/>
      <c r="K1279" s="803"/>
    </row>
    <row r="1280" spans="3:12" x14ac:dyDescent="0.2">
      <c r="C1280" s="804"/>
      <c r="D1280" s="805"/>
      <c r="E1280" s="800"/>
      <c r="F1280" s="683" t="s">
        <v>93</v>
      </c>
      <c r="G1280" s="683" t="s">
        <v>93</v>
      </c>
      <c r="H1280" s="683"/>
      <c r="I1280" s="806"/>
      <c r="J1280" s="806"/>
      <c r="K1280" s="806"/>
    </row>
    <row r="1281" spans="3:12" x14ac:dyDescent="0.2">
      <c r="C1281" s="804"/>
      <c r="D1281" s="805"/>
      <c r="E1281" s="800"/>
      <c r="F1281" s="683" t="s">
        <v>94</v>
      </c>
      <c r="G1281" s="683" t="s">
        <v>95</v>
      </c>
      <c r="H1281" s="683" t="s">
        <v>96</v>
      </c>
      <c r="I1281" s="806"/>
      <c r="J1281" s="806"/>
      <c r="K1281" s="806"/>
    </row>
    <row r="1282" spans="3:12" x14ac:dyDescent="0.2">
      <c r="C1282" s="804"/>
      <c r="D1282" s="805"/>
      <c r="E1282" s="800"/>
      <c r="F1282" s="683"/>
      <c r="G1282" s="683"/>
      <c r="H1282" s="683"/>
      <c r="I1282" s="806"/>
      <c r="J1282" s="806"/>
      <c r="K1282" s="806"/>
    </row>
    <row r="1283" spans="3:12" ht="16" x14ac:dyDescent="0.2">
      <c r="C1283" s="683"/>
      <c r="D1283" s="583" t="s">
        <v>97</v>
      </c>
      <c r="E1283" s="584"/>
      <c r="F1283" s="581"/>
      <c r="G1283" s="585"/>
      <c r="H1283" s="585"/>
      <c r="I1283" s="586"/>
      <c r="J1283" s="586"/>
      <c r="K1283" s="586"/>
    </row>
    <row r="1284" spans="3:12" ht="26" x14ac:dyDescent="0.2">
      <c r="C1284" s="804"/>
      <c r="D1284" s="587"/>
      <c r="E1284" s="588"/>
      <c r="F1284" s="585" t="s">
        <v>383</v>
      </c>
      <c r="G1284" s="585" t="s">
        <v>384</v>
      </c>
      <c r="H1284" s="585" t="s">
        <v>385</v>
      </c>
      <c r="I1284" s="585" t="s">
        <v>386</v>
      </c>
      <c r="J1284" s="585" t="s">
        <v>387</v>
      </c>
      <c r="K1284" s="585" t="s">
        <v>84</v>
      </c>
    </row>
    <row r="1285" spans="3:12" x14ac:dyDescent="0.2">
      <c r="C1285" s="804"/>
      <c r="D1285" s="684" t="s">
        <v>167</v>
      </c>
      <c r="E1285" s="588"/>
      <c r="F1285" s="580">
        <v>13</v>
      </c>
      <c r="G1285" s="579">
        <v>9</v>
      </c>
      <c r="H1285" s="580"/>
      <c r="I1285" s="580">
        <v>6</v>
      </c>
      <c r="J1285" s="580">
        <v>11</v>
      </c>
      <c r="K1285" s="580">
        <f>SUM(F1285:J1285)</f>
        <v>39</v>
      </c>
    </row>
    <row r="1286" spans="3:12" x14ac:dyDescent="0.2">
      <c r="C1286" s="804"/>
      <c r="D1286" s="684" t="s">
        <v>207</v>
      </c>
      <c r="E1286" s="588"/>
      <c r="F1286" s="618">
        <v>91</v>
      </c>
      <c r="G1286" s="619">
        <v>63</v>
      </c>
      <c r="H1286" s="618"/>
      <c r="I1286" s="618">
        <v>66</v>
      </c>
      <c r="J1286" s="618">
        <v>95</v>
      </c>
      <c r="K1286" s="618">
        <f>SUM(F1286:J1286)</f>
        <v>315</v>
      </c>
    </row>
    <row r="1287" spans="3:12" x14ac:dyDescent="0.2">
      <c r="C1287" s="683"/>
      <c r="D1287" s="684" t="s">
        <v>100</v>
      </c>
      <c r="E1287" s="588"/>
      <c r="F1287" s="581"/>
      <c r="G1287" s="581"/>
      <c r="H1287" s="581"/>
      <c r="I1287" s="581"/>
      <c r="J1287" s="581"/>
      <c r="K1287" s="581">
        <f>SUM(F1287:J1287)</f>
        <v>0</v>
      </c>
    </row>
    <row r="1288" spans="3:12" x14ac:dyDescent="0.2">
      <c r="C1288" s="683"/>
      <c r="D1288" s="684" t="s">
        <v>101</v>
      </c>
      <c r="E1288" s="588"/>
      <c r="F1288" s="581">
        <v>2</v>
      </c>
      <c r="G1288" s="581">
        <v>2</v>
      </c>
      <c r="H1288" s="581"/>
      <c r="I1288" s="581"/>
      <c r="J1288" s="581"/>
      <c r="K1288" s="581">
        <f>SUM(F1288:J1288)</f>
        <v>4</v>
      </c>
    </row>
    <row r="1289" spans="3:12" ht="16" thickBot="1" x14ac:dyDescent="0.25">
      <c r="C1289" s="683"/>
      <c r="D1289" s="597" t="s">
        <v>102</v>
      </c>
      <c r="E1289" s="598"/>
      <c r="F1289" s="599"/>
      <c r="G1289" s="600"/>
      <c r="H1289" s="600"/>
      <c r="I1289" s="600"/>
      <c r="J1289" s="600"/>
      <c r="K1289" s="600">
        <f>SUM(F1289:J1289)</f>
        <v>0</v>
      </c>
    </row>
    <row r="1290" spans="3:12" ht="17" thickBot="1" x14ac:dyDescent="0.25">
      <c r="C1290" s="605"/>
      <c r="D1290" s="612" t="s">
        <v>84</v>
      </c>
      <c r="E1290" s="613"/>
      <c r="F1290" s="614">
        <f>(F1286+F1289)-F1288-F1287</f>
        <v>89</v>
      </c>
      <c r="G1290" s="615">
        <f>(G1286+G1289)-G1288-G1287</f>
        <v>61</v>
      </c>
      <c r="H1290" s="616">
        <f>(H1286+H1289)-H1288</f>
        <v>0</v>
      </c>
      <c r="I1290" s="615">
        <f>(I1286+I1289)-I1288-I1287</f>
        <v>66</v>
      </c>
      <c r="J1290" s="622">
        <f>(J1286+J1289)-J1288-J1287</f>
        <v>95</v>
      </c>
      <c r="K1290" s="617">
        <f>(K1286+K1289)-K1288-K1287</f>
        <v>311</v>
      </c>
    </row>
    <row r="1291" spans="3:12" ht="16" x14ac:dyDescent="0.2">
      <c r="C1291" s="683"/>
      <c r="D1291" s="608"/>
      <c r="E1291" s="609"/>
      <c r="F1291" s="610"/>
      <c r="G1291" s="595"/>
      <c r="H1291" s="611"/>
      <c r="I1291" s="595"/>
      <c r="J1291" s="595"/>
      <c r="K1291" s="595"/>
    </row>
    <row r="1292" spans="3:12" ht="16" thickBot="1" x14ac:dyDescent="0.25">
      <c r="C1292" s="606" t="s">
        <v>388</v>
      </c>
      <c r="D1292" s="607" t="s">
        <v>103</v>
      </c>
      <c r="E1292" s="603" t="s">
        <v>84</v>
      </c>
      <c r="F1292" s="602"/>
      <c r="G1292" s="602"/>
      <c r="H1292" s="602"/>
      <c r="I1292" s="601"/>
      <c r="J1292" s="601"/>
      <c r="K1292" s="601" t="s">
        <v>84</v>
      </c>
      <c r="L1292" s="174" t="s">
        <v>389</v>
      </c>
    </row>
    <row r="1293" spans="3:12" x14ac:dyDescent="0.2">
      <c r="C1293" s="589"/>
      <c r="D1293" s="604" t="s">
        <v>105</v>
      </c>
      <c r="E1293" s="591">
        <f>(F1293+G1293+H1293+I1293+J1293)*100+(0*230)</f>
        <v>0</v>
      </c>
      <c r="F1293" s="3"/>
      <c r="G1293" s="3"/>
      <c r="H1293" s="3"/>
      <c r="I1293" s="3"/>
      <c r="J1293" s="3"/>
      <c r="K1293" s="628">
        <f t="shared" ref="K1293:K1315" si="60">SUM(F1293:J1293)</f>
        <v>0</v>
      </c>
      <c r="L1293" s="630">
        <f>K1293/4</f>
        <v>0</v>
      </c>
    </row>
    <row r="1294" spans="3:12" x14ac:dyDescent="0.2">
      <c r="C1294" s="589"/>
      <c r="D1294" s="590" t="s">
        <v>390</v>
      </c>
      <c r="E1294" s="591">
        <f>(F1294+G1294+H1294+I1294+J1294)*120</f>
        <v>0</v>
      </c>
      <c r="F1294" s="3"/>
      <c r="G1294" s="3"/>
      <c r="H1294" s="3"/>
      <c r="I1294" s="3"/>
      <c r="J1294" s="3"/>
      <c r="K1294" s="628">
        <f t="shared" si="60"/>
        <v>0</v>
      </c>
      <c r="L1294" s="630">
        <f t="shared" ref="L1294:L1315" si="61">K1294/4</f>
        <v>0</v>
      </c>
    </row>
    <row r="1295" spans="3:12" x14ac:dyDescent="0.2">
      <c r="C1295" s="589"/>
      <c r="D1295" s="590" t="s">
        <v>391</v>
      </c>
      <c r="E1295" s="591">
        <f>(F1295+G1295+H1295+I1295+J1295)*120</f>
        <v>0</v>
      </c>
      <c r="F1295" s="3"/>
      <c r="G1295" s="3"/>
      <c r="H1295" s="3"/>
      <c r="I1295" s="3"/>
      <c r="J1295" s="3"/>
      <c r="K1295" s="628">
        <f t="shared" si="60"/>
        <v>0</v>
      </c>
      <c r="L1295" s="630">
        <f t="shared" si="61"/>
        <v>0</v>
      </c>
    </row>
    <row r="1296" spans="3:12" x14ac:dyDescent="0.2">
      <c r="C1296" s="589"/>
      <c r="D1296" s="590" t="s">
        <v>392</v>
      </c>
      <c r="E1296" s="591">
        <f>(F1296+G1296+H1296+I1296+J1296)*120</f>
        <v>0</v>
      </c>
      <c r="F1296" s="3"/>
      <c r="G1296" s="3"/>
      <c r="H1296" s="3"/>
      <c r="I1296" s="3"/>
      <c r="J1296" s="3"/>
      <c r="K1296" s="628">
        <f t="shared" si="60"/>
        <v>0</v>
      </c>
      <c r="L1296" s="630">
        <f t="shared" si="61"/>
        <v>0</v>
      </c>
    </row>
    <row r="1297" spans="3:12" x14ac:dyDescent="0.2">
      <c r="C1297" s="589"/>
      <c r="D1297" s="590" t="s">
        <v>425</v>
      </c>
      <c r="E1297" s="591">
        <f>(F1297+G1297+H1297+I1297+J1297)*120</f>
        <v>0</v>
      </c>
      <c r="F1297" s="3"/>
      <c r="G1297" s="3"/>
      <c r="H1297" s="3"/>
      <c r="I1297" s="3"/>
      <c r="J1297" s="3"/>
      <c r="K1297" s="628">
        <f t="shared" si="60"/>
        <v>0</v>
      </c>
      <c r="L1297" s="630">
        <f t="shared" si="61"/>
        <v>0</v>
      </c>
    </row>
    <row r="1298" spans="3:12" x14ac:dyDescent="0.2">
      <c r="C1298" s="589"/>
      <c r="D1298" s="590"/>
      <c r="E1298" s="591"/>
      <c r="F1298" s="3"/>
      <c r="G1298" s="3"/>
      <c r="H1298" s="3"/>
      <c r="I1298" s="3"/>
      <c r="J1298" s="3"/>
      <c r="K1298" s="628">
        <f t="shared" si="60"/>
        <v>0</v>
      </c>
      <c r="L1298" s="630">
        <f t="shared" si="61"/>
        <v>0</v>
      </c>
    </row>
    <row r="1299" spans="3:12" x14ac:dyDescent="0.2">
      <c r="C1299" s="589"/>
      <c r="D1299" s="590" t="s">
        <v>108</v>
      </c>
      <c r="E1299" s="591">
        <f>(F1299+G1299+H1299+J1299)*112.7+(I1299*119.6)</f>
        <v>0</v>
      </c>
      <c r="F1299" s="3"/>
      <c r="G1299" s="3"/>
      <c r="H1299" s="3"/>
      <c r="I1299" s="3"/>
      <c r="J1299" s="3"/>
      <c r="K1299" s="628">
        <f t="shared" si="60"/>
        <v>0</v>
      </c>
      <c r="L1299" s="630">
        <f t="shared" si="61"/>
        <v>0</v>
      </c>
    </row>
    <row r="1300" spans="3:12" x14ac:dyDescent="0.2">
      <c r="C1300" s="589"/>
      <c r="D1300" s="590" t="s">
        <v>393</v>
      </c>
      <c r="E1300" s="591">
        <f>(F1300+G1300+H1300+J1300)*112.7+(I1300*119.6)</f>
        <v>0</v>
      </c>
      <c r="F1300" s="3"/>
      <c r="G1300" s="3"/>
      <c r="H1300" s="3"/>
      <c r="I1300" s="3"/>
      <c r="J1300" s="3"/>
      <c r="K1300" s="628">
        <f t="shared" si="60"/>
        <v>0</v>
      </c>
      <c r="L1300" s="630">
        <f t="shared" si="61"/>
        <v>0</v>
      </c>
    </row>
    <row r="1301" spans="3:12" x14ac:dyDescent="0.2">
      <c r="C1301" s="589"/>
      <c r="D1301" s="590" t="s">
        <v>216</v>
      </c>
      <c r="E1301" s="591">
        <f>(F1301+G1301+H1301+J1301)*112.7+(I1301*119.6)</f>
        <v>0</v>
      </c>
      <c r="F1301" s="3"/>
      <c r="G1301" s="3"/>
      <c r="H1301" s="3"/>
      <c r="I1301" s="3"/>
      <c r="J1301" s="3"/>
      <c r="K1301" s="628">
        <f t="shared" si="60"/>
        <v>0</v>
      </c>
      <c r="L1301" s="630">
        <f t="shared" si="61"/>
        <v>0</v>
      </c>
    </row>
    <row r="1302" spans="3:12" x14ac:dyDescent="0.2">
      <c r="C1302" s="589"/>
      <c r="D1302" s="590"/>
      <c r="E1302" s="591"/>
      <c r="F1302" s="3"/>
      <c r="G1302" s="3"/>
      <c r="H1302" s="3"/>
      <c r="I1302" s="3"/>
      <c r="J1302" s="3"/>
      <c r="K1302" s="628">
        <f t="shared" si="60"/>
        <v>0</v>
      </c>
      <c r="L1302" s="630">
        <f t="shared" si="61"/>
        <v>0</v>
      </c>
    </row>
    <row r="1303" spans="3:12" x14ac:dyDescent="0.2">
      <c r="C1303" s="589"/>
      <c r="D1303" s="590" t="s">
        <v>394</v>
      </c>
      <c r="E1303" s="591">
        <f>(F1303+G1303+H1303+I1303+J1303)*120</f>
        <v>0</v>
      </c>
      <c r="F1303" s="3"/>
      <c r="G1303" s="3"/>
      <c r="H1303" s="3"/>
      <c r="I1303" s="3"/>
      <c r="J1303" s="3"/>
      <c r="K1303" s="628">
        <f t="shared" si="60"/>
        <v>0</v>
      </c>
      <c r="L1303" s="630">
        <f t="shared" si="61"/>
        <v>0</v>
      </c>
    </row>
    <row r="1304" spans="3:12" x14ac:dyDescent="0.2">
      <c r="C1304" s="589"/>
      <c r="D1304" s="590" t="s">
        <v>110</v>
      </c>
      <c r="E1304" s="591">
        <f>(F1304+G1304+H1304+J1304)*112.7+(I1304*119.6)</f>
        <v>0</v>
      </c>
      <c r="F1304" s="3"/>
      <c r="G1304" s="3"/>
      <c r="H1304" s="3"/>
      <c r="I1304" s="3"/>
      <c r="J1304" s="3"/>
      <c r="K1304" s="628">
        <f t="shared" si="60"/>
        <v>0</v>
      </c>
      <c r="L1304" s="630">
        <f t="shared" si="61"/>
        <v>0</v>
      </c>
    </row>
    <row r="1305" spans="3:12" x14ac:dyDescent="0.2">
      <c r="C1305" s="589"/>
      <c r="D1305" s="590"/>
      <c r="E1305" s="591"/>
      <c r="F1305" s="3"/>
      <c r="G1305" s="3"/>
      <c r="H1305" s="3"/>
      <c r="I1305" s="3"/>
      <c r="J1305" s="3"/>
      <c r="K1305" s="628">
        <f t="shared" si="60"/>
        <v>0</v>
      </c>
      <c r="L1305" s="630">
        <f t="shared" si="61"/>
        <v>0</v>
      </c>
    </row>
    <row r="1306" spans="3:12" x14ac:dyDescent="0.2">
      <c r="C1306" s="589"/>
      <c r="D1306" s="590" t="s">
        <v>381</v>
      </c>
      <c r="E1306" s="591">
        <f>(F1306+G1306+H1306+I1306+J1306)*120+(240*0)+(0*45)</f>
        <v>0</v>
      </c>
      <c r="F1306" s="3"/>
      <c r="G1306" s="3"/>
      <c r="H1306" s="3"/>
      <c r="I1306" s="3"/>
      <c r="J1306" s="3"/>
      <c r="K1306" s="628">
        <f t="shared" si="60"/>
        <v>0</v>
      </c>
      <c r="L1306" s="630">
        <f t="shared" si="61"/>
        <v>0</v>
      </c>
    </row>
    <row r="1307" spans="3:12" x14ac:dyDescent="0.2">
      <c r="C1307" s="589"/>
      <c r="D1307" s="590" t="s">
        <v>276</v>
      </c>
      <c r="E1307" s="591">
        <f>(F1307+G1307+H1307+J1307)*112.7+(I1307*119.6)</f>
        <v>0</v>
      </c>
      <c r="F1307" s="3"/>
      <c r="G1307" s="3"/>
      <c r="H1307" s="3"/>
      <c r="I1307" s="3"/>
      <c r="J1307" s="3"/>
      <c r="K1307" s="628">
        <f t="shared" si="60"/>
        <v>0</v>
      </c>
      <c r="L1307" s="630">
        <f t="shared" si="61"/>
        <v>0</v>
      </c>
    </row>
    <row r="1308" spans="3:12" x14ac:dyDescent="0.2">
      <c r="C1308" s="589"/>
      <c r="D1308" s="590"/>
      <c r="E1308" s="591"/>
      <c r="F1308" s="3"/>
      <c r="G1308" s="3"/>
      <c r="H1308" s="3"/>
      <c r="I1308" s="3"/>
      <c r="J1308" s="3"/>
      <c r="K1308" s="628">
        <f t="shared" si="60"/>
        <v>0</v>
      </c>
      <c r="L1308" s="630">
        <f t="shared" si="61"/>
        <v>0</v>
      </c>
    </row>
    <row r="1309" spans="3:12" x14ac:dyDescent="0.2">
      <c r="C1309" s="589"/>
      <c r="D1309" s="590" t="s">
        <v>75</v>
      </c>
      <c r="E1309" s="591">
        <f>(F1309+G1309+H1309+I1309+J1309)*120</f>
        <v>0</v>
      </c>
      <c r="F1309" s="3"/>
      <c r="G1309" s="3"/>
      <c r="H1309" s="3"/>
      <c r="I1309" s="3"/>
      <c r="J1309" s="3"/>
      <c r="K1309" s="628">
        <f t="shared" si="60"/>
        <v>0</v>
      </c>
      <c r="L1309" s="630">
        <f t="shared" si="61"/>
        <v>0</v>
      </c>
    </row>
    <row r="1310" spans="3:12" x14ac:dyDescent="0.2">
      <c r="C1310" s="589"/>
      <c r="D1310" s="590" t="s">
        <v>278</v>
      </c>
      <c r="E1310" s="591">
        <f>(F1310+G1310+H1310+I1310+J1310)*120</f>
        <v>0</v>
      </c>
      <c r="F1310" s="3"/>
      <c r="G1310" s="3"/>
      <c r="H1310" s="3"/>
      <c r="I1310" s="3"/>
      <c r="J1310" s="3"/>
      <c r="K1310" s="628">
        <f t="shared" si="60"/>
        <v>0</v>
      </c>
      <c r="L1310" s="630">
        <f t="shared" si="61"/>
        <v>0</v>
      </c>
    </row>
    <row r="1311" spans="3:12" x14ac:dyDescent="0.2">
      <c r="C1311" s="589" t="s">
        <v>666</v>
      </c>
      <c r="D1311" s="590" t="s">
        <v>270</v>
      </c>
      <c r="E1311" s="591">
        <f>(F1311+G1311+H1311+I1311)*112.7+(J1311*119.6)</f>
        <v>8730.7999999999993</v>
      </c>
      <c r="F1311" s="3">
        <v>24</v>
      </c>
      <c r="G1311" s="3">
        <v>12</v>
      </c>
      <c r="H1311" s="3"/>
      <c r="I1311" s="3">
        <v>16</v>
      </c>
      <c r="J1311" s="3">
        <v>24</v>
      </c>
      <c r="K1311" s="628">
        <f t="shared" si="60"/>
        <v>76</v>
      </c>
      <c r="L1311" s="630">
        <f t="shared" si="61"/>
        <v>19</v>
      </c>
    </row>
    <row r="1312" spans="3:12" x14ac:dyDescent="0.2">
      <c r="C1312" s="589" t="s">
        <v>665</v>
      </c>
      <c r="D1312" s="590" t="s">
        <v>274</v>
      </c>
      <c r="E1312" s="591">
        <f>(F1312+G1312+H1312+I1312)*112.7+(J1312*119.6)</f>
        <v>6196.2000000000007</v>
      </c>
      <c r="F1312" s="3">
        <v>16</v>
      </c>
      <c r="G1312" s="3">
        <v>10</v>
      </c>
      <c r="H1312" s="3"/>
      <c r="I1312" s="3">
        <v>12</v>
      </c>
      <c r="J1312" s="3">
        <v>16</v>
      </c>
      <c r="K1312" s="628">
        <f t="shared" si="60"/>
        <v>54</v>
      </c>
      <c r="L1312" s="630">
        <f t="shared" si="61"/>
        <v>13.5</v>
      </c>
    </row>
    <row r="1313" spans="3:12" x14ac:dyDescent="0.2">
      <c r="C1313" s="589" t="s">
        <v>664</v>
      </c>
      <c r="D1313" s="590" t="s">
        <v>395</v>
      </c>
      <c r="E1313" s="591">
        <f>(F1313+G1313+H1313+I1313)*112.7+(J1313*119.6)</f>
        <v>6421.6</v>
      </c>
      <c r="F1313" s="3">
        <v>16</v>
      </c>
      <c r="G1313" s="3">
        <v>12</v>
      </c>
      <c r="H1313" s="3"/>
      <c r="I1313" s="3">
        <v>12</v>
      </c>
      <c r="J1313" s="3">
        <v>16</v>
      </c>
      <c r="K1313" s="628">
        <f t="shared" si="60"/>
        <v>56</v>
      </c>
      <c r="L1313" s="630">
        <f t="shared" si="61"/>
        <v>14</v>
      </c>
    </row>
    <row r="1314" spans="3:12" x14ac:dyDescent="0.2">
      <c r="C1314" s="683">
        <v>1171883703</v>
      </c>
      <c r="D1314" s="590" t="s">
        <v>112</v>
      </c>
      <c r="E1314" s="591">
        <f>(F1314+G1314+H1314+I1314)*112.7+(J1314*119.6)</f>
        <v>6421.6</v>
      </c>
      <c r="F1314" s="3">
        <v>16</v>
      </c>
      <c r="G1314" s="3">
        <v>12</v>
      </c>
      <c r="H1314" s="3"/>
      <c r="I1314" s="3">
        <v>12</v>
      </c>
      <c r="J1314" s="3">
        <v>16</v>
      </c>
      <c r="K1314" s="628">
        <f t="shared" si="60"/>
        <v>56</v>
      </c>
      <c r="L1314" s="630">
        <f t="shared" si="61"/>
        <v>14</v>
      </c>
    </row>
    <row r="1315" spans="3:12" x14ac:dyDescent="0.2">
      <c r="C1315" s="683">
        <v>1171883701</v>
      </c>
      <c r="D1315" s="590" t="s">
        <v>72</v>
      </c>
      <c r="E1315" s="591">
        <f>(F1315+G1315+H1315+I1315)*112.7+(J1315*119.6)</f>
        <v>5492.4</v>
      </c>
      <c r="F1315" s="3">
        <v>13</v>
      </c>
      <c r="G1315" s="3">
        <v>15</v>
      </c>
      <c r="H1315" s="3"/>
      <c r="I1315" s="3">
        <v>8</v>
      </c>
      <c r="J1315" s="3">
        <v>12</v>
      </c>
      <c r="K1315" s="628">
        <f t="shared" si="60"/>
        <v>48</v>
      </c>
      <c r="L1315" s="630">
        <f t="shared" si="61"/>
        <v>12</v>
      </c>
    </row>
    <row r="1316" spans="3:12" x14ac:dyDescent="0.2">
      <c r="C1316" s="683"/>
      <c r="D1316" s="590" t="s">
        <v>187</v>
      </c>
      <c r="E1316" s="591"/>
      <c r="F1316" s="3"/>
      <c r="G1316" s="3"/>
      <c r="H1316" s="3"/>
      <c r="I1316" s="3">
        <v>1</v>
      </c>
      <c r="J1316" s="3">
        <v>8</v>
      </c>
      <c r="K1316" s="628">
        <f>SUM(F1316:J1316)</f>
        <v>9</v>
      </c>
      <c r="L1316" s="3"/>
    </row>
    <row r="1317" spans="3:12" ht="16" x14ac:dyDescent="0.2">
      <c r="C1317" s="683"/>
      <c r="D1317" s="590"/>
      <c r="E1317" s="592"/>
      <c r="F1317" s="3"/>
      <c r="G1317" s="3"/>
      <c r="H1317" s="3"/>
      <c r="I1317" s="3"/>
      <c r="J1317" s="3"/>
      <c r="K1317" s="628">
        <f>SUM(F1317:J1317)</f>
        <v>0</v>
      </c>
      <c r="L1317" s="3"/>
    </row>
    <row r="1318" spans="3:12" ht="17" thickBot="1" x14ac:dyDescent="0.25">
      <c r="C1318" s="683"/>
      <c r="D1318" s="590"/>
      <c r="E1318" s="624"/>
      <c r="F1318" s="69"/>
      <c r="G1318" s="69"/>
      <c r="H1318" s="69"/>
      <c r="I1318" s="69"/>
      <c r="J1318" s="69"/>
      <c r="K1318" s="629"/>
      <c r="L1318" s="3"/>
    </row>
    <row r="1319" spans="3:12" ht="16" thickBot="1" x14ac:dyDescent="0.25">
      <c r="C1319" s="596"/>
      <c r="D1319" s="623" t="s">
        <v>19</v>
      </c>
      <c r="E1319" s="625">
        <f>SUM(E1293:E1316)</f>
        <v>33262.6</v>
      </c>
      <c r="F1319" s="614">
        <f>SUM(F1293:F1318)</f>
        <v>85</v>
      </c>
      <c r="G1319" s="614">
        <f>SUM(G1293:G1318)</f>
        <v>61</v>
      </c>
      <c r="H1319" s="614">
        <f>SUM(H1293:H1318)</f>
        <v>0</v>
      </c>
      <c r="I1319" s="614">
        <f>SUM(I1293:I1318)</f>
        <v>61</v>
      </c>
      <c r="J1319" s="614">
        <f>SUM(J1293:J1318)</f>
        <v>92</v>
      </c>
      <c r="K1319" s="626">
        <f>SUM(F1319:J1319)</f>
        <v>299</v>
      </c>
      <c r="L1319" s="631">
        <f>SUM(L1293:L1318)</f>
        <v>72.5</v>
      </c>
    </row>
    <row r="1320" spans="3:12" x14ac:dyDescent="0.2">
      <c r="C1320" s="596"/>
      <c r="D1320" s="593" t="s">
        <v>113</v>
      </c>
      <c r="E1320" s="620"/>
      <c r="F1320" s="610">
        <f>F1290-F1319</f>
        <v>4</v>
      </c>
      <c r="G1320" s="610">
        <f>G1290-G1319</f>
        <v>0</v>
      </c>
      <c r="H1320" s="610">
        <f>H1290-H1319</f>
        <v>0</v>
      </c>
      <c r="I1320" s="610">
        <f>I1290-I1319</f>
        <v>5</v>
      </c>
      <c r="J1320" s="610">
        <f>J1290-J1319</f>
        <v>3</v>
      </c>
      <c r="K1320" s="636">
        <f>SUM(F1320:J1320)</f>
        <v>12</v>
      </c>
      <c r="L1320" s="3"/>
    </row>
    <row r="1321" spans="3:12" x14ac:dyDescent="0.2">
      <c r="C1321" s="683"/>
      <c r="D1321" s="593" t="s">
        <v>436</v>
      </c>
      <c r="E1321" s="594"/>
      <c r="F1321" s="581"/>
      <c r="G1321" s="581"/>
      <c r="H1321" s="581"/>
      <c r="I1321" s="581"/>
      <c r="J1321" s="581"/>
      <c r="K1321" s="637">
        <f>K1319+K1320</f>
        <v>311</v>
      </c>
      <c r="L1321" s="3"/>
    </row>
    <row r="1323" spans="3:12" ht="18" x14ac:dyDescent="0.2">
      <c r="C1323" s="685" t="s">
        <v>412</v>
      </c>
      <c r="D1323" s="582">
        <v>45693</v>
      </c>
      <c r="E1323" s="800"/>
      <c r="F1323" s="685" t="s">
        <v>83</v>
      </c>
      <c r="G1323" s="801" t="s">
        <v>65</v>
      </c>
      <c r="H1323" s="802"/>
      <c r="I1323" s="802"/>
      <c r="J1323" s="802"/>
      <c r="K1323" s="803"/>
    </row>
    <row r="1324" spans="3:12" x14ac:dyDescent="0.2">
      <c r="C1324" s="804"/>
      <c r="D1324" s="805"/>
      <c r="E1324" s="800"/>
      <c r="F1324" s="683" t="s">
        <v>93</v>
      </c>
      <c r="G1324" s="683" t="s">
        <v>93</v>
      </c>
      <c r="H1324" s="683"/>
      <c r="I1324" s="806"/>
      <c r="J1324" s="806"/>
      <c r="K1324" s="806"/>
    </row>
    <row r="1325" spans="3:12" x14ac:dyDescent="0.2">
      <c r="C1325" s="804"/>
      <c r="D1325" s="805"/>
      <c r="E1325" s="800"/>
      <c r="F1325" s="683" t="s">
        <v>94</v>
      </c>
      <c r="G1325" s="683" t="s">
        <v>95</v>
      </c>
      <c r="H1325" s="683" t="s">
        <v>96</v>
      </c>
      <c r="I1325" s="806"/>
      <c r="J1325" s="806"/>
      <c r="K1325" s="806"/>
    </row>
    <row r="1326" spans="3:12" x14ac:dyDescent="0.2">
      <c r="C1326" s="804"/>
      <c r="D1326" s="805"/>
      <c r="E1326" s="800"/>
      <c r="F1326" s="683"/>
      <c r="G1326" s="683"/>
      <c r="H1326" s="683"/>
      <c r="I1326" s="806"/>
      <c r="J1326" s="806"/>
      <c r="K1326" s="806"/>
    </row>
    <row r="1327" spans="3:12" ht="16" x14ac:dyDescent="0.2">
      <c r="C1327" s="683"/>
      <c r="D1327" s="583" t="s">
        <v>97</v>
      </c>
      <c r="E1327" s="584"/>
      <c r="F1327" s="581"/>
      <c r="G1327" s="585"/>
      <c r="H1327" s="585"/>
      <c r="I1327" s="586"/>
      <c r="J1327" s="586"/>
      <c r="K1327" s="586"/>
    </row>
    <row r="1328" spans="3:12" ht="26" x14ac:dyDescent="0.2">
      <c r="C1328" s="804"/>
      <c r="D1328" s="587"/>
      <c r="E1328" s="588"/>
      <c r="F1328" s="585" t="s">
        <v>383</v>
      </c>
      <c r="G1328" s="585" t="s">
        <v>384</v>
      </c>
      <c r="H1328" s="585" t="s">
        <v>385</v>
      </c>
      <c r="I1328" s="585" t="s">
        <v>386</v>
      </c>
      <c r="J1328" s="585" t="s">
        <v>387</v>
      </c>
      <c r="K1328" s="585" t="s">
        <v>84</v>
      </c>
    </row>
    <row r="1329" spans="3:12" x14ac:dyDescent="0.2">
      <c r="C1329" s="804"/>
      <c r="D1329" s="684" t="s">
        <v>167</v>
      </c>
      <c r="E1329" s="588"/>
      <c r="F1329" s="580">
        <v>15</v>
      </c>
      <c r="G1329" s="579">
        <v>9</v>
      </c>
      <c r="H1329" s="580">
        <v>3</v>
      </c>
      <c r="I1329" s="580">
        <v>6</v>
      </c>
      <c r="J1329" s="580">
        <v>10</v>
      </c>
      <c r="K1329" s="580">
        <f>SUM(F1329:J1329)</f>
        <v>43</v>
      </c>
    </row>
    <row r="1330" spans="3:12" x14ac:dyDescent="0.2">
      <c r="C1330" s="804"/>
      <c r="D1330" s="684" t="s">
        <v>207</v>
      </c>
      <c r="E1330" s="588"/>
      <c r="F1330" s="618">
        <v>105</v>
      </c>
      <c r="G1330" s="619">
        <v>62</v>
      </c>
      <c r="H1330" s="618">
        <v>21</v>
      </c>
      <c r="I1330" s="618">
        <v>66</v>
      </c>
      <c r="J1330" s="618">
        <v>90</v>
      </c>
      <c r="K1330" s="618">
        <f>SUM(F1330:J1330)</f>
        <v>344</v>
      </c>
    </row>
    <row r="1331" spans="3:12" x14ac:dyDescent="0.2">
      <c r="C1331" s="683"/>
      <c r="D1331" s="684" t="s">
        <v>100</v>
      </c>
      <c r="E1331" s="588"/>
      <c r="F1331" s="581"/>
      <c r="G1331" s="581"/>
      <c r="H1331" s="581"/>
      <c r="I1331" s="581"/>
      <c r="J1331" s="581"/>
      <c r="K1331" s="581">
        <f>SUM(F1331:J1331)</f>
        <v>0</v>
      </c>
    </row>
    <row r="1332" spans="3:12" x14ac:dyDescent="0.2">
      <c r="C1332" s="683"/>
      <c r="D1332" s="684" t="s">
        <v>101</v>
      </c>
      <c r="E1332" s="588"/>
      <c r="F1332" s="581"/>
      <c r="G1332" s="581">
        <v>1</v>
      </c>
      <c r="H1332" s="581"/>
      <c r="I1332" s="581">
        <v>1</v>
      </c>
      <c r="J1332" s="581">
        <v>1</v>
      </c>
      <c r="K1332" s="581">
        <f>SUM(F1332:J1332)</f>
        <v>3</v>
      </c>
    </row>
    <row r="1333" spans="3:12" ht="16" thickBot="1" x14ac:dyDescent="0.25">
      <c r="C1333" s="683"/>
      <c r="D1333" s="597" t="s">
        <v>102</v>
      </c>
      <c r="E1333" s="598"/>
      <c r="F1333" s="599">
        <v>5</v>
      </c>
      <c r="G1333" s="600"/>
      <c r="H1333" s="600"/>
      <c r="I1333" s="600">
        <v>5</v>
      </c>
      <c r="J1333" s="600">
        <v>3</v>
      </c>
      <c r="K1333" s="600">
        <f>SUM(F1333:J1333)</f>
        <v>13</v>
      </c>
    </row>
    <row r="1334" spans="3:12" ht="17" thickBot="1" x14ac:dyDescent="0.25">
      <c r="C1334" s="605"/>
      <c r="D1334" s="612" t="s">
        <v>84</v>
      </c>
      <c r="E1334" s="613"/>
      <c r="F1334" s="614">
        <f>(F1330+F1333)-F1332-F1331</f>
        <v>110</v>
      </c>
      <c r="G1334" s="615">
        <f>(G1330+G1333)-G1332-G1331</f>
        <v>61</v>
      </c>
      <c r="H1334" s="616">
        <f>(H1330+H1333)-H1332</f>
        <v>21</v>
      </c>
      <c r="I1334" s="615">
        <f>(I1330+I1333)-I1332-I1331</f>
        <v>70</v>
      </c>
      <c r="J1334" s="622">
        <f>(J1330+J1333)-J1332-J1331</f>
        <v>92</v>
      </c>
      <c r="K1334" s="617">
        <f>(K1330+K1333)-K1332-K1331</f>
        <v>354</v>
      </c>
    </row>
    <row r="1335" spans="3:12" ht="16" x14ac:dyDescent="0.2">
      <c r="C1335" s="683"/>
      <c r="D1335" s="608"/>
      <c r="E1335" s="609"/>
      <c r="F1335" s="610"/>
      <c r="G1335" s="595"/>
      <c r="H1335" s="611"/>
      <c r="I1335" s="595"/>
      <c r="J1335" s="595"/>
      <c r="K1335" s="595"/>
    </row>
    <row r="1336" spans="3:12" ht="16" thickBot="1" x14ac:dyDescent="0.25">
      <c r="C1336" s="606" t="s">
        <v>388</v>
      </c>
      <c r="D1336" s="607" t="s">
        <v>103</v>
      </c>
      <c r="E1336" s="603" t="s">
        <v>84</v>
      </c>
      <c r="F1336" s="602"/>
      <c r="G1336" s="602"/>
      <c r="H1336" s="602"/>
      <c r="I1336" s="601"/>
      <c r="J1336" s="601"/>
      <c r="K1336" s="601" t="s">
        <v>84</v>
      </c>
      <c r="L1336" s="174" t="s">
        <v>389</v>
      </c>
    </row>
    <row r="1337" spans="3:12" x14ac:dyDescent="0.2">
      <c r="C1337" s="589" t="s">
        <v>671</v>
      </c>
      <c r="D1337" s="604" t="s">
        <v>105</v>
      </c>
      <c r="E1337" s="591">
        <f>(F1337+G1337+H1337+I1337+J1337)*100+(0*230)</f>
        <v>6800</v>
      </c>
      <c r="F1337" s="3">
        <v>20</v>
      </c>
      <c r="G1337" s="3">
        <v>12</v>
      </c>
      <c r="H1337" s="3">
        <v>8</v>
      </c>
      <c r="I1337" s="3">
        <v>8</v>
      </c>
      <c r="J1337" s="3">
        <v>20</v>
      </c>
      <c r="K1337" s="628">
        <f t="shared" ref="K1337:K1359" si="62">SUM(F1337:J1337)</f>
        <v>68</v>
      </c>
      <c r="L1337" s="630">
        <f>K1337/4</f>
        <v>17</v>
      </c>
    </row>
    <row r="1338" spans="3:12" x14ac:dyDescent="0.2">
      <c r="C1338" s="589"/>
      <c r="D1338" s="590" t="s">
        <v>390</v>
      </c>
      <c r="E1338" s="591">
        <f>(F1338+G1338+H1338+I1338+J1338)*120</f>
        <v>0</v>
      </c>
      <c r="F1338" s="3"/>
      <c r="G1338" s="3"/>
      <c r="H1338" s="3"/>
      <c r="I1338" s="3"/>
      <c r="J1338" s="3"/>
      <c r="K1338" s="628">
        <f t="shared" si="62"/>
        <v>0</v>
      </c>
      <c r="L1338" s="630">
        <f t="shared" ref="L1338:L1359" si="63">K1338/4</f>
        <v>0</v>
      </c>
    </row>
    <row r="1339" spans="3:12" x14ac:dyDescent="0.2">
      <c r="C1339" s="589" t="s">
        <v>672</v>
      </c>
      <c r="D1339" s="590" t="s">
        <v>391</v>
      </c>
      <c r="E1339" s="591">
        <f>(F1339+G1339+H1339+I1339+J1339)*120</f>
        <v>3000</v>
      </c>
      <c r="F1339" s="3">
        <v>5</v>
      </c>
      <c r="G1339" s="3">
        <v>5</v>
      </c>
      <c r="H1339" s="3">
        <v>5</v>
      </c>
      <c r="I1339" s="3">
        <v>5</v>
      </c>
      <c r="J1339" s="3">
        <v>5</v>
      </c>
      <c r="K1339" s="628">
        <f t="shared" si="62"/>
        <v>25</v>
      </c>
      <c r="L1339" s="630">
        <f t="shared" si="63"/>
        <v>6.25</v>
      </c>
    </row>
    <row r="1340" spans="3:12" x14ac:dyDescent="0.2">
      <c r="C1340" s="589"/>
      <c r="D1340" s="590" t="s">
        <v>392</v>
      </c>
      <c r="E1340" s="591">
        <f>(F1340+G1340+H1340+I1340+J1340)*120</f>
        <v>0</v>
      </c>
      <c r="F1340" s="3"/>
      <c r="G1340" s="3"/>
      <c r="H1340" s="3"/>
      <c r="I1340" s="3"/>
      <c r="J1340" s="3"/>
      <c r="K1340" s="628">
        <f t="shared" si="62"/>
        <v>0</v>
      </c>
      <c r="L1340" s="630">
        <f t="shared" si="63"/>
        <v>0</v>
      </c>
    </row>
    <row r="1341" spans="3:12" x14ac:dyDescent="0.2">
      <c r="C1341" s="589"/>
      <c r="D1341" s="590" t="s">
        <v>425</v>
      </c>
      <c r="E1341" s="591">
        <f>(F1341+G1341+H1341+I1341+J1341)*120</f>
        <v>0</v>
      </c>
      <c r="F1341" s="3"/>
      <c r="G1341" s="3"/>
      <c r="H1341" s="3"/>
      <c r="I1341" s="3"/>
      <c r="J1341" s="3"/>
      <c r="K1341" s="628">
        <f t="shared" si="62"/>
        <v>0</v>
      </c>
      <c r="L1341" s="630">
        <f t="shared" si="63"/>
        <v>0</v>
      </c>
    </row>
    <row r="1342" spans="3:12" x14ac:dyDescent="0.2">
      <c r="C1342" s="589"/>
      <c r="D1342" s="590"/>
      <c r="E1342" s="591"/>
      <c r="F1342" s="3"/>
      <c r="G1342" s="3"/>
      <c r="H1342" s="3"/>
      <c r="I1342" s="3"/>
      <c r="J1342" s="3"/>
      <c r="K1342" s="628">
        <f t="shared" si="62"/>
        <v>0</v>
      </c>
      <c r="L1342" s="630">
        <f t="shared" si="63"/>
        <v>0</v>
      </c>
    </row>
    <row r="1343" spans="3:12" x14ac:dyDescent="0.2">
      <c r="C1343" s="589" t="s">
        <v>675</v>
      </c>
      <c r="D1343" s="590" t="s">
        <v>108</v>
      </c>
      <c r="E1343" s="591">
        <f>(F1343+G1343+H1343+J1343)*112.7+(I1343*119.6)</f>
        <v>4112.3999999999996</v>
      </c>
      <c r="F1343" s="3">
        <v>10</v>
      </c>
      <c r="G1343" s="3">
        <v>4</v>
      </c>
      <c r="H1343" s="3">
        <v>4</v>
      </c>
      <c r="I1343" s="3">
        <v>8</v>
      </c>
      <c r="J1343" s="3">
        <v>10</v>
      </c>
      <c r="K1343" s="628">
        <f t="shared" si="62"/>
        <v>36</v>
      </c>
      <c r="L1343" s="630">
        <f t="shared" si="63"/>
        <v>9</v>
      </c>
    </row>
    <row r="1344" spans="3:12" x14ac:dyDescent="0.2">
      <c r="C1344" s="589" t="s">
        <v>674</v>
      </c>
      <c r="D1344" s="590" t="s">
        <v>393</v>
      </c>
      <c r="E1344" s="591">
        <f>(F1344+G1344+H1344+J1344)*112.7+(I1344*119.6)</f>
        <v>2732.4</v>
      </c>
      <c r="F1344" s="3">
        <v>6</v>
      </c>
      <c r="G1344" s="3">
        <v>4</v>
      </c>
      <c r="H1344" s="3">
        <v>4</v>
      </c>
      <c r="I1344" s="3">
        <v>4</v>
      </c>
      <c r="J1344" s="3">
        <v>6</v>
      </c>
      <c r="K1344" s="628">
        <f t="shared" si="62"/>
        <v>24</v>
      </c>
      <c r="L1344" s="630">
        <f t="shared" si="63"/>
        <v>6</v>
      </c>
    </row>
    <row r="1345" spans="3:12" x14ac:dyDescent="0.2">
      <c r="C1345" s="589" t="s">
        <v>673</v>
      </c>
      <c r="D1345" s="590" t="s">
        <v>216</v>
      </c>
      <c r="E1345" s="591">
        <f>(F1345+G1345+H1345+J1345)*112.7+(I1345*119.6)</f>
        <v>3210.8</v>
      </c>
      <c r="F1345" s="3">
        <v>6</v>
      </c>
      <c r="G1345" s="3">
        <v>8</v>
      </c>
      <c r="H1345" s="3"/>
      <c r="I1345" s="3">
        <v>8</v>
      </c>
      <c r="J1345" s="3">
        <v>6</v>
      </c>
      <c r="K1345" s="628">
        <f t="shared" si="62"/>
        <v>28</v>
      </c>
      <c r="L1345" s="630">
        <f t="shared" si="63"/>
        <v>7</v>
      </c>
    </row>
    <row r="1346" spans="3:12" x14ac:dyDescent="0.2">
      <c r="C1346" s="589"/>
      <c r="D1346" s="590"/>
      <c r="E1346" s="591"/>
      <c r="F1346" s="3"/>
      <c r="G1346" s="3"/>
      <c r="H1346" s="3"/>
      <c r="I1346" s="3"/>
      <c r="J1346" s="3"/>
      <c r="K1346" s="628">
        <f t="shared" si="62"/>
        <v>0</v>
      </c>
      <c r="L1346" s="630">
        <f t="shared" si="63"/>
        <v>0</v>
      </c>
    </row>
    <row r="1347" spans="3:12" x14ac:dyDescent="0.2">
      <c r="C1347" s="589"/>
      <c r="D1347" s="590" t="s">
        <v>394</v>
      </c>
      <c r="E1347" s="591">
        <f>(F1347+G1347+H1347+I1347+J1347)*120</f>
        <v>0</v>
      </c>
      <c r="F1347" s="3"/>
      <c r="G1347" s="3"/>
      <c r="H1347" s="3"/>
      <c r="I1347" s="3"/>
      <c r="J1347" s="3"/>
      <c r="K1347" s="628">
        <f t="shared" si="62"/>
        <v>0</v>
      </c>
      <c r="L1347" s="630">
        <f t="shared" si="63"/>
        <v>0</v>
      </c>
    </row>
    <row r="1348" spans="3:12" x14ac:dyDescent="0.2">
      <c r="C1348" s="589" t="s">
        <v>676</v>
      </c>
      <c r="D1348" s="590" t="s">
        <v>110</v>
      </c>
      <c r="E1348" s="591">
        <f>(F1348+G1348+H1348+J1348)*112.7+(I1348*119.6)</f>
        <v>9577.2000000000007</v>
      </c>
      <c r="F1348" s="3">
        <v>40</v>
      </c>
      <c r="G1348" s="3">
        <v>16</v>
      </c>
      <c r="H1348" s="3"/>
      <c r="I1348" s="3">
        <v>16</v>
      </c>
      <c r="J1348" s="3">
        <v>12</v>
      </c>
      <c r="K1348" s="628">
        <f t="shared" si="62"/>
        <v>84</v>
      </c>
      <c r="L1348" s="630">
        <f t="shared" si="63"/>
        <v>21</v>
      </c>
    </row>
    <row r="1349" spans="3:12" x14ac:dyDescent="0.2">
      <c r="C1349" s="589"/>
      <c r="D1349" s="590"/>
      <c r="E1349" s="591"/>
      <c r="F1349" s="3"/>
      <c r="G1349" s="3"/>
      <c r="H1349" s="3"/>
      <c r="I1349" s="3"/>
      <c r="J1349" s="3"/>
      <c r="K1349" s="628">
        <f t="shared" si="62"/>
        <v>0</v>
      </c>
      <c r="L1349" s="630">
        <f t="shared" si="63"/>
        <v>0</v>
      </c>
    </row>
    <row r="1350" spans="3:12" x14ac:dyDescent="0.2">
      <c r="C1350" s="589"/>
      <c r="D1350" s="590" t="s">
        <v>381</v>
      </c>
      <c r="E1350" s="591">
        <f>(F1350+G1350+H1350+I1350+J1350)*120+(240*0)+(0*45)</f>
        <v>0</v>
      </c>
      <c r="F1350" s="3"/>
      <c r="G1350" s="3"/>
      <c r="H1350" s="3"/>
      <c r="I1350" s="3"/>
      <c r="J1350" s="3"/>
      <c r="K1350" s="628">
        <f t="shared" si="62"/>
        <v>0</v>
      </c>
      <c r="L1350" s="630">
        <f t="shared" si="63"/>
        <v>0</v>
      </c>
    </row>
    <row r="1351" spans="3:12" x14ac:dyDescent="0.2">
      <c r="C1351" s="589"/>
      <c r="D1351" s="590" t="s">
        <v>276</v>
      </c>
      <c r="E1351" s="591">
        <f>(F1351+G1351+H1351+J1351)*112.7+(I1351*119.6)</f>
        <v>0</v>
      </c>
      <c r="F1351" s="3"/>
      <c r="G1351" s="3"/>
      <c r="H1351" s="3"/>
      <c r="I1351" s="3"/>
      <c r="J1351" s="3"/>
      <c r="K1351" s="628">
        <f t="shared" si="62"/>
        <v>0</v>
      </c>
      <c r="L1351" s="630">
        <f t="shared" si="63"/>
        <v>0</v>
      </c>
    </row>
    <row r="1352" spans="3:12" x14ac:dyDescent="0.2">
      <c r="C1352" s="589"/>
      <c r="D1352" s="590"/>
      <c r="E1352" s="591"/>
      <c r="F1352" s="3"/>
      <c r="G1352" s="3"/>
      <c r="H1352" s="3"/>
      <c r="I1352" s="3"/>
      <c r="J1352" s="3"/>
      <c r="K1352" s="628">
        <f t="shared" si="62"/>
        <v>0</v>
      </c>
      <c r="L1352" s="630">
        <f t="shared" si="63"/>
        <v>0</v>
      </c>
    </row>
    <row r="1353" spans="3:12" x14ac:dyDescent="0.2">
      <c r="C1353" s="589"/>
      <c r="D1353" s="590" t="s">
        <v>75</v>
      </c>
      <c r="E1353" s="591">
        <f>(F1353+G1353+H1353+I1353+J1353)*120</f>
        <v>0</v>
      </c>
      <c r="F1353" s="3"/>
      <c r="G1353" s="3"/>
      <c r="H1353" s="3"/>
      <c r="I1353" s="3"/>
      <c r="J1353" s="3"/>
      <c r="K1353" s="628">
        <f t="shared" si="62"/>
        <v>0</v>
      </c>
      <c r="L1353" s="630">
        <f t="shared" si="63"/>
        <v>0</v>
      </c>
    </row>
    <row r="1354" spans="3:12" x14ac:dyDescent="0.2">
      <c r="C1354" s="589"/>
      <c r="D1354" s="590" t="s">
        <v>278</v>
      </c>
      <c r="E1354" s="591">
        <f>(F1354+G1354+H1354+I1354+J1354)*120</f>
        <v>0</v>
      </c>
      <c r="F1354" s="3"/>
      <c r="G1354" s="3"/>
      <c r="H1354" s="3"/>
      <c r="I1354" s="3"/>
      <c r="J1354" s="3"/>
      <c r="K1354" s="628">
        <f t="shared" si="62"/>
        <v>0</v>
      </c>
      <c r="L1354" s="630">
        <f t="shared" si="63"/>
        <v>0</v>
      </c>
    </row>
    <row r="1355" spans="3:12" x14ac:dyDescent="0.2">
      <c r="C1355" s="589"/>
      <c r="D1355" s="590" t="s">
        <v>270</v>
      </c>
      <c r="E1355" s="591">
        <f>(F1355+G1355+H1355+I1355)*112.7+(J1355*119.6)</f>
        <v>0</v>
      </c>
      <c r="F1355" s="3"/>
      <c r="G1355" s="3"/>
      <c r="H1355" s="3"/>
      <c r="I1355" s="3"/>
      <c r="J1355" s="3"/>
      <c r="K1355" s="628">
        <f t="shared" si="62"/>
        <v>0</v>
      </c>
      <c r="L1355" s="630">
        <f t="shared" si="63"/>
        <v>0</v>
      </c>
    </row>
    <row r="1356" spans="3:12" x14ac:dyDescent="0.2">
      <c r="C1356" s="589"/>
      <c r="D1356" s="590" t="s">
        <v>274</v>
      </c>
      <c r="E1356" s="591">
        <f>(F1356+G1356+H1356+I1356)*112.7+(J1356*119.6)</f>
        <v>0</v>
      </c>
      <c r="F1356" s="3"/>
      <c r="G1356" s="3"/>
      <c r="H1356" s="3"/>
      <c r="I1356" s="3"/>
      <c r="J1356" s="3"/>
      <c r="K1356" s="628">
        <f t="shared" si="62"/>
        <v>0</v>
      </c>
      <c r="L1356" s="630">
        <f t="shared" si="63"/>
        <v>0</v>
      </c>
    </row>
    <row r="1357" spans="3:12" x14ac:dyDescent="0.2">
      <c r="C1357" s="589"/>
      <c r="D1357" s="590" t="s">
        <v>395</v>
      </c>
      <c r="E1357" s="591">
        <f>(F1357+G1357+H1357+I1357)*112.7+(J1357*119.6)</f>
        <v>0</v>
      </c>
      <c r="F1357" s="3"/>
      <c r="G1357" s="3"/>
      <c r="H1357" s="3"/>
      <c r="I1357" s="3"/>
      <c r="J1357" s="3"/>
      <c r="K1357" s="628">
        <f t="shared" si="62"/>
        <v>0</v>
      </c>
      <c r="L1357" s="630">
        <f t="shared" si="63"/>
        <v>0</v>
      </c>
    </row>
    <row r="1358" spans="3:12" x14ac:dyDescent="0.2">
      <c r="C1358" s="683"/>
      <c r="D1358" s="590" t="s">
        <v>112</v>
      </c>
      <c r="E1358" s="591">
        <f>(F1358+G1358+H1358+I1358)*112.7+(J1358*119.6)</f>
        <v>0</v>
      </c>
      <c r="F1358" s="3"/>
      <c r="G1358" s="3"/>
      <c r="H1358" s="3"/>
      <c r="I1358" s="3"/>
      <c r="J1358" s="3"/>
      <c r="K1358" s="628">
        <f t="shared" si="62"/>
        <v>0</v>
      </c>
      <c r="L1358" s="630">
        <f t="shared" si="63"/>
        <v>0</v>
      </c>
    </row>
    <row r="1359" spans="3:12" x14ac:dyDescent="0.2">
      <c r="C1359" s="683"/>
      <c r="D1359" s="590" t="s">
        <v>72</v>
      </c>
      <c r="E1359" s="591">
        <f>(F1359+G1359+H1359+I1359)*112.7+(J1359*119.6)</f>
        <v>0</v>
      </c>
      <c r="F1359" s="3"/>
      <c r="G1359" s="3"/>
      <c r="H1359" s="3"/>
      <c r="I1359" s="3"/>
      <c r="J1359" s="3"/>
      <c r="K1359" s="628">
        <f t="shared" si="62"/>
        <v>0</v>
      </c>
      <c r="L1359" s="630">
        <f t="shared" si="63"/>
        <v>0</v>
      </c>
    </row>
    <row r="1360" spans="3:12" x14ac:dyDescent="0.2">
      <c r="C1360" s="683"/>
      <c r="D1360" s="590" t="s">
        <v>187</v>
      </c>
      <c r="E1360" s="591"/>
      <c r="F1360" s="3"/>
      <c r="G1360" s="3">
        <v>1</v>
      </c>
      <c r="H1360" s="3"/>
      <c r="I1360" s="3"/>
      <c r="J1360" s="3">
        <v>10</v>
      </c>
      <c r="K1360" s="628">
        <f>SUM(F1360:J1360)</f>
        <v>11</v>
      </c>
      <c r="L1360" s="3"/>
    </row>
    <row r="1361" spans="3:12" ht="16" x14ac:dyDescent="0.2">
      <c r="C1361" s="683"/>
      <c r="D1361" s="590" t="s">
        <v>501</v>
      </c>
      <c r="E1361" s="592"/>
      <c r="F1361" s="3"/>
      <c r="G1361" s="3">
        <v>2</v>
      </c>
      <c r="H1361" s="3"/>
      <c r="I1361" s="3">
        <v>1</v>
      </c>
      <c r="J1361" s="3">
        <v>3</v>
      </c>
      <c r="K1361" s="628">
        <f>SUM(F1361:J1361)</f>
        <v>6</v>
      </c>
      <c r="L1361" s="3"/>
    </row>
    <row r="1362" spans="3:12" ht="17" thickBot="1" x14ac:dyDescent="0.25">
      <c r="C1362" s="683"/>
      <c r="D1362" s="590"/>
      <c r="E1362" s="624"/>
      <c r="F1362" s="69"/>
      <c r="G1362" s="69"/>
      <c r="H1362" s="69"/>
      <c r="I1362" s="69"/>
      <c r="J1362" s="69"/>
      <c r="K1362" s="629"/>
      <c r="L1362" s="3"/>
    </row>
    <row r="1363" spans="3:12" ht="16" thickBot="1" x14ac:dyDescent="0.25">
      <c r="C1363" s="596"/>
      <c r="D1363" s="623" t="s">
        <v>19</v>
      </c>
      <c r="E1363" s="625">
        <f>SUM(E1337:E1360)</f>
        <v>29432.799999999999</v>
      </c>
      <c r="F1363" s="614">
        <f>SUM(F1337:F1362)</f>
        <v>87</v>
      </c>
      <c r="G1363" s="614">
        <f>SUM(G1337:G1362)</f>
        <v>52</v>
      </c>
      <c r="H1363" s="614">
        <f>SUM(H1337:H1362)</f>
        <v>21</v>
      </c>
      <c r="I1363" s="614">
        <f>SUM(I1337:I1362)</f>
        <v>50</v>
      </c>
      <c r="J1363" s="614">
        <f>SUM(J1337:J1362)</f>
        <v>72</v>
      </c>
      <c r="K1363" s="626">
        <f>SUM(F1363:J1363)</f>
        <v>282</v>
      </c>
      <c r="L1363" s="631">
        <f>SUM(L1337:L1362)</f>
        <v>66.25</v>
      </c>
    </row>
    <row r="1364" spans="3:12" x14ac:dyDescent="0.2">
      <c r="C1364" s="596"/>
      <c r="D1364" s="593" t="s">
        <v>113</v>
      </c>
      <c r="E1364" s="620"/>
      <c r="F1364" s="610">
        <f>F1334-F1363</f>
        <v>23</v>
      </c>
      <c r="G1364" s="610">
        <f>G1334-G1363</f>
        <v>9</v>
      </c>
      <c r="H1364" s="610">
        <f>H1334-H1363</f>
        <v>0</v>
      </c>
      <c r="I1364" s="610">
        <f>I1334-I1363</f>
        <v>20</v>
      </c>
      <c r="J1364" s="610">
        <f>J1334-J1363</f>
        <v>20</v>
      </c>
      <c r="K1364" s="636">
        <f>SUM(F1364:J1364)</f>
        <v>72</v>
      </c>
      <c r="L1364" s="3"/>
    </row>
    <row r="1365" spans="3:12" x14ac:dyDescent="0.2">
      <c r="C1365" s="683"/>
      <c r="D1365" s="593" t="s">
        <v>436</v>
      </c>
      <c r="E1365" s="594"/>
      <c r="F1365" s="581"/>
      <c r="G1365" s="581"/>
      <c r="H1365" s="581"/>
      <c r="I1365" s="581"/>
      <c r="J1365" s="581"/>
      <c r="K1365" s="637">
        <f>K1363+K1364</f>
        <v>354</v>
      </c>
      <c r="L1365" s="3"/>
    </row>
    <row r="1367" spans="3:12" ht="18" x14ac:dyDescent="0.2">
      <c r="C1367" s="685" t="s">
        <v>412</v>
      </c>
      <c r="D1367" s="582">
        <v>45694</v>
      </c>
      <c r="E1367" s="800"/>
      <c r="F1367" s="685" t="s">
        <v>83</v>
      </c>
      <c r="G1367" s="801" t="s">
        <v>66</v>
      </c>
      <c r="H1367" s="802"/>
      <c r="I1367" s="802"/>
      <c r="J1367" s="802"/>
      <c r="K1367" s="803"/>
    </row>
    <row r="1368" spans="3:12" x14ac:dyDescent="0.2">
      <c r="C1368" s="804"/>
      <c r="D1368" s="805"/>
      <c r="E1368" s="800"/>
      <c r="F1368" s="683" t="s">
        <v>93</v>
      </c>
      <c r="G1368" s="683" t="s">
        <v>93</v>
      </c>
      <c r="H1368" s="683"/>
      <c r="I1368" s="806"/>
      <c r="J1368" s="806"/>
      <c r="K1368" s="806"/>
    </row>
    <row r="1369" spans="3:12" x14ac:dyDescent="0.2">
      <c r="C1369" s="804"/>
      <c r="D1369" s="805"/>
      <c r="E1369" s="800"/>
      <c r="F1369" s="683" t="s">
        <v>94</v>
      </c>
      <c r="G1369" s="683" t="s">
        <v>95</v>
      </c>
      <c r="H1369" s="683" t="s">
        <v>96</v>
      </c>
      <c r="I1369" s="806"/>
      <c r="J1369" s="806"/>
      <c r="K1369" s="806"/>
    </row>
    <row r="1370" spans="3:12" x14ac:dyDescent="0.2">
      <c r="C1370" s="804"/>
      <c r="D1370" s="805"/>
      <c r="E1370" s="800"/>
      <c r="F1370" s="683"/>
      <c r="G1370" s="683"/>
      <c r="H1370" s="683"/>
      <c r="I1370" s="806"/>
      <c r="J1370" s="806"/>
      <c r="K1370" s="806"/>
    </row>
    <row r="1371" spans="3:12" ht="16" x14ac:dyDescent="0.2">
      <c r="C1371" s="683"/>
      <c r="D1371" s="583" t="s">
        <v>97</v>
      </c>
      <c r="E1371" s="584"/>
      <c r="F1371" s="581"/>
      <c r="G1371" s="585"/>
      <c r="H1371" s="585"/>
      <c r="I1371" s="586"/>
      <c r="J1371" s="586"/>
      <c r="K1371" s="586"/>
    </row>
    <row r="1372" spans="3:12" ht="26" x14ac:dyDescent="0.2">
      <c r="C1372" s="804"/>
      <c r="D1372" s="587"/>
      <c r="E1372" s="588"/>
      <c r="F1372" s="585" t="s">
        <v>383</v>
      </c>
      <c r="G1372" s="585" t="s">
        <v>384</v>
      </c>
      <c r="H1372" s="585" t="s">
        <v>385</v>
      </c>
      <c r="I1372" s="585" t="s">
        <v>386</v>
      </c>
      <c r="J1372" s="585" t="s">
        <v>387</v>
      </c>
      <c r="K1372" s="585" t="s">
        <v>84</v>
      </c>
    </row>
    <row r="1373" spans="3:12" x14ac:dyDescent="0.2">
      <c r="C1373" s="804"/>
      <c r="D1373" s="684" t="s">
        <v>167</v>
      </c>
      <c r="E1373" s="588"/>
      <c r="F1373" s="580"/>
      <c r="G1373" s="579"/>
      <c r="H1373" s="580"/>
      <c r="I1373" s="580"/>
      <c r="J1373" s="580"/>
      <c r="K1373" s="580">
        <f>SUM(F1373:J1373)</f>
        <v>0</v>
      </c>
    </row>
    <row r="1374" spans="3:12" x14ac:dyDescent="0.2">
      <c r="C1374" s="804"/>
      <c r="D1374" s="684" t="s">
        <v>207</v>
      </c>
      <c r="E1374" s="588"/>
      <c r="F1374" s="618"/>
      <c r="G1374" s="619"/>
      <c r="H1374" s="618"/>
      <c r="I1374" s="618"/>
      <c r="J1374" s="618"/>
      <c r="K1374" s="618">
        <f>SUM(F1374:J1374)</f>
        <v>0</v>
      </c>
    </row>
    <row r="1375" spans="3:12" x14ac:dyDescent="0.2">
      <c r="C1375" s="683"/>
      <c r="D1375" s="684" t="s">
        <v>100</v>
      </c>
      <c r="E1375" s="588"/>
      <c r="F1375" s="581"/>
      <c r="G1375" s="581"/>
      <c r="H1375" s="581"/>
      <c r="I1375" s="581"/>
      <c r="J1375" s="581"/>
      <c r="K1375" s="581">
        <f>SUM(F1375:J1375)</f>
        <v>0</v>
      </c>
    </row>
    <row r="1376" spans="3:12" x14ac:dyDescent="0.2">
      <c r="C1376" s="683"/>
      <c r="D1376" s="684" t="s">
        <v>101</v>
      </c>
      <c r="E1376" s="588"/>
      <c r="F1376" s="581"/>
      <c r="G1376" s="581"/>
      <c r="H1376" s="581"/>
      <c r="I1376" s="581"/>
      <c r="J1376" s="581"/>
      <c r="K1376" s="581">
        <f>SUM(F1376:J1376)</f>
        <v>0</v>
      </c>
    </row>
    <row r="1377" spans="3:12" ht="16" thickBot="1" x14ac:dyDescent="0.25">
      <c r="C1377" s="683"/>
      <c r="D1377" s="597" t="s">
        <v>102</v>
      </c>
      <c r="E1377" s="598"/>
      <c r="F1377" s="599">
        <v>23</v>
      </c>
      <c r="G1377" s="600">
        <v>9</v>
      </c>
      <c r="H1377" s="600"/>
      <c r="I1377" s="600">
        <v>20</v>
      </c>
      <c r="J1377" s="600">
        <v>20</v>
      </c>
      <c r="K1377" s="600">
        <f>SUM(F1377:J1377)</f>
        <v>72</v>
      </c>
    </row>
    <row r="1378" spans="3:12" ht="17" thickBot="1" x14ac:dyDescent="0.25">
      <c r="C1378" s="605"/>
      <c r="D1378" s="612" t="s">
        <v>84</v>
      </c>
      <c r="E1378" s="613"/>
      <c r="F1378" s="614">
        <f>(F1374+F1377)-F1376-F1375</f>
        <v>23</v>
      </c>
      <c r="G1378" s="615">
        <f>(G1374+G1377)-G1376-G1375</f>
        <v>9</v>
      </c>
      <c r="H1378" s="616">
        <f>(H1374+H1377)-H1376</f>
        <v>0</v>
      </c>
      <c r="I1378" s="615">
        <f>(I1374+I1377)-I1376-I1375</f>
        <v>20</v>
      </c>
      <c r="J1378" s="622">
        <f>(J1374+J1377)-J1376-J1375</f>
        <v>20</v>
      </c>
      <c r="K1378" s="617">
        <f>(K1374+K1377)-K1376-K1375</f>
        <v>72</v>
      </c>
    </row>
    <row r="1379" spans="3:12" ht="16" x14ac:dyDescent="0.2">
      <c r="C1379" s="683"/>
      <c r="D1379" s="608"/>
      <c r="E1379" s="609"/>
      <c r="F1379" s="610"/>
      <c r="G1379" s="595"/>
      <c r="H1379" s="611"/>
      <c r="I1379" s="595"/>
      <c r="J1379" s="595"/>
      <c r="K1379" s="595"/>
    </row>
    <row r="1380" spans="3:12" ht="16" thickBot="1" x14ac:dyDescent="0.25">
      <c r="C1380" s="606" t="s">
        <v>388</v>
      </c>
      <c r="D1380" s="607" t="s">
        <v>103</v>
      </c>
      <c r="E1380" s="603" t="s">
        <v>84</v>
      </c>
      <c r="F1380" s="602"/>
      <c r="G1380" s="602"/>
      <c r="H1380" s="602"/>
      <c r="I1380" s="601"/>
      <c r="J1380" s="601"/>
      <c r="K1380" s="601" t="s">
        <v>84</v>
      </c>
      <c r="L1380" s="174" t="s">
        <v>389</v>
      </c>
    </row>
    <row r="1381" spans="3:12" x14ac:dyDescent="0.2">
      <c r="C1381" s="589" t="s">
        <v>680</v>
      </c>
      <c r="D1381" s="604" t="s">
        <v>105</v>
      </c>
      <c r="E1381" s="591">
        <f>(F1381+G1381+H1381+I1381+J1381)*100+(0*230)</f>
        <v>4300</v>
      </c>
      <c r="F1381" s="3">
        <v>15</v>
      </c>
      <c r="G1381" s="3">
        <v>5</v>
      </c>
      <c r="H1381" s="3"/>
      <c r="I1381" s="3">
        <v>12</v>
      </c>
      <c r="J1381" s="3">
        <v>11</v>
      </c>
      <c r="K1381" s="628">
        <f t="shared" ref="K1381:K1403" si="64">SUM(F1381:J1381)</f>
        <v>43</v>
      </c>
      <c r="L1381" s="630">
        <f>K1381/4</f>
        <v>10.75</v>
      </c>
    </row>
    <row r="1382" spans="3:12" x14ac:dyDescent="0.2">
      <c r="C1382" s="589"/>
      <c r="D1382" s="590" t="s">
        <v>390</v>
      </c>
      <c r="E1382" s="591">
        <f>(F1382+G1382+H1382+I1382+J1382)*120</f>
        <v>0</v>
      </c>
      <c r="F1382" s="3"/>
      <c r="G1382" s="3"/>
      <c r="H1382" s="3"/>
      <c r="I1382" s="3"/>
      <c r="J1382" s="3"/>
      <c r="K1382" s="628">
        <f t="shared" si="64"/>
        <v>0</v>
      </c>
      <c r="L1382" s="630">
        <f t="shared" ref="L1382:L1403" si="65">K1382/4</f>
        <v>0</v>
      </c>
    </row>
    <row r="1383" spans="3:12" x14ac:dyDescent="0.2">
      <c r="C1383" s="589"/>
      <c r="D1383" s="590" t="s">
        <v>391</v>
      </c>
      <c r="E1383" s="591">
        <f>(F1383+G1383+H1383+I1383+J1383)*120</f>
        <v>0</v>
      </c>
      <c r="F1383" s="3"/>
      <c r="G1383" s="3"/>
      <c r="H1383" s="3"/>
      <c r="I1383" s="3"/>
      <c r="J1383" s="3"/>
      <c r="K1383" s="628">
        <f t="shared" si="64"/>
        <v>0</v>
      </c>
      <c r="L1383" s="630">
        <f t="shared" si="65"/>
        <v>0</v>
      </c>
    </row>
    <row r="1384" spans="3:12" x14ac:dyDescent="0.2">
      <c r="C1384" s="589"/>
      <c r="D1384" s="590" t="s">
        <v>392</v>
      </c>
      <c r="E1384" s="591">
        <f>(F1384+G1384+H1384+I1384+J1384)*120</f>
        <v>0</v>
      </c>
      <c r="F1384" s="3"/>
      <c r="G1384" s="3"/>
      <c r="H1384" s="3"/>
      <c r="I1384" s="3"/>
      <c r="J1384" s="3"/>
      <c r="K1384" s="628">
        <f t="shared" si="64"/>
        <v>0</v>
      </c>
      <c r="L1384" s="630">
        <f t="shared" si="65"/>
        <v>0</v>
      </c>
    </row>
    <row r="1385" spans="3:12" x14ac:dyDescent="0.2">
      <c r="C1385" s="589"/>
      <c r="D1385" s="590" t="s">
        <v>425</v>
      </c>
      <c r="E1385" s="591">
        <f>(F1385+G1385+H1385+I1385+J1385)*120</f>
        <v>0</v>
      </c>
      <c r="F1385" s="3"/>
      <c r="G1385" s="3"/>
      <c r="H1385" s="3"/>
      <c r="I1385" s="3"/>
      <c r="J1385" s="3"/>
      <c r="K1385" s="628">
        <f t="shared" si="64"/>
        <v>0</v>
      </c>
      <c r="L1385" s="630">
        <f t="shared" si="65"/>
        <v>0</v>
      </c>
    </row>
    <row r="1386" spans="3:12" x14ac:dyDescent="0.2">
      <c r="C1386" s="589"/>
      <c r="D1386" s="590"/>
      <c r="E1386" s="591"/>
      <c r="F1386" s="3"/>
      <c r="G1386" s="3"/>
      <c r="H1386" s="3"/>
      <c r="I1386" s="3"/>
      <c r="J1386" s="3"/>
      <c r="K1386" s="628">
        <f t="shared" si="64"/>
        <v>0</v>
      </c>
      <c r="L1386" s="630">
        <f t="shared" si="65"/>
        <v>0</v>
      </c>
    </row>
    <row r="1387" spans="3:12" x14ac:dyDescent="0.2">
      <c r="C1387" s="589"/>
      <c r="D1387" s="590" t="s">
        <v>108</v>
      </c>
      <c r="E1387" s="591">
        <f>(F1387+G1387+H1387+J1387)*112.7+(I1387*119.6)</f>
        <v>0</v>
      </c>
      <c r="F1387" s="3"/>
      <c r="G1387" s="3"/>
      <c r="H1387" s="3"/>
      <c r="I1387" s="3"/>
      <c r="J1387" s="3"/>
      <c r="K1387" s="628">
        <f t="shared" si="64"/>
        <v>0</v>
      </c>
      <c r="L1387" s="630">
        <f t="shared" si="65"/>
        <v>0</v>
      </c>
    </row>
    <row r="1388" spans="3:12" x14ac:dyDescent="0.2">
      <c r="C1388" s="589"/>
      <c r="D1388" s="590" t="s">
        <v>393</v>
      </c>
      <c r="E1388" s="591">
        <f>(F1388+G1388+H1388+J1388)*112.7+(I1388*119.6)</f>
        <v>0</v>
      </c>
      <c r="F1388" s="3"/>
      <c r="G1388" s="3"/>
      <c r="H1388" s="3"/>
      <c r="I1388" s="3"/>
      <c r="J1388" s="3"/>
      <c r="K1388" s="628">
        <f t="shared" si="64"/>
        <v>0</v>
      </c>
      <c r="L1388" s="630">
        <f t="shared" si="65"/>
        <v>0</v>
      </c>
    </row>
    <row r="1389" spans="3:12" x14ac:dyDescent="0.2">
      <c r="C1389" s="589"/>
      <c r="D1389" s="590" t="s">
        <v>216</v>
      </c>
      <c r="E1389" s="591">
        <f>(F1389+G1389+H1389+J1389)*112.7+(I1389*119.6)</f>
        <v>0</v>
      </c>
      <c r="F1389" s="3"/>
      <c r="G1389" s="3"/>
      <c r="H1389" s="3"/>
      <c r="I1389" s="3"/>
      <c r="J1389" s="3"/>
      <c r="K1389" s="628">
        <f t="shared" si="64"/>
        <v>0</v>
      </c>
      <c r="L1389" s="630">
        <f t="shared" si="65"/>
        <v>0</v>
      </c>
    </row>
    <row r="1390" spans="3:12" x14ac:dyDescent="0.2">
      <c r="C1390" s="589"/>
      <c r="D1390" s="590"/>
      <c r="E1390" s="591"/>
      <c r="F1390" s="3"/>
      <c r="G1390" s="3"/>
      <c r="H1390" s="3"/>
      <c r="I1390" s="3"/>
      <c r="J1390" s="3"/>
      <c r="K1390" s="628">
        <f t="shared" si="64"/>
        <v>0</v>
      </c>
      <c r="L1390" s="630">
        <f t="shared" si="65"/>
        <v>0</v>
      </c>
    </row>
    <row r="1391" spans="3:12" x14ac:dyDescent="0.2">
      <c r="C1391" s="589"/>
      <c r="D1391" s="590" t="s">
        <v>394</v>
      </c>
      <c r="E1391" s="591">
        <f>(F1391+G1391+H1391+I1391+J1391)*120</f>
        <v>0</v>
      </c>
      <c r="F1391" s="3"/>
      <c r="G1391" s="3"/>
      <c r="H1391" s="3"/>
      <c r="I1391" s="3"/>
      <c r="J1391" s="3"/>
      <c r="K1391" s="628">
        <f t="shared" si="64"/>
        <v>0</v>
      </c>
      <c r="L1391" s="630">
        <f t="shared" si="65"/>
        <v>0</v>
      </c>
    </row>
    <row r="1392" spans="3:12" x14ac:dyDescent="0.2">
      <c r="C1392" s="589"/>
      <c r="D1392" s="590" t="s">
        <v>110</v>
      </c>
      <c r="E1392" s="591">
        <f>(F1392+G1392+H1392+J1392)*112.7+(I1392*119.6)</f>
        <v>0</v>
      </c>
      <c r="F1392" s="3"/>
      <c r="G1392" s="3"/>
      <c r="H1392" s="3"/>
      <c r="I1392" s="3"/>
      <c r="J1392" s="3"/>
      <c r="K1392" s="628">
        <f t="shared" si="64"/>
        <v>0</v>
      </c>
      <c r="L1392" s="630">
        <f t="shared" si="65"/>
        <v>0</v>
      </c>
    </row>
    <row r="1393" spans="3:12" x14ac:dyDescent="0.2">
      <c r="C1393" s="589"/>
      <c r="D1393" s="590"/>
      <c r="E1393" s="591"/>
      <c r="F1393" s="3"/>
      <c r="G1393" s="3"/>
      <c r="H1393" s="3"/>
      <c r="I1393" s="3"/>
      <c r="J1393" s="3"/>
      <c r="K1393" s="628">
        <f t="shared" si="64"/>
        <v>0</v>
      </c>
      <c r="L1393" s="630">
        <f t="shared" si="65"/>
        <v>0</v>
      </c>
    </row>
    <row r="1394" spans="3:12" x14ac:dyDescent="0.2">
      <c r="C1394" s="589"/>
      <c r="D1394" s="590" t="s">
        <v>381</v>
      </c>
      <c r="E1394" s="591">
        <f>(F1394+G1394+H1394+I1394+J1394)*120+(240*0)+(0*45)</f>
        <v>0</v>
      </c>
      <c r="F1394" s="3"/>
      <c r="G1394" s="3"/>
      <c r="H1394" s="3"/>
      <c r="I1394" s="3"/>
      <c r="J1394" s="3"/>
      <c r="K1394" s="628">
        <f t="shared" si="64"/>
        <v>0</v>
      </c>
      <c r="L1394" s="630">
        <f t="shared" si="65"/>
        <v>0</v>
      </c>
    </row>
    <row r="1395" spans="3:12" x14ac:dyDescent="0.2">
      <c r="C1395" s="589" t="s">
        <v>679</v>
      </c>
      <c r="D1395" s="590" t="s">
        <v>276</v>
      </c>
      <c r="E1395" s="591">
        <f>(F1395+G1395+H1395+J1395)*112.7+(I1395*119.6)</f>
        <v>3210.8</v>
      </c>
      <c r="F1395" s="3">
        <v>8</v>
      </c>
      <c r="G1395" s="3">
        <v>4</v>
      </c>
      <c r="H1395" s="3"/>
      <c r="I1395" s="3">
        <v>8</v>
      </c>
      <c r="J1395" s="3">
        <v>8</v>
      </c>
      <c r="K1395" s="628">
        <f t="shared" si="64"/>
        <v>28</v>
      </c>
      <c r="L1395" s="630">
        <f t="shared" si="65"/>
        <v>7</v>
      </c>
    </row>
    <row r="1396" spans="3:12" x14ac:dyDescent="0.2">
      <c r="C1396" s="589"/>
      <c r="D1396" s="590"/>
      <c r="E1396" s="591"/>
      <c r="F1396" s="3"/>
      <c r="G1396" s="3"/>
      <c r="H1396" s="3"/>
      <c r="I1396" s="3"/>
      <c r="J1396" s="3"/>
      <c r="K1396" s="628">
        <f t="shared" si="64"/>
        <v>0</v>
      </c>
      <c r="L1396" s="630">
        <f t="shared" si="65"/>
        <v>0</v>
      </c>
    </row>
    <row r="1397" spans="3:12" x14ac:dyDescent="0.2">
      <c r="C1397" s="589"/>
      <c r="D1397" s="590" t="s">
        <v>75</v>
      </c>
      <c r="E1397" s="591">
        <f>(F1397+G1397+H1397+I1397+J1397)*120</f>
        <v>0</v>
      </c>
      <c r="F1397" s="3"/>
      <c r="G1397" s="3"/>
      <c r="H1397" s="3"/>
      <c r="I1397" s="3"/>
      <c r="J1397" s="3"/>
      <c r="K1397" s="628">
        <f t="shared" si="64"/>
        <v>0</v>
      </c>
      <c r="L1397" s="630">
        <f t="shared" si="65"/>
        <v>0</v>
      </c>
    </row>
    <row r="1398" spans="3:12" x14ac:dyDescent="0.2">
      <c r="C1398" s="589"/>
      <c r="D1398" s="590" t="s">
        <v>278</v>
      </c>
      <c r="E1398" s="591">
        <f>(F1398+G1398+H1398+I1398+J1398)*120</f>
        <v>0</v>
      </c>
      <c r="F1398" s="3"/>
      <c r="G1398" s="3"/>
      <c r="H1398" s="3"/>
      <c r="I1398" s="3"/>
      <c r="J1398" s="3"/>
      <c r="K1398" s="628">
        <f t="shared" si="64"/>
        <v>0</v>
      </c>
      <c r="L1398" s="630">
        <f t="shared" si="65"/>
        <v>0</v>
      </c>
    </row>
    <row r="1399" spans="3:12" x14ac:dyDescent="0.2">
      <c r="C1399" s="589"/>
      <c r="D1399" s="590" t="s">
        <v>270</v>
      </c>
      <c r="E1399" s="591">
        <f>(F1399+G1399+H1399+I1399)*112.7+(J1399*119.6)</f>
        <v>0</v>
      </c>
      <c r="F1399" s="3"/>
      <c r="G1399" s="3"/>
      <c r="H1399" s="3"/>
      <c r="I1399" s="3"/>
      <c r="J1399" s="3"/>
      <c r="K1399" s="628">
        <f t="shared" si="64"/>
        <v>0</v>
      </c>
      <c r="L1399" s="630">
        <f t="shared" si="65"/>
        <v>0</v>
      </c>
    </row>
    <row r="1400" spans="3:12" x14ac:dyDescent="0.2">
      <c r="C1400" s="589"/>
      <c r="D1400" s="590" t="s">
        <v>274</v>
      </c>
      <c r="E1400" s="591">
        <f>(F1400+G1400+H1400+I1400)*112.7+(J1400*119.6)</f>
        <v>0</v>
      </c>
      <c r="F1400" s="3"/>
      <c r="G1400" s="3"/>
      <c r="H1400" s="3"/>
      <c r="I1400" s="3"/>
      <c r="J1400" s="3"/>
      <c r="K1400" s="628">
        <f t="shared" si="64"/>
        <v>0</v>
      </c>
      <c r="L1400" s="630">
        <f t="shared" si="65"/>
        <v>0</v>
      </c>
    </row>
    <row r="1401" spans="3:12" x14ac:dyDescent="0.2">
      <c r="C1401" s="589"/>
      <c r="D1401" s="590" t="s">
        <v>395</v>
      </c>
      <c r="E1401" s="591">
        <f>(F1401+G1401+H1401+I1401)*112.7+(J1401*119.6)</f>
        <v>0</v>
      </c>
      <c r="F1401" s="3"/>
      <c r="G1401" s="3"/>
      <c r="H1401" s="3"/>
      <c r="I1401" s="3"/>
      <c r="J1401" s="3"/>
      <c r="K1401" s="628">
        <f t="shared" si="64"/>
        <v>0</v>
      </c>
      <c r="L1401" s="630">
        <f t="shared" si="65"/>
        <v>0</v>
      </c>
    </row>
    <row r="1402" spans="3:12" x14ac:dyDescent="0.2">
      <c r="C1402" s="683"/>
      <c r="D1402" s="590" t="s">
        <v>112</v>
      </c>
      <c r="E1402" s="591">
        <f>(F1402+G1402+H1402+I1402)*112.7+(J1402*119.6)</f>
        <v>0</v>
      </c>
      <c r="F1402" s="3"/>
      <c r="G1402" s="3"/>
      <c r="H1402" s="3"/>
      <c r="I1402" s="3"/>
      <c r="J1402" s="3"/>
      <c r="K1402" s="628">
        <f t="shared" si="64"/>
        <v>0</v>
      </c>
      <c r="L1402" s="630">
        <f t="shared" si="65"/>
        <v>0</v>
      </c>
    </row>
    <row r="1403" spans="3:12" x14ac:dyDescent="0.2">
      <c r="C1403" s="683"/>
      <c r="D1403" s="590" t="s">
        <v>72</v>
      </c>
      <c r="E1403" s="591">
        <f>(F1403+G1403+H1403+I1403)*112.7+(J1403*119.6)</f>
        <v>0</v>
      </c>
      <c r="F1403" s="3"/>
      <c r="G1403" s="3"/>
      <c r="H1403" s="3"/>
      <c r="I1403" s="3"/>
      <c r="J1403" s="3"/>
      <c r="K1403" s="628">
        <f t="shared" si="64"/>
        <v>0</v>
      </c>
      <c r="L1403" s="630">
        <f t="shared" si="65"/>
        <v>0</v>
      </c>
    </row>
    <row r="1404" spans="3:12" x14ac:dyDescent="0.2">
      <c r="C1404" s="683"/>
      <c r="D1404" s="590" t="s">
        <v>187</v>
      </c>
      <c r="E1404" s="591"/>
      <c r="F1404" s="3"/>
      <c r="G1404" s="3"/>
      <c r="H1404" s="3"/>
      <c r="I1404" s="3"/>
      <c r="J1404" s="3">
        <v>1</v>
      </c>
      <c r="K1404" s="628">
        <f>SUM(F1404:J1404)</f>
        <v>1</v>
      </c>
      <c r="L1404" s="3"/>
    </row>
    <row r="1405" spans="3:12" ht="16" x14ac:dyDescent="0.2">
      <c r="C1405" s="683"/>
      <c r="D1405" s="590"/>
      <c r="E1405" s="592"/>
      <c r="F1405" s="3"/>
      <c r="G1405" s="3"/>
      <c r="H1405" s="3"/>
      <c r="I1405" s="3"/>
      <c r="J1405" s="3"/>
      <c r="K1405" s="628">
        <f>SUM(F1405:J1405)</f>
        <v>0</v>
      </c>
      <c r="L1405" s="3"/>
    </row>
    <row r="1406" spans="3:12" ht="17" thickBot="1" x14ac:dyDescent="0.25">
      <c r="C1406" s="683"/>
      <c r="D1406" s="590"/>
      <c r="E1406" s="624"/>
      <c r="F1406" s="69"/>
      <c r="G1406" s="69"/>
      <c r="H1406" s="69"/>
      <c r="I1406" s="69"/>
      <c r="J1406" s="69"/>
      <c r="K1406" s="629"/>
      <c r="L1406" s="3"/>
    </row>
    <row r="1407" spans="3:12" ht="16" thickBot="1" x14ac:dyDescent="0.25">
      <c r="C1407" s="596"/>
      <c r="D1407" s="623" t="s">
        <v>19</v>
      </c>
      <c r="E1407" s="625">
        <f>SUM(E1381:E1404)</f>
        <v>7510.8</v>
      </c>
      <c r="F1407" s="614">
        <f>SUM(F1381:F1406)</f>
        <v>23</v>
      </c>
      <c r="G1407" s="614">
        <f>SUM(G1381:G1406)</f>
        <v>9</v>
      </c>
      <c r="H1407" s="614">
        <f>SUM(H1381:H1406)</f>
        <v>0</v>
      </c>
      <c r="I1407" s="614">
        <f>SUM(I1381:I1406)</f>
        <v>20</v>
      </c>
      <c r="J1407" s="614">
        <f>SUM(J1381:J1406)</f>
        <v>20</v>
      </c>
      <c r="K1407" s="626">
        <f>SUM(F1407:J1407)</f>
        <v>72</v>
      </c>
      <c r="L1407" s="631">
        <f>SUM(L1381:L1406)</f>
        <v>17.75</v>
      </c>
    </row>
    <row r="1408" spans="3:12" x14ac:dyDescent="0.2">
      <c r="C1408" s="596"/>
      <c r="D1408" s="593" t="s">
        <v>113</v>
      </c>
      <c r="E1408" s="620"/>
      <c r="F1408" s="610">
        <f>F1378-F1407</f>
        <v>0</v>
      </c>
      <c r="G1408" s="610">
        <f>G1378-G1407</f>
        <v>0</v>
      </c>
      <c r="H1408" s="610">
        <f>H1378-H1407</f>
        <v>0</v>
      </c>
      <c r="I1408" s="610">
        <f>I1378-I1407</f>
        <v>0</v>
      </c>
      <c r="J1408" s="610">
        <f>J1378-J1407</f>
        <v>0</v>
      </c>
      <c r="K1408" s="636">
        <f>SUM(F1408:J1408)</f>
        <v>0</v>
      </c>
      <c r="L1408" s="3"/>
    </row>
    <row r="1409" spans="3:12" x14ac:dyDescent="0.2">
      <c r="C1409" s="683"/>
      <c r="D1409" s="593" t="s">
        <v>436</v>
      </c>
      <c r="E1409" s="594"/>
      <c r="F1409" s="581"/>
      <c r="G1409" s="581"/>
      <c r="H1409" s="581"/>
      <c r="I1409" s="581"/>
      <c r="J1409" s="581"/>
      <c r="K1409" s="637">
        <f>K1407+K1408</f>
        <v>72</v>
      </c>
      <c r="L1409" s="3"/>
    </row>
    <row r="1411" spans="3:12" ht="18" x14ac:dyDescent="0.2">
      <c r="C1411" s="685" t="s">
        <v>412</v>
      </c>
      <c r="D1411" s="582">
        <v>45695</v>
      </c>
      <c r="E1411" s="800"/>
      <c r="F1411" s="685" t="s">
        <v>83</v>
      </c>
      <c r="G1411" s="801" t="s">
        <v>67</v>
      </c>
      <c r="H1411" s="802"/>
      <c r="I1411" s="802"/>
      <c r="J1411" s="802"/>
      <c r="K1411" s="803"/>
    </row>
    <row r="1412" spans="3:12" x14ac:dyDescent="0.2">
      <c r="C1412" s="804"/>
      <c r="D1412" s="805"/>
      <c r="E1412" s="800"/>
      <c r="F1412" s="683" t="s">
        <v>93</v>
      </c>
      <c r="G1412" s="683" t="s">
        <v>93</v>
      </c>
      <c r="H1412" s="683"/>
      <c r="I1412" s="806"/>
      <c r="J1412" s="806"/>
      <c r="K1412" s="806"/>
    </row>
    <row r="1413" spans="3:12" x14ac:dyDescent="0.2">
      <c r="C1413" s="804"/>
      <c r="D1413" s="805"/>
      <c r="E1413" s="800"/>
      <c r="F1413" s="683" t="s">
        <v>94</v>
      </c>
      <c r="G1413" s="683" t="s">
        <v>95</v>
      </c>
      <c r="H1413" s="683" t="s">
        <v>96</v>
      </c>
      <c r="I1413" s="806"/>
      <c r="J1413" s="806"/>
      <c r="K1413" s="806"/>
    </row>
    <row r="1414" spans="3:12" x14ac:dyDescent="0.2">
      <c r="C1414" s="804"/>
      <c r="D1414" s="805"/>
      <c r="E1414" s="800"/>
      <c r="F1414" s="683"/>
      <c r="G1414" s="683"/>
      <c r="H1414" s="683"/>
      <c r="I1414" s="806"/>
      <c r="J1414" s="806"/>
      <c r="K1414" s="806"/>
    </row>
    <row r="1415" spans="3:12" ht="16" x14ac:dyDescent="0.2">
      <c r="C1415" s="683"/>
      <c r="D1415" s="583" t="s">
        <v>97</v>
      </c>
      <c r="E1415" s="584"/>
      <c r="F1415" s="581"/>
      <c r="G1415" s="585"/>
      <c r="H1415" s="585"/>
      <c r="I1415" s="586"/>
      <c r="J1415" s="586"/>
      <c r="K1415" s="586"/>
    </row>
    <row r="1416" spans="3:12" ht="26" x14ac:dyDescent="0.2">
      <c r="C1416" s="804"/>
      <c r="D1416" s="587"/>
      <c r="E1416" s="588"/>
      <c r="F1416" s="585" t="s">
        <v>383</v>
      </c>
      <c r="G1416" s="585" t="s">
        <v>384</v>
      </c>
      <c r="H1416" s="585" t="s">
        <v>385</v>
      </c>
      <c r="I1416" s="585" t="s">
        <v>386</v>
      </c>
      <c r="J1416" s="585" t="s">
        <v>387</v>
      </c>
      <c r="K1416" s="585" t="s">
        <v>84</v>
      </c>
    </row>
    <row r="1417" spans="3:12" x14ac:dyDescent="0.2">
      <c r="C1417" s="804"/>
      <c r="D1417" s="684" t="s">
        <v>167</v>
      </c>
      <c r="E1417" s="588"/>
      <c r="F1417" s="580">
        <v>13</v>
      </c>
      <c r="G1417" s="579">
        <v>7</v>
      </c>
      <c r="H1417" s="580">
        <v>3</v>
      </c>
      <c r="I1417" s="580">
        <v>5</v>
      </c>
      <c r="J1417" s="580">
        <v>8</v>
      </c>
      <c r="K1417" s="580">
        <f>SUM(F1417:J1417)</f>
        <v>36</v>
      </c>
    </row>
    <row r="1418" spans="3:12" x14ac:dyDescent="0.2">
      <c r="C1418" s="804"/>
      <c r="D1418" s="684" t="s">
        <v>207</v>
      </c>
      <c r="E1418" s="588"/>
      <c r="F1418" s="618">
        <v>91</v>
      </c>
      <c r="G1418" s="619">
        <v>47</v>
      </c>
      <c r="H1418" s="618">
        <v>21</v>
      </c>
      <c r="I1418" s="618">
        <v>55</v>
      </c>
      <c r="J1418" s="618">
        <v>69</v>
      </c>
      <c r="K1418" s="618">
        <f>SUM(F1418:J1418)</f>
        <v>283</v>
      </c>
    </row>
    <row r="1419" spans="3:12" x14ac:dyDescent="0.2">
      <c r="C1419" s="683"/>
      <c r="D1419" s="684" t="s">
        <v>100</v>
      </c>
      <c r="E1419" s="588"/>
      <c r="F1419" s="581"/>
      <c r="G1419" s="581"/>
      <c r="H1419" s="581"/>
      <c r="I1419" s="581"/>
      <c r="J1419" s="581"/>
      <c r="K1419" s="581">
        <f>SUM(F1419:J1419)</f>
        <v>0</v>
      </c>
    </row>
    <row r="1420" spans="3:12" x14ac:dyDescent="0.2">
      <c r="C1420" s="683"/>
      <c r="D1420" s="684" t="s">
        <v>101</v>
      </c>
      <c r="E1420" s="588"/>
      <c r="F1420" s="581">
        <v>2</v>
      </c>
      <c r="G1420" s="581"/>
      <c r="H1420" s="581"/>
      <c r="I1420" s="581">
        <v>2</v>
      </c>
      <c r="J1420" s="581">
        <v>1</v>
      </c>
      <c r="K1420" s="581">
        <f>SUM(F1420:J1420)</f>
        <v>5</v>
      </c>
    </row>
    <row r="1421" spans="3:12" ht="16" thickBot="1" x14ac:dyDescent="0.25">
      <c r="C1421" s="683"/>
      <c r="D1421" s="597" t="s">
        <v>102</v>
      </c>
      <c r="E1421" s="598"/>
      <c r="F1421" s="599"/>
      <c r="G1421" s="600"/>
      <c r="H1421" s="600">
        <v>1</v>
      </c>
      <c r="I1421" s="600">
        <v>2</v>
      </c>
      <c r="J1421" s="600"/>
      <c r="K1421" s="600">
        <f>SUM(F1421:J1421)</f>
        <v>3</v>
      </c>
    </row>
    <row r="1422" spans="3:12" ht="17" thickBot="1" x14ac:dyDescent="0.25">
      <c r="C1422" s="605"/>
      <c r="D1422" s="612" t="s">
        <v>84</v>
      </c>
      <c r="E1422" s="613"/>
      <c r="F1422" s="614">
        <f>(F1418+F1421)-F1420-F1419</f>
        <v>89</v>
      </c>
      <c r="G1422" s="615">
        <f>(G1418+G1421)-G1420-G1419</f>
        <v>47</v>
      </c>
      <c r="H1422" s="616">
        <f>(H1418+H1421)-H1420</f>
        <v>22</v>
      </c>
      <c r="I1422" s="615">
        <f>(I1418+I1421)-I1420-I1419</f>
        <v>55</v>
      </c>
      <c r="J1422" s="622">
        <f>(J1418+J1421)-J1420-J1419</f>
        <v>68</v>
      </c>
      <c r="K1422" s="617">
        <f>(K1418+K1421)-K1420-K1419</f>
        <v>281</v>
      </c>
    </row>
    <row r="1423" spans="3:12" ht="16" x14ac:dyDescent="0.2">
      <c r="C1423" s="683"/>
      <c r="D1423" s="608"/>
      <c r="E1423" s="609"/>
      <c r="F1423" s="610"/>
      <c r="G1423" s="595"/>
      <c r="H1423" s="611"/>
      <c r="I1423" s="595"/>
      <c r="J1423" s="595"/>
      <c r="K1423" s="595"/>
    </row>
    <row r="1424" spans="3:12" ht="16" thickBot="1" x14ac:dyDescent="0.25">
      <c r="C1424" s="606" t="s">
        <v>388</v>
      </c>
      <c r="D1424" s="607" t="s">
        <v>103</v>
      </c>
      <c r="E1424" s="603" t="s">
        <v>84</v>
      </c>
      <c r="F1424" s="602"/>
      <c r="G1424" s="602"/>
      <c r="H1424" s="602"/>
      <c r="I1424" s="601"/>
      <c r="J1424" s="601"/>
      <c r="K1424" s="601" t="s">
        <v>84</v>
      </c>
      <c r="L1424" s="174" t="s">
        <v>389</v>
      </c>
    </row>
    <row r="1425" spans="3:12" x14ac:dyDescent="0.2">
      <c r="C1425" s="589"/>
      <c r="D1425" s="604" t="s">
        <v>105</v>
      </c>
      <c r="E1425" s="591">
        <f>(F1425+G1425+H1425+I1425+J1425)*100+(0*230)</f>
        <v>5100</v>
      </c>
      <c r="F1425" s="3">
        <v>14</v>
      </c>
      <c r="G1425" s="3">
        <v>7</v>
      </c>
      <c r="H1425" s="3">
        <v>6</v>
      </c>
      <c r="I1425" s="3">
        <v>8</v>
      </c>
      <c r="J1425" s="3">
        <v>16</v>
      </c>
      <c r="K1425" s="628">
        <f t="shared" ref="K1425:K1447" si="66">SUM(F1425:J1425)</f>
        <v>51</v>
      </c>
      <c r="L1425" s="630">
        <f>K1425/4</f>
        <v>12.75</v>
      </c>
    </row>
    <row r="1426" spans="3:12" x14ac:dyDescent="0.2">
      <c r="C1426" s="589"/>
      <c r="D1426" s="590" t="s">
        <v>390</v>
      </c>
      <c r="E1426" s="591">
        <f>(F1426+G1426+H1426+I1426+J1426)*120</f>
        <v>1200</v>
      </c>
      <c r="F1426" s="3">
        <v>2</v>
      </c>
      <c r="G1426" s="3">
        <v>2</v>
      </c>
      <c r="H1426" s="3">
        <v>2</v>
      </c>
      <c r="I1426" s="3">
        <v>2</v>
      </c>
      <c r="J1426" s="3">
        <v>2</v>
      </c>
      <c r="K1426" s="628">
        <f t="shared" si="66"/>
        <v>10</v>
      </c>
      <c r="L1426" s="630">
        <f t="shared" ref="L1426:L1447" si="67">K1426/4</f>
        <v>2.5</v>
      </c>
    </row>
    <row r="1427" spans="3:12" x14ac:dyDescent="0.2">
      <c r="C1427" s="589"/>
      <c r="D1427" s="590" t="s">
        <v>391</v>
      </c>
      <c r="E1427" s="591">
        <f>(F1427+G1427+H1427+I1427+J1427)*120</f>
        <v>0</v>
      </c>
      <c r="F1427" s="3"/>
      <c r="G1427" s="3"/>
      <c r="H1427" s="3"/>
      <c r="I1427" s="3"/>
      <c r="J1427" s="3"/>
      <c r="K1427" s="628">
        <f t="shared" si="66"/>
        <v>0</v>
      </c>
      <c r="L1427" s="630">
        <f t="shared" si="67"/>
        <v>0</v>
      </c>
    </row>
    <row r="1428" spans="3:12" x14ac:dyDescent="0.2">
      <c r="C1428" s="589"/>
      <c r="D1428" s="590" t="s">
        <v>392</v>
      </c>
      <c r="E1428" s="591">
        <f>(F1428+G1428+H1428+I1428+J1428)*120</f>
        <v>2160</v>
      </c>
      <c r="F1428" s="3">
        <v>6</v>
      </c>
      <c r="G1428" s="3">
        <v>2</v>
      </c>
      <c r="H1428" s="3">
        <v>6</v>
      </c>
      <c r="I1428" s="3"/>
      <c r="J1428" s="3">
        <v>4</v>
      </c>
      <c r="K1428" s="628">
        <f t="shared" si="66"/>
        <v>18</v>
      </c>
      <c r="L1428" s="630">
        <f t="shared" si="67"/>
        <v>4.5</v>
      </c>
    </row>
    <row r="1429" spans="3:12" x14ac:dyDescent="0.2">
      <c r="C1429" s="589"/>
      <c r="D1429" s="590" t="s">
        <v>425</v>
      </c>
      <c r="E1429" s="591">
        <f>(F1429+G1429+H1429+I1429+J1429)*120</f>
        <v>0</v>
      </c>
      <c r="F1429" s="3"/>
      <c r="G1429" s="3"/>
      <c r="H1429" s="3"/>
      <c r="I1429" s="3"/>
      <c r="J1429" s="3"/>
      <c r="K1429" s="628">
        <f t="shared" si="66"/>
        <v>0</v>
      </c>
      <c r="L1429" s="630">
        <f t="shared" si="67"/>
        <v>0</v>
      </c>
    </row>
    <row r="1430" spans="3:12" x14ac:dyDescent="0.2">
      <c r="C1430" s="589"/>
      <c r="D1430" s="590"/>
      <c r="E1430" s="591"/>
      <c r="F1430" s="3"/>
      <c r="G1430" s="3"/>
      <c r="H1430" s="3"/>
      <c r="I1430" s="3"/>
      <c r="J1430" s="3"/>
      <c r="K1430" s="628">
        <f t="shared" si="66"/>
        <v>0</v>
      </c>
      <c r="L1430" s="630">
        <f t="shared" si="67"/>
        <v>0</v>
      </c>
    </row>
    <row r="1431" spans="3:12" x14ac:dyDescent="0.2">
      <c r="C1431" s="589"/>
      <c r="D1431" s="590" t="s">
        <v>108</v>
      </c>
      <c r="E1431" s="591">
        <f>(F1431+G1431+H1431+J1431)*112.7+(I1431*119.6)</f>
        <v>4563.2</v>
      </c>
      <c r="F1431" s="3">
        <v>12</v>
      </c>
      <c r="G1431" s="3">
        <v>4</v>
      </c>
      <c r="H1431" s="3">
        <v>4</v>
      </c>
      <c r="I1431" s="3">
        <v>8</v>
      </c>
      <c r="J1431" s="3">
        <v>12</v>
      </c>
      <c r="K1431" s="628">
        <f t="shared" si="66"/>
        <v>40</v>
      </c>
      <c r="L1431" s="630">
        <f t="shared" si="67"/>
        <v>10</v>
      </c>
    </row>
    <row r="1432" spans="3:12" x14ac:dyDescent="0.2">
      <c r="C1432" s="589"/>
      <c r="D1432" s="590" t="s">
        <v>393</v>
      </c>
      <c r="E1432" s="591">
        <f>(F1432+G1432+H1432+J1432)*112.7+(I1432*119.6)</f>
        <v>2732.4</v>
      </c>
      <c r="F1432" s="3">
        <v>6</v>
      </c>
      <c r="G1432" s="3">
        <v>4</v>
      </c>
      <c r="H1432" s="3">
        <v>4</v>
      </c>
      <c r="I1432" s="3">
        <v>4</v>
      </c>
      <c r="J1432" s="3">
        <v>6</v>
      </c>
      <c r="K1432" s="628">
        <f t="shared" si="66"/>
        <v>24</v>
      </c>
      <c r="L1432" s="630">
        <f t="shared" si="67"/>
        <v>6</v>
      </c>
    </row>
    <row r="1433" spans="3:12" x14ac:dyDescent="0.2">
      <c r="C1433" s="589"/>
      <c r="D1433" s="590" t="s">
        <v>216</v>
      </c>
      <c r="E1433" s="591">
        <f>(F1433+G1433+H1433+J1433)*112.7+(I1433*119.6)</f>
        <v>3661.6000000000004</v>
      </c>
      <c r="F1433" s="3">
        <v>8</v>
      </c>
      <c r="G1433" s="3">
        <v>8</v>
      </c>
      <c r="H1433" s="3"/>
      <c r="I1433" s="3">
        <v>8</v>
      </c>
      <c r="J1433" s="3">
        <v>8</v>
      </c>
      <c r="K1433" s="628">
        <f t="shared" si="66"/>
        <v>32</v>
      </c>
      <c r="L1433" s="630">
        <f t="shared" si="67"/>
        <v>8</v>
      </c>
    </row>
    <row r="1434" spans="3:12" x14ac:dyDescent="0.2">
      <c r="C1434" s="589"/>
      <c r="D1434" s="590"/>
      <c r="E1434" s="591"/>
      <c r="F1434" s="3"/>
      <c r="G1434" s="3"/>
      <c r="H1434" s="3"/>
      <c r="I1434" s="3"/>
      <c r="J1434" s="3"/>
      <c r="K1434" s="628">
        <f t="shared" si="66"/>
        <v>0</v>
      </c>
      <c r="L1434" s="630">
        <f t="shared" si="67"/>
        <v>0</v>
      </c>
    </row>
    <row r="1435" spans="3:12" x14ac:dyDescent="0.2">
      <c r="C1435" s="589"/>
      <c r="D1435" s="590" t="s">
        <v>394</v>
      </c>
      <c r="E1435" s="591">
        <f>(F1435+G1435+H1435+I1435+J1435)*120</f>
        <v>0</v>
      </c>
      <c r="F1435" s="3"/>
      <c r="G1435" s="3"/>
      <c r="H1435" s="3"/>
      <c r="I1435" s="3"/>
      <c r="J1435" s="3"/>
      <c r="K1435" s="628">
        <f t="shared" si="66"/>
        <v>0</v>
      </c>
      <c r="L1435" s="630">
        <f t="shared" si="67"/>
        <v>0</v>
      </c>
    </row>
    <row r="1436" spans="3:12" x14ac:dyDescent="0.2">
      <c r="C1436" s="589"/>
      <c r="D1436" s="590" t="s">
        <v>110</v>
      </c>
      <c r="E1436" s="591">
        <f>(F1436+G1436+H1436+J1436)*112.7+(I1436*119.6)</f>
        <v>11408</v>
      </c>
      <c r="F1436" s="3">
        <v>40</v>
      </c>
      <c r="G1436" s="3">
        <v>20</v>
      </c>
      <c r="H1436" s="3"/>
      <c r="I1436" s="3">
        <v>20</v>
      </c>
      <c r="J1436" s="3">
        <v>20</v>
      </c>
      <c r="K1436" s="628">
        <f t="shared" si="66"/>
        <v>100</v>
      </c>
      <c r="L1436" s="630">
        <f t="shared" si="67"/>
        <v>25</v>
      </c>
    </row>
    <row r="1437" spans="3:12" x14ac:dyDescent="0.2">
      <c r="C1437" s="589"/>
      <c r="D1437" s="590"/>
      <c r="E1437" s="591"/>
      <c r="F1437" s="3"/>
      <c r="G1437" s="3"/>
      <c r="H1437" s="3"/>
      <c r="I1437" s="3"/>
      <c r="J1437" s="3"/>
      <c r="K1437" s="628">
        <f t="shared" si="66"/>
        <v>0</v>
      </c>
      <c r="L1437" s="630">
        <f t="shared" si="67"/>
        <v>0</v>
      </c>
    </row>
    <row r="1438" spans="3:12" x14ac:dyDescent="0.2">
      <c r="C1438" s="589"/>
      <c r="D1438" s="590" t="s">
        <v>381</v>
      </c>
      <c r="E1438" s="591">
        <f>(F1438+G1438+H1438+I1438+J1438)*120+(240*0)+(0*45)</f>
        <v>0</v>
      </c>
      <c r="F1438" s="3"/>
      <c r="G1438" s="3"/>
      <c r="H1438" s="3"/>
      <c r="I1438" s="3"/>
      <c r="J1438" s="3"/>
      <c r="K1438" s="628">
        <f t="shared" si="66"/>
        <v>0</v>
      </c>
      <c r="L1438" s="630">
        <f t="shared" si="67"/>
        <v>0</v>
      </c>
    </row>
    <row r="1439" spans="3:12" x14ac:dyDescent="0.2">
      <c r="C1439" s="589"/>
      <c r="D1439" s="590" t="s">
        <v>276</v>
      </c>
      <c r="E1439" s="591">
        <f>(F1439+G1439+H1439+J1439)*112.7+(I1439*119.6)</f>
        <v>0</v>
      </c>
      <c r="F1439" s="3"/>
      <c r="G1439" s="3"/>
      <c r="H1439" s="3"/>
      <c r="I1439" s="3"/>
      <c r="J1439" s="3"/>
      <c r="K1439" s="628">
        <f t="shared" si="66"/>
        <v>0</v>
      </c>
      <c r="L1439" s="630">
        <f t="shared" si="67"/>
        <v>0</v>
      </c>
    </row>
    <row r="1440" spans="3:12" x14ac:dyDescent="0.2">
      <c r="C1440" s="589"/>
      <c r="D1440" s="590"/>
      <c r="E1440" s="591"/>
      <c r="F1440" s="3"/>
      <c r="G1440" s="3"/>
      <c r="H1440" s="3"/>
      <c r="I1440" s="3"/>
      <c r="J1440" s="3"/>
      <c r="K1440" s="628">
        <f t="shared" si="66"/>
        <v>0</v>
      </c>
      <c r="L1440" s="630">
        <f t="shared" si="67"/>
        <v>0</v>
      </c>
    </row>
    <row r="1441" spans="3:12" x14ac:dyDescent="0.2">
      <c r="C1441" s="589"/>
      <c r="D1441" s="590" t="s">
        <v>75</v>
      </c>
      <c r="E1441" s="591">
        <f>(F1441+G1441+H1441+I1441+J1441)*120</f>
        <v>0</v>
      </c>
      <c r="F1441" s="3"/>
      <c r="G1441" s="3"/>
      <c r="H1441" s="3"/>
      <c r="I1441" s="3"/>
      <c r="J1441" s="3"/>
      <c r="K1441" s="628">
        <f t="shared" si="66"/>
        <v>0</v>
      </c>
      <c r="L1441" s="630">
        <f t="shared" si="67"/>
        <v>0</v>
      </c>
    </row>
    <row r="1442" spans="3:12" x14ac:dyDescent="0.2">
      <c r="C1442" s="589"/>
      <c r="D1442" s="590" t="s">
        <v>278</v>
      </c>
      <c r="E1442" s="591">
        <f>(F1442+G1442+H1442+I1442+J1442)*120</f>
        <v>0</v>
      </c>
      <c r="F1442" s="3"/>
      <c r="G1442" s="3"/>
      <c r="H1442" s="3"/>
      <c r="I1442" s="3"/>
      <c r="J1442" s="3"/>
      <c r="K1442" s="628">
        <f t="shared" si="66"/>
        <v>0</v>
      </c>
      <c r="L1442" s="630">
        <f t="shared" si="67"/>
        <v>0</v>
      </c>
    </row>
    <row r="1443" spans="3:12" x14ac:dyDescent="0.2">
      <c r="C1443" s="589"/>
      <c r="D1443" s="590" t="s">
        <v>270</v>
      </c>
      <c r="E1443" s="591">
        <f>(F1443+G1443+H1443+I1443)*112.7+(J1443*119.6)</f>
        <v>0</v>
      </c>
      <c r="F1443" s="3"/>
      <c r="G1443" s="3"/>
      <c r="H1443" s="3"/>
      <c r="I1443" s="3"/>
      <c r="J1443" s="3"/>
      <c r="K1443" s="628">
        <f t="shared" si="66"/>
        <v>0</v>
      </c>
      <c r="L1443" s="630">
        <f t="shared" si="67"/>
        <v>0</v>
      </c>
    </row>
    <row r="1444" spans="3:12" x14ac:dyDescent="0.2">
      <c r="C1444" s="589"/>
      <c r="D1444" s="590" t="s">
        <v>274</v>
      </c>
      <c r="E1444" s="591">
        <f>(F1444+G1444+H1444+I1444)*112.7+(J1444*119.6)</f>
        <v>0</v>
      </c>
      <c r="F1444" s="3"/>
      <c r="G1444" s="3"/>
      <c r="H1444" s="3"/>
      <c r="I1444" s="3"/>
      <c r="J1444" s="3"/>
      <c r="K1444" s="628">
        <f t="shared" si="66"/>
        <v>0</v>
      </c>
      <c r="L1444" s="630">
        <f t="shared" si="67"/>
        <v>0</v>
      </c>
    </row>
    <row r="1445" spans="3:12" x14ac:dyDescent="0.2">
      <c r="C1445" s="589"/>
      <c r="D1445" s="590" t="s">
        <v>395</v>
      </c>
      <c r="E1445" s="591">
        <f>(F1445+G1445+H1445+I1445)*112.7+(J1445*119.6)</f>
        <v>0</v>
      </c>
      <c r="F1445" s="3"/>
      <c r="G1445" s="3"/>
      <c r="H1445" s="3"/>
      <c r="I1445" s="3"/>
      <c r="J1445" s="3"/>
      <c r="K1445" s="628">
        <f t="shared" si="66"/>
        <v>0</v>
      </c>
      <c r="L1445" s="630">
        <f t="shared" si="67"/>
        <v>0</v>
      </c>
    </row>
    <row r="1446" spans="3:12" x14ac:dyDescent="0.2">
      <c r="C1446" s="683"/>
      <c r="D1446" s="590" t="s">
        <v>112</v>
      </c>
      <c r="E1446" s="591">
        <f>(F1446+G1446+H1446+I1446)*112.7+(J1446*119.6)</f>
        <v>0</v>
      </c>
      <c r="F1446" s="3"/>
      <c r="G1446" s="3"/>
      <c r="H1446" s="3"/>
      <c r="I1446" s="3"/>
      <c r="J1446" s="3"/>
      <c r="K1446" s="628">
        <f t="shared" si="66"/>
        <v>0</v>
      </c>
      <c r="L1446" s="630">
        <f t="shared" si="67"/>
        <v>0</v>
      </c>
    </row>
    <row r="1447" spans="3:12" x14ac:dyDescent="0.2">
      <c r="C1447" s="683"/>
      <c r="D1447" s="590" t="s">
        <v>72</v>
      </c>
      <c r="E1447" s="591">
        <f>(F1447+G1447+H1447+I1447)*112.7+(J1447*119.6)</f>
        <v>0</v>
      </c>
      <c r="F1447" s="3"/>
      <c r="G1447" s="3"/>
      <c r="H1447" s="3"/>
      <c r="I1447" s="3"/>
      <c r="J1447" s="3"/>
      <c r="K1447" s="628">
        <f t="shared" si="66"/>
        <v>0</v>
      </c>
      <c r="L1447" s="630">
        <f t="shared" si="67"/>
        <v>0</v>
      </c>
    </row>
    <row r="1448" spans="3:12" x14ac:dyDescent="0.2">
      <c r="C1448" s="683"/>
      <c r="D1448" s="590" t="s">
        <v>187</v>
      </c>
      <c r="E1448" s="591"/>
      <c r="F1448" s="3">
        <v>1</v>
      </c>
      <c r="G1448" s="3"/>
      <c r="H1448" s="3"/>
      <c r="I1448" s="3">
        <v>5</v>
      </c>
      <c r="J1448" s="3"/>
      <c r="K1448" s="628">
        <f>SUM(F1448:J1448)</f>
        <v>6</v>
      </c>
      <c r="L1448" s="3"/>
    </row>
    <row r="1449" spans="3:12" ht="16" x14ac:dyDescent="0.2">
      <c r="C1449" s="683"/>
      <c r="D1449" s="590"/>
      <c r="E1449" s="592"/>
      <c r="F1449" s="3"/>
      <c r="G1449" s="3"/>
      <c r="H1449" s="3"/>
      <c r="I1449" s="3"/>
      <c r="J1449" s="3"/>
      <c r="K1449" s="628">
        <f>SUM(F1449:J1449)</f>
        <v>0</v>
      </c>
      <c r="L1449" s="3"/>
    </row>
    <row r="1450" spans="3:12" ht="17" thickBot="1" x14ac:dyDescent="0.25">
      <c r="C1450" s="683"/>
      <c r="D1450" s="590"/>
      <c r="E1450" s="624"/>
      <c r="F1450" s="69"/>
      <c r="G1450" s="69"/>
      <c r="H1450" s="69"/>
      <c r="I1450" s="69"/>
      <c r="J1450" s="69"/>
      <c r="K1450" s="629"/>
      <c r="L1450" s="3"/>
    </row>
    <row r="1451" spans="3:12" ht="16" thickBot="1" x14ac:dyDescent="0.25">
      <c r="C1451" s="596"/>
      <c r="D1451" s="623" t="s">
        <v>19</v>
      </c>
      <c r="E1451" s="625">
        <f>SUM(E1425:E1448)</f>
        <v>30825.200000000001</v>
      </c>
      <c r="F1451" s="614">
        <f>SUM(F1425:F1450)</f>
        <v>89</v>
      </c>
      <c r="G1451" s="614">
        <f>SUM(G1425:G1450)</f>
        <v>47</v>
      </c>
      <c r="H1451" s="614">
        <f>SUM(H1425:H1450)</f>
        <v>22</v>
      </c>
      <c r="I1451" s="614">
        <f>SUM(I1425:I1450)</f>
        <v>55</v>
      </c>
      <c r="J1451" s="614">
        <f>SUM(J1425:J1450)</f>
        <v>68</v>
      </c>
      <c r="K1451" s="626">
        <f>SUM(F1451:J1451)</f>
        <v>281</v>
      </c>
      <c r="L1451" s="631">
        <f>SUM(L1425:L1450)</f>
        <v>68.75</v>
      </c>
    </row>
    <row r="1452" spans="3:12" x14ac:dyDescent="0.2">
      <c r="C1452" s="596"/>
      <c r="D1452" s="593" t="s">
        <v>113</v>
      </c>
      <c r="E1452" s="620"/>
      <c r="F1452" s="610">
        <f>F1422-F1451</f>
        <v>0</v>
      </c>
      <c r="G1452" s="610">
        <f>G1422-G1451</f>
        <v>0</v>
      </c>
      <c r="H1452" s="610">
        <f>H1422-H1451</f>
        <v>0</v>
      </c>
      <c r="I1452" s="610">
        <f>I1422-I1451</f>
        <v>0</v>
      </c>
      <c r="J1452" s="610">
        <f>J1422-J1451</f>
        <v>0</v>
      </c>
      <c r="K1452" s="636">
        <f>SUM(F1452:J1452)</f>
        <v>0</v>
      </c>
      <c r="L1452" s="3"/>
    </row>
    <row r="1453" spans="3:12" x14ac:dyDescent="0.2">
      <c r="C1453" s="683"/>
      <c r="D1453" s="593" t="s">
        <v>436</v>
      </c>
      <c r="E1453" s="594"/>
      <c r="F1453" s="581"/>
      <c r="G1453" s="581"/>
      <c r="H1453" s="581"/>
      <c r="I1453" s="581"/>
      <c r="J1453" s="581"/>
      <c r="K1453" s="637">
        <f>K1451+K1452</f>
        <v>281</v>
      </c>
      <c r="L1453" s="3"/>
    </row>
    <row r="1455" spans="3:12" ht="18" x14ac:dyDescent="0.2">
      <c r="C1455" s="685" t="s">
        <v>412</v>
      </c>
      <c r="D1455" s="582">
        <v>45698</v>
      </c>
      <c r="E1455" s="800"/>
      <c r="F1455" s="685" t="s">
        <v>83</v>
      </c>
      <c r="G1455" s="801" t="s">
        <v>63</v>
      </c>
      <c r="H1455" s="802"/>
      <c r="I1455" s="802"/>
      <c r="J1455" s="802"/>
      <c r="K1455" s="803"/>
    </row>
    <row r="1456" spans="3:12" x14ac:dyDescent="0.2">
      <c r="C1456" s="804"/>
      <c r="D1456" s="805"/>
      <c r="E1456" s="800"/>
      <c r="F1456" s="683" t="s">
        <v>93</v>
      </c>
      <c r="G1456" s="683" t="s">
        <v>93</v>
      </c>
      <c r="H1456" s="683"/>
      <c r="I1456" s="806"/>
      <c r="J1456" s="806"/>
      <c r="K1456" s="806"/>
    </row>
    <row r="1457" spans="3:12" x14ac:dyDescent="0.2">
      <c r="C1457" s="804"/>
      <c r="D1457" s="805"/>
      <c r="E1457" s="800"/>
      <c r="F1457" s="683" t="s">
        <v>94</v>
      </c>
      <c r="G1457" s="683" t="s">
        <v>95</v>
      </c>
      <c r="H1457" s="683" t="s">
        <v>96</v>
      </c>
      <c r="I1457" s="806"/>
      <c r="J1457" s="806"/>
      <c r="K1457" s="806"/>
    </row>
    <row r="1458" spans="3:12" x14ac:dyDescent="0.2">
      <c r="C1458" s="804"/>
      <c r="D1458" s="805"/>
      <c r="E1458" s="800"/>
      <c r="F1458" s="683"/>
      <c r="G1458" s="683"/>
      <c r="H1458" s="683"/>
      <c r="I1458" s="806"/>
      <c r="J1458" s="806"/>
      <c r="K1458" s="806"/>
    </row>
    <row r="1459" spans="3:12" ht="16" x14ac:dyDescent="0.2">
      <c r="C1459" s="683"/>
      <c r="D1459" s="583" t="s">
        <v>97</v>
      </c>
      <c r="E1459" s="584"/>
      <c r="F1459" s="581"/>
      <c r="G1459" s="585"/>
      <c r="H1459" s="585"/>
      <c r="I1459" s="586"/>
      <c r="J1459" s="586"/>
      <c r="K1459" s="586"/>
    </row>
    <row r="1460" spans="3:12" ht="26" x14ac:dyDescent="0.2">
      <c r="C1460" s="804"/>
      <c r="D1460" s="587"/>
      <c r="E1460" s="588"/>
      <c r="F1460" s="585" t="s">
        <v>383</v>
      </c>
      <c r="G1460" s="585" t="s">
        <v>384</v>
      </c>
      <c r="H1460" s="585" t="s">
        <v>385</v>
      </c>
      <c r="I1460" s="585" t="s">
        <v>386</v>
      </c>
      <c r="J1460" s="585" t="s">
        <v>387</v>
      </c>
      <c r="K1460" s="585" t="s">
        <v>84</v>
      </c>
    </row>
    <row r="1461" spans="3:12" x14ac:dyDescent="0.2">
      <c r="C1461" s="804"/>
      <c r="D1461" s="684" t="s">
        <v>167</v>
      </c>
      <c r="E1461" s="588"/>
      <c r="F1461" s="580">
        <v>12</v>
      </c>
      <c r="G1461" s="579">
        <v>8</v>
      </c>
      <c r="H1461" s="580">
        <v>4</v>
      </c>
      <c r="I1461" s="580">
        <v>5</v>
      </c>
      <c r="J1461" s="580">
        <v>11</v>
      </c>
      <c r="K1461" s="580">
        <f>SUM(F1461:J1461)</f>
        <v>40</v>
      </c>
    </row>
    <row r="1462" spans="3:12" x14ac:dyDescent="0.2">
      <c r="C1462" s="804"/>
      <c r="D1462" s="684" t="s">
        <v>207</v>
      </c>
      <c r="E1462" s="588"/>
      <c r="F1462" s="618">
        <v>84</v>
      </c>
      <c r="G1462" s="619">
        <v>56</v>
      </c>
      <c r="H1462" s="618">
        <v>28</v>
      </c>
      <c r="I1462" s="618">
        <v>55</v>
      </c>
      <c r="J1462" s="618">
        <v>93</v>
      </c>
      <c r="K1462" s="618">
        <f>SUM(F1462:J1462)</f>
        <v>316</v>
      </c>
    </row>
    <row r="1463" spans="3:12" x14ac:dyDescent="0.2">
      <c r="C1463" s="683"/>
      <c r="D1463" s="684" t="s">
        <v>100</v>
      </c>
      <c r="E1463" s="588"/>
      <c r="F1463" s="581"/>
      <c r="G1463" s="581"/>
      <c r="H1463" s="581"/>
      <c r="I1463" s="581"/>
      <c r="J1463" s="581"/>
      <c r="K1463" s="581">
        <f>SUM(F1463:J1463)</f>
        <v>0</v>
      </c>
    </row>
    <row r="1464" spans="3:12" x14ac:dyDescent="0.2">
      <c r="C1464" s="683"/>
      <c r="D1464" s="684" t="s">
        <v>101</v>
      </c>
      <c r="E1464" s="588"/>
      <c r="F1464" s="581"/>
      <c r="G1464" s="581"/>
      <c r="H1464" s="581"/>
      <c r="I1464" s="581"/>
      <c r="J1464" s="581"/>
      <c r="K1464" s="581">
        <f>SUM(F1464:J1464)</f>
        <v>0</v>
      </c>
    </row>
    <row r="1465" spans="3:12" ht="16" thickBot="1" x14ac:dyDescent="0.25">
      <c r="C1465" s="683"/>
      <c r="D1465" s="597" t="s">
        <v>102</v>
      </c>
      <c r="E1465" s="598"/>
      <c r="F1465" s="599"/>
      <c r="G1465" s="600"/>
      <c r="H1465" s="600"/>
      <c r="I1465" s="600"/>
      <c r="J1465" s="600"/>
      <c r="K1465" s="600">
        <f>SUM(F1465:J1465)</f>
        <v>0</v>
      </c>
    </row>
    <row r="1466" spans="3:12" ht="17" thickBot="1" x14ac:dyDescent="0.25">
      <c r="C1466" s="605"/>
      <c r="D1466" s="612" t="s">
        <v>84</v>
      </c>
      <c r="E1466" s="613"/>
      <c r="F1466" s="614">
        <f>(F1462+F1465)-F1464-F1463</f>
        <v>84</v>
      </c>
      <c r="G1466" s="615">
        <f>(G1462+G1465)-G1464-G1463</f>
        <v>56</v>
      </c>
      <c r="H1466" s="616">
        <f>(H1462+H1465)-H1464</f>
        <v>28</v>
      </c>
      <c r="I1466" s="615">
        <f>(I1462+I1465)-I1464-I1463</f>
        <v>55</v>
      </c>
      <c r="J1466" s="622">
        <f>(J1462+J1465)-J1464-J1463</f>
        <v>93</v>
      </c>
      <c r="K1466" s="617">
        <f>(K1462+K1465)-K1464-K1463</f>
        <v>316</v>
      </c>
    </row>
    <row r="1467" spans="3:12" ht="16" x14ac:dyDescent="0.2">
      <c r="C1467" s="683"/>
      <c r="D1467" s="608"/>
      <c r="E1467" s="609"/>
      <c r="F1467" s="610"/>
      <c r="G1467" s="595"/>
      <c r="H1467" s="611"/>
      <c r="I1467" s="595"/>
      <c r="J1467" s="595"/>
      <c r="K1467" s="595"/>
    </row>
    <row r="1468" spans="3:12" ht="16" thickBot="1" x14ac:dyDescent="0.25">
      <c r="C1468" s="606" t="s">
        <v>388</v>
      </c>
      <c r="D1468" s="607" t="s">
        <v>103</v>
      </c>
      <c r="E1468" s="603" t="s">
        <v>84</v>
      </c>
      <c r="F1468" s="602"/>
      <c r="G1468" s="602"/>
      <c r="H1468" s="602"/>
      <c r="I1468" s="601"/>
      <c r="J1468" s="601"/>
      <c r="K1468" s="601" t="s">
        <v>84</v>
      </c>
      <c r="L1468" s="174" t="s">
        <v>389</v>
      </c>
    </row>
    <row r="1469" spans="3:12" x14ac:dyDescent="0.2">
      <c r="C1469" s="589" t="s">
        <v>406</v>
      </c>
      <c r="D1469" s="604" t="s">
        <v>105</v>
      </c>
      <c r="E1469" s="591">
        <f>(F1469+G1469+H1469+I1469+J1469)*100+(0*230)</f>
        <v>7200</v>
      </c>
      <c r="F1469" s="3">
        <v>20</v>
      </c>
      <c r="G1469" s="3">
        <v>15</v>
      </c>
      <c r="H1469" s="3">
        <v>9</v>
      </c>
      <c r="I1469" s="3">
        <v>8</v>
      </c>
      <c r="J1469" s="3">
        <v>20</v>
      </c>
      <c r="K1469" s="628">
        <f t="shared" ref="K1469:K1491" si="68">SUM(F1469:J1469)</f>
        <v>72</v>
      </c>
      <c r="L1469" s="630">
        <f>K1469/4</f>
        <v>18</v>
      </c>
    </row>
    <row r="1470" spans="3:12" x14ac:dyDescent="0.2">
      <c r="C1470" s="589"/>
      <c r="D1470" s="590" t="s">
        <v>390</v>
      </c>
      <c r="E1470" s="591">
        <f>(F1470+G1470+H1470+I1470+J1470)*120</f>
        <v>0</v>
      </c>
      <c r="F1470" s="3"/>
      <c r="G1470" s="3"/>
      <c r="H1470" s="3"/>
      <c r="I1470" s="3"/>
      <c r="J1470" s="3"/>
      <c r="K1470" s="628">
        <f t="shared" si="68"/>
        <v>0</v>
      </c>
      <c r="L1470" s="630">
        <f t="shared" ref="L1470:L1491" si="69">K1470/4</f>
        <v>0</v>
      </c>
    </row>
    <row r="1471" spans="3:12" x14ac:dyDescent="0.2">
      <c r="C1471" s="589"/>
      <c r="D1471" s="590" t="s">
        <v>391</v>
      </c>
      <c r="E1471" s="591">
        <f>(F1471+G1471+H1471+I1471+J1471)*120</f>
        <v>0</v>
      </c>
      <c r="F1471" s="3"/>
      <c r="G1471" s="3"/>
      <c r="H1471" s="3"/>
      <c r="I1471" s="3"/>
      <c r="J1471" s="3"/>
      <c r="K1471" s="628">
        <f t="shared" si="68"/>
        <v>0</v>
      </c>
      <c r="L1471" s="630">
        <f t="shared" si="69"/>
        <v>0</v>
      </c>
    </row>
    <row r="1472" spans="3:12" x14ac:dyDescent="0.2">
      <c r="C1472" s="589" t="s">
        <v>684</v>
      </c>
      <c r="D1472" s="590" t="s">
        <v>392</v>
      </c>
      <c r="E1472" s="591">
        <f>(F1472+G1472+H1472+I1472+J1472)*120</f>
        <v>2400</v>
      </c>
      <c r="F1472" s="3">
        <v>6</v>
      </c>
      <c r="G1472" s="3">
        <v>2</v>
      </c>
      <c r="H1472" s="3">
        <v>6</v>
      </c>
      <c r="I1472" s="3"/>
      <c r="J1472" s="3">
        <v>6</v>
      </c>
      <c r="K1472" s="628">
        <f t="shared" si="68"/>
        <v>20</v>
      </c>
      <c r="L1472" s="630">
        <f t="shared" si="69"/>
        <v>5</v>
      </c>
    </row>
    <row r="1473" spans="3:12" x14ac:dyDescent="0.2">
      <c r="C1473" s="589"/>
      <c r="D1473" s="590" t="s">
        <v>425</v>
      </c>
      <c r="E1473" s="591">
        <f>(F1473+G1473+H1473+I1473+J1473)*120</f>
        <v>0</v>
      </c>
      <c r="F1473" s="3"/>
      <c r="G1473" s="3"/>
      <c r="H1473" s="3"/>
      <c r="I1473" s="3"/>
      <c r="J1473" s="3"/>
      <c r="K1473" s="628">
        <f t="shared" si="68"/>
        <v>0</v>
      </c>
      <c r="L1473" s="630">
        <f t="shared" si="69"/>
        <v>0</v>
      </c>
    </row>
    <row r="1474" spans="3:12" x14ac:dyDescent="0.2">
      <c r="C1474" s="589"/>
      <c r="D1474" s="590"/>
      <c r="E1474" s="591"/>
      <c r="F1474" s="3"/>
      <c r="G1474" s="3"/>
      <c r="H1474" s="3"/>
      <c r="I1474" s="3"/>
      <c r="J1474" s="3"/>
      <c r="K1474" s="628">
        <f t="shared" si="68"/>
        <v>0</v>
      </c>
      <c r="L1474" s="630">
        <f t="shared" si="69"/>
        <v>0</v>
      </c>
    </row>
    <row r="1475" spans="3:12" x14ac:dyDescent="0.2">
      <c r="C1475" s="589" t="s">
        <v>687</v>
      </c>
      <c r="D1475" s="590" t="s">
        <v>108</v>
      </c>
      <c r="E1475" s="591">
        <f>(F1475+G1475+H1475+J1475)*112.7+(I1475*119.6)</f>
        <v>3887</v>
      </c>
      <c r="F1475" s="3">
        <v>9</v>
      </c>
      <c r="G1475" s="3">
        <v>4</v>
      </c>
      <c r="H1475" s="3">
        <v>4</v>
      </c>
      <c r="I1475" s="3">
        <v>8</v>
      </c>
      <c r="J1475" s="3">
        <v>9</v>
      </c>
      <c r="K1475" s="628">
        <f t="shared" si="68"/>
        <v>34</v>
      </c>
      <c r="L1475" s="630">
        <f t="shared" si="69"/>
        <v>8.5</v>
      </c>
    </row>
    <row r="1476" spans="3:12" x14ac:dyDescent="0.2">
      <c r="C1476" s="589" t="s">
        <v>686</v>
      </c>
      <c r="D1476" s="590" t="s">
        <v>393</v>
      </c>
      <c r="E1476" s="591">
        <f>(F1476+G1476+H1476+J1476)*112.7+(I1476*119.6)</f>
        <v>2732.4</v>
      </c>
      <c r="F1476" s="3">
        <v>6</v>
      </c>
      <c r="G1476" s="3">
        <v>4</v>
      </c>
      <c r="H1476" s="3">
        <v>4</v>
      </c>
      <c r="I1476" s="3">
        <v>4</v>
      </c>
      <c r="J1476" s="3">
        <v>6</v>
      </c>
      <c r="K1476" s="628">
        <f t="shared" si="68"/>
        <v>24</v>
      </c>
      <c r="L1476" s="630">
        <f t="shared" si="69"/>
        <v>6</v>
      </c>
    </row>
    <row r="1477" spans="3:12" x14ac:dyDescent="0.2">
      <c r="C1477" s="589" t="s">
        <v>685</v>
      </c>
      <c r="D1477" s="590" t="s">
        <v>216</v>
      </c>
      <c r="E1477" s="591">
        <f>(F1477+G1477+H1477+J1477)*112.7+(I1477*119.6)</f>
        <v>3661.6000000000004</v>
      </c>
      <c r="F1477" s="3">
        <v>8</v>
      </c>
      <c r="G1477" s="3">
        <v>8</v>
      </c>
      <c r="H1477" s="3"/>
      <c r="I1477" s="3">
        <v>8</v>
      </c>
      <c r="J1477" s="3">
        <v>8</v>
      </c>
      <c r="K1477" s="628">
        <f t="shared" si="68"/>
        <v>32</v>
      </c>
      <c r="L1477" s="630">
        <f t="shared" si="69"/>
        <v>8</v>
      </c>
    </row>
    <row r="1478" spans="3:12" x14ac:dyDescent="0.2">
      <c r="C1478" s="589"/>
      <c r="D1478" s="590"/>
      <c r="E1478" s="591"/>
      <c r="F1478" s="3"/>
      <c r="G1478" s="3"/>
      <c r="H1478" s="3"/>
      <c r="I1478" s="3"/>
      <c r="J1478" s="3"/>
      <c r="K1478" s="628">
        <f t="shared" si="68"/>
        <v>0</v>
      </c>
      <c r="L1478" s="630">
        <f t="shared" si="69"/>
        <v>0</v>
      </c>
    </row>
    <row r="1479" spans="3:12" x14ac:dyDescent="0.2">
      <c r="C1479" s="589" t="s">
        <v>512</v>
      </c>
      <c r="D1479" s="590" t="s">
        <v>394</v>
      </c>
      <c r="E1479" s="591">
        <f>(F1479+G1479+H1479+I1479+J1479)*120</f>
        <v>4200</v>
      </c>
      <c r="F1479" s="3">
        <v>10</v>
      </c>
      <c r="G1479" s="3">
        <v>5</v>
      </c>
      <c r="H1479" s="3">
        <v>5</v>
      </c>
      <c r="I1479" s="3">
        <v>5</v>
      </c>
      <c r="J1479" s="3">
        <v>10</v>
      </c>
      <c r="K1479" s="628">
        <f t="shared" si="68"/>
        <v>35</v>
      </c>
      <c r="L1479" s="630">
        <f t="shared" si="69"/>
        <v>8.75</v>
      </c>
    </row>
    <row r="1480" spans="3:12" x14ac:dyDescent="0.2">
      <c r="C1480" s="589" t="s">
        <v>688</v>
      </c>
      <c r="D1480" s="590" t="s">
        <v>110</v>
      </c>
      <c r="E1480" s="591">
        <f>(F1480+G1480+H1480+J1480)*112.7+(I1480*119.6)</f>
        <v>9126.4</v>
      </c>
      <c r="F1480" s="3">
        <v>24</v>
      </c>
      <c r="G1480" s="3">
        <v>16</v>
      </c>
      <c r="H1480" s="3"/>
      <c r="I1480" s="3">
        <v>16</v>
      </c>
      <c r="J1480" s="3">
        <v>24</v>
      </c>
      <c r="K1480" s="628">
        <f t="shared" si="68"/>
        <v>80</v>
      </c>
      <c r="L1480" s="630">
        <f t="shared" si="69"/>
        <v>20</v>
      </c>
    </row>
    <row r="1481" spans="3:12" x14ac:dyDescent="0.2">
      <c r="C1481" s="589"/>
      <c r="D1481" s="590"/>
      <c r="E1481" s="591"/>
      <c r="F1481" s="3"/>
      <c r="G1481" s="3"/>
      <c r="H1481" s="3"/>
      <c r="I1481" s="3"/>
      <c r="J1481" s="3"/>
      <c r="K1481" s="628">
        <f t="shared" si="68"/>
        <v>0</v>
      </c>
      <c r="L1481" s="630">
        <f t="shared" si="69"/>
        <v>0</v>
      </c>
    </row>
    <row r="1482" spans="3:12" x14ac:dyDescent="0.2">
      <c r="C1482" s="589"/>
      <c r="D1482" s="590" t="s">
        <v>381</v>
      </c>
      <c r="E1482" s="591">
        <f>(F1482+G1482+H1482+I1482+J1482)*120+(240*0)+(0*45)</f>
        <v>0</v>
      </c>
      <c r="F1482" s="3"/>
      <c r="G1482" s="3"/>
      <c r="H1482" s="3"/>
      <c r="I1482" s="3"/>
      <c r="J1482" s="3"/>
      <c r="K1482" s="628">
        <f t="shared" si="68"/>
        <v>0</v>
      </c>
      <c r="L1482" s="630">
        <f t="shared" si="69"/>
        <v>0</v>
      </c>
    </row>
    <row r="1483" spans="3:12" x14ac:dyDescent="0.2">
      <c r="C1483" s="589"/>
      <c r="D1483" s="590" t="s">
        <v>276</v>
      </c>
      <c r="E1483" s="591">
        <f>(F1483+G1483+H1483+J1483)*112.7+(I1483*119.6)</f>
        <v>0</v>
      </c>
      <c r="F1483" s="3"/>
      <c r="G1483" s="3"/>
      <c r="H1483" s="3"/>
      <c r="I1483" s="3"/>
      <c r="J1483" s="3"/>
      <c r="K1483" s="628">
        <f t="shared" si="68"/>
        <v>0</v>
      </c>
      <c r="L1483" s="630">
        <f t="shared" si="69"/>
        <v>0</v>
      </c>
    </row>
    <row r="1484" spans="3:12" x14ac:dyDescent="0.2">
      <c r="C1484" s="589"/>
      <c r="D1484" s="590"/>
      <c r="E1484" s="591"/>
      <c r="F1484" s="3"/>
      <c r="G1484" s="3"/>
      <c r="H1484" s="3"/>
      <c r="I1484" s="3"/>
      <c r="J1484" s="3"/>
      <c r="K1484" s="628">
        <f t="shared" si="68"/>
        <v>0</v>
      </c>
      <c r="L1484" s="630">
        <f t="shared" si="69"/>
        <v>0</v>
      </c>
    </row>
    <row r="1485" spans="3:12" x14ac:dyDescent="0.2">
      <c r="C1485" s="589"/>
      <c r="D1485" s="590" t="s">
        <v>75</v>
      </c>
      <c r="E1485" s="591">
        <f>(F1485+G1485+H1485+I1485+J1485)*120</f>
        <v>0</v>
      </c>
      <c r="F1485" s="3"/>
      <c r="G1485" s="3"/>
      <c r="H1485" s="3"/>
      <c r="I1485" s="3"/>
      <c r="J1485" s="3"/>
      <c r="K1485" s="628">
        <f t="shared" si="68"/>
        <v>0</v>
      </c>
      <c r="L1485" s="630">
        <f t="shared" si="69"/>
        <v>0</v>
      </c>
    </row>
    <row r="1486" spans="3:12" x14ac:dyDescent="0.2">
      <c r="C1486" s="589"/>
      <c r="D1486" s="590" t="s">
        <v>278</v>
      </c>
      <c r="E1486" s="591">
        <f>(F1486+G1486+H1486+I1486+J1486)*120</f>
        <v>0</v>
      </c>
      <c r="F1486" s="3"/>
      <c r="G1486" s="3"/>
      <c r="H1486" s="3"/>
      <c r="I1486" s="3"/>
      <c r="J1486" s="3"/>
      <c r="K1486" s="628">
        <f t="shared" si="68"/>
        <v>0</v>
      </c>
      <c r="L1486" s="630">
        <f t="shared" si="69"/>
        <v>0</v>
      </c>
    </row>
    <row r="1487" spans="3:12" x14ac:dyDescent="0.2">
      <c r="C1487" s="589"/>
      <c r="D1487" s="590" t="s">
        <v>270</v>
      </c>
      <c r="E1487" s="591">
        <f>(F1487+G1487+H1487+I1487)*112.7+(J1487*119.6)</f>
        <v>0</v>
      </c>
      <c r="F1487" s="3"/>
      <c r="G1487" s="3"/>
      <c r="H1487" s="3"/>
      <c r="I1487" s="3"/>
      <c r="J1487" s="3"/>
      <c r="K1487" s="628">
        <f t="shared" si="68"/>
        <v>0</v>
      </c>
      <c r="L1487" s="630">
        <f t="shared" si="69"/>
        <v>0</v>
      </c>
    </row>
    <row r="1488" spans="3:12" x14ac:dyDescent="0.2">
      <c r="C1488" s="589"/>
      <c r="D1488" s="590" t="s">
        <v>274</v>
      </c>
      <c r="E1488" s="591">
        <f>(F1488+G1488+H1488+I1488)*112.7+(J1488*119.6)</f>
        <v>0</v>
      </c>
      <c r="F1488" s="3"/>
      <c r="G1488" s="3"/>
      <c r="H1488" s="3"/>
      <c r="I1488" s="3"/>
      <c r="J1488" s="3"/>
      <c r="K1488" s="628">
        <f t="shared" si="68"/>
        <v>0</v>
      </c>
      <c r="L1488" s="630">
        <f t="shared" si="69"/>
        <v>0</v>
      </c>
    </row>
    <row r="1489" spans="3:12" x14ac:dyDescent="0.2">
      <c r="C1489" s="589"/>
      <c r="D1489" s="590" t="s">
        <v>395</v>
      </c>
      <c r="E1489" s="591">
        <f>(F1489+G1489+H1489+I1489)*112.7+(J1489*119.6)</f>
        <v>0</v>
      </c>
      <c r="F1489" s="3"/>
      <c r="G1489" s="3"/>
      <c r="H1489" s="3"/>
      <c r="I1489" s="3"/>
      <c r="J1489" s="3"/>
      <c r="K1489" s="628">
        <f t="shared" si="68"/>
        <v>0</v>
      </c>
      <c r="L1489" s="630">
        <f t="shared" si="69"/>
        <v>0</v>
      </c>
    </row>
    <row r="1490" spans="3:12" x14ac:dyDescent="0.2">
      <c r="C1490" s="683"/>
      <c r="D1490" s="590" t="s">
        <v>112</v>
      </c>
      <c r="E1490" s="591">
        <f>(F1490+G1490+H1490+I1490)*112.7+(J1490*119.6)</f>
        <v>0</v>
      </c>
      <c r="F1490" s="3"/>
      <c r="G1490" s="3"/>
      <c r="H1490" s="3"/>
      <c r="I1490" s="3"/>
      <c r="J1490" s="3"/>
      <c r="K1490" s="628">
        <f t="shared" si="68"/>
        <v>0</v>
      </c>
      <c r="L1490" s="630">
        <f t="shared" si="69"/>
        <v>0</v>
      </c>
    </row>
    <row r="1491" spans="3:12" x14ac:dyDescent="0.2">
      <c r="C1491" s="683"/>
      <c r="D1491" s="590" t="s">
        <v>72</v>
      </c>
      <c r="E1491" s="591">
        <f>(F1491+G1491+H1491+I1491)*112.7+(J1491*119.6)</f>
        <v>0</v>
      </c>
      <c r="F1491" s="3"/>
      <c r="G1491" s="3"/>
      <c r="H1491" s="3"/>
      <c r="I1491" s="3"/>
      <c r="J1491" s="3"/>
      <c r="K1491" s="628">
        <f t="shared" si="68"/>
        <v>0</v>
      </c>
      <c r="L1491" s="630">
        <f t="shared" si="69"/>
        <v>0</v>
      </c>
    </row>
    <row r="1492" spans="3:12" x14ac:dyDescent="0.2">
      <c r="C1492" s="683"/>
      <c r="D1492" s="590" t="s">
        <v>187</v>
      </c>
      <c r="E1492" s="591"/>
      <c r="F1492" s="3"/>
      <c r="G1492" s="3">
        <v>2</v>
      </c>
      <c r="H1492" s="3"/>
      <c r="I1492" s="3"/>
      <c r="J1492" s="3">
        <v>9</v>
      </c>
      <c r="K1492" s="628">
        <f>SUM(F1492:J1492)</f>
        <v>11</v>
      </c>
      <c r="L1492" s="3"/>
    </row>
    <row r="1493" spans="3:12" ht="16" x14ac:dyDescent="0.2">
      <c r="C1493" s="683"/>
      <c r="D1493" s="590"/>
      <c r="E1493" s="592"/>
      <c r="F1493" s="3"/>
      <c r="G1493" s="3"/>
      <c r="H1493" s="3"/>
      <c r="I1493" s="3"/>
      <c r="J1493" s="3"/>
      <c r="K1493" s="628">
        <f>SUM(F1493:J1493)</f>
        <v>0</v>
      </c>
      <c r="L1493" s="3"/>
    </row>
    <row r="1494" spans="3:12" ht="17" thickBot="1" x14ac:dyDescent="0.25">
      <c r="C1494" s="683"/>
      <c r="D1494" s="590"/>
      <c r="E1494" s="624"/>
      <c r="F1494" s="69"/>
      <c r="G1494" s="69"/>
      <c r="H1494" s="69"/>
      <c r="I1494" s="69"/>
      <c r="J1494" s="69"/>
      <c r="K1494" s="629"/>
      <c r="L1494" s="3"/>
    </row>
    <row r="1495" spans="3:12" ht="16" thickBot="1" x14ac:dyDescent="0.25">
      <c r="C1495" s="596"/>
      <c r="D1495" s="623" t="s">
        <v>19</v>
      </c>
      <c r="E1495" s="625">
        <f>SUM(E1469:E1492)</f>
        <v>33207.4</v>
      </c>
      <c r="F1495" s="614">
        <f>SUM(F1469:F1494)</f>
        <v>83</v>
      </c>
      <c r="G1495" s="614">
        <f>SUM(G1469:G1494)</f>
        <v>56</v>
      </c>
      <c r="H1495" s="614">
        <f>SUM(H1469:H1494)</f>
        <v>28</v>
      </c>
      <c r="I1495" s="614">
        <f>SUM(I1469:I1494)</f>
        <v>49</v>
      </c>
      <c r="J1495" s="614">
        <f>SUM(J1469:J1494)</f>
        <v>92</v>
      </c>
      <c r="K1495" s="626">
        <f>SUM(F1495:J1495)</f>
        <v>308</v>
      </c>
      <c r="L1495" s="631">
        <f>SUM(L1469:L1494)</f>
        <v>74.25</v>
      </c>
    </row>
    <row r="1496" spans="3:12" x14ac:dyDescent="0.2">
      <c r="C1496" s="596"/>
      <c r="D1496" s="593" t="s">
        <v>113</v>
      </c>
      <c r="E1496" s="620"/>
      <c r="F1496" s="610">
        <f>F1466-F1495</f>
        <v>1</v>
      </c>
      <c r="G1496" s="610">
        <f>G1466-G1495</f>
        <v>0</v>
      </c>
      <c r="H1496" s="610">
        <f>H1466-H1495</f>
        <v>0</v>
      </c>
      <c r="I1496" s="610">
        <f>I1466-I1495</f>
        <v>6</v>
      </c>
      <c r="J1496" s="610">
        <f>J1466-J1495</f>
        <v>1</v>
      </c>
      <c r="K1496" s="636">
        <f>SUM(F1496:J1496)</f>
        <v>8</v>
      </c>
      <c r="L1496" s="3"/>
    </row>
    <row r="1497" spans="3:12" x14ac:dyDescent="0.2">
      <c r="C1497" s="683"/>
      <c r="D1497" s="593" t="s">
        <v>436</v>
      </c>
      <c r="E1497" s="594"/>
      <c r="F1497" s="581"/>
      <c r="G1497" s="581"/>
      <c r="H1497" s="581"/>
      <c r="I1497" s="581"/>
      <c r="J1497" s="581"/>
      <c r="K1497" s="637">
        <f>K1495+K1496</f>
        <v>316</v>
      </c>
      <c r="L1497" s="3"/>
    </row>
    <row r="1499" spans="3:12" ht="18" x14ac:dyDescent="0.2">
      <c r="C1499" s="685" t="s">
        <v>412</v>
      </c>
      <c r="D1499" s="582">
        <v>45699</v>
      </c>
      <c r="E1499" s="800"/>
      <c r="F1499" s="685" t="s">
        <v>83</v>
      </c>
      <c r="G1499" s="801" t="s">
        <v>64</v>
      </c>
      <c r="H1499" s="802"/>
      <c r="I1499" s="802"/>
      <c r="J1499" s="802"/>
      <c r="K1499" s="803"/>
    </row>
    <row r="1500" spans="3:12" x14ac:dyDescent="0.2">
      <c r="C1500" s="804"/>
      <c r="D1500" s="805"/>
      <c r="E1500" s="800"/>
      <c r="F1500" s="683" t="s">
        <v>93</v>
      </c>
      <c r="G1500" s="683" t="s">
        <v>93</v>
      </c>
      <c r="H1500" s="683"/>
      <c r="I1500" s="806"/>
      <c r="J1500" s="806"/>
      <c r="K1500" s="806"/>
    </row>
    <row r="1501" spans="3:12" x14ac:dyDescent="0.2">
      <c r="C1501" s="804"/>
      <c r="D1501" s="805"/>
      <c r="E1501" s="800"/>
      <c r="F1501" s="683" t="s">
        <v>94</v>
      </c>
      <c r="G1501" s="683" t="s">
        <v>95</v>
      </c>
      <c r="H1501" s="683" t="s">
        <v>96</v>
      </c>
      <c r="I1501" s="806"/>
      <c r="J1501" s="806"/>
      <c r="K1501" s="806"/>
    </row>
    <row r="1502" spans="3:12" x14ac:dyDescent="0.2">
      <c r="C1502" s="804"/>
      <c r="D1502" s="805"/>
      <c r="E1502" s="800"/>
      <c r="F1502" s="683"/>
      <c r="G1502" s="683"/>
      <c r="H1502" s="683"/>
      <c r="I1502" s="806"/>
      <c r="J1502" s="806"/>
      <c r="K1502" s="806"/>
    </row>
    <row r="1503" spans="3:12" ht="16" x14ac:dyDescent="0.2">
      <c r="C1503" s="683"/>
      <c r="D1503" s="583" t="s">
        <v>97</v>
      </c>
      <c r="E1503" s="584"/>
      <c r="F1503" s="581"/>
      <c r="G1503" s="585"/>
      <c r="H1503" s="585"/>
      <c r="I1503" s="586"/>
      <c r="J1503" s="586"/>
      <c r="K1503" s="586"/>
    </row>
    <row r="1504" spans="3:12" ht="26" x14ac:dyDescent="0.2">
      <c r="C1504" s="804"/>
      <c r="D1504" s="587"/>
      <c r="E1504" s="588"/>
      <c r="F1504" s="585" t="s">
        <v>383</v>
      </c>
      <c r="G1504" s="585" t="s">
        <v>384</v>
      </c>
      <c r="H1504" s="585" t="s">
        <v>385</v>
      </c>
      <c r="I1504" s="585" t="s">
        <v>386</v>
      </c>
      <c r="J1504" s="585" t="s">
        <v>387</v>
      </c>
      <c r="K1504" s="585" t="s">
        <v>84</v>
      </c>
    </row>
    <row r="1505" spans="3:12" x14ac:dyDescent="0.2">
      <c r="C1505" s="804"/>
      <c r="D1505" s="684" t="s">
        <v>167</v>
      </c>
      <c r="E1505" s="588"/>
      <c r="F1505" s="580">
        <v>13</v>
      </c>
      <c r="G1505" s="579">
        <v>9</v>
      </c>
      <c r="H1505" s="580"/>
      <c r="I1505" s="580">
        <v>6</v>
      </c>
      <c r="J1505" s="580">
        <v>11</v>
      </c>
      <c r="K1505" s="580">
        <f>SUM(F1505:J1505)</f>
        <v>39</v>
      </c>
    </row>
    <row r="1506" spans="3:12" x14ac:dyDescent="0.2">
      <c r="C1506" s="804"/>
      <c r="D1506" s="684" t="s">
        <v>207</v>
      </c>
      <c r="E1506" s="588"/>
      <c r="F1506" s="618">
        <v>91</v>
      </c>
      <c r="G1506" s="619">
        <v>63</v>
      </c>
      <c r="H1506" s="618"/>
      <c r="I1506" s="618">
        <v>66</v>
      </c>
      <c r="J1506" s="618">
        <v>97</v>
      </c>
      <c r="K1506" s="618">
        <f>SUM(F1506:J1506)</f>
        <v>317</v>
      </c>
    </row>
    <row r="1507" spans="3:12" x14ac:dyDescent="0.2">
      <c r="C1507" s="683"/>
      <c r="D1507" s="684" t="s">
        <v>100</v>
      </c>
      <c r="E1507" s="588"/>
      <c r="F1507" s="581"/>
      <c r="G1507" s="581"/>
      <c r="H1507" s="581"/>
      <c r="I1507" s="581"/>
      <c r="J1507" s="581"/>
      <c r="K1507" s="581">
        <f>SUM(F1507:J1507)</f>
        <v>0</v>
      </c>
    </row>
    <row r="1508" spans="3:12" x14ac:dyDescent="0.2">
      <c r="C1508" s="683"/>
      <c r="D1508" s="684" t="s">
        <v>101</v>
      </c>
      <c r="E1508" s="588"/>
      <c r="F1508" s="581">
        <v>1</v>
      </c>
      <c r="G1508" s="581">
        <v>1</v>
      </c>
      <c r="H1508" s="581"/>
      <c r="I1508" s="581">
        <v>1</v>
      </c>
      <c r="J1508" s="581">
        <v>3</v>
      </c>
      <c r="K1508" s="581">
        <f>SUM(F1508:J1508)</f>
        <v>6</v>
      </c>
    </row>
    <row r="1509" spans="3:12" ht="16" thickBot="1" x14ac:dyDescent="0.25">
      <c r="C1509" s="683"/>
      <c r="D1509" s="597" t="s">
        <v>102</v>
      </c>
      <c r="E1509" s="598"/>
      <c r="F1509" s="599">
        <v>1</v>
      </c>
      <c r="G1509" s="600"/>
      <c r="H1509" s="600"/>
      <c r="I1509" s="600">
        <v>6</v>
      </c>
      <c r="J1509" s="600">
        <v>1</v>
      </c>
      <c r="K1509" s="600">
        <f>SUM(F1509:J1509)</f>
        <v>8</v>
      </c>
    </row>
    <row r="1510" spans="3:12" ht="17" thickBot="1" x14ac:dyDescent="0.25">
      <c r="C1510" s="605"/>
      <c r="D1510" s="612" t="s">
        <v>84</v>
      </c>
      <c r="E1510" s="613"/>
      <c r="F1510" s="614">
        <f>(F1506+F1509)-F1508-F1507</f>
        <v>91</v>
      </c>
      <c r="G1510" s="615">
        <f>(G1506+G1509)-G1508-G1507</f>
        <v>62</v>
      </c>
      <c r="H1510" s="616">
        <f>(H1506+H1509)-H1508</f>
        <v>0</v>
      </c>
      <c r="I1510" s="615">
        <f>(I1506+I1509)-I1508-I1507</f>
        <v>71</v>
      </c>
      <c r="J1510" s="622">
        <f>(J1506+J1509)-J1508-J1507</f>
        <v>95</v>
      </c>
      <c r="K1510" s="617">
        <f>(K1506+K1509)-K1508-K1507</f>
        <v>319</v>
      </c>
    </row>
    <row r="1511" spans="3:12" ht="16" x14ac:dyDescent="0.2">
      <c r="C1511" s="683"/>
      <c r="D1511" s="608"/>
      <c r="E1511" s="609"/>
      <c r="F1511" s="610"/>
      <c r="G1511" s="595"/>
      <c r="H1511" s="611"/>
      <c r="I1511" s="595"/>
      <c r="J1511" s="595"/>
      <c r="K1511" s="595"/>
    </row>
    <row r="1512" spans="3:12" ht="16" thickBot="1" x14ac:dyDescent="0.25">
      <c r="C1512" s="606" t="s">
        <v>388</v>
      </c>
      <c r="D1512" s="607" t="s">
        <v>103</v>
      </c>
      <c r="E1512" s="603" t="s">
        <v>84</v>
      </c>
      <c r="F1512" s="602"/>
      <c r="G1512" s="602"/>
      <c r="H1512" s="602"/>
      <c r="I1512" s="601"/>
      <c r="J1512" s="601"/>
      <c r="K1512" s="601" t="s">
        <v>84</v>
      </c>
      <c r="L1512" s="174" t="s">
        <v>389</v>
      </c>
    </row>
    <row r="1513" spans="3:12" x14ac:dyDescent="0.2">
      <c r="C1513" s="589"/>
      <c r="D1513" s="604" t="s">
        <v>105</v>
      </c>
      <c r="E1513" s="591">
        <f>(F1513+G1513+H1513+I1513+J1513)*100+(0*230)</f>
        <v>0</v>
      </c>
      <c r="F1513" s="3"/>
      <c r="G1513" s="3"/>
      <c r="H1513" s="3"/>
      <c r="I1513" s="3"/>
      <c r="J1513" s="3"/>
      <c r="K1513" s="628">
        <f t="shared" ref="K1513:K1535" si="70">SUM(F1513:J1513)</f>
        <v>0</v>
      </c>
      <c r="L1513" s="630">
        <f>K1513/4</f>
        <v>0</v>
      </c>
    </row>
    <row r="1514" spans="3:12" x14ac:dyDescent="0.2">
      <c r="C1514" s="589"/>
      <c r="D1514" s="590" t="s">
        <v>390</v>
      </c>
      <c r="E1514" s="591">
        <f>(F1514+G1514+H1514+I1514+J1514)*120</f>
        <v>0</v>
      </c>
      <c r="F1514" s="3"/>
      <c r="G1514" s="3"/>
      <c r="H1514" s="3"/>
      <c r="I1514" s="3"/>
      <c r="J1514" s="3"/>
      <c r="K1514" s="628">
        <f t="shared" si="70"/>
        <v>0</v>
      </c>
      <c r="L1514" s="630">
        <f t="shared" ref="L1514:L1535" si="71">K1514/4</f>
        <v>0</v>
      </c>
    </row>
    <row r="1515" spans="3:12" x14ac:dyDescent="0.2">
      <c r="C1515" s="589"/>
      <c r="D1515" s="590" t="s">
        <v>391</v>
      </c>
      <c r="E1515" s="591">
        <f>(F1515+G1515+H1515+I1515+J1515)*120</f>
        <v>0</v>
      </c>
      <c r="F1515" s="3"/>
      <c r="G1515" s="3"/>
      <c r="H1515" s="3"/>
      <c r="I1515" s="3"/>
      <c r="J1515" s="3"/>
      <c r="K1515" s="628">
        <f t="shared" si="70"/>
        <v>0</v>
      </c>
      <c r="L1515" s="630">
        <f t="shared" si="71"/>
        <v>0</v>
      </c>
    </row>
    <row r="1516" spans="3:12" x14ac:dyDescent="0.2">
      <c r="C1516" s="589"/>
      <c r="D1516" s="590" t="s">
        <v>392</v>
      </c>
      <c r="E1516" s="591">
        <f>(F1516+G1516+H1516+I1516+J1516)*120</f>
        <v>0</v>
      </c>
      <c r="F1516" s="3"/>
      <c r="G1516" s="3"/>
      <c r="H1516" s="3"/>
      <c r="I1516" s="3"/>
      <c r="J1516" s="3"/>
      <c r="K1516" s="628">
        <f t="shared" si="70"/>
        <v>0</v>
      </c>
      <c r="L1516" s="630">
        <f t="shared" si="71"/>
        <v>0</v>
      </c>
    </row>
    <row r="1517" spans="3:12" x14ac:dyDescent="0.2">
      <c r="C1517" s="589"/>
      <c r="D1517" s="590" t="s">
        <v>425</v>
      </c>
      <c r="E1517" s="591">
        <f>(F1517+G1517+H1517+I1517+J1517)*120</f>
        <v>0</v>
      </c>
      <c r="F1517" s="3"/>
      <c r="G1517" s="3"/>
      <c r="H1517" s="3"/>
      <c r="I1517" s="3"/>
      <c r="J1517" s="3"/>
      <c r="K1517" s="628">
        <f t="shared" si="70"/>
        <v>0</v>
      </c>
      <c r="L1517" s="630">
        <f t="shared" si="71"/>
        <v>0</v>
      </c>
    </row>
    <row r="1518" spans="3:12" x14ac:dyDescent="0.2">
      <c r="C1518" s="589"/>
      <c r="D1518" s="590"/>
      <c r="E1518" s="591"/>
      <c r="F1518" s="3"/>
      <c r="G1518" s="3"/>
      <c r="H1518" s="3"/>
      <c r="I1518" s="3"/>
      <c r="J1518" s="3"/>
      <c r="K1518" s="628">
        <f t="shared" si="70"/>
        <v>0</v>
      </c>
      <c r="L1518" s="630">
        <f t="shared" si="71"/>
        <v>0</v>
      </c>
    </row>
    <row r="1519" spans="3:12" x14ac:dyDescent="0.2">
      <c r="C1519" s="589"/>
      <c r="D1519" s="590" t="s">
        <v>108</v>
      </c>
      <c r="E1519" s="591">
        <f>(F1519+G1519+H1519+J1519)*112.7+(I1519*119.6)</f>
        <v>0</v>
      </c>
      <c r="F1519" s="3"/>
      <c r="G1519" s="3"/>
      <c r="H1519" s="3"/>
      <c r="I1519" s="3"/>
      <c r="J1519" s="3"/>
      <c r="K1519" s="628">
        <f t="shared" si="70"/>
        <v>0</v>
      </c>
      <c r="L1519" s="630">
        <f t="shared" si="71"/>
        <v>0</v>
      </c>
    </row>
    <row r="1520" spans="3:12" x14ac:dyDescent="0.2">
      <c r="C1520" s="589"/>
      <c r="D1520" s="590" t="s">
        <v>393</v>
      </c>
      <c r="E1520" s="591">
        <f>(F1520+G1520+H1520+J1520)*112.7+(I1520*119.6)</f>
        <v>0</v>
      </c>
      <c r="F1520" s="3"/>
      <c r="G1520" s="3"/>
      <c r="H1520" s="3"/>
      <c r="I1520" s="3"/>
      <c r="J1520" s="3"/>
      <c r="K1520" s="628">
        <f t="shared" si="70"/>
        <v>0</v>
      </c>
      <c r="L1520" s="630">
        <f t="shared" si="71"/>
        <v>0</v>
      </c>
    </row>
    <row r="1521" spans="3:12" x14ac:dyDescent="0.2">
      <c r="C1521" s="589"/>
      <c r="D1521" s="590" t="s">
        <v>216</v>
      </c>
      <c r="E1521" s="591">
        <f>(F1521+G1521+H1521+J1521)*112.7+(I1521*119.6)</f>
        <v>0</v>
      </c>
      <c r="F1521" s="3"/>
      <c r="G1521" s="3"/>
      <c r="H1521" s="3"/>
      <c r="I1521" s="3"/>
      <c r="J1521" s="3"/>
      <c r="K1521" s="628">
        <f t="shared" si="70"/>
        <v>0</v>
      </c>
      <c r="L1521" s="630">
        <f t="shared" si="71"/>
        <v>0</v>
      </c>
    </row>
    <row r="1522" spans="3:12" x14ac:dyDescent="0.2">
      <c r="C1522" s="589"/>
      <c r="D1522" s="590"/>
      <c r="E1522" s="591"/>
      <c r="F1522" s="3"/>
      <c r="G1522" s="3"/>
      <c r="H1522" s="3"/>
      <c r="I1522" s="3"/>
      <c r="J1522" s="3"/>
      <c r="K1522" s="628">
        <f t="shared" si="70"/>
        <v>0</v>
      </c>
      <c r="L1522" s="630">
        <f t="shared" si="71"/>
        <v>0</v>
      </c>
    </row>
    <row r="1523" spans="3:12" x14ac:dyDescent="0.2">
      <c r="C1523" s="589"/>
      <c r="D1523" s="590" t="s">
        <v>394</v>
      </c>
      <c r="E1523" s="591">
        <f>(F1523+G1523+H1523+I1523+J1523)*120</f>
        <v>0</v>
      </c>
      <c r="F1523" s="3"/>
      <c r="G1523" s="3"/>
      <c r="H1523" s="3"/>
      <c r="I1523" s="3"/>
      <c r="J1523" s="3"/>
      <c r="K1523" s="628">
        <f t="shared" si="70"/>
        <v>0</v>
      </c>
      <c r="L1523" s="630">
        <f t="shared" si="71"/>
        <v>0</v>
      </c>
    </row>
    <row r="1524" spans="3:12" x14ac:dyDescent="0.2">
      <c r="C1524" s="589"/>
      <c r="D1524" s="590" t="s">
        <v>110</v>
      </c>
      <c r="E1524" s="591">
        <f>(F1524+G1524+H1524+J1524)*112.7+(I1524*119.6)</f>
        <v>0</v>
      </c>
      <c r="F1524" s="3"/>
      <c r="G1524" s="3"/>
      <c r="H1524" s="3"/>
      <c r="I1524" s="3"/>
      <c r="J1524" s="3"/>
      <c r="K1524" s="628">
        <f t="shared" si="70"/>
        <v>0</v>
      </c>
      <c r="L1524" s="630">
        <f t="shared" si="71"/>
        <v>0</v>
      </c>
    </row>
    <row r="1525" spans="3:12" x14ac:dyDescent="0.2">
      <c r="C1525" s="589"/>
      <c r="D1525" s="590"/>
      <c r="E1525" s="591"/>
      <c r="F1525" s="3"/>
      <c r="G1525" s="3"/>
      <c r="H1525" s="3"/>
      <c r="I1525" s="3"/>
      <c r="J1525" s="3"/>
      <c r="K1525" s="628">
        <f t="shared" si="70"/>
        <v>0</v>
      </c>
      <c r="L1525" s="630">
        <f t="shared" si="71"/>
        <v>0</v>
      </c>
    </row>
    <row r="1526" spans="3:12" x14ac:dyDescent="0.2">
      <c r="C1526" s="589"/>
      <c r="D1526" s="590" t="s">
        <v>381</v>
      </c>
      <c r="E1526" s="591">
        <f>(F1526+G1526+H1526+I1526+J1526)*120+(240*0)+(0*45)</f>
        <v>0</v>
      </c>
      <c r="F1526" s="3"/>
      <c r="G1526" s="3"/>
      <c r="H1526" s="3"/>
      <c r="I1526" s="3"/>
      <c r="J1526" s="3"/>
      <c r="K1526" s="628">
        <f t="shared" si="70"/>
        <v>0</v>
      </c>
      <c r="L1526" s="630">
        <f t="shared" si="71"/>
        <v>0</v>
      </c>
    </row>
    <row r="1527" spans="3:12" x14ac:dyDescent="0.2">
      <c r="C1527" s="589"/>
      <c r="D1527" s="590" t="s">
        <v>276</v>
      </c>
      <c r="E1527" s="591">
        <f>(F1527+G1527+H1527+J1527)*112.7+(I1527*119.6)</f>
        <v>0</v>
      </c>
      <c r="F1527" s="3"/>
      <c r="G1527" s="3"/>
      <c r="H1527" s="3"/>
      <c r="I1527" s="3"/>
      <c r="J1527" s="3"/>
      <c r="K1527" s="628">
        <f t="shared" si="70"/>
        <v>0</v>
      </c>
      <c r="L1527" s="630">
        <f t="shared" si="71"/>
        <v>0</v>
      </c>
    </row>
    <row r="1528" spans="3:12" x14ac:dyDescent="0.2">
      <c r="C1528" s="589"/>
      <c r="D1528" s="590"/>
      <c r="E1528" s="591"/>
      <c r="F1528" s="3"/>
      <c r="G1528" s="3"/>
      <c r="H1528" s="3"/>
      <c r="I1528" s="3"/>
      <c r="J1528" s="3"/>
      <c r="K1528" s="628">
        <f t="shared" si="70"/>
        <v>0</v>
      </c>
      <c r="L1528" s="630">
        <f t="shared" si="71"/>
        <v>0</v>
      </c>
    </row>
    <row r="1529" spans="3:12" x14ac:dyDescent="0.2">
      <c r="C1529" s="589"/>
      <c r="D1529" s="590" t="s">
        <v>75</v>
      </c>
      <c r="E1529" s="591">
        <f>(F1529+G1529+H1529+I1529+J1529)*120</f>
        <v>0</v>
      </c>
      <c r="F1529" s="3"/>
      <c r="G1529" s="3"/>
      <c r="H1529" s="3"/>
      <c r="I1529" s="3"/>
      <c r="J1529" s="3"/>
      <c r="K1529" s="628">
        <f t="shared" si="70"/>
        <v>0</v>
      </c>
      <c r="L1529" s="630">
        <f t="shared" si="71"/>
        <v>0</v>
      </c>
    </row>
    <row r="1530" spans="3:12" x14ac:dyDescent="0.2">
      <c r="C1530" s="589"/>
      <c r="D1530" s="590" t="s">
        <v>278</v>
      </c>
      <c r="E1530" s="591">
        <f>(F1530+G1530+H1530+I1530+J1530)*120</f>
        <v>0</v>
      </c>
      <c r="F1530" s="3"/>
      <c r="G1530" s="3"/>
      <c r="H1530" s="3"/>
      <c r="I1530" s="3"/>
      <c r="J1530" s="3"/>
      <c r="K1530" s="628">
        <f t="shared" si="70"/>
        <v>0</v>
      </c>
      <c r="L1530" s="630">
        <f t="shared" si="71"/>
        <v>0</v>
      </c>
    </row>
    <row r="1531" spans="3:12" x14ac:dyDescent="0.2">
      <c r="C1531" s="589" t="s">
        <v>691</v>
      </c>
      <c r="D1531" s="590" t="s">
        <v>270</v>
      </c>
      <c r="E1531" s="591">
        <f>(F1531+G1531+H1531+I1531)*112.7+(J1531*119.6)</f>
        <v>8730.7999999999993</v>
      </c>
      <c r="F1531" s="3">
        <v>24</v>
      </c>
      <c r="G1531" s="3">
        <v>12</v>
      </c>
      <c r="H1531" s="3"/>
      <c r="I1531" s="3">
        <v>16</v>
      </c>
      <c r="J1531" s="3">
        <v>24</v>
      </c>
      <c r="K1531" s="628">
        <f t="shared" si="70"/>
        <v>76</v>
      </c>
      <c r="L1531" s="630">
        <f t="shared" si="71"/>
        <v>19</v>
      </c>
    </row>
    <row r="1532" spans="3:12" x14ac:dyDescent="0.2">
      <c r="C1532" s="589" t="s">
        <v>690</v>
      </c>
      <c r="D1532" s="590" t="s">
        <v>274</v>
      </c>
      <c r="E1532" s="591">
        <f>(F1532+G1532+H1532+I1532)*112.7+(J1532*119.6)</f>
        <v>6196.2000000000007</v>
      </c>
      <c r="F1532" s="3">
        <v>16</v>
      </c>
      <c r="G1532" s="3">
        <v>10</v>
      </c>
      <c r="H1532" s="3"/>
      <c r="I1532" s="3">
        <v>12</v>
      </c>
      <c r="J1532" s="3">
        <v>16</v>
      </c>
      <c r="K1532" s="628">
        <f t="shared" si="70"/>
        <v>54</v>
      </c>
      <c r="L1532" s="630">
        <f t="shared" si="71"/>
        <v>13.5</v>
      </c>
    </row>
    <row r="1533" spans="3:12" x14ac:dyDescent="0.2">
      <c r="C1533" s="589" t="s">
        <v>692</v>
      </c>
      <c r="D1533" s="590" t="s">
        <v>395</v>
      </c>
      <c r="E1533" s="591">
        <f>(F1533+G1533+H1533+I1533)*112.7+(J1533*119.6)</f>
        <v>6421.6</v>
      </c>
      <c r="F1533" s="3">
        <v>16</v>
      </c>
      <c r="G1533" s="3">
        <v>12</v>
      </c>
      <c r="H1533" s="3"/>
      <c r="I1533" s="3">
        <v>12</v>
      </c>
      <c r="J1533" s="3">
        <v>16</v>
      </c>
      <c r="K1533" s="628">
        <f t="shared" si="70"/>
        <v>56</v>
      </c>
      <c r="L1533" s="630">
        <f t="shared" si="71"/>
        <v>14</v>
      </c>
    </row>
    <row r="1534" spans="3:12" x14ac:dyDescent="0.2">
      <c r="C1534" s="683">
        <v>1172651701</v>
      </c>
      <c r="D1534" s="590" t="s">
        <v>112</v>
      </c>
      <c r="E1534" s="591">
        <f>(F1534+G1534+H1534+I1534)*112.7+(J1534*119.6)</f>
        <v>6421.6</v>
      </c>
      <c r="F1534" s="3">
        <v>16</v>
      </c>
      <c r="G1534" s="3">
        <v>12</v>
      </c>
      <c r="H1534" s="3"/>
      <c r="I1534" s="3">
        <v>12</v>
      </c>
      <c r="J1534" s="3">
        <v>16</v>
      </c>
      <c r="K1534" s="628">
        <f t="shared" si="70"/>
        <v>56</v>
      </c>
      <c r="L1534" s="630">
        <f t="shared" si="71"/>
        <v>14</v>
      </c>
    </row>
    <row r="1535" spans="3:12" x14ac:dyDescent="0.2">
      <c r="C1535" s="683">
        <v>1172650699</v>
      </c>
      <c r="D1535" s="590" t="s">
        <v>72</v>
      </c>
      <c r="E1535" s="591">
        <f>(F1535+G1535+H1535+I1535)*112.7+(J1535*119.6)</f>
        <v>5365.9000000000005</v>
      </c>
      <c r="F1535" s="3">
        <v>15</v>
      </c>
      <c r="G1535" s="3">
        <v>12</v>
      </c>
      <c r="H1535" s="3"/>
      <c r="I1535" s="3">
        <v>10</v>
      </c>
      <c r="J1535" s="3">
        <v>10</v>
      </c>
      <c r="K1535" s="628">
        <f t="shared" si="70"/>
        <v>47</v>
      </c>
      <c r="L1535" s="630">
        <f t="shared" si="71"/>
        <v>11.75</v>
      </c>
    </row>
    <row r="1536" spans="3:12" x14ac:dyDescent="0.2">
      <c r="C1536" s="683"/>
      <c r="D1536" s="590" t="s">
        <v>187</v>
      </c>
      <c r="E1536" s="591"/>
      <c r="F1536" s="3"/>
      <c r="G1536" s="3"/>
      <c r="H1536" s="3"/>
      <c r="I1536" s="3">
        <v>1</v>
      </c>
      <c r="J1536" s="3">
        <v>8</v>
      </c>
      <c r="K1536" s="628">
        <f>SUM(F1536:J1536)</f>
        <v>9</v>
      </c>
      <c r="L1536" s="3"/>
    </row>
    <row r="1537" spans="3:12" ht="16" x14ac:dyDescent="0.2">
      <c r="C1537" s="683"/>
      <c r="D1537" s="590"/>
      <c r="E1537" s="592"/>
      <c r="F1537" s="3"/>
      <c r="G1537" s="3"/>
      <c r="H1537" s="3"/>
      <c r="I1537" s="3"/>
      <c r="J1537" s="3"/>
      <c r="K1537" s="628">
        <f>SUM(F1537:J1537)</f>
        <v>0</v>
      </c>
      <c r="L1537" s="3"/>
    </row>
    <row r="1538" spans="3:12" ht="17" thickBot="1" x14ac:dyDescent="0.25">
      <c r="C1538" s="683"/>
      <c r="D1538" s="590"/>
      <c r="E1538" s="624"/>
      <c r="F1538" s="69"/>
      <c r="G1538" s="69"/>
      <c r="H1538" s="69"/>
      <c r="I1538" s="69"/>
      <c r="J1538" s="69"/>
      <c r="K1538" s="629"/>
      <c r="L1538" s="3"/>
    </row>
    <row r="1539" spans="3:12" ht="16" thickBot="1" x14ac:dyDescent="0.25">
      <c r="C1539" s="596"/>
      <c r="D1539" s="623" t="s">
        <v>19</v>
      </c>
      <c r="E1539" s="625">
        <f>SUM(E1513:E1536)</f>
        <v>33136.1</v>
      </c>
      <c r="F1539" s="614">
        <f>SUM(F1513:F1538)</f>
        <v>87</v>
      </c>
      <c r="G1539" s="614">
        <f>SUM(G1513:G1538)</f>
        <v>58</v>
      </c>
      <c r="H1539" s="614">
        <f>SUM(H1513:H1538)</f>
        <v>0</v>
      </c>
      <c r="I1539" s="614">
        <f>SUM(I1513:I1538)</f>
        <v>63</v>
      </c>
      <c r="J1539" s="614">
        <f>SUM(J1513:J1538)</f>
        <v>90</v>
      </c>
      <c r="K1539" s="626">
        <f>SUM(F1539:J1539)</f>
        <v>298</v>
      </c>
      <c r="L1539" s="631">
        <f>SUM(L1513:L1538)</f>
        <v>72.25</v>
      </c>
    </row>
    <row r="1540" spans="3:12" x14ac:dyDescent="0.2">
      <c r="C1540" s="596"/>
      <c r="D1540" s="593" t="s">
        <v>113</v>
      </c>
      <c r="E1540" s="620"/>
      <c r="F1540" s="610">
        <f>F1510-F1539</f>
        <v>4</v>
      </c>
      <c r="G1540" s="610">
        <f>G1510-G1539</f>
        <v>4</v>
      </c>
      <c r="H1540" s="610">
        <f>H1510-H1539</f>
        <v>0</v>
      </c>
      <c r="I1540" s="610">
        <f>I1510-I1539</f>
        <v>8</v>
      </c>
      <c r="J1540" s="610">
        <f>J1510-J1539</f>
        <v>5</v>
      </c>
      <c r="K1540" s="636">
        <f>SUM(F1540:J1540)</f>
        <v>21</v>
      </c>
      <c r="L1540" s="3"/>
    </row>
    <row r="1541" spans="3:12" x14ac:dyDescent="0.2">
      <c r="C1541" s="683"/>
      <c r="D1541" s="593" t="s">
        <v>436</v>
      </c>
      <c r="E1541" s="594"/>
      <c r="F1541" s="581"/>
      <c r="G1541" s="581"/>
      <c r="H1541" s="581"/>
      <c r="I1541" s="581"/>
      <c r="J1541" s="581"/>
      <c r="K1541" s="637">
        <f>K1539+K1540</f>
        <v>319</v>
      </c>
      <c r="L1541" s="3"/>
    </row>
    <row r="1543" spans="3:12" ht="18" x14ac:dyDescent="0.2">
      <c r="C1543" s="685" t="s">
        <v>412</v>
      </c>
      <c r="D1543" s="582">
        <v>45700</v>
      </c>
      <c r="E1543" s="800"/>
      <c r="F1543" s="685" t="s">
        <v>83</v>
      </c>
      <c r="G1543" s="801" t="s">
        <v>65</v>
      </c>
      <c r="H1543" s="802"/>
      <c r="I1543" s="802"/>
      <c r="J1543" s="802"/>
      <c r="K1543" s="803"/>
    </row>
    <row r="1544" spans="3:12" x14ac:dyDescent="0.2">
      <c r="C1544" s="804"/>
      <c r="D1544" s="805"/>
      <c r="E1544" s="800"/>
      <c r="F1544" s="683" t="s">
        <v>93</v>
      </c>
      <c r="G1544" s="683" t="s">
        <v>93</v>
      </c>
      <c r="H1544" s="683"/>
      <c r="I1544" s="806"/>
      <c r="J1544" s="806"/>
      <c r="K1544" s="806"/>
    </row>
    <row r="1545" spans="3:12" x14ac:dyDescent="0.2">
      <c r="C1545" s="804"/>
      <c r="D1545" s="805"/>
      <c r="E1545" s="800"/>
      <c r="F1545" s="683" t="s">
        <v>94</v>
      </c>
      <c r="G1545" s="683" t="s">
        <v>95</v>
      </c>
      <c r="H1545" s="683" t="s">
        <v>96</v>
      </c>
      <c r="I1545" s="806"/>
      <c r="J1545" s="806"/>
      <c r="K1545" s="806"/>
    </row>
    <row r="1546" spans="3:12" x14ac:dyDescent="0.2">
      <c r="C1546" s="804"/>
      <c r="D1546" s="805"/>
      <c r="E1546" s="800"/>
      <c r="F1546" s="683"/>
      <c r="G1546" s="683"/>
      <c r="H1546" s="683"/>
      <c r="I1546" s="806"/>
      <c r="J1546" s="806"/>
      <c r="K1546" s="806"/>
    </row>
    <row r="1547" spans="3:12" ht="16" x14ac:dyDescent="0.2">
      <c r="C1547" s="683"/>
      <c r="D1547" s="583" t="s">
        <v>97</v>
      </c>
      <c r="E1547" s="584"/>
      <c r="F1547" s="581"/>
      <c r="G1547" s="585"/>
      <c r="H1547" s="585"/>
      <c r="I1547" s="586"/>
      <c r="J1547" s="586"/>
      <c r="K1547" s="586"/>
    </row>
    <row r="1548" spans="3:12" ht="26" x14ac:dyDescent="0.2">
      <c r="C1548" s="804"/>
      <c r="D1548" s="587"/>
      <c r="E1548" s="588"/>
      <c r="F1548" s="585" t="s">
        <v>383</v>
      </c>
      <c r="G1548" s="585" t="s">
        <v>384</v>
      </c>
      <c r="H1548" s="585" t="s">
        <v>385</v>
      </c>
      <c r="I1548" s="585" t="s">
        <v>386</v>
      </c>
      <c r="J1548" s="585" t="s">
        <v>387</v>
      </c>
      <c r="K1548" s="585" t="s">
        <v>84</v>
      </c>
    </row>
    <row r="1549" spans="3:12" x14ac:dyDescent="0.2">
      <c r="C1549" s="804"/>
      <c r="D1549" s="684" t="s">
        <v>167</v>
      </c>
      <c r="E1549" s="588"/>
      <c r="F1549" s="580">
        <v>12</v>
      </c>
      <c r="G1549" s="579">
        <v>8</v>
      </c>
      <c r="H1549" s="580">
        <v>4</v>
      </c>
      <c r="I1549" s="580">
        <v>6</v>
      </c>
      <c r="J1549" s="580">
        <v>9</v>
      </c>
      <c r="K1549" s="580">
        <f>SUM(F1549:J1549)</f>
        <v>39</v>
      </c>
    </row>
    <row r="1550" spans="3:12" x14ac:dyDescent="0.2">
      <c r="C1550" s="804"/>
      <c r="D1550" s="684" t="s">
        <v>207</v>
      </c>
      <c r="E1550" s="588"/>
      <c r="F1550" s="618">
        <v>84</v>
      </c>
      <c r="G1550" s="619">
        <v>56</v>
      </c>
      <c r="H1550" s="618">
        <v>28</v>
      </c>
      <c r="I1550" s="618">
        <v>66</v>
      </c>
      <c r="J1550" s="618">
        <v>79</v>
      </c>
      <c r="K1550" s="618">
        <f>SUM(F1550:J1550)</f>
        <v>313</v>
      </c>
    </row>
    <row r="1551" spans="3:12" x14ac:dyDescent="0.2">
      <c r="C1551" s="683"/>
      <c r="D1551" s="684" t="s">
        <v>100</v>
      </c>
      <c r="E1551" s="588"/>
      <c r="F1551" s="581"/>
      <c r="G1551" s="581"/>
      <c r="H1551" s="581"/>
      <c r="I1551" s="581"/>
      <c r="J1551" s="581"/>
      <c r="K1551" s="581">
        <f>SUM(F1551:J1551)</f>
        <v>0</v>
      </c>
    </row>
    <row r="1552" spans="3:12" x14ac:dyDescent="0.2">
      <c r="C1552" s="683"/>
      <c r="D1552" s="684" t="s">
        <v>101</v>
      </c>
      <c r="E1552" s="588"/>
      <c r="F1552" s="581">
        <v>1</v>
      </c>
      <c r="G1552" s="581">
        <v>3</v>
      </c>
      <c r="H1552" s="581"/>
      <c r="I1552" s="581">
        <v>1</v>
      </c>
      <c r="J1552" s="581">
        <v>1</v>
      </c>
      <c r="K1552" s="581">
        <f>SUM(F1552:J1552)</f>
        <v>6</v>
      </c>
    </row>
    <row r="1553" spans="3:12" ht="16" thickBot="1" x14ac:dyDescent="0.25">
      <c r="C1553" s="683"/>
      <c r="D1553" s="597" t="s">
        <v>102</v>
      </c>
      <c r="E1553" s="598"/>
      <c r="F1553" s="599">
        <v>5</v>
      </c>
      <c r="G1553" s="600">
        <v>4</v>
      </c>
      <c r="H1553" s="600"/>
      <c r="I1553" s="600">
        <v>3</v>
      </c>
      <c r="J1553" s="600"/>
      <c r="K1553" s="600">
        <f>SUM(F1553:J1553)</f>
        <v>12</v>
      </c>
    </row>
    <row r="1554" spans="3:12" ht="17" thickBot="1" x14ac:dyDescent="0.25">
      <c r="C1554" s="605"/>
      <c r="D1554" s="612" t="s">
        <v>84</v>
      </c>
      <c r="E1554" s="613"/>
      <c r="F1554" s="614">
        <f>(F1550+F1553)-F1552-F1551</f>
        <v>88</v>
      </c>
      <c r="G1554" s="615">
        <f>(G1550+G1553)-G1552-G1551</f>
        <v>57</v>
      </c>
      <c r="H1554" s="616">
        <f>(H1550+H1553)-H1552</f>
        <v>28</v>
      </c>
      <c r="I1554" s="615">
        <f>(I1550+I1553)-I1552-I1551</f>
        <v>68</v>
      </c>
      <c r="J1554" s="622">
        <f>(J1550+J1553)-J1552-J1551</f>
        <v>78</v>
      </c>
      <c r="K1554" s="617">
        <f>(K1550+K1553)-K1552-K1551</f>
        <v>319</v>
      </c>
    </row>
    <row r="1555" spans="3:12" ht="16" x14ac:dyDescent="0.2">
      <c r="C1555" s="683"/>
      <c r="D1555" s="608"/>
      <c r="E1555" s="609"/>
      <c r="F1555" s="610"/>
      <c r="G1555" s="595"/>
      <c r="H1555" s="611"/>
      <c r="I1555" s="595"/>
      <c r="J1555" s="595"/>
      <c r="K1555" s="595"/>
    </row>
    <row r="1556" spans="3:12" ht="16" thickBot="1" x14ac:dyDescent="0.25">
      <c r="C1556" s="606" t="s">
        <v>388</v>
      </c>
      <c r="D1556" s="607" t="s">
        <v>103</v>
      </c>
      <c r="E1556" s="603" t="s">
        <v>84</v>
      </c>
      <c r="F1556" s="602"/>
      <c r="G1556" s="602"/>
      <c r="H1556" s="602"/>
      <c r="I1556" s="601"/>
      <c r="J1556" s="601"/>
      <c r="K1556" s="601" t="s">
        <v>84</v>
      </c>
      <c r="L1556" s="174" t="s">
        <v>389</v>
      </c>
    </row>
    <row r="1557" spans="3:12" x14ac:dyDescent="0.2">
      <c r="C1557" s="589" t="s">
        <v>572</v>
      </c>
      <c r="D1557" s="604" t="s">
        <v>105</v>
      </c>
      <c r="E1557" s="591">
        <f>(F1557+G1557+H1557+I1557+J1557)*100+(0*230)</f>
        <v>6000</v>
      </c>
      <c r="F1557" s="3">
        <v>16</v>
      </c>
      <c r="G1557" s="3">
        <v>12</v>
      </c>
      <c r="H1557" s="3">
        <v>8</v>
      </c>
      <c r="I1557" s="3">
        <v>8</v>
      </c>
      <c r="J1557" s="3">
        <v>16</v>
      </c>
      <c r="K1557" s="628">
        <f t="shared" ref="K1557:K1579" si="72">SUM(F1557:J1557)</f>
        <v>60</v>
      </c>
      <c r="L1557" s="630">
        <f>K1557/4</f>
        <v>15</v>
      </c>
    </row>
    <row r="1558" spans="3:12" x14ac:dyDescent="0.2">
      <c r="C1558" s="589" t="s">
        <v>610</v>
      </c>
      <c r="D1558" s="590" t="s">
        <v>390</v>
      </c>
      <c r="E1558" s="591">
        <f>(F1558+G1558+H1558+I1558+J1558)*120</f>
        <v>1200</v>
      </c>
      <c r="F1558" s="3">
        <v>2</v>
      </c>
      <c r="G1558" s="3">
        <v>2</v>
      </c>
      <c r="H1558" s="3">
        <v>2</v>
      </c>
      <c r="I1558" s="3">
        <v>2</v>
      </c>
      <c r="J1558" s="3">
        <v>2</v>
      </c>
      <c r="K1558" s="628">
        <f t="shared" si="72"/>
        <v>10</v>
      </c>
      <c r="L1558" s="630">
        <f t="shared" ref="L1558:L1579" si="73">K1558/4</f>
        <v>2.5</v>
      </c>
    </row>
    <row r="1559" spans="3:12" x14ac:dyDescent="0.2">
      <c r="C1559" s="589" t="s">
        <v>609</v>
      </c>
      <c r="D1559" s="590" t="s">
        <v>391</v>
      </c>
      <c r="E1559" s="591">
        <f>(F1559+G1559+H1559+I1559+J1559)*120</f>
        <v>3000</v>
      </c>
      <c r="F1559" s="3">
        <v>5</v>
      </c>
      <c r="G1559" s="3">
        <v>5</v>
      </c>
      <c r="H1559" s="3">
        <v>5</v>
      </c>
      <c r="I1559" s="3">
        <v>5</v>
      </c>
      <c r="J1559" s="3">
        <v>5</v>
      </c>
      <c r="K1559" s="628">
        <f t="shared" si="72"/>
        <v>25</v>
      </c>
      <c r="L1559" s="630">
        <f t="shared" si="73"/>
        <v>6.25</v>
      </c>
    </row>
    <row r="1560" spans="3:12" x14ac:dyDescent="0.2">
      <c r="C1560" s="589"/>
      <c r="D1560" s="590" t="s">
        <v>392</v>
      </c>
      <c r="E1560" s="591">
        <f>(F1560+G1560+H1560+I1560+J1560)*120</f>
        <v>0</v>
      </c>
      <c r="F1560" s="3"/>
      <c r="G1560" s="3"/>
      <c r="H1560" s="3"/>
      <c r="I1560" s="3"/>
      <c r="J1560" s="3"/>
      <c r="K1560" s="628">
        <f t="shared" si="72"/>
        <v>0</v>
      </c>
      <c r="L1560" s="630">
        <f t="shared" si="73"/>
        <v>0</v>
      </c>
    </row>
    <row r="1561" spans="3:12" x14ac:dyDescent="0.2">
      <c r="C1561" s="589"/>
      <c r="D1561" s="590" t="s">
        <v>425</v>
      </c>
      <c r="E1561" s="591">
        <f>(F1561+G1561+H1561+I1561+J1561)*120</f>
        <v>0</v>
      </c>
      <c r="F1561" s="3"/>
      <c r="G1561" s="3"/>
      <c r="H1561" s="3"/>
      <c r="I1561" s="3"/>
      <c r="J1561" s="3"/>
      <c r="K1561" s="628">
        <f t="shared" si="72"/>
        <v>0</v>
      </c>
      <c r="L1561" s="630">
        <f t="shared" si="73"/>
        <v>0</v>
      </c>
    </row>
    <row r="1562" spans="3:12" x14ac:dyDescent="0.2">
      <c r="C1562" s="589"/>
      <c r="D1562" s="590"/>
      <c r="E1562" s="591"/>
      <c r="F1562" s="3"/>
      <c r="G1562" s="3"/>
      <c r="H1562" s="3"/>
      <c r="I1562" s="3"/>
      <c r="J1562" s="3"/>
      <c r="K1562" s="628">
        <f t="shared" si="72"/>
        <v>0</v>
      </c>
      <c r="L1562" s="630">
        <f t="shared" si="73"/>
        <v>0</v>
      </c>
    </row>
    <row r="1563" spans="3:12" x14ac:dyDescent="0.2">
      <c r="C1563" s="589" t="s">
        <v>698</v>
      </c>
      <c r="D1563" s="590" t="s">
        <v>108</v>
      </c>
      <c r="E1563" s="591">
        <f>(F1563+G1563+H1563+J1563)*112.7+(I1563*119.6)</f>
        <v>3210.8</v>
      </c>
      <c r="F1563" s="3">
        <v>6</v>
      </c>
      <c r="G1563" s="3">
        <v>4</v>
      </c>
      <c r="H1563" s="3">
        <v>4</v>
      </c>
      <c r="I1563" s="3">
        <v>8</v>
      </c>
      <c r="J1563" s="3">
        <v>6</v>
      </c>
      <c r="K1563" s="628">
        <f t="shared" si="72"/>
        <v>28</v>
      </c>
      <c r="L1563" s="630">
        <f t="shared" si="73"/>
        <v>7</v>
      </c>
    </row>
    <row r="1564" spans="3:12" x14ac:dyDescent="0.2">
      <c r="C1564" s="589" t="s">
        <v>697</v>
      </c>
      <c r="D1564" s="590" t="s">
        <v>393</v>
      </c>
      <c r="E1564" s="591">
        <f>(F1564+G1564+H1564+J1564)*112.7+(I1564*119.6)</f>
        <v>2732.4</v>
      </c>
      <c r="F1564" s="3">
        <v>6</v>
      </c>
      <c r="G1564" s="3">
        <v>4</v>
      </c>
      <c r="H1564" s="3">
        <v>4</v>
      </c>
      <c r="I1564" s="3">
        <v>4</v>
      </c>
      <c r="J1564" s="3">
        <v>6</v>
      </c>
      <c r="K1564" s="628">
        <f t="shared" si="72"/>
        <v>24</v>
      </c>
      <c r="L1564" s="630">
        <f t="shared" si="73"/>
        <v>6</v>
      </c>
    </row>
    <row r="1565" spans="3:12" x14ac:dyDescent="0.2">
      <c r="C1565" s="589" t="s">
        <v>696</v>
      </c>
      <c r="D1565" s="590" t="s">
        <v>216</v>
      </c>
      <c r="E1565" s="591">
        <f>(F1565+G1565+H1565+J1565)*112.7+(I1565*119.6)</f>
        <v>3210.8</v>
      </c>
      <c r="F1565" s="3">
        <v>6</v>
      </c>
      <c r="G1565" s="3">
        <v>8</v>
      </c>
      <c r="H1565" s="3"/>
      <c r="I1565" s="3">
        <v>8</v>
      </c>
      <c r="J1565" s="3">
        <v>6</v>
      </c>
      <c r="K1565" s="628">
        <f t="shared" si="72"/>
        <v>28</v>
      </c>
      <c r="L1565" s="630">
        <f t="shared" si="73"/>
        <v>7</v>
      </c>
    </row>
    <row r="1566" spans="3:12" x14ac:dyDescent="0.2">
      <c r="C1566" s="589"/>
      <c r="D1566" s="590"/>
      <c r="E1566" s="591"/>
      <c r="F1566" s="3"/>
      <c r="G1566" s="3"/>
      <c r="H1566" s="3"/>
      <c r="I1566" s="3"/>
      <c r="J1566" s="3"/>
      <c r="K1566" s="628">
        <f t="shared" si="72"/>
        <v>0</v>
      </c>
      <c r="L1566" s="630">
        <f t="shared" si="73"/>
        <v>0</v>
      </c>
    </row>
    <row r="1567" spans="3:12" x14ac:dyDescent="0.2">
      <c r="C1567" s="589"/>
      <c r="D1567" s="590" t="s">
        <v>394</v>
      </c>
      <c r="E1567" s="591">
        <f>(F1567+G1567+H1567+I1567+J1567)*120</f>
        <v>0</v>
      </c>
      <c r="F1567" s="3"/>
      <c r="G1567" s="3"/>
      <c r="H1567" s="3"/>
      <c r="I1567" s="3"/>
      <c r="J1567" s="3"/>
      <c r="K1567" s="628">
        <f t="shared" si="72"/>
        <v>0</v>
      </c>
      <c r="L1567" s="630">
        <f t="shared" si="73"/>
        <v>0</v>
      </c>
    </row>
    <row r="1568" spans="3:12" x14ac:dyDescent="0.2">
      <c r="C1568" s="589" t="s">
        <v>699</v>
      </c>
      <c r="D1568" s="590" t="s">
        <v>110</v>
      </c>
      <c r="E1568" s="591">
        <f>(F1568+G1568+H1568+J1568)*112.7+(I1568*119.6)</f>
        <v>9126.4</v>
      </c>
      <c r="F1568" s="3">
        <v>30</v>
      </c>
      <c r="G1568" s="3">
        <v>16</v>
      </c>
      <c r="H1568" s="3"/>
      <c r="I1568" s="3">
        <v>16</v>
      </c>
      <c r="J1568" s="3">
        <v>18</v>
      </c>
      <c r="K1568" s="628">
        <f t="shared" si="72"/>
        <v>80</v>
      </c>
      <c r="L1568" s="630">
        <f t="shared" si="73"/>
        <v>20</v>
      </c>
    </row>
    <row r="1569" spans="3:12" x14ac:dyDescent="0.2">
      <c r="C1569" s="589"/>
      <c r="D1569" s="590"/>
      <c r="E1569" s="591"/>
      <c r="F1569" s="3"/>
      <c r="G1569" s="3"/>
      <c r="H1569" s="3"/>
      <c r="I1569" s="3"/>
      <c r="J1569" s="3"/>
      <c r="K1569" s="628">
        <f t="shared" si="72"/>
        <v>0</v>
      </c>
      <c r="L1569" s="630">
        <f t="shared" si="73"/>
        <v>0</v>
      </c>
    </row>
    <row r="1570" spans="3:12" x14ac:dyDescent="0.2">
      <c r="C1570" s="589"/>
      <c r="D1570" s="590" t="s">
        <v>381</v>
      </c>
      <c r="E1570" s="591">
        <f>(F1570+G1570+H1570+I1570+J1570)*120+(240*0)+(0*45)</f>
        <v>0</v>
      </c>
      <c r="F1570" s="3"/>
      <c r="G1570" s="3"/>
      <c r="H1570" s="3"/>
      <c r="I1570" s="3"/>
      <c r="J1570" s="3"/>
      <c r="K1570" s="628">
        <f t="shared" si="72"/>
        <v>0</v>
      </c>
      <c r="L1570" s="630">
        <f t="shared" si="73"/>
        <v>0</v>
      </c>
    </row>
    <row r="1571" spans="3:12" x14ac:dyDescent="0.2">
      <c r="C1571" s="589"/>
      <c r="D1571" s="590" t="s">
        <v>276</v>
      </c>
      <c r="E1571" s="591">
        <f>(F1571+G1571+H1571+J1571)*112.7+(I1571*119.6)</f>
        <v>0</v>
      </c>
      <c r="F1571" s="3"/>
      <c r="G1571" s="3"/>
      <c r="H1571" s="3"/>
      <c r="I1571" s="3"/>
      <c r="J1571" s="3"/>
      <c r="K1571" s="628">
        <f t="shared" si="72"/>
        <v>0</v>
      </c>
      <c r="L1571" s="630">
        <f t="shared" si="73"/>
        <v>0</v>
      </c>
    </row>
    <row r="1572" spans="3:12" x14ac:dyDescent="0.2">
      <c r="C1572" s="589"/>
      <c r="D1572" s="590"/>
      <c r="E1572" s="591"/>
      <c r="F1572" s="3"/>
      <c r="G1572" s="3"/>
      <c r="H1572" s="3"/>
      <c r="I1572" s="3"/>
      <c r="J1572" s="3"/>
      <c r="K1572" s="628">
        <f t="shared" si="72"/>
        <v>0</v>
      </c>
      <c r="L1572" s="630">
        <f t="shared" si="73"/>
        <v>0</v>
      </c>
    </row>
    <row r="1573" spans="3:12" x14ac:dyDescent="0.2">
      <c r="C1573" s="589"/>
      <c r="D1573" s="590" t="s">
        <v>75</v>
      </c>
      <c r="E1573" s="591">
        <f>(F1573+G1573+H1573+I1573+J1573)*120</f>
        <v>0</v>
      </c>
      <c r="F1573" s="3"/>
      <c r="G1573" s="3"/>
      <c r="H1573" s="3"/>
      <c r="I1573" s="3"/>
      <c r="J1573" s="3"/>
      <c r="K1573" s="628">
        <f t="shared" si="72"/>
        <v>0</v>
      </c>
      <c r="L1573" s="630">
        <f t="shared" si="73"/>
        <v>0</v>
      </c>
    </row>
    <row r="1574" spans="3:12" x14ac:dyDescent="0.2">
      <c r="C1574" s="589"/>
      <c r="D1574" s="590" t="s">
        <v>278</v>
      </c>
      <c r="E1574" s="591">
        <f>(F1574+G1574+H1574+I1574+J1574)*120</f>
        <v>0</v>
      </c>
      <c r="F1574" s="3"/>
      <c r="G1574" s="3"/>
      <c r="H1574" s="3"/>
      <c r="I1574" s="3"/>
      <c r="J1574" s="3"/>
      <c r="K1574" s="628">
        <f t="shared" si="72"/>
        <v>0</v>
      </c>
      <c r="L1574" s="630">
        <f t="shared" si="73"/>
        <v>0</v>
      </c>
    </row>
    <row r="1575" spans="3:12" x14ac:dyDescent="0.2">
      <c r="C1575" s="589"/>
      <c r="D1575" s="590" t="s">
        <v>270</v>
      </c>
      <c r="E1575" s="591">
        <f>(F1575+G1575+H1575+I1575)*112.7+(J1575*119.6)</f>
        <v>0</v>
      </c>
      <c r="F1575" s="3"/>
      <c r="G1575" s="3"/>
      <c r="H1575" s="3"/>
      <c r="I1575" s="3"/>
      <c r="J1575" s="3"/>
      <c r="K1575" s="628">
        <f t="shared" si="72"/>
        <v>0</v>
      </c>
      <c r="L1575" s="630">
        <f t="shared" si="73"/>
        <v>0</v>
      </c>
    </row>
    <row r="1576" spans="3:12" x14ac:dyDescent="0.2">
      <c r="C1576" s="589"/>
      <c r="D1576" s="590" t="s">
        <v>274</v>
      </c>
      <c r="E1576" s="591">
        <f>(F1576+G1576+H1576+I1576)*112.7+(J1576*119.6)</f>
        <v>0</v>
      </c>
      <c r="F1576" s="3"/>
      <c r="G1576" s="3"/>
      <c r="H1576" s="3"/>
      <c r="I1576" s="3"/>
      <c r="J1576" s="3"/>
      <c r="K1576" s="628">
        <f t="shared" si="72"/>
        <v>0</v>
      </c>
      <c r="L1576" s="630">
        <f t="shared" si="73"/>
        <v>0</v>
      </c>
    </row>
    <row r="1577" spans="3:12" x14ac:dyDescent="0.2">
      <c r="C1577" s="589"/>
      <c r="D1577" s="590" t="s">
        <v>395</v>
      </c>
      <c r="E1577" s="591">
        <f>(F1577+G1577+H1577+I1577)*112.7+(J1577*119.6)</f>
        <v>0</v>
      </c>
      <c r="F1577" s="3"/>
      <c r="G1577" s="3"/>
      <c r="H1577" s="3"/>
      <c r="I1577" s="3"/>
      <c r="J1577" s="3"/>
      <c r="K1577" s="628">
        <f t="shared" si="72"/>
        <v>0</v>
      </c>
      <c r="L1577" s="630">
        <f t="shared" si="73"/>
        <v>0</v>
      </c>
    </row>
    <row r="1578" spans="3:12" x14ac:dyDescent="0.2">
      <c r="C1578" s="683"/>
      <c r="D1578" s="590" t="s">
        <v>112</v>
      </c>
      <c r="E1578" s="591">
        <f>(F1578+G1578+H1578+I1578)*112.7+(J1578*119.6)</f>
        <v>0</v>
      </c>
      <c r="F1578" s="3"/>
      <c r="G1578" s="3"/>
      <c r="H1578" s="3"/>
      <c r="I1578" s="3"/>
      <c r="J1578" s="3"/>
      <c r="K1578" s="628">
        <f t="shared" si="72"/>
        <v>0</v>
      </c>
      <c r="L1578" s="630">
        <f t="shared" si="73"/>
        <v>0</v>
      </c>
    </row>
    <row r="1579" spans="3:12" x14ac:dyDescent="0.2">
      <c r="C1579" s="683"/>
      <c r="D1579" s="590" t="s">
        <v>72</v>
      </c>
      <c r="E1579" s="591">
        <f>(F1579+G1579+H1579+I1579)*112.7+(J1579*119.6)</f>
        <v>0</v>
      </c>
      <c r="F1579" s="3"/>
      <c r="G1579" s="3"/>
      <c r="H1579" s="3"/>
      <c r="I1579" s="3"/>
      <c r="J1579" s="3"/>
      <c r="K1579" s="628">
        <f t="shared" si="72"/>
        <v>0</v>
      </c>
      <c r="L1579" s="630">
        <f t="shared" si="73"/>
        <v>0</v>
      </c>
    </row>
    <row r="1580" spans="3:12" x14ac:dyDescent="0.2">
      <c r="C1580" s="683"/>
      <c r="D1580" s="590" t="s">
        <v>187</v>
      </c>
      <c r="E1580" s="591"/>
      <c r="F1580" s="3"/>
      <c r="G1580" s="3"/>
      <c r="H1580" s="3"/>
      <c r="I1580" s="3"/>
      <c r="J1580" s="3">
        <v>8</v>
      </c>
      <c r="K1580" s="628">
        <f>SUM(F1580:J1580)</f>
        <v>8</v>
      </c>
      <c r="L1580" s="3"/>
    </row>
    <row r="1581" spans="3:12" ht="16" x14ac:dyDescent="0.2">
      <c r="C1581" s="683"/>
      <c r="D1581" s="590" t="s">
        <v>501</v>
      </c>
      <c r="E1581" s="592"/>
      <c r="F1581" s="3">
        <v>1</v>
      </c>
      <c r="G1581" s="3"/>
      <c r="H1581" s="3">
        <v>2</v>
      </c>
      <c r="I1581" s="3"/>
      <c r="J1581" s="3">
        <v>1</v>
      </c>
      <c r="K1581" s="628">
        <f>SUM(F1581:J1581)</f>
        <v>4</v>
      </c>
      <c r="L1581" s="3"/>
    </row>
    <row r="1582" spans="3:12" ht="17" thickBot="1" x14ac:dyDescent="0.25">
      <c r="C1582" s="683"/>
      <c r="D1582" s="590"/>
      <c r="E1582" s="624"/>
      <c r="F1582" s="69"/>
      <c r="G1582" s="69"/>
      <c r="H1582" s="69"/>
      <c r="I1582" s="69"/>
      <c r="J1582" s="69"/>
      <c r="K1582" s="629"/>
      <c r="L1582" s="3"/>
    </row>
    <row r="1583" spans="3:12" ht="16" thickBot="1" x14ac:dyDescent="0.25">
      <c r="C1583" s="596"/>
      <c r="D1583" s="623" t="s">
        <v>19</v>
      </c>
      <c r="E1583" s="625">
        <f>SUM(E1557:E1580)</f>
        <v>28480.400000000001</v>
      </c>
      <c r="F1583" s="614">
        <f>SUM(F1557:F1582)</f>
        <v>72</v>
      </c>
      <c r="G1583" s="614">
        <f>SUM(G1557:G1582)</f>
        <v>51</v>
      </c>
      <c r="H1583" s="614">
        <f>SUM(H1557:H1582)</f>
        <v>25</v>
      </c>
      <c r="I1583" s="614">
        <f>SUM(I1557:I1582)</f>
        <v>51</v>
      </c>
      <c r="J1583" s="614">
        <f>SUM(J1557:J1582)</f>
        <v>68</v>
      </c>
      <c r="K1583" s="626">
        <f>SUM(F1583:J1583)</f>
        <v>267</v>
      </c>
      <c r="L1583" s="631">
        <f>SUM(L1557:L1582)</f>
        <v>63.75</v>
      </c>
    </row>
    <row r="1584" spans="3:12" x14ac:dyDescent="0.2">
      <c r="C1584" s="596"/>
      <c r="D1584" s="593" t="s">
        <v>113</v>
      </c>
      <c r="E1584" s="620"/>
      <c r="F1584" s="610">
        <f>F1554-F1583</f>
        <v>16</v>
      </c>
      <c r="G1584" s="610">
        <f>G1554-G1583</f>
        <v>6</v>
      </c>
      <c r="H1584" s="610">
        <f>H1554-H1583</f>
        <v>3</v>
      </c>
      <c r="I1584" s="610">
        <f>I1554-I1583</f>
        <v>17</v>
      </c>
      <c r="J1584" s="610">
        <f>J1554-J1583</f>
        <v>10</v>
      </c>
      <c r="K1584" s="636">
        <f>SUM(F1584:J1584)</f>
        <v>52</v>
      </c>
      <c r="L1584" s="3"/>
    </row>
    <row r="1585" spans="3:12" x14ac:dyDescent="0.2">
      <c r="C1585" s="683"/>
      <c r="D1585" s="593" t="s">
        <v>436</v>
      </c>
      <c r="E1585" s="594"/>
      <c r="F1585" s="581"/>
      <c r="G1585" s="581"/>
      <c r="H1585" s="581"/>
      <c r="I1585" s="581"/>
      <c r="J1585" s="581"/>
      <c r="K1585" s="637">
        <f>K1583+K1584</f>
        <v>319</v>
      </c>
      <c r="L1585" s="3"/>
    </row>
    <row r="1587" spans="3:12" ht="18" x14ac:dyDescent="0.2">
      <c r="C1587" s="685" t="s">
        <v>412</v>
      </c>
      <c r="D1587" s="582">
        <v>45701</v>
      </c>
      <c r="E1587" s="800"/>
      <c r="F1587" s="685" t="s">
        <v>83</v>
      </c>
      <c r="G1587" s="801" t="s">
        <v>66</v>
      </c>
      <c r="H1587" s="802"/>
      <c r="I1587" s="802"/>
      <c r="J1587" s="802"/>
      <c r="K1587" s="803"/>
    </row>
    <row r="1588" spans="3:12" x14ac:dyDescent="0.2">
      <c r="C1588" s="804"/>
      <c r="D1588" s="805"/>
      <c r="E1588" s="800"/>
      <c r="F1588" s="683" t="s">
        <v>93</v>
      </c>
      <c r="G1588" s="683" t="s">
        <v>93</v>
      </c>
      <c r="H1588" s="683"/>
      <c r="I1588" s="806"/>
      <c r="J1588" s="806"/>
      <c r="K1588" s="806"/>
    </row>
    <row r="1589" spans="3:12" x14ac:dyDescent="0.2">
      <c r="C1589" s="804"/>
      <c r="D1589" s="805"/>
      <c r="E1589" s="800"/>
      <c r="F1589" s="683" t="s">
        <v>94</v>
      </c>
      <c r="G1589" s="683" t="s">
        <v>95</v>
      </c>
      <c r="H1589" s="683" t="s">
        <v>96</v>
      </c>
      <c r="I1589" s="806"/>
      <c r="J1589" s="806"/>
      <c r="K1589" s="806"/>
    </row>
    <row r="1590" spans="3:12" x14ac:dyDescent="0.2">
      <c r="C1590" s="804"/>
      <c r="D1590" s="805"/>
      <c r="E1590" s="800"/>
      <c r="F1590" s="683"/>
      <c r="G1590" s="683"/>
      <c r="H1590" s="683"/>
      <c r="I1590" s="806"/>
      <c r="J1590" s="806"/>
      <c r="K1590" s="806"/>
    </row>
    <row r="1591" spans="3:12" ht="16" x14ac:dyDescent="0.2">
      <c r="C1591" s="683"/>
      <c r="D1591" s="583" t="s">
        <v>97</v>
      </c>
      <c r="E1591" s="584"/>
      <c r="F1591" s="581"/>
      <c r="G1591" s="585"/>
      <c r="H1591" s="585"/>
      <c r="I1591" s="586"/>
      <c r="J1591" s="586"/>
      <c r="K1591" s="586"/>
    </row>
    <row r="1592" spans="3:12" ht="26" x14ac:dyDescent="0.2">
      <c r="C1592" s="804"/>
      <c r="D1592" s="587"/>
      <c r="E1592" s="588"/>
      <c r="F1592" s="585" t="s">
        <v>383</v>
      </c>
      <c r="G1592" s="585" t="s">
        <v>384</v>
      </c>
      <c r="H1592" s="585" t="s">
        <v>385</v>
      </c>
      <c r="I1592" s="585" t="s">
        <v>386</v>
      </c>
      <c r="J1592" s="585" t="s">
        <v>387</v>
      </c>
      <c r="K1592" s="585" t="s">
        <v>84</v>
      </c>
    </row>
    <row r="1593" spans="3:12" x14ac:dyDescent="0.2">
      <c r="C1593" s="804"/>
      <c r="D1593" s="684" t="s">
        <v>167</v>
      </c>
      <c r="E1593" s="588"/>
      <c r="F1593" s="580"/>
      <c r="G1593" s="579"/>
      <c r="H1593" s="580"/>
      <c r="I1593" s="580"/>
      <c r="J1593" s="580"/>
      <c r="K1593" s="580">
        <f>SUM(F1593:J1593)</f>
        <v>0</v>
      </c>
    </row>
    <row r="1594" spans="3:12" x14ac:dyDescent="0.2">
      <c r="C1594" s="804"/>
      <c r="D1594" s="684" t="s">
        <v>207</v>
      </c>
      <c r="E1594" s="588"/>
      <c r="F1594" s="618"/>
      <c r="G1594" s="619"/>
      <c r="H1594" s="618"/>
      <c r="I1594" s="618"/>
      <c r="J1594" s="618"/>
      <c r="K1594" s="618">
        <f>SUM(F1594:J1594)</f>
        <v>0</v>
      </c>
    </row>
    <row r="1595" spans="3:12" x14ac:dyDescent="0.2">
      <c r="C1595" s="683"/>
      <c r="D1595" s="684" t="s">
        <v>100</v>
      </c>
      <c r="E1595" s="588"/>
      <c r="F1595" s="581"/>
      <c r="G1595" s="581"/>
      <c r="H1595" s="581"/>
      <c r="I1595" s="581"/>
      <c r="J1595" s="581"/>
      <c r="K1595" s="581">
        <f>SUM(F1595:J1595)</f>
        <v>0</v>
      </c>
    </row>
    <row r="1596" spans="3:12" x14ac:dyDescent="0.2">
      <c r="C1596" s="683"/>
      <c r="D1596" s="684" t="s">
        <v>101</v>
      </c>
      <c r="E1596" s="588"/>
      <c r="F1596" s="581"/>
      <c r="G1596" s="581"/>
      <c r="H1596" s="581"/>
      <c r="I1596" s="581"/>
      <c r="J1596" s="581"/>
      <c r="K1596" s="581">
        <f>SUM(F1596:J1596)</f>
        <v>0</v>
      </c>
    </row>
    <row r="1597" spans="3:12" ht="16" thickBot="1" x14ac:dyDescent="0.25">
      <c r="C1597" s="683"/>
      <c r="D1597" s="597" t="s">
        <v>102</v>
      </c>
      <c r="E1597" s="598"/>
      <c r="F1597" s="599">
        <v>16</v>
      </c>
      <c r="G1597" s="600">
        <v>6</v>
      </c>
      <c r="H1597" s="600">
        <v>3</v>
      </c>
      <c r="I1597" s="600">
        <v>17</v>
      </c>
      <c r="J1597" s="600">
        <v>10</v>
      </c>
      <c r="K1597" s="600">
        <f>SUM(F1597:J1597)</f>
        <v>52</v>
      </c>
    </row>
    <row r="1598" spans="3:12" ht="17" thickBot="1" x14ac:dyDescent="0.25">
      <c r="C1598" s="605"/>
      <c r="D1598" s="612" t="s">
        <v>84</v>
      </c>
      <c r="E1598" s="613"/>
      <c r="F1598" s="614">
        <f>(F1594+F1597)-F1596-F1595</f>
        <v>16</v>
      </c>
      <c r="G1598" s="615">
        <f>(G1594+G1597)-G1596-G1595</f>
        <v>6</v>
      </c>
      <c r="H1598" s="616">
        <f>(H1594+H1597)-H1596</f>
        <v>3</v>
      </c>
      <c r="I1598" s="615">
        <f>(I1594+I1597)-I1596-I1595</f>
        <v>17</v>
      </c>
      <c r="J1598" s="622">
        <f>(J1594+J1597)-J1596-J1595</f>
        <v>10</v>
      </c>
      <c r="K1598" s="617">
        <f>(K1594+K1597)-K1596-K1595</f>
        <v>52</v>
      </c>
    </row>
    <row r="1599" spans="3:12" ht="16" x14ac:dyDescent="0.2">
      <c r="C1599" s="683"/>
      <c r="D1599" s="608"/>
      <c r="E1599" s="609"/>
      <c r="F1599" s="610"/>
      <c r="G1599" s="595"/>
      <c r="H1599" s="611"/>
      <c r="I1599" s="595"/>
      <c r="J1599" s="595"/>
      <c r="K1599" s="595"/>
    </row>
    <row r="1600" spans="3:12" ht="16" thickBot="1" x14ac:dyDescent="0.25">
      <c r="C1600" s="606" t="s">
        <v>388</v>
      </c>
      <c r="D1600" s="607" t="s">
        <v>103</v>
      </c>
      <c r="E1600" s="603" t="s">
        <v>84</v>
      </c>
      <c r="F1600" s="602"/>
      <c r="G1600" s="602"/>
      <c r="H1600" s="602"/>
      <c r="I1600" s="601"/>
      <c r="J1600" s="601"/>
      <c r="K1600" s="601" t="s">
        <v>84</v>
      </c>
      <c r="L1600" s="174" t="s">
        <v>389</v>
      </c>
    </row>
    <row r="1601" spans="3:12" x14ac:dyDescent="0.2">
      <c r="C1601" s="589"/>
      <c r="D1601" s="604" t="s">
        <v>105</v>
      </c>
      <c r="E1601" s="591">
        <f>(F1601+G1601+H1601+I1601+J1601)*100+(0*230)</f>
        <v>0</v>
      </c>
      <c r="F1601" s="3"/>
      <c r="G1601" s="3"/>
      <c r="H1601" s="3"/>
      <c r="I1601" s="3"/>
      <c r="J1601" s="3"/>
      <c r="K1601" s="628">
        <f t="shared" ref="K1601:K1623" si="74">SUM(F1601:J1601)</f>
        <v>0</v>
      </c>
      <c r="L1601" s="630">
        <f>K1601/4</f>
        <v>0</v>
      </c>
    </row>
    <row r="1602" spans="3:12" x14ac:dyDescent="0.2">
      <c r="C1602" s="589"/>
      <c r="D1602" s="590" t="s">
        <v>390</v>
      </c>
      <c r="E1602" s="591">
        <f>(F1602+G1602+H1602+I1602+J1602)*120</f>
        <v>0</v>
      </c>
      <c r="F1602" s="3"/>
      <c r="G1602" s="3"/>
      <c r="H1602" s="3"/>
      <c r="I1602" s="3"/>
      <c r="J1602" s="3"/>
      <c r="K1602" s="628">
        <f t="shared" si="74"/>
        <v>0</v>
      </c>
      <c r="L1602" s="630">
        <f t="shared" ref="L1602:L1623" si="75">K1602/4</f>
        <v>0</v>
      </c>
    </row>
    <row r="1603" spans="3:12" x14ac:dyDescent="0.2">
      <c r="C1603" s="589"/>
      <c r="D1603" s="590" t="s">
        <v>391</v>
      </c>
      <c r="E1603" s="591">
        <f>(F1603+G1603+H1603+I1603+J1603)*120</f>
        <v>0</v>
      </c>
      <c r="F1603" s="3"/>
      <c r="G1603" s="3"/>
      <c r="H1603" s="3"/>
      <c r="I1603" s="3"/>
      <c r="J1603" s="3"/>
      <c r="K1603" s="628">
        <f t="shared" si="74"/>
        <v>0</v>
      </c>
      <c r="L1603" s="630">
        <f t="shared" si="75"/>
        <v>0</v>
      </c>
    </row>
    <row r="1604" spans="3:12" x14ac:dyDescent="0.2">
      <c r="C1604" s="589"/>
      <c r="D1604" s="590" t="s">
        <v>392</v>
      </c>
      <c r="E1604" s="591">
        <f>(F1604+G1604+H1604+I1604+J1604)*120</f>
        <v>0</v>
      </c>
      <c r="F1604" s="3"/>
      <c r="G1604" s="3"/>
      <c r="H1604" s="3"/>
      <c r="I1604" s="3"/>
      <c r="J1604" s="3"/>
      <c r="K1604" s="628">
        <f t="shared" si="74"/>
        <v>0</v>
      </c>
      <c r="L1604" s="630">
        <f t="shared" si="75"/>
        <v>0</v>
      </c>
    </row>
    <row r="1605" spans="3:12" x14ac:dyDescent="0.2">
      <c r="C1605" s="589"/>
      <c r="D1605" s="590" t="s">
        <v>425</v>
      </c>
      <c r="E1605" s="591">
        <f>(F1605+G1605+H1605+I1605+J1605)*120</f>
        <v>0</v>
      </c>
      <c r="F1605" s="3"/>
      <c r="G1605" s="3"/>
      <c r="H1605" s="3"/>
      <c r="I1605" s="3"/>
      <c r="J1605" s="3"/>
      <c r="K1605" s="628">
        <f t="shared" si="74"/>
        <v>0</v>
      </c>
      <c r="L1605" s="630">
        <f t="shared" si="75"/>
        <v>0</v>
      </c>
    </row>
    <row r="1606" spans="3:12" x14ac:dyDescent="0.2">
      <c r="C1606" s="589"/>
      <c r="D1606" s="590"/>
      <c r="E1606" s="591"/>
      <c r="F1606" s="3"/>
      <c r="G1606" s="3"/>
      <c r="H1606" s="3"/>
      <c r="I1606" s="3"/>
      <c r="J1606" s="3"/>
      <c r="K1606" s="628">
        <f t="shared" si="74"/>
        <v>0</v>
      </c>
      <c r="L1606" s="630">
        <f t="shared" si="75"/>
        <v>0</v>
      </c>
    </row>
    <row r="1607" spans="3:12" x14ac:dyDescent="0.2">
      <c r="C1607" s="589"/>
      <c r="D1607" s="590" t="s">
        <v>108</v>
      </c>
      <c r="E1607" s="591">
        <f>(F1607+G1607+H1607+J1607)*112.7+(I1607*119.6)</f>
        <v>0</v>
      </c>
      <c r="F1607" s="3"/>
      <c r="G1607" s="3"/>
      <c r="H1607" s="3"/>
      <c r="I1607" s="3"/>
      <c r="J1607" s="3"/>
      <c r="K1607" s="628">
        <f t="shared" si="74"/>
        <v>0</v>
      </c>
      <c r="L1607" s="630">
        <f t="shared" si="75"/>
        <v>0</v>
      </c>
    </row>
    <row r="1608" spans="3:12" x14ac:dyDescent="0.2">
      <c r="C1608" s="589"/>
      <c r="D1608" s="590" t="s">
        <v>393</v>
      </c>
      <c r="E1608" s="591">
        <f>(F1608+G1608+H1608+J1608)*112.7+(I1608*119.6)</f>
        <v>0</v>
      </c>
      <c r="F1608" s="3"/>
      <c r="G1608" s="3"/>
      <c r="H1608" s="3"/>
      <c r="I1608" s="3"/>
      <c r="J1608" s="3"/>
      <c r="K1608" s="628">
        <f t="shared" si="74"/>
        <v>0</v>
      </c>
      <c r="L1608" s="630">
        <f t="shared" si="75"/>
        <v>0</v>
      </c>
    </row>
    <row r="1609" spans="3:12" x14ac:dyDescent="0.2">
      <c r="C1609" s="589"/>
      <c r="D1609" s="590" t="s">
        <v>216</v>
      </c>
      <c r="E1609" s="591">
        <f>(F1609+G1609+H1609+J1609)*112.7+(I1609*119.6)</f>
        <v>0</v>
      </c>
      <c r="F1609" s="3"/>
      <c r="G1609" s="3"/>
      <c r="H1609" s="3"/>
      <c r="I1609" s="3"/>
      <c r="J1609" s="3"/>
      <c r="K1609" s="628">
        <f t="shared" si="74"/>
        <v>0</v>
      </c>
      <c r="L1609" s="630">
        <f t="shared" si="75"/>
        <v>0</v>
      </c>
    </row>
    <row r="1610" spans="3:12" x14ac:dyDescent="0.2">
      <c r="C1610" s="589"/>
      <c r="D1610" s="590"/>
      <c r="E1610" s="591"/>
      <c r="F1610" s="3"/>
      <c r="G1610" s="3"/>
      <c r="H1610" s="3"/>
      <c r="I1610" s="3"/>
      <c r="J1610" s="3"/>
      <c r="K1610" s="628">
        <f t="shared" si="74"/>
        <v>0</v>
      </c>
      <c r="L1610" s="630">
        <f t="shared" si="75"/>
        <v>0</v>
      </c>
    </row>
    <row r="1611" spans="3:12" x14ac:dyDescent="0.2">
      <c r="C1611" s="589"/>
      <c r="D1611" s="590" t="s">
        <v>394</v>
      </c>
      <c r="E1611" s="591">
        <f>(F1611+G1611+H1611+I1611+J1611)*120</f>
        <v>0</v>
      </c>
      <c r="F1611" s="3"/>
      <c r="G1611" s="3"/>
      <c r="H1611" s="3"/>
      <c r="I1611" s="3"/>
      <c r="J1611" s="3"/>
      <c r="K1611" s="628">
        <f t="shared" si="74"/>
        <v>0</v>
      </c>
      <c r="L1611" s="630">
        <f t="shared" si="75"/>
        <v>0</v>
      </c>
    </row>
    <row r="1612" spans="3:12" x14ac:dyDescent="0.2">
      <c r="C1612" s="589"/>
      <c r="D1612" s="590" t="s">
        <v>110</v>
      </c>
      <c r="E1612" s="591">
        <f>(F1612+G1612+H1612+J1612)*112.7+(I1612*119.6)</f>
        <v>0</v>
      </c>
      <c r="F1612" s="3"/>
      <c r="G1612" s="3"/>
      <c r="H1612" s="3"/>
      <c r="I1612" s="3"/>
      <c r="J1612" s="3"/>
      <c r="K1612" s="628">
        <f t="shared" si="74"/>
        <v>0</v>
      </c>
      <c r="L1612" s="630">
        <f t="shared" si="75"/>
        <v>0</v>
      </c>
    </row>
    <row r="1613" spans="3:12" x14ac:dyDescent="0.2">
      <c r="C1613" s="589"/>
      <c r="D1613" s="590"/>
      <c r="E1613" s="591"/>
      <c r="F1613" s="3"/>
      <c r="G1613" s="3"/>
      <c r="H1613" s="3"/>
      <c r="I1613" s="3"/>
      <c r="J1613" s="3"/>
      <c r="K1613" s="628">
        <f t="shared" si="74"/>
        <v>0</v>
      </c>
      <c r="L1613" s="630">
        <f t="shared" si="75"/>
        <v>0</v>
      </c>
    </row>
    <row r="1614" spans="3:12" x14ac:dyDescent="0.2">
      <c r="C1614" s="589"/>
      <c r="D1614" s="590" t="s">
        <v>381</v>
      </c>
      <c r="E1614" s="591">
        <f>(F1614+G1614+H1614+I1614+J1614)*120+(240*0)+(0*45)</f>
        <v>0</v>
      </c>
      <c r="F1614" s="3"/>
      <c r="G1614" s="3"/>
      <c r="H1614" s="3"/>
      <c r="I1614" s="3"/>
      <c r="J1614" s="3"/>
      <c r="K1614" s="628">
        <f t="shared" si="74"/>
        <v>0</v>
      </c>
      <c r="L1614" s="630">
        <f t="shared" si="75"/>
        <v>0</v>
      </c>
    </row>
    <row r="1615" spans="3:12" x14ac:dyDescent="0.2">
      <c r="C1615" s="589" t="s">
        <v>701</v>
      </c>
      <c r="D1615" s="590" t="s">
        <v>276</v>
      </c>
      <c r="E1615" s="591">
        <f>(F1615+G1615+H1615+J1615)*112.7+(I1615*119.6)</f>
        <v>2760</v>
      </c>
      <c r="F1615" s="3">
        <v>6</v>
      </c>
      <c r="G1615" s="3">
        <v>4</v>
      </c>
      <c r="H1615" s="3"/>
      <c r="I1615" s="3">
        <v>8</v>
      </c>
      <c r="J1615" s="3">
        <v>6</v>
      </c>
      <c r="K1615" s="628">
        <f t="shared" si="74"/>
        <v>24</v>
      </c>
      <c r="L1615" s="630">
        <f t="shared" si="75"/>
        <v>6</v>
      </c>
    </row>
    <row r="1616" spans="3:12" x14ac:dyDescent="0.2">
      <c r="C1616" s="589"/>
      <c r="D1616" s="590"/>
      <c r="E1616" s="591"/>
      <c r="F1616" s="3"/>
      <c r="G1616" s="3"/>
      <c r="H1616" s="3"/>
      <c r="I1616" s="3"/>
      <c r="J1616" s="3"/>
      <c r="K1616" s="628">
        <f t="shared" si="74"/>
        <v>0</v>
      </c>
      <c r="L1616" s="630">
        <f t="shared" si="75"/>
        <v>0</v>
      </c>
    </row>
    <row r="1617" spans="3:12" x14ac:dyDescent="0.2">
      <c r="C1617" s="589"/>
      <c r="D1617" s="590" t="s">
        <v>75</v>
      </c>
      <c r="E1617" s="591">
        <f>(F1617+G1617+H1617+I1617+J1617)*120</f>
        <v>0</v>
      </c>
      <c r="F1617" s="3"/>
      <c r="G1617" s="3"/>
      <c r="H1617" s="3"/>
      <c r="I1617" s="3"/>
      <c r="J1617" s="3"/>
      <c r="K1617" s="628">
        <f t="shared" si="74"/>
        <v>0</v>
      </c>
      <c r="L1617" s="630">
        <f t="shared" si="75"/>
        <v>0</v>
      </c>
    </row>
    <row r="1618" spans="3:12" x14ac:dyDescent="0.2">
      <c r="C1618" s="589"/>
      <c r="D1618" s="590" t="s">
        <v>278</v>
      </c>
      <c r="E1618" s="591">
        <f>(F1618+G1618+H1618+I1618+J1618)*120</f>
        <v>0</v>
      </c>
      <c r="F1618" s="3"/>
      <c r="G1618" s="3"/>
      <c r="H1618" s="3"/>
      <c r="I1618" s="3"/>
      <c r="J1618" s="3"/>
      <c r="K1618" s="628">
        <f t="shared" si="74"/>
        <v>0</v>
      </c>
      <c r="L1618" s="630">
        <f t="shared" si="75"/>
        <v>0</v>
      </c>
    </row>
    <row r="1619" spans="3:12" x14ac:dyDescent="0.2">
      <c r="C1619" s="589"/>
      <c r="D1619" s="590" t="s">
        <v>270</v>
      </c>
      <c r="E1619" s="591">
        <f>(F1619+G1619+H1619+I1619)*112.7+(J1619*119.6)</f>
        <v>0</v>
      </c>
      <c r="F1619" s="3"/>
      <c r="G1619" s="3"/>
      <c r="H1619" s="3"/>
      <c r="I1619" s="3"/>
      <c r="J1619" s="3"/>
      <c r="K1619" s="628">
        <f t="shared" si="74"/>
        <v>0</v>
      </c>
      <c r="L1619" s="630">
        <f t="shared" si="75"/>
        <v>0</v>
      </c>
    </row>
    <row r="1620" spans="3:12" x14ac:dyDescent="0.2">
      <c r="C1620" s="589"/>
      <c r="D1620" s="590" t="s">
        <v>274</v>
      </c>
      <c r="E1620" s="591">
        <f>(F1620+G1620+H1620+I1620)*112.7+(J1620*119.6)</f>
        <v>0</v>
      </c>
      <c r="F1620" s="3"/>
      <c r="G1620" s="3"/>
      <c r="H1620" s="3"/>
      <c r="I1620" s="3"/>
      <c r="J1620" s="3"/>
      <c r="K1620" s="628">
        <f t="shared" si="74"/>
        <v>0</v>
      </c>
      <c r="L1620" s="630">
        <f t="shared" si="75"/>
        <v>0</v>
      </c>
    </row>
    <row r="1621" spans="3:12" x14ac:dyDescent="0.2">
      <c r="C1621" s="589"/>
      <c r="D1621" s="590" t="s">
        <v>395</v>
      </c>
      <c r="E1621" s="591">
        <f>(F1621+G1621+H1621+I1621)*112.7+(J1621*119.6)</f>
        <v>0</v>
      </c>
      <c r="F1621" s="3"/>
      <c r="G1621" s="3"/>
      <c r="H1621" s="3"/>
      <c r="I1621" s="3"/>
      <c r="J1621" s="3"/>
      <c r="K1621" s="628">
        <f t="shared" si="74"/>
        <v>0</v>
      </c>
      <c r="L1621" s="630">
        <f t="shared" si="75"/>
        <v>0</v>
      </c>
    </row>
    <row r="1622" spans="3:12" x14ac:dyDescent="0.2">
      <c r="C1622" s="683"/>
      <c r="D1622" s="590" t="s">
        <v>112</v>
      </c>
      <c r="E1622" s="591">
        <f>(F1622+G1622+H1622+I1622)*112.7+(J1622*119.6)</f>
        <v>0</v>
      </c>
      <c r="F1622" s="3"/>
      <c r="G1622" s="3"/>
      <c r="H1622" s="3"/>
      <c r="I1622" s="3"/>
      <c r="J1622" s="3"/>
      <c r="K1622" s="628">
        <f t="shared" si="74"/>
        <v>0</v>
      </c>
      <c r="L1622" s="630">
        <f t="shared" si="75"/>
        <v>0</v>
      </c>
    </row>
    <row r="1623" spans="3:12" x14ac:dyDescent="0.2">
      <c r="C1623" s="683"/>
      <c r="D1623" s="590" t="s">
        <v>72</v>
      </c>
      <c r="E1623" s="591">
        <f>(F1623+G1623+H1623+I1623)*112.7+(J1623*119.6)</f>
        <v>0</v>
      </c>
      <c r="F1623" s="3"/>
      <c r="G1623" s="3"/>
      <c r="H1623" s="3"/>
      <c r="I1623" s="3"/>
      <c r="J1623" s="3"/>
      <c r="K1623" s="628">
        <f t="shared" si="74"/>
        <v>0</v>
      </c>
      <c r="L1623" s="630">
        <f t="shared" si="75"/>
        <v>0</v>
      </c>
    </row>
    <row r="1624" spans="3:12" x14ac:dyDescent="0.2">
      <c r="C1624" s="683"/>
      <c r="D1624" s="590" t="s">
        <v>187</v>
      </c>
      <c r="E1624" s="591"/>
      <c r="F1624" s="3"/>
      <c r="G1624" s="3"/>
      <c r="H1624" s="3"/>
      <c r="I1624" s="3"/>
      <c r="J1624" s="3"/>
      <c r="K1624" s="628">
        <f>SUM(F1624:J1624)</f>
        <v>0</v>
      </c>
      <c r="L1624" s="3"/>
    </row>
    <row r="1625" spans="3:12" ht="16" x14ac:dyDescent="0.2">
      <c r="C1625" s="683"/>
      <c r="D1625" s="590" t="s">
        <v>700</v>
      </c>
      <c r="E1625" s="592"/>
      <c r="F1625" s="3">
        <v>7</v>
      </c>
      <c r="G1625" s="3"/>
      <c r="H1625" s="3"/>
      <c r="I1625" s="3">
        <v>7</v>
      </c>
      <c r="J1625" s="3">
        <v>4</v>
      </c>
      <c r="K1625" s="628">
        <f>SUM(F1625:J1625)</f>
        <v>18</v>
      </c>
      <c r="L1625" s="3"/>
    </row>
    <row r="1626" spans="3:12" ht="17" thickBot="1" x14ac:dyDescent="0.25">
      <c r="C1626" s="683"/>
      <c r="D1626" s="590"/>
      <c r="E1626" s="624"/>
      <c r="F1626" s="69"/>
      <c r="G1626" s="69"/>
      <c r="H1626" s="69"/>
      <c r="I1626" s="69"/>
      <c r="J1626" s="69"/>
      <c r="K1626" s="629"/>
      <c r="L1626" s="3"/>
    </row>
    <row r="1627" spans="3:12" ht="16" thickBot="1" x14ac:dyDescent="0.25">
      <c r="C1627" s="596"/>
      <c r="D1627" s="623" t="s">
        <v>19</v>
      </c>
      <c r="E1627" s="625">
        <f>SUM(E1601:E1624)</f>
        <v>2760</v>
      </c>
      <c r="F1627" s="614">
        <f>SUM(F1601:F1626)</f>
        <v>13</v>
      </c>
      <c r="G1627" s="614">
        <f>SUM(G1601:G1626)</f>
        <v>4</v>
      </c>
      <c r="H1627" s="614">
        <f>SUM(H1601:H1626)</f>
        <v>0</v>
      </c>
      <c r="I1627" s="614">
        <f>SUM(I1601:I1626)</f>
        <v>15</v>
      </c>
      <c r="J1627" s="614">
        <f>SUM(J1601:J1626)</f>
        <v>10</v>
      </c>
      <c r="K1627" s="626">
        <f>SUM(F1627:J1627)</f>
        <v>42</v>
      </c>
      <c r="L1627" s="631">
        <f>SUM(L1601:L1626)</f>
        <v>6</v>
      </c>
    </row>
    <row r="1628" spans="3:12" x14ac:dyDescent="0.2">
      <c r="C1628" s="596"/>
      <c r="D1628" s="593" t="s">
        <v>113</v>
      </c>
      <c r="E1628" s="620"/>
      <c r="F1628" s="610">
        <f>F1598-F1627</f>
        <v>3</v>
      </c>
      <c r="G1628" s="610">
        <f>G1598-G1627</f>
        <v>2</v>
      </c>
      <c r="H1628" s="610">
        <f>H1598-H1627</f>
        <v>3</v>
      </c>
      <c r="I1628" s="610">
        <f>I1598-I1627</f>
        <v>2</v>
      </c>
      <c r="J1628" s="610">
        <f>J1598-J1627</f>
        <v>0</v>
      </c>
      <c r="K1628" s="636">
        <f>SUM(F1628:J1628)</f>
        <v>10</v>
      </c>
      <c r="L1628" s="3"/>
    </row>
    <row r="1629" spans="3:12" x14ac:dyDescent="0.2">
      <c r="C1629" s="683"/>
      <c r="D1629" s="593" t="s">
        <v>436</v>
      </c>
      <c r="E1629" s="594"/>
      <c r="F1629" s="581"/>
      <c r="G1629" s="581"/>
      <c r="H1629" s="581"/>
      <c r="I1629" s="581"/>
      <c r="J1629" s="581"/>
      <c r="K1629" s="637">
        <f>K1627+K1628</f>
        <v>52</v>
      </c>
      <c r="L1629" s="3"/>
    </row>
    <row r="1631" spans="3:12" ht="18" x14ac:dyDescent="0.2">
      <c r="C1631" s="685" t="s">
        <v>412</v>
      </c>
      <c r="D1631" s="582">
        <v>45702</v>
      </c>
      <c r="E1631" s="800"/>
      <c r="F1631" s="685" t="s">
        <v>83</v>
      </c>
      <c r="G1631" s="801" t="s">
        <v>67</v>
      </c>
      <c r="H1631" s="802"/>
      <c r="I1631" s="802"/>
      <c r="J1631" s="802"/>
      <c r="K1631" s="803"/>
    </row>
    <row r="1632" spans="3:12" x14ac:dyDescent="0.2">
      <c r="C1632" s="804"/>
      <c r="D1632" s="805"/>
      <c r="E1632" s="800"/>
      <c r="F1632" s="683" t="s">
        <v>93</v>
      </c>
      <c r="G1632" s="683" t="s">
        <v>93</v>
      </c>
      <c r="H1632" s="683"/>
      <c r="I1632" s="806"/>
      <c r="J1632" s="806"/>
      <c r="K1632" s="806"/>
    </row>
    <row r="1633" spans="3:12" x14ac:dyDescent="0.2">
      <c r="C1633" s="804"/>
      <c r="D1633" s="805"/>
      <c r="E1633" s="800"/>
      <c r="F1633" s="683" t="s">
        <v>94</v>
      </c>
      <c r="G1633" s="683" t="s">
        <v>95</v>
      </c>
      <c r="H1633" s="683" t="s">
        <v>96</v>
      </c>
      <c r="I1633" s="806"/>
      <c r="J1633" s="806"/>
      <c r="K1633" s="806"/>
    </row>
    <row r="1634" spans="3:12" x14ac:dyDescent="0.2">
      <c r="C1634" s="804"/>
      <c r="D1634" s="805"/>
      <c r="E1634" s="800"/>
      <c r="F1634" s="683"/>
      <c r="G1634" s="683"/>
      <c r="H1634" s="683"/>
      <c r="I1634" s="806"/>
      <c r="J1634" s="806"/>
      <c r="K1634" s="806"/>
    </row>
    <row r="1635" spans="3:12" ht="16" x14ac:dyDescent="0.2">
      <c r="C1635" s="683"/>
      <c r="D1635" s="583" t="s">
        <v>97</v>
      </c>
      <c r="E1635" s="584"/>
      <c r="F1635" s="581"/>
      <c r="G1635" s="585"/>
      <c r="H1635" s="585"/>
      <c r="I1635" s="586"/>
      <c r="J1635" s="586"/>
      <c r="K1635" s="586"/>
    </row>
    <row r="1636" spans="3:12" ht="26" x14ac:dyDescent="0.2">
      <c r="C1636" s="804"/>
      <c r="D1636" s="587"/>
      <c r="E1636" s="588"/>
      <c r="F1636" s="585" t="s">
        <v>383</v>
      </c>
      <c r="G1636" s="585" t="s">
        <v>384</v>
      </c>
      <c r="H1636" s="585" t="s">
        <v>385</v>
      </c>
      <c r="I1636" s="585" t="s">
        <v>386</v>
      </c>
      <c r="J1636" s="585" t="s">
        <v>387</v>
      </c>
      <c r="K1636" s="585" t="s">
        <v>84</v>
      </c>
    </row>
    <row r="1637" spans="3:12" x14ac:dyDescent="0.2">
      <c r="C1637" s="804"/>
      <c r="D1637" s="684" t="s">
        <v>167</v>
      </c>
      <c r="E1637" s="588"/>
      <c r="F1637" s="580">
        <v>12</v>
      </c>
      <c r="G1637" s="579">
        <v>8</v>
      </c>
      <c r="H1637" s="580">
        <v>3</v>
      </c>
      <c r="I1637" s="580">
        <v>4</v>
      </c>
      <c r="J1637" s="580">
        <v>9</v>
      </c>
      <c r="K1637" s="580">
        <f>SUM(F1637:J1637)</f>
        <v>36</v>
      </c>
    </row>
    <row r="1638" spans="3:12" x14ac:dyDescent="0.2">
      <c r="C1638" s="804"/>
      <c r="D1638" s="684" t="s">
        <v>207</v>
      </c>
      <c r="E1638" s="588"/>
      <c r="F1638" s="618">
        <v>84</v>
      </c>
      <c r="G1638" s="619">
        <v>53</v>
      </c>
      <c r="H1638" s="618">
        <v>21</v>
      </c>
      <c r="I1638" s="618">
        <v>44</v>
      </c>
      <c r="J1638" s="618">
        <v>80</v>
      </c>
      <c r="K1638" s="618">
        <f>SUM(F1638:J1638)</f>
        <v>282</v>
      </c>
    </row>
    <row r="1639" spans="3:12" x14ac:dyDescent="0.2">
      <c r="C1639" s="683"/>
      <c r="D1639" s="684" t="s">
        <v>100</v>
      </c>
      <c r="E1639" s="588"/>
      <c r="F1639" s="581"/>
      <c r="G1639" s="581"/>
      <c r="H1639" s="581"/>
      <c r="I1639" s="581"/>
      <c r="J1639" s="581"/>
      <c r="K1639" s="581">
        <f>SUM(F1639:J1639)</f>
        <v>0</v>
      </c>
    </row>
    <row r="1640" spans="3:12" x14ac:dyDescent="0.2">
      <c r="C1640" s="683"/>
      <c r="D1640" s="684" t="s">
        <v>101</v>
      </c>
      <c r="E1640" s="588"/>
      <c r="F1640" s="581">
        <v>1</v>
      </c>
      <c r="G1640" s="581">
        <v>2</v>
      </c>
      <c r="H1640" s="581"/>
      <c r="I1640" s="581"/>
      <c r="J1640" s="581">
        <v>1</v>
      </c>
      <c r="K1640" s="581">
        <f>SUM(F1640:J1640)</f>
        <v>4</v>
      </c>
    </row>
    <row r="1641" spans="3:12" ht="16" thickBot="1" x14ac:dyDescent="0.25">
      <c r="C1641" s="683"/>
      <c r="D1641" s="597" t="s">
        <v>102</v>
      </c>
      <c r="E1641" s="598"/>
      <c r="F1641" s="599">
        <v>3</v>
      </c>
      <c r="G1641" s="600">
        <v>2</v>
      </c>
      <c r="H1641" s="600">
        <v>3</v>
      </c>
      <c r="I1641" s="600">
        <v>2</v>
      </c>
      <c r="J1641" s="600"/>
      <c r="K1641" s="600">
        <f>SUM(F1641:J1641)</f>
        <v>10</v>
      </c>
    </row>
    <row r="1642" spans="3:12" ht="17" thickBot="1" x14ac:dyDescent="0.25">
      <c r="C1642" s="605"/>
      <c r="D1642" s="612" t="s">
        <v>84</v>
      </c>
      <c r="E1642" s="613"/>
      <c r="F1642" s="614">
        <f>(F1638+F1641)-F1640-F1639</f>
        <v>86</v>
      </c>
      <c r="G1642" s="615">
        <f>(G1638+G1641)-G1640-G1639</f>
        <v>53</v>
      </c>
      <c r="H1642" s="616">
        <f>(H1638+H1641)-H1640</f>
        <v>24</v>
      </c>
      <c r="I1642" s="615">
        <f>(I1638+I1641)-I1640-I1639</f>
        <v>46</v>
      </c>
      <c r="J1642" s="622">
        <f>(J1638+J1641)-J1640-J1639</f>
        <v>79</v>
      </c>
      <c r="K1642" s="617">
        <f>(K1638+K1641)-K1640-K1639</f>
        <v>288</v>
      </c>
    </row>
    <row r="1643" spans="3:12" ht="16" x14ac:dyDescent="0.2">
      <c r="C1643" s="683"/>
      <c r="D1643" s="608"/>
      <c r="E1643" s="609"/>
      <c r="F1643" s="610"/>
      <c r="G1643" s="595"/>
      <c r="H1643" s="611"/>
      <c r="I1643" s="595"/>
      <c r="J1643" s="595"/>
      <c r="K1643" s="595"/>
    </row>
    <row r="1644" spans="3:12" ht="16" thickBot="1" x14ac:dyDescent="0.25">
      <c r="C1644" s="606" t="s">
        <v>388</v>
      </c>
      <c r="D1644" s="607" t="s">
        <v>103</v>
      </c>
      <c r="E1644" s="603" t="s">
        <v>84</v>
      </c>
      <c r="F1644" s="602"/>
      <c r="G1644" s="602"/>
      <c r="H1644" s="602"/>
      <c r="I1644" s="601"/>
      <c r="J1644" s="601"/>
      <c r="K1644" s="601" t="s">
        <v>84</v>
      </c>
      <c r="L1644" s="174" t="s">
        <v>389</v>
      </c>
    </row>
    <row r="1645" spans="3:12" x14ac:dyDescent="0.2">
      <c r="C1645" s="589" t="s">
        <v>654</v>
      </c>
      <c r="D1645" s="604" t="s">
        <v>105</v>
      </c>
      <c r="E1645" s="591">
        <f>(F1645+G1645+H1645+I1645+J1645)*100+(0*230)</f>
        <v>7400</v>
      </c>
      <c r="F1645" s="3">
        <v>17</v>
      </c>
      <c r="G1645" s="3">
        <v>10</v>
      </c>
      <c r="H1645" s="3">
        <v>12</v>
      </c>
      <c r="I1645" s="3">
        <v>7</v>
      </c>
      <c r="J1645" s="3">
        <v>28</v>
      </c>
      <c r="K1645" s="628">
        <f t="shared" ref="K1645:K1667" si="76">SUM(F1645:J1645)</f>
        <v>74</v>
      </c>
      <c r="L1645" s="630">
        <f>K1645/4</f>
        <v>18.5</v>
      </c>
    </row>
    <row r="1646" spans="3:12" x14ac:dyDescent="0.2">
      <c r="C1646" s="589" t="s">
        <v>705</v>
      </c>
      <c r="D1646" s="590" t="s">
        <v>390</v>
      </c>
      <c r="E1646" s="591">
        <f>(F1646+G1646+H1646+I1646+J1646)*120</f>
        <v>1200</v>
      </c>
      <c r="F1646" s="3">
        <v>2</v>
      </c>
      <c r="G1646" s="3">
        <v>2</v>
      </c>
      <c r="H1646" s="3">
        <v>2</v>
      </c>
      <c r="I1646" s="3">
        <v>2</v>
      </c>
      <c r="J1646" s="3">
        <v>2</v>
      </c>
      <c r="K1646" s="628">
        <f t="shared" si="76"/>
        <v>10</v>
      </c>
      <c r="L1646" s="630">
        <f t="shared" ref="L1646:L1667" si="77">K1646/4</f>
        <v>2.5</v>
      </c>
    </row>
    <row r="1647" spans="3:12" x14ac:dyDescent="0.2">
      <c r="C1647" s="589"/>
      <c r="D1647" s="590" t="s">
        <v>391</v>
      </c>
      <c r="E1647" s="591">
        <f>(F1647+G1647+H1647+I1647+J1647)*120</f>
        <v>0</v>
      </c>
      <c r="F1647" s="3"/>
      <c r="G1647" s="3"/>
      <c r="H1647" s="3"/>
      <c r="I1647" s="3"/>
      <c r="J1647" s="3"/>
      <c r="K1647" s="628">
        <f t="shared" si="76"/>
        <v>0</v>
      </c>
      <c r="L1647" s="630">
        <f t="shared" si="77"/>
        <v>0</v>
      </c>
    </row>
    <row r="1648" spans="3:12" x14ac:dyDescent="0.2">
      <c r="C1648" s="589"/>
      <c r="D1648" s="590" t="s">
        <v>392</v>
      </c>
      <c r="E1648" s="591">
        <f>(F1648+G1648+H1648+I1648+J1648)*120</f>
        <v>0</v>
      </c>
      <c r="F1648" s="3"/>
      <c r="G1648" s="3"/>
      <c r="H1648" s="3"/>
      <c r="I1648" s="3"/>
      <c r="J1648" s="3"/>
      <c r="K1648" s="628">
        <f t="shared" si="76"/>
        <v>0</v>
      </c>
      <c r="L1648" s="630">
        <f t="shared" si="77"/>
        <v>0</v>
      </c>
    </row>
    <row r="1649" spans="3:12" x14ac:dyDescent="0.2">
      <c r="C1649" s="589"/>
      <c r="D1649" s="590" t="s">
        <v>425</v>
      </c>
      <c r="E1649" s="591">
        <f>(F1649+G1649+H1649+I1649+J1649)*120</f>
        <v>0</v>
      </c>
      <c r="F1649" s="3"/>
      <c r="G1649" s="3"/>
      <c r="H1649" s="3"/>
      <c r="I1649" s="3"/>
      <c r="J1649" s="3"/>
      <c r="K1649" s="628">
        <f t="shared" si="76"/>
        <v>0</v>
      </c>
      <c r="L1649" s="630">
        <f t="shared" si="77"/>
        <v>0</v>
      </c>
    </row>
    <row r="1650" spans="3:12" x14ac:dyDescent="0.2">
      <c r="C1650" s="589"/>
      <c r="D1650" s="590"/>
      <c r="E1650" s="591"/>
      <c r="F1650" s="3"/>
      <c r="G1650" s="3"/>
      <c r="H1650" s="3"/>
      <c r="I1650" s="3"/>
      <c r="J1650" s="3"/>
      <c r="K1650" s="628">
        <f t="shared" si="76"/>
        <v>0</v>
      </c>
      <c r="L1650" s="630">
        <f t="shared" si="77"/>
        <v>0</v>
      </c>
    </row>
    <row r="1651" spans="3:12" x14ac:dyDescent="0.2">
      <c r="C1651" s="589" t="s">
        <v>708</v>
      </c>
      <c r="D1651" s="590" t="s">
        <v>108</v>
      </c>
      <c r="E1651" s="591">
        <f>(F1651+G1651+H1651+J1651)*112.7+(I1651*119.6)</f>
        <v>4112.3999999999996</v>
      </c>
      <c r="F1651" s="3">
        <v>10</v>
      </c>
      <c r="G1651" s="3">
        <v>4</v>
      </c>
      <c r="H1651" s="3">
        <v>4</v>
      </c>
      <c r="I1651" s="3">
        <v>8</v>
      </c>
      <c r="J1651" s="3">
        <v>10</v>
      </c>
      <c r="K1651" s="628">
        <f t="shared" si="76"/>
        <v>36</v>
      </c>
      <c r="L1651" s="630">
        <f t="shared" si="77"/>
        <v>9</v>
      </c>
    </row>
    <row r="1652" spans="3:12" x14ac:dyDescent="0.2">
      <c r="C1652" s="589" t="s">
        <v>707</v>
      </c>
      <c r="D1652" s="590" t="s">
        <v>393</v>
      </c>
      <c r="E1652" s="591">
        <f>(F1652+G1652+H1652+J1652)*112.7+(I1652*119.6)</f>
        <v>2732.4</v>
      </c>
      <c r="F1652" s="3">
        <v>6</v>
      </c>
      <c r="G1652" s="3">
        <v>4</v>
      </c>
      <c r="H1652" s="3">
        <v>4</v>
      </c>
      <c r="I1652" s="3">
        <v>4</v>
      </c>
      <c r="J1652" s="3">
        <v>6</v>
      </c>
      <c r="K1652" s="628">
        <f t="shared" si="76"/>
        <v>24</v>
      </c>
      <c r="L1652" s="630">
        <f t="shared" si="77"/>
        <v>6</v>
      </c>
    </row>
    <row r="1653" spans="3:12" x14ac:dyDescent="0.2">
      <c r="C1653" s="589" t="s">
        <v>706</v>
      </c>
      <c r="D1653" s="590" t="s">
        <v>216</v>
      </c>
      <c r="E1653" s="591">
        <f>(F1653+G1653+H1653+J1653)*112.7+(I1653*119.6)</f>
        <v>3661.6000000000004</v>
      </c>
      <c r="F1653" s="3">
        <v>8</v>
      </c>
      <c r="G1653" s="3">
        <v>8</v>
      </c>
      <c r="H1653" s="3"/>
      <c r="I1653" s="3">
        <v>8</v>
      </c>
      <c r="J1653" s="3">
        <v>8</v>
      </c>
      <c r="K1653" s="628">
        <f t="shared" si="76"/>
        <v>32</v>
      </c>
      <c r="L1653" s="630">
        <f t="shared" si="77"/>
        <v>8</v>
      </c>
    </row>
    <row r="1654" spans="3:12" x14ac:dyDescent="0.2">
      <c r="C1654" s="589"/>
      <c r="D1654" s="590"/>
      <c r="E1654" s="591"/>
      <c r="F1654" s="3"/>
      <c r="G1654" s="3"/>
      <c r="H1654" s="3"/>
      <c r="I1654" s="3"/>
      <c r="J1654" s="3"/>
      <c r="K1654" s="628">
        <f t="shared" si="76"/>
        <v>0</v>
      </c>
      <c r="L1654" s="630">
        <f t="shared" si="77"/>
        <v>0</v>
      </c>
    </row>
    <row r="1655" spans="3:12" x14ac:dyDescent="0.2">
      <c r="C1655" s="589"/>
      <c r="D1655" s="590" t="s">
        <v>394</v>
      </c>
      <c r="E1655" s="591">
        <f>(F1655+G1655+H1655+I1655+J1655)*120</f>
        <v>0</v>
      </c>
      <c r="F1655" s="3"/>
      <c r="G1655" s="3"/>
      <c r="H1655" s="3"/>
      <c r="I1655" s="3"/>
      <c r="J1655" s="3"/>
      <c r="K1655" s="628">
        <f t="shared" si="76"/>
        <v>0</v>
      </c>
      <c r="L1655" s="630">
        <f t="shared" si="77"/>
        <v>0</v>
      </c>
    </row>
    <row r="1656" spans="3:12" x14ac:dyDescent="0.2">
      <c r="C1656" s="589" t="s">
        <v>709</v>
      </c>
      <c r="D1656" s="590" t="s">
        <v>110</v>
      </c>
      <c r="E1656" s="591">
        <f>(F1656+G1656+H1656+J1656)*112.7+(I1656*119.6)</f>
        <v>9577.2000000000007</v>
      </c>
      <c r="F1656" s="3">
        <v>40</v>
      </c>
      <c r="G1656" s="3">
        <v>16</v>
      </c>
      <c r="H1656" s="3"/>
      <c r="I1656" s="3">
        <v>16</v>
      </c>
      <c r="J1656" s="3">
        <v>12</v>
      </c>
      <c r="K1656" s="628">
        <f t="shared" si="76"/>
        <v>84</v>
      </c>
      <c r="L1656" s="630">
        <f t="shared" si="77"/>
        <v>21</v>
      </c>
    </row>
    <row r="1657" spans="3:12" x14ac:dyDescent="0.2">
      <c r="C1657" s="589"/>
      <c r="D1657" s="590"/>
      <c r="E1657" s="591"/>
      <c r="F1657" s="3"/>
      <c r="G1657" s="3"/>
      <c r="H1657" s="3"/>
      <c r="I1657" s="3"/>
      <c r="J1657" s="3"/>
      <c r="K1657" s="628">
        <f t="shared" si="76"/>
        <v>0</v>
      </c>
      <c r="L1657" s="630">
        <f t="shared" si="77"/>
        <v>0</v>
      </c>
    </row>
    <row r="1658" spans="3:12" x14ac:dyDescent="0.2">
      <c r="C1658" s="589"/>
      <c r="D1658" s="590" t="s">
        <v>381</v>
      </c>
      <c r="E1658" s="591">
        <f>(F1658+G1658+H1658+I1658+J1658)*120+(240*0)+(0*45)</f>
        <v>0</v>
      </c>
      <c r="F1658" s="3"/>
      <c r="G1658" s="3"/>
      <c r="H1658" s="3"/>
      <c r="I1658" s="3"/>
      <c r="J1658" s="3"/>
      <c r="K1658" s="628">
        <f t="shared" si="76"/>
        <v>0</v>
      </c>
      <c r="L1658" s="630">
        <f t="shared" si="77"/>
        <v>0</v>
      </c>
    </row>
    <row r="1659" spans="3:12" x14ac:dyDescent="0.2">
      <c r="C1659" s="589"/>
      <c r="D1659" s="590" t="s">
        <v>276</v>
      </c>
      <c r="E1659" s="591">
        <f>(F1659+G1659+H1659+J1659)*112.7+(I1659*119.6)</f>
        <v>0</v>
      </c>
      <c r="F1659" s="3"/>
      <c r="G1659" s="3"/>
      <c r="H1659" s="3"/>
      <c r="I1659" s="3"/>
      <c r="J1659" s="3"/>
      <c r="K1659" s="628">
        <f t="shared" si="76"/>
        <v>0</v>
      </c>
      <c r="L1659" s="630">
        <f t="shared" si="77"/>
        <v>0</v>
      </c>
    </row>
    <row r="1660" spans="3:12" x14ac:dyDescent="0.2">
      <c r="C1660" s="589"/>
      <c r="D1660" s="590"/>
      <c r="E1660" s="591"/>
      <c r="F1660" s="3"/>
      <c r="G1660" s="3"/>
      <c r="H1660" s="3"/>
      <c r="I1660" s="3"/>
      <c r="J1660" s="3"/>
      <c r="K1660" s="628">
        <f t="shared" si="76"/>
        <v>0</v>
      </c>
      <c r="L1660" s="630">
        <f t="shared" si="77"/>
        <v>0</v>
      </c>
    </row>
    <row r="1661" spans="3:12" x14ac:dyDescent="0.2">
      <c r="C1661" s="589"/>
      <c r="D1661" s="590" t="s">
        <v>75</v>
      </c>
      <c r="E1661" s="591">
        <f>(F1661+G1661+H1661+I1661+J1661)*120</f>
        <v>0</v>
      </c>
      <c r="F1661" s="3"/>
      <c r="G1661" s="3"/>
      <c r="H1661" s="3"/>
      <c r="I1661" s="3"/>
      <c r="J1661" s="3"/>
      <c r="K1661" s="628">
        <f t="shared" si="76"/>
        <v>0</v>
      </c>
      <c r="L1661" s="630">
        <f t="shared" si="77"/>
        <v>0</v>
      </c>
    </row>
    <row r="1662" spans="3:12" x14ac:dyDescent="0.2">
      <c r="C1662" s="589"/>
      <c r="D1662" s="590" t="s">
        <v>278</v>
      </c>
      <c r="E1662" s="591">
        <f>(F1662+G1662+H1662+I1662+J1662)*120</f>
        <v>0</v>
      </c>
      <c r="F1662" s="3"/>
      <c r="G1662" s="3"/>
      <c r="H1662" s="3"/>
      <c r="I1662" s="3"/>
      <c r="J1662" s="3"/>
      <c r="K1662" s="628">
        <f t="shared" si="76"/>
        <v>0</v>
      </c>
      <c r="L1662" s="630">
        <f t="shared" si="77"/>
        <v>0</v>
      </c>
    </row>
    <row r="1663" spans="3:12" x14ac:dyDescent="0.2">
      <c r="C1663" s="589"/>
      <c r="D1663" s="590" t="s">
        <v>270</v>
      </c>
      <c r="E1663" s="591">
        <f>(F1663+G1663+H1663+I1663)*112.7+(J1663*119.6)</f>
        <v>0</v>
      </c>
      <c r="F1663" s="3"/>
      <c r="G1663" s="3"/>
      <c r="H1663" s="3"/>
      <c r="I1663" s="3"/>
      <c r="J1663" s="3"/>
      <c r="K1663" s="628">
        <f t="shared" si="76"/>
        <v>0</v>
      </c>
      <c r="L1663" s="630">
        <f t="shared" si="77"/>
        <v>0</v>
      </c>
    </row>
    <row r="1664" spans="3:12" x14ac:dyDescent="0.2">
      <c r="C1664" s="589"/>
      <c r="D1664" s="590" t="s">
        <v>274</v>
      </c>
      <c r="E1664" s="591">
        <f>(F1664+G1664+H1664+I1664)*112.7+(J1664*119.6)</f>
        <v>0</v>
      </c>
      <c r="F1664" s="3"/>
      <c r="G1664" s="3"/>
      <c r="H1664" s="3"/>
      <c r="I1664" s="3"/>
      <c r="J1664" s="3"/>
      <c r="K1664" s="628">
        <f t="shared" si="76"/>
        <v>0</v>
      </c>
      <c r="L1664" s="630">
        <f t="shared" si="77"/>
        <v>0</v>
      </c>
    </row>
    <row r="1665" spans="3:12" x14ac:dyDescent="0.2">
      <c r="C1665" s="589"/>
      <c r="D1665" s="590" t="s">
        <v>395</v>
      </c>
      <c r="E1665" s="591">
        <f>(F1665+G1665+H1665+I1665)*112.7+(J1665*119.6)</f>
        <v>0</v>
      </c>
      <c r="F1665" s="3"/>
      <c r="G1665" s="3"/>
      <c r="H1665" s="3"/>
      <c r="I1665" s="3"/>
      <c r="J1665" s="3"/>
      <c r="K1665" s="628">
        <f t="shared" si="76"/>
        <v>0</v>
      </c>
      <c r="L1665" s="630">
        <f t="shared" si="77"/>
        <v>0</v>
      </c>
    </row>
    <row r="1666" spans="3:12" x14ac:dyDescent="0.2">
      <c r="C1666" s="683"/>
      <c r="D1666" s="590" t="s">
        <v>112</v>
      </c>
      <c r="E1666" s="591">
        <f>(F1666+G1666+H1666+I1666)*112.7+(J1666*119.6)</f>
        <v>0</v>
      </c>
      <c r="F1666" s="3"/>
      <c r="G1666" s="3"/>
      <c r="H1666" s="3"/>
      <c r="I1666" s="3"/>
      <c r="J1666" s="3"/>
      <c r="K1666" s="628">
        <f t="shared" si="76"/>
        <v>0</v>
      </c>
      <c r="L1666" s="630">
        <f t="shared" si="77"/>
        <v>0</v>
      </c>
    </row>
    <row r="1667" spans="3:12" x14ac:dyDescent="0.2">
      <c r="C1667" s="683"/>
      <c r="D1667" s="590" t="s">
        <v>72</v>
      </c>
      <c r="E1667" s="591">
        <f>(F1667+G1667+H1667+I1667)*112.7+(J1667*119.6)</f>
        <v>0</v>
      </c>
      <c r="F1667" s="3"/>
      <c r="G1667" s="3"/>
      <c r="H1667" s="3"/>
      <c r="I1667" s="3"/>
      <c r="J1667" s="3"/>
      <c r="K1667" s="628">
        <f t="shared" si="76"/>
        <v>0</v>
      </c>
      <c r="L1667" s="630">
        <f t="shared" si="77"/>
        <v>0</v>
      </c>
    </row>
    <row r="1668" spans="3:12" x14ac:dyDescent="0.2">
      <c r="C1668" s="683"/>
      <c r="D1668" s="590" t="s">
        <v>187</v>
      </c>
      <c r="E1668" s="591"/>
      <c r="F1668" s="3"/>
      <c r="G1668" s="3"/>
      <c r="H1668" s="3"/>
      <c r="I1668" s="3"/>
      <c r="J1668" s="3"/>
      <c r="K1668" s="628">
        <f>SUM(F1668:J1668)</f>
        <v>0</v>
      </c>
      <c r="L1668" s="3"/>
    </row>
    <row r="1669" spans="3:12" ht="16" x14ac:dyDescent="0.2">
      <c r="C1669" s="683"/>
      <c r="D1669" s="590"/>
      <c r="E1669" s="592"/>
      <c r="F1669" s="3"/>
      <c r="G1669" s="3">
        <v>9</v>
      </c>
      <c r="H1669" s="3">
        <v>2</v>
      </c>
      <c r="I1669" s="3">
        <v>1</v>
      </c>
      <c r="J1669" s="3">
        <v>9</v>
      </c>
      <c r="K1669" s="628">
        <f>SUM(F1669:J1669)</f>
        <v>21</v>
      </c>
      <c r="L1669" s="3"/>
    </row>
    <row r="1670" spans="3:12" ht="17" thickBot="1" x14ac:dyDescent="0.25">
      <c r="C1670" s="683"/>
      <c r="D1670" s="590"/>
      <c r="E1670" s="624"/>
      <c r="F1670" s="69"/>
      <c r="G1670" s="69"/>
      <c r="H1670" s="69"/>
      <c r="I1670" s="69"/>
      <c r="J1670" s="69"/>
      <c r="K1670" s="629"/>
      <c r="L1670" s="3"/>
    </row>
    <row r="1671" spans="3:12" ht="16" thickBot="1" x14ac:dyDescent="0.25">
      <c r="C1671" s="596"/>
      <c r="D1671" s="623" t="s">
        <v>19</v>
      </c>
      <c r="E1671" s="625">
        <f>SUM(E1645:E1668)</f>
        <v>28683.600000000002</v>
      </c>
      <c r="F1671" s="614">
        <f>SUM(F1645:F1670)</f>
        <v>83</v>
      </c>
      <c r="G1671" s="614">
        <f>SUM(G1645:G1670)</f>
        <v>53</v>
      </c>
      <c r="H1671" s="614">
        <f>SUM(H1645:H1670)</f>
        <v>24</v>
      </c>
      <c r="I1671" s="614">
        <f>SUM(I1645:I1670)</f>
        <v>46</v>
      </c>
      <c r="J1671" s="614">
        <f>SUM(J1645:J1670)</f>
        <v>75</v>
      </c>
      <c r="K1671" s="626">
        <f>SUM(F1671:J1671)</f>
        <v>281</v>
      </c>
      <c r="L1671" s="631">
        <f>SUM(L1645:L1670)</f>
        <v>65</v>
      </c>
    </row>
    <row r="1672" spans="3:12" x14ac:dyDescent="0.2">
      <c r="C1672" s="596"/>
      <c r="D1672" s="593" t="s">
        <v>113</v>
      </c>
      <c r="E1672" s="620"/>
      <c r="F1672" s="610">
        <f>F1642-F1671</f>
        <v>3</v>
      </c>
      <c r="G1672" s="610">
        <f>G1642-G1671</f>
        <v>0</v>
      </c>
      <c r="H1672" s="610">
        <f>H1642-H1671</f>
        <v>0</v>
      </c>
      <c r="I1672" s="610">
        <f>I1642-I1671</f>
        <v>0</v>
      </c>
      <c r="J1672" s="610">
        <f>J1642-J1671</f>
        <v>4</v>
      </c>
      <c r="K1672" s="636">
        <f>SUM(F1672:J1672)</f>
        <v>7</v>
      </c>
      <c r="L1672" s="3"/>
    </row>
    <row r="1673" spans="3:12" x14ac:dyDescent="0.2">
      <c r="C1673" s="683"/>
      <c r="D1673" s="593" t="s">
        <v>436</v>
      </c>
      <c r="E1673" s="594"/>
      <c r="F1673" s="581"/>
      <c r="G1673" s="581"/>
      <c r="H1673" s="581"/>
      <c r="I1673" s="581"/>
      <c r="J1673" s="581"/>
      <c r="K1673" s="637">
        <f>K1671+K1672</f>
        <v>288</v>
      </c>
      <c r="L1673" s="3"/>
    </row>
    <row r="1675" spans="3:12" ht="18" x14ac:dyDescent="0.2">
      <c r="C1675" s="685" t="s">
        <v>412</v>
      </c>
      <c r="D1675" s="582">
        <v>45703</v>
      </c>
      <c r="E1675" s="800"/>
      <c r="F1675" s="685" t="s">
        <v>83</v>
      </c>
      <c r="G1675" s="801" t="s">
        <v>68</v>
      </c>
      <c r="H1675" s="802"/>
      <c r="I1675" s="802"/>
      <c r="J1675" s="802"/>
      <c r="K1675" s="803"/>
    </row>
    <row r="1676" spans="3:12" x14ac:dyDescent="0.2">
      <c r="C1676" s="804"/>
      <c r="D1676" s="805"/>
      <c r="E1676" s="800"/>
      <c r="F1676" s="683" t="s">
        <v>93</v>
      </c>
      <c r="G1676" s="683" t="s">
        <v>93</v>
      </c>
      <c r="H1676" s="683"/>
      <c r="I1676" s="806"/>
      <c r="J1676" s="806"/>
      <c r="K1676" s="806"/>
    </row>
    <row r="1677" spans="3:12" x14ac:dyDescent="0.2">
      <c r="C1677" s="804"/>
      <c r="D1677" s="805"/>
      <c r="E1677" s="800"/>
      <c r="F1677" s="683" t="s">
        <v>94</v>
      </c>
      <c r="G1677" s="683" t="s">
        <v>95</v>
      </c>
      <c r="H1677" s="683" t="s">
        <v>96</v>
      </c>
      <c r="I1677" s="806"/>
      <c r="J1677" s="806"/>
      <c r="K1677" s="806"/>
    </row>
    <row r="1678" spans="3:12" x14ac:dyDescent="0.2">
      <c r="C1678" s="804"/>
      <c r="D1678" s="805"/>
      <c r="E1678" s="800"/>
      <c r="F1678" s="683"/>
      <c r="G1678" s="683"/>
      <c r="H1678" s="683"/>
      <c r="I1678" s="806"/>
      <c r="J1678" s="806"/>
      <c r="K1678" s="806"/>
    </row>
    <row r="1679" spans="3:12" ht="16" x14ac:dyDescent="0.2">
      <c r="C1679" s="683"/>
      <c r="D1679" s="583" t="s">
        <v>97</v>
      </c>
      <c r="E1679" s="584"/>
      <c r="F1679" s="581"/>
      <c r="G1679" s="585"/>
      <c r="H1679" s="585"/>
      <c r="I1679" s="586"/>
      <c r="J1679" s="586"/>
      <c r="K1679" s="586"/>
    </row>
    <row r="1680" spans="3:12" ht="26" x14ac:dyDescent="0.2">
      <c r="C1680" s="804"/>
      <c r="D1680" s="587"/>
      <c r="E1680" s="588"/>
      <c r="F1680" s="585" t="s">
        <v>383</v>
      </c>
      <c r="G1680" s="585" t="s">
        <v>384</v>
      </c>
      <c r="H1680" s="585" t="s">
        <v>385</v>
      </c>
      <c r="I1680" s="585" t="s">
        <v>386</v>
      </c>
      <c r="J1680" s="585" t="s">
        <v>387</v>
      </c>
      <c r="K1680" s="585" t="s">
        <v>84</v>
      </c>
    </row>
    <row r="1681" spans="3:12" x14ac:dyDescent="0.2">
      <c r="C1681" s="804"/>
      <c r="D1681" s="684" t="s">
        <v>167</v>
      </c>
      <c r="E1681" s="588"/>
      <c r="F1681" s="580">
        <v>10</v>
      </c>
      <c r="G1681" s="579">
        <v>3</v>
      </c>
      <c r="H1681" s="580">
        <v>1</v>
      </c>
      <c r="I1681" s="580">
        <v>2</v>
      </c>
      <c r="J1681" s="580"/>
      <c r="K1681" s="580">
        <f>SUM(F1681:J1681)</f>
        <v>16</v>
      </c>
    </row>
    <row r="1682" spans="3:12" x14ac:dyDescent="0.2">
      <c r="C1682" s="804"/>
      <c r="D1682" s="684" t="s">
        <v>207</v>
      </c>
      <c r="E1682" s="588"/>
      <c r="F1682" s="618">
        <v>70</v>
      </c>
      <c r="G1682" s="619">
        <v>21</v>
      </c>
      <c r="H1682" s="618">
        <v>7</v>
      </c>
      <c r="I1682" s="618">
        <v>22</v>
      </c>
      <c r="J1682" s="618"/>
      <c r="K1682" s="618">
        <f>SUM(F1682:J1682)</f>
        <v>120</v>
      </c>
    </row>
    <row r="1683" spans="3:12" x14ac:dyDescent="0.2">
      <c r="C1683" s="683"/>
      <c r="D1683" s="684" t="s">
        <v>100</v>
      </c>
      <c r="E1683" s="588"/>
      <c r="F1683" s="581"/>
      <c r="G1683" s="581"/>
      <c r="H1683" s="581"/>
      <c r="I1683" s="581"/>
      <c r="J1683" s="581"/>
      <c r="K1683" s="581">
        <f>SUM(F1683:J1683)</f>
        <v>0</v>
      </c>
    </row>
    <row r="1684" spans="3:12" x14ac:dyDescent="0.2">
      <c r="C1684" s="683"/>
      <c r="D1684" s="684" t="s">
        <v>101</v>
      </c>
      <c r="E1684" s="588"/>
      <c r="F1684" s="581"/>
      <c r="G1684" s="581"/>
      <c r="H1684" s="581"/>
      <c r="I1684" s="581"/>
      <c r="J1684" s="581"/>
      <c r="K1684" s="581">
        <f>SUM(F1684:J1684)</f>
        <v>0</v>
      </c>
    </row>
    <row r="1685" spans="3:12" ht="16" thickBot="1" x14ac:dyDescent="0.25">
      <c r="C1685" s="683"/>
      <c r="D1685" s="597" t="s">
        <v>102</v>
      </c>
      <c r="E1685" s="598"/>
      <c r="F1685" s="599"/>
      <c r="G1685" s="600"/>
      <c r="H1685" s="600"/>
      <c r="I1685" s="600"/>
      <c r="J1685" s="600"/>
      <c r="K1685" s="600">
        <f>SUM(F1685:J1685)</f>
        <v>0</v>
      </c>
    </row>
    <row r="1686" spans="3:12" ht="17" thickBot="1" x14ac:dyDescent="0.25">
      <c r="C1686" s="605"/>
      <c r="D1686" s="612" t="s">
        <v>84</v>
      </c>
      <c r="E1686" s="613"/>
      <c r="F1686" s="614">
        <f>(F1682+F1685)-F1684-F1683</f>
        <v>70</v>
      </c>
      <c r="G1686" s="615">
        <f>(G1682+G1685)-G1684-G1683</f>
        <v>21</v>
      </c>
      <c r="H1686" s="616">
        <f>(H1682+H1685)-H1684</f>
        <v>7</v>
      </c>
      <c r="I1686" s="615">
        <f>(I1682+I1685)-I1684-I1683</f>
        <v>22</v>
      </c>
      <c r="J1686" s="622">
        <f>(J1682+J1685)-J1684-J1683</f>
        <v>0</v>
      </c>
      <c r="K1686" s="617">
        <f>(K1682+K1685)-K1684-K1683</f>
        <v>120</v>
      </c>
    </row>
    <row r="1687" spans="3:12" ht="16" x14ac:dyDescent="0.2">
      <c r="C1687" s="683"/>
      <c r="D1687" s="608"/>
      <c r="E1687" s="609"/>
      <c r="F1687" s="610"/>
      <c r="G1687" s="595"/>
      <c r="H1687" s="611"/>
      <c r="I1687" s="595"/>
      <c r="J1687" s="595"/>
      <c r="K1687" s="595"/>
    </row>
    <row r="1688" spans="3:12" ht="16" thickBot="1" x14ac:dyDescent="0.25">
      <c r="C1688" s="606" t="s">
        <v>388</v>
      </c>
      <c r="D1688" s="607" t="s">
        <v>103</v>
      </c>
      <c r="E1688" s="603" t="s">
        <v>84</v>
      </c>
      <c r="F1688" s="602"/>
      <c r="G1688" s="602"/>
      <c r="H1688" s="602"/>
      <c r="I1688" s="601"/>
      <c r="J1688" s="601"/>
      <c r="K1688" s="601" t="s">
        <v>84</v>
      </c>
      <c r="L1688" s="174" t="s">
        <v>389</v>
      </c>
    </row>
    <row r="1689" spans="3:12" x14ac:dyDescent="0.2">
      <c r="C1689" s="589"/>
      <c r="D1689" s="604" t="s">
        <v>105</v>
      </c>
      <c r="E1689" s="591">
        <f>(F1689+G1689+H1689+I1689+J1689)*100+(0*230)</f>
        <v>0</v>
      </c>
      <c r="F1689" s="3"/>
      <c r="G1689" s="3"/>
      <c r="H1689" s="3"/>
      <c r="I1689" s="3"/>
      <c r="J1689" s="3"/>
      <c r="K1689" s="628">
        <f t="shared" ref="K1689:K1711" si="78">SUM(F1689:J1689)</f>
        <v>0</v>
      </c>
      <c r="L1689" s="630">
        <f>K1689/4</f>
        <v>0</v>
      </c>
    </row>
    <row r="1690" spans="3:12" x14ac:dyDescent="0.2">
      <c r="C1690" s="589"/>
      <c r="D1690" s="590" t="s">
        <v>390</v>
      </c>
      <c r="E1690" s="591">
        <f>(F1690+G1690+H1690+I1690+J1690)*120</f>
        <v>0</v>
      </c>
      <c r="F1690" s="3"/>
      <c r="G1690" s="3"/>
      <c r="H1690" s="3"/>
      <c r="I1690" s="3"/>
      <c r="J1690" s="3"/>
      <c r="K1690" s="628">
        <f t="shared" si="78"/>
        <v>0</v>
      </c>
      <c r="L1690" s="630">
        <f t="shared" ref="L1690:L1711" si="79">K1690/4</f>
        <v>0</v>
      </c>
    </row>
    <row r="1691" spans="3:12" x14ac:dyDescent="0.2">
      <c r="C1691" s="589"/>
      <c r="D1691" s="590" t="s">
        <v>391</v>
      </c>
      <c r="E1691" s="591">
        <f>(F1691+G1691+H1691+I1691+J1691)*120</f>
        <v>0</v>
      </c>
      <c r="F1691" s="3"/>
      <c r="G1691" s="3"/>
      <c r="H1691" s="3"/>
      <c r="I1691" s="3"/>
      <c r="J1691" s="3"/>
      <c r="K1691" s="628">
        <f t="shared" si="78"/>
        <v>0</v>
      </c>
      <c r="L1691" s="630">
        <f t="shared" si="79"/>
        <v>0</v>
      </c>
    </row>
    <row r="1692" spans="3:12" x14ac:dyDescent="0.2">
      <c r="C1692" s="589"/>
      <c r="D1692" s="590" t="s">
        <v>392</v>
      </c>
      <c r="E1692" s="591">
        <f>(F1692+G1692+H1692+I1692+J1692)*120</f>
        <v>1680</v>
      </c>
      <c r="F1692" s="3">
        <v>6</v>
      </c>
      <c r="G1692" s="3">
        <v>2</v>
      </c>
      <c r="H1692" s="3">
        <v>6</v>
      </c>
      <c r="I1692" s="3"/>
      <c r="J1692" s="3"/>
      <c r="K1692" s="628">
        <f t="shared" si="78"/>
        <v>14</v>
      </c>
      <c r="L1692" s="630">
        <f t="shared" si="79"/>
        <v>3.5</v>
      </c>
    </row>
    <row r="1693" spans="3:12" x14ac:dyDescent="0.2">
      <c r="C1693" s="589"/>
      <c r="D1693" s="590" t="s">
        <v>425</v>
      </c>
      <c r="E1693" s="591">
        <f>(F1693+G1693+H1693+I1693+J1693)*120</f>
        <v>0</v>
      </c>
      <c r="F1693" s="3"/>
      <c r="G1693" s="3"/>
      <c r="H1693" s="3"/>
      <c r="I1693" s="3"/>
      <c r="J1693" s="3"/>
      <c r="K1693" s="628">
        <f t="shared" si="78"/>
        <v>0</v>
      </c>
      <c r="L1693" s="630">
        <f t="shared" si="79"/>
        <v>0</v>
      </c>
    </row>
    <row r="1694" spans="3:12" x14ac:dyDescent="0.2">
      <c r="C1694" s="589"/>
      <c r="D1694" s="590"/>
      <c r="E1694" s="591"/>
      <c r="F1694" s="3"/>
      <c r="G1694" s="3"/>
      <c r="H1694" s="3"/>
      <c r="I1694" s="3"/>
      <c r="J1694" s="3"/>
      <c r="K1694" s="628">
        <f t="shared" si="78"/>
        <v>0</v>
      </c>
      <c r="L1694" s="630">
        <f t="shared" si="79"/>
        <v>0</v>
      </c>
    </row>
    <row r="1695" spans="3:12" x14ac:dyDescent="0.2">
      <c r="C1695" s="589"/>
      <c r="D1695" s="590" t="s">
        <v>108</v>
      </c>
      <c r="E1695" s="591">
        <f>(F1695+G1695+H1695+J1695)*112.7+(I1695*119.6)</f>
        <v>0</v>
      </c>
      <c r="F1695" s="3"/>
      <c r="G1695" s="3"/>
      <c r="H1695" s="3"/>
      <c r="I1695" s="3"/>
      <c r="J1695" s="3"/>
      <c r="K1695" s="628">
        <f t="shared" si="78"/>
        <v>0</v>
      </c>
      <c r="L1695" s="630">
        <f t="shared" si="79"/>
        <v>0</v>
      </c>
    </row>
    <row r="1696" spans="3:12" x14ac:dyDescent="0.2">
      <c r="C1696" s="589"/>
      <c r="D1696" s="590" t="s">
        <v>393</v>
      </c>
      <c r="E1696" s="591">
        <f>(F1696+G1696+H1696+J1696)*112.7+(I1696*119.6)</f>
        <v>0</v>
      </c>
      <c r="F1696" s="3"/>
      <c r="G1696" s="3"/>
      <c r="H1696" s="3"/>
      <c r="I1696" s="3"/>
      <c r="J1696" s="3"/>
      <c r="K1696" s="628">
        <f t="shared" si="78"/>
        <v>0</v>
      </c>
      <c r="L1696" s="630">
        <f t="shared" si="79"/>
        <v>0</v>
      </c>
    </row>
    <row r="1697" spans="3:12" x14ac:dyDescent="0.2">
      <c r="C1697" s="589"/>
      <c r="D1697" s="590" t="s">
        <v>216</v>
      </c>
      <c r="E1697" s="591">
        <f>(F1697+G1697+H1697+J1697)*112.7+(I1697*119.6)</f>
        <v>0</v>
      </c>
      <c r="F1697" s="3"/>
      <c r="G1697" s="3"/>
      <c r="H1697" s="3"/>
      <c r="I1697" s="3"/>
      <c r="J1697" s="3"/>
      <c r="K1697" s="628">
        <f t="shared" si="78"/>
        <v>0</v>
      </c>
      <c r="L1697" s="630">
        <f t="shared" si="79"/>
        <v>0</v>
      </c>
    </row>
    <row r="1698" spans="3:12" x14ac:dyDescent="0.2">
      <c r="C1698" s="589"/>
      <c r="D1698" s="590"/>
      <c r="E1698" s="591"/>
      <c r="F1698" s="3"/>
      <c r="G1698" s="3"/>
      <c r="H1698" s="3"/>
      <c r="I1698" s="3"/>
      <c r="J1698" s="3"/>
      <c r="K1698" s="628">
        <f t="shared" si="78"/>
        <v>0</v>
      </c>
      <c r="L1698" s="630">
        <f t="shared" si="79"/>
        <v>0</v>
      </c>
    </row>
    <row r="1699" spans="3:12" x14ac:dyDescent="0.2">
      <c r="C1699" s="589"/>
      <c r="D1699" s="590" t="s">
        <v>394</v>
      </c>
      <c r="E1699" s="591">
        <f>(F1699+G1699+H1699+I1699+J1699)*120</f>
        <v>0</v>
      </c>
      <c r="F1699" s="3"/>
      <c r="G1699" s="3"/>
      <c r="H1699" s="3"/>
      <c r="I1699" s="3"/>
      <c r="J1699" s="3"/>
      <c r="K1699" s="628">
        <f t="shared" si="78"/>
        <v>0</v>
      </c>
      <c r="L1699" s="630">
        <f t="shared" si="79"/>
        <v>0</v>
      </c>
    </row>
    <row r="1700" spans="3:12" x14ac:dyDescent="0.2">
      <c r="C1700" s="589"/>
      <c r="D1700" s="590" t="s">
        <v>110</v>
      </c>
      <c r="E1700" s="591">
        <f>(F1700+G1700+H1700+J1700)*112.7+(I1700*119.6)</f>
        <v>10957.2</v>
      </c>
      <c r="F1700" s="3">
        <v>60</v>
      </c>
      <c r="G1700" s="3">
        <v>16</v>
      </c>
      <c r="H1700" s="3"/>
      <c r="I1700" s="3">
        <v>20</v>
      </c>
      <c r="J1700" s="3"/>
      <c r="K1700" s="628">
        <f t="shared" si="78"/>
        <v>96</v>
      </c>
      <c r="L1700" s="630">
        <f t="shared" si="79"/>
        <v>24</v>
      </c>
    </row>
    <row r="1701" spans="3:12" x14ac:dyDescent="0.2">
      <c r="C1701" s="589"/>
      <c r="D1701" s="590"/>
      <c r="E1701" s="591"/>
      <c r="F1701" s="3"/>
      <c r="G1701" s="3"/>
      <c r="H1701" s="3"/>
      <c r="I1701" s="3"/>
      <c r="J1701" s="3"/>
      <c r="K1701" s="628">
        <f t="shared" si="78"/>
        <v>0</v>
      </c>
      <c r="L1701" s="630">
        <f t="shared" si="79"/>
        <v>0</v>
      </c>
    </row>
    <row r="1702" spans="3:12" x14ac:dyDescent="0.2">
      <c r="C1702" s="589"/>
      <c r="D1702" s="590" t="s">
        <v>381</v>
      </c>
      <c r="E1702" s="591">
        <f>(F1702+G1702+H1702+I1702+J1702)*120+(240*0)+(0*45)</f>
        <v>0</v>
      </c>
      <c r="F1702" s="3"/>
      <c r="G1702" s="3"/>
      <c r="H1702" s="3"/>
      <c r="I1702" s="3"/>
      <c r="J1702" s="3"/>
      <c r="K1702" s="628">
        <f t="shared" si="78"/>
        <v>0</v>
      </c>
      <c r="L1702" s="630">
        <f t="shared" si="79"/>
        <v>0</v>
      </c>
    </row>
    <row r="1703" spans="3:12" x14ac:dyDescent="0.2">
      <c r="C1703" s="589"/>
      <c r="D1703" s="590" t="s">
        <v>276</v>
      </c>
      <c r="E1703" s="591">
        <f>(F1703+G1703+H1703+J1703)*112.7+(I1703*119.6)</f>
        <v>0</v>
      </c>
      <c r="F1703" s="3"/>
      <c r="G1703" s="3"/>
      <c r="H1703" s="3"/>
      <c r="I1703" s="3"/>
      <c r="J1703" s="3"/>
      <c r="K1703" s="628">
        <f t="shared" si="78"/>
        <v>0</v>
      </c>
      <c r="L1703" s="630">
        <f t="shared" si="79"/>
        <v>0</v>
      </c>
    </row>
    <row r="1704" spans="3:12" x14ac:dyDescent="0.2">
      <c r="C1704" s="589"/>
      <c r="D1704" s="590"/>
      <c r="E1704" s="591"/>
      <c r="F1704" s="3"/>
      <c r="G1704" s="3"/>
      <c r="H1704" s="3"/>
      <c r="I1704" s="3"/>
      <c r="J1704" s="3"/>
      <c r="K1704" s="628">
        <f t="shared" si="78"/>
        <v>0</v>
      </c>
      <c r="L1704" s="630">
        <f t="shared" si="79"/>
        <v>0</v>
      </c>
    </row>
    <row r="1705" spans="3:12" x14ac:dyDescent="0.2">
      <c r="C1705" s="589"/>
      <c r="D1705" s="590" t="s">
        <v>75</v>
      </c>
      <c r="E1705" s="591">
        <f>(F1705+G1705+H1705+I1705+J1705)*120</f>
        <v>0</v>
      </c>
      <c r="F1705" s="3"/>
      <c r="G1705" s="3"/>
      <c r="H1705" s="3"/>
      <c r="I1705" s="3"/>
      <c r="J1705" s="3"/>
      <c r="K1705" s="628">
        <f t="shared" si="78"/>
        <v>0</v>
      </c>
      <c r="L1705" s="630">
        <f t="shared" si="79"/>
        <v>0</v>
      </c>
    </row>
    <row r="1706" spans="3:12" x14ac:dyDescent="0.2">
      <c r="C1706" s="589"/>
      <c r="D1706" s="590" t="s">
        <v>278</v>
      </c>
      <c r="E1706" s="591">
        <f>(F1706+G1706+H1706+I1706+J1706)*120</f>
        <v>0</v>
      </c>
      <c r="F1706" s="3"/>
      <c r="G1706" s="3"/>
      <c r="H1706" s="3"/>
      <c r="I1706" s="3"/>
      <c r="J1706" s="3"/>
      <c r="K1706" s="628">
        <f t="shared" si="78"/>
        <v>0</v>
      </c>
      <c r="L1706" s="630">
        <f t="shared" si="79"/>
        <v>0</v>
      </c>
    </row>
    <row r="1707" spans="3:12" x14ac:dyDescent="0.2">
      <c r="C1707" s="589"/>
      <c r="D1707" s="590" t="s">
        <v>270</v>
      </c>
      <c r="E1707" s="591">
        <f>(F1707+G1707+H1707+I1707)*112.7+(J1707*119.6)</f>
        <v>0</v>
      </c>
      <c r="F1707" s="3"/>
      <c r="G1707" s="3"/>
      <c r="H1707" s="3"/>
      <c r="I1707" s="3"/>
      <c r="J1707" s="3"/>
      <c r="K1707" s="628">
        <f t="shared" si="78"/>
        <v>0</v>
      </c>
      <c r="L1707" s="630">
        <f t="shared" si="79"/>
        <v>0</v>
      </c>
    </row>
    <row r="1708" spans="3:12" x14ac:dyDescent="0.2">
      <c r="C1708" s="589"/>
      <c r="D1708" s="590" t="s">
        <v>274</v>
      </c>
      <c r="E1708" s="591">
        <f>(F1708+G1708+H1708+I1708)*112.7+(J1708*119.6)</f>
        <v>0</v>
      </c>
      <c r="F1708" s="3"/>
      <c r="G1708" s="3"/>
      <c r="H1708" s="3"/>
      <c r="I1708" s="3"/>
      <c r="J1708" s="3"/>
      <c r="K1708" s="628">
        <f t="shared" si="78"/>
        <v>0</v>
      </c>
      <c r="L1708" s="630">
        <f t="shared" si="79"/>
        <v>0</v>
      </c>
    </row>
    <row r="1709" spans="3:12" x14ac:dyDescent="0.2">
      <c r="C1709" s="589"/>
      <c r="D1709" s="590" t="s">
        <v>395</v>
      </c>
      <c r="E1709" s="591">
        <f>(F1709+G1709+H1709+I1709)*112.7+(J1709*119.6)</f>
        <v>0</v>
      </c>
      <c r="F1709" s="3"/>
      <c r="G1709" s="3"/>
      <c r="H1709" s="3"/>
      <c r="I1709" s="3"/>
      <c r="J1709" s="3"/>
      <c r="K1709" s="628">
        <f t="shared" si="78"/>
        <v>0</v>
      </c>
      <c r="L1709" s="630">
        <f t="shared" si="79"/>
        <v>0</v>
      </c>
    </row>
    <row r="1710" spans="3:12" x14ac:dyDescent="0.2">
      <c r="C1710" s="683"/>
      <c r="D1710" s="590" t="s">
        <v>112</v>
      </c>
      <c r="E1710" s="591">
        <f>(F1710+G1710+H1710+I1710)*112.7+(J1710*119.6)</f>
        <v>0</v>
      </c>
      <c r="F1710" s="3"/>
      <c r="G1710" s="3"/>
      <c r="H1710" s="3"/>
      <c r="I1710" s="3"/>
      <c r="J1710" s="3"/>
      <c r="K1710" s="628">
        <f t="shared" si="78"/>
        <v>0</v>
      </c>
      <c r="L1710" s="630">
        <f t="shared" si="79"/>
        <v>0</v>
      </c>
    </row>
    <row r="1711" spans="3:12" x14ac:dyDescent="0.2">
      <c r="C1711" s="683"/>
      <c r="D1711" s="590" t="s">
        <v>72</v>
      </c>
      <c r="E1711" s="591">
        <f>(F1711+G1711+H1711+I1711)*112.7+(J1711*119.6)</f>
        <v>0</v>
      </c>
      <c r="F1711" s="3"/>
      <c r="G1711" s="3"/>
      <c r="H1711" s="3"/>
      <c r="I1711" s="3"/>
      <c r="J1711" s="3"/>
      <c r="K1711" s="628">
        <f t="shared" si="78"/>
        <v>0</v>
      </c>
      <c r="L1711" s="630">
        <f t="shared" si="79"/>
        <v>0</v>
      </c>
    </row>
    <row r="1712" spans="3:12" x14ac:dyDescent="0.2">
      <c r="C1712" s="683"/>
      <c r="D1712" s="590" t="s">
        <v>187</v>
      </c>
      <c r="E1712" s="591"/>
      <c r="F1712" s="3"/>
      <c r="G1712" s="3">
        <v>2</v>
      </c>
      <c r="H1712" s="3"/>
      <c r="I1712" s="3"/>
      <c r="J1712" s="3"/>
      <c r="K1712" s="628">
        <f>SUM(F1712:J1712)</f>
        <v>2</v>
      </c>
      <c r="L1712" s="3"/>
    </row>
    <row r="1713" spans="3:12" ht="16" x14ac:dyDescent="0.2">
      <c r="C1713" s="683"/>
      <c r="D1713" s="590"/>
      <c r="E1713" s="592"/>
      <c r="F1713" s="3"/>
      <c r="G1713" s="3"/>
      <c r="H1713" s="3"/>
      <c r="I1713" s="3"/>
      <c r="J1713" s="3"/>
      <c r="K1713" s="628">
        <f>SUM(F1713:J1713)</f>
        <v>0</v>
      </c>
      <c r="L1713" s="3"/>
    </row>
    <row r="1714" spans="3:12" ht="17" thickBot="1" x14ac:dyDescent="0.25">
      <c r="C1714" s="683"/>
      <c r="D1714" s="590"/>
      <c r="E1714" s="624"/>
      <c r="F1714" s="69"/>
      <c r="G1714" s="69"/>
      <c r="H1714" s="69"/>
      <c r="I1714" s="69"/>
      <c r="J1714" s="69"/>
      <c r="K1714" s="629"/>
      <c r="L1714" s="3"/>
    </row>
    <row r="1715" spans="3:12" ht="16" thickBot="1" x14ac:dyDescent="0.25">
      <c r="C1715" s="596"/>
      <c r="D1715" s="623" t="s">
        <v>19</v>
      </c>
      <c r="E1715" s="625">
        <f>SUM(E1689:E1712)</f>
        <v>12637.2</v>
      </c>
      <c r="F1715" s="614">
        <f>SUM(F1689:F1714)</f>
        <v>66</v>
      </c>
      <c r="G1715" s="614">
        <f>SUM(G1689:G1714)</f>
        <v>20</v>
      </c>
      <c r="H1715" s="614">
        <f>SUM(H1689:H1714)</f>
        <v>6</v>
      </c>
      <c r="I1715" s="614">
        <f>SUM(I1689:I1714)</f>
        <v>20</v>
      </c>
      <c r="J1715" s="614">
        <f>SUM(J1689:J1714)</f>
        <v>0</v>
      </c>
      <c r="K1715" s="626">
        <f>SUM(F1715:J1715)</f>
        <v>112</v>
      </c>
      <c r="L1715" s="631">
        <f>SUM(L1689:L1714)</f>
        <v>27.5</v>
      </c>
    </row>
    <row r="1716" spans="3:12" x14ac:dyDescent="0.2">
      <c r="C1716" s="596"/>
      <c r="D1716" s="593" t="s">
        <v>113</v>
      </c>
      <c r="E1716" s="620"/>
      <c r="F1716" s="610">
        <f>F1686-F1715</f>
        <v>4</v>
      </c>
      <c r="G1716" s="610">
        <f>G1686-G1715</f>
        <v>1</v>
      </c>
      <c r="H1716" s="610">
        <f>H1686-H1715</f>
        <v>1</v>
      </c>
      <c r="I1716" s="610">
        <f>I1686-I1715</f>
        <v>2</v>
      </c>
      <c r="J1716" s="610">
        <f>J1686-J1715</f>
        <v>0</v>
      </c>
      <c r="K1716" s="636">
        <f>SUM(F1716:J1716)</f>
        <v>8</v>
      </c>
      <c r="L1716" s="3"/>
    </row>
    <row r="1717" spans="3:12" x14ac:dyDescent="0.2">
      <c r="C1717" s="683"/>
      <c r="D1717" s="593" t="s">
        <v>436</v>
      </c>
      <c r="E1717" s="594"/>
      <c r="F1717" s="581"/>
      <c r="G1717" s="581"/>
      <c r="H1717" s="581"/>
      <c r="I1717" s="581"/>
      <c r="J1717" s="581"/>
      <c r="K1717" s="637">
        <f>K1715+K1716</f>
        <v>120</v>
      </c>
      <c r="L1717" s="3"/>
    </row>
    <row r="1719" spans="3:12" ht="18" x14ac:dyDescent="0.2">
      <c r="C1719" s="685" t="s">
        <v>412</v>
      </c>
      <c r="D1719" s="582">
        <v>45705</v>
      </c>
      <c r="E1719" s="800"/>
      <c r="F1719" s="685" t="s">
        <v>83</v>
      </c>
      <c r="G1719" s="801" t="s">
        <v>63</v>
      </c>
      <c r="H1719" s="802"/>
      <c r="I1719" s="802"/>
      <c r="J1719" s="802"/>
      <c r="K1719" s="803"/>
    </row>
    <row r="1720" spans="3:12" x14ac:dyDescent="0.2">
      <c r="C1720" s="804"/>
      <c r="D1720" s="805"/>
      <c r="E1720" s="800"/>
      <c r="F1720" s="683" t="s">
        <v>93</v>
      </c>
      <c r="G1720" s="683" t="s">
        <v>93</v>
      </c>
      <c r="H1720" s="683"/>
      <c r="I1720" s="806"/>
      <c r="J1720" s="806"/>
      <c r="K1720" s="806"/>
    </row>
    <row r="1721" spans="3:12" x14ac:dyDescent="0.2">
      <c r="C1721" s="804"/>
      <c r="D1721" s="805"/>
      <c r="E1721" s="800"/>
      <c r="F1721" s="683" t="s">
        <v>94</v>
      </c>
      <c r="G1721" s="683" t="s">
        <v>95</v>
      </c>
      <c r="H1721" s="683" t="s">
        <v>96</v>
      </c>
      <c r="I1721" s="806"/>
      <c r="J1721" s="806"/>
      <c r="K1721" s="806"/>
    </row>
    <row r="1722" spans="3:12" x14ac:dyDescent="0.2">
      <c r="C1722" s="804"/>
      <c r="D1722" s="805"/>
      <c r="E1722" s="800"/>
      <c r="F1722" s="683"/>
      <c r="G1722" s="683"/>
      <c r="H1722" s="683"/>
      <c r="I1722" s="806"/>
      <c r="J1722" s="806"/>
      <c r="K1722" s="806"/>
    </row>
    <row r="1723" spans="3:12" ht="16" x14ac:dyDescent="0.2">
      <c r="C1723" s="683"/>
      <c r="D1723" s="583" t="s">
        <v>97</v>
      </c>
      <c r="E1723" s="584"/>
      <c r="F1723" s="581"/>
      <c r="G1723" s="585"/>
      <c r="H1723" s="585"/>
      <c r="I1723" s="586"/>
      <c r="J1723" s="586"/>
      <c r="K1723" s="586"/>
    </row>
    <row r="1724" spans="3:12" ht="26" x14ac:dyDescent="0.2">
      <c r="C1724" s="804"/>
      <c r="D1724" s="587"/>
      <c r="E1724" s="588"/>
      <c r="F1724" s="585" t="s">
        <v>383</v>
      </c>
      <c r="G1724" s="585" t="s">
        <v>384</v>
      </c>
      <c r="H1724" s="585" t="s">
        <v>385</v>
      </c>
      <c r="I1724" s="585" t="s">
        <v>386</v>
      </c>
      <c r="J1724" s="585" t="s">
        <v>387</v>
      </c>
      <c r="K1724" s="585" t="s">
        <v>84</v>
      </c>
    </row>
    <row r="1725" spans="3:12" x14ac:dyDescent="0.2">
      <c r="C1725" s="804"/>
      <c r="D1725" s="684" t="s">
        <v>167</v>
      </c>
      <c r="E1725" s="588"/>
      <c r="F1725" s="580">
        <v>12</v>
      </c>
      <c r="G1725" s="579">
        <v>7</v>
      </c>
      <c r="H1725" s="580">
        <v>4</v>
      </c>
      <c r="I1725" s="580">
        <v>4</v>
      </c>
      <c r="J1725" s="580">
        <v>9</v>
      </c>
      <c r="K1725" s="580">
        <f>SUM(F1725:J1725)</f>
        <v>36</v>
      </c>
    </row>
    <row r="1726" spans="3:12" x14ac:dyDescent="0.2">
      <c r="C1726" s="804"/>
      <c r="D1726" s="684" t="s">
        <v>207</v>
      </c>
      <c r="E1726" s="588"/>
      <c r="F1726" s="618">
        <v>84</v>
      </c>
      <c r="G1726" s="619">
        <v>49</v>
      </c>
      <c r="H1726" s="618">
        <v>28</v>
      </c>
      <c r="I1726" s="618">
        <v>44</v>
      </c>
      <c r="J1726" s="618">
        <v>79</v>
      </c>
      <c r="K1726" s="618">
        <f>SUM(F1726:J1726)</f>
        <v>284</v>
      </c>
    </row>
    <row r="1727" spans="3:12" x14ac:dyDescent="0.2">
      <c r="C1727" s="683"/>
      <c r="D1727" s="684" t="s">
        <v>100</v>
      </c>
      <c r="E1727" s="588"/>
      <c r="F1727" s="581"/>
      <c r="G1727" s="581"/>
      <c r="H1727" s="581"/>
      <c r="I1727" s="581"/>
      <c r="J1727" s="581"/>
      <c r="K1727" s="581">
        <f>SUM(F1727:J1727)</f>
        <v>0</v>
      </c>
    </row>
    <row r="1728" spans="3:12" x14ac:dyDescent="0.2">
      <c r="C1728" s="683"/>
      <c r="D1728" s="684" t="s">
        <v>101</v>
      </c>
      <c r="E1728" s="588"/>
      <c r="F1728" s="581">
        <v>4</v>
      </c>
      <c r="G1728" s="581"/>
      <c r="H1728" s="581"/>
      <c r="I1728" s="581"/>
      <c r="J1728" s="581"/>
      <c r="K1728" s="581">
        <f>SUM(F1728:J1728)</f>
        <v>4</v>
      </c>
    </row>
    <row r="1729" spans="3:12" ht="16" thickBot="1" x14ac:dyDescent="0.25">
      <c r="C1729" s="683"/>
      <c r="D1729" s="597" t="s">
        <v>102</v>
      </c>
      <c r="E1729" s="598"/>
      <c r="F1729" s="599">
        <v>4</v>
      </c>
      <c r="G1729" s="600">
        <v>1</v>
      </c>
      <c r="H1729" s="600">
        <v>1</v>
      </c>
      <c r="I1729" s="600">
        <v>2</v>
      </c>
      <c r="J1729" s="600"/>
      <c r="K1729" s="600">
        <f>SUM(F1729:J1729)</f>
        <v>8</v>
      </c>
    </row>
    <row r="1730" spans="3:12" ht="17" thickBot="1" x14ac:dyDescent="0.25">
      <c r="C1730" s="605"/>
      <c r="D1730" s="612" t="s">
        <v>84</v>
      </c>
      <c r="E1730" s="613"/>
      <c r="F1730" s="614">
        <f>(F1726+F1729)-F1728-F1727</f>
        <v>84</v>
      </c>
      <c r="G1730" s="615">
        <f>(G1726+G1729)-G1728-G1727</f>
        <v>50</v>
      </c>
      <c r="H1730" s="616">
        <f>(H1726+H1729)-H1728</f>
        <v>29</v>
      </c>
      <c r="I1730" s="615">
        <f>(I1726+I1729)-I1728-I1727</f>
        <v>46</v>
      </c>
      <c r="J1730" s="622">
        <f>(J1726+J1729)-J1728-J1727</f>
        <v>79</v>
      </c>
      <c r="K1730" s="617">
        <f>(K1726+K1729)-K1728-K1727</f>
        <v>288</v>
      </c>
    </row>
    <row r="1731" spans="3:12" ht="16" x14ac:dyDescent="0.2">
      <c r="C1731" s="683"/>
      <c r="D1731" s="608"/>
      <c r="E1731" s="609"/>
      <c r="F1731" s="610"/>
      <c r="G1731" s="595"/>
      <c r="H1731" s="611"/>
      <c r="I1731" s="595"/>
      <c r="J1731" s="595"/>
      <c r="K1731" s="595"/>
    </row>
    <row r="1732" spans="3:12" ht="16" thickBot="1" x14ac:dyDescent="0.25">
      <c r="C1732" s="606" t="s">
        <v>388</v>
      </c>
      <c r="D1732" s="607" t="s">
        <v>103</v>
      </c>
      <c r="E1732" s="603" t="s">
        <v>84</v>
      </c>
      <c r="F1732" s="602"/>
      <c r="G1732" s="602"/>
      <c r="H1732" s="602"/>
      <c r="I1732" s="601"/>
      <c r="J1732" s="601"/>
      <c r="K1732" s="601" t="s">
        <v>84</v>
      </c>
      <c r="L1732" s="174" t="s">
        <v>389</v>
      </c>
    </row>
    <row r="1733" spans="3:12" x14ac:dyDescent="0.2">
      <c r="C1733" s="589" t="s">
        <v>718</v>
      </c>
      <c r="D1733" s="604" t="s">
        <v>105</v>
      </c>
      <c r="E1733" s="591">
        <f>(F1733+G1733+H1733+I1733+J1733)*100+(0*230)</f>
        <v>5700</v>
      </c>
      <c r="F1733" s="3">
        <v>16</v>
      </c>
      <c r="G1733" s="3">
        <v>15</v>
      </c>
      <c r="H1733" s="3">
        <v>6</v>
      </c>
      <c r="I1733" s="3">
        <v>5</v>
      </c>
      <c r="J1733" s="3">
        <v>15</v>
      </c>
      <c r="K1733" s="628">
        <f t="shared" ref="K1733:K1755" si="80">SUM(F1733:J1733)</f>
        <v>57</v>
      </c>
      <c r="L1733" s="630">
        <f>K1733/4</f>
        <v>14.25</v>
      </c>
    </row>
    <row r="1734" spans="3:12" x14ac:dyDescent="0.2">
      <c r="C1734" s="589"/>
      <c r="D1734" s="590" t="s">
        <v>390</v>
      </c>
      <c r="E1734" s="591">
        <f>(F1734+G1734+H1734+I1734+J1734)*120</f>
        <v>0</v>
      </c>
      <c r="F1734" s="3"/>
      <c r="G1734" s="3"/>
      <c r="H1734" s="3"/>
      <c r="I1734" s="3"/>
      <c r="J1734" s="3"/>
      <c r="K1734" s="628">
        <f t="shared" si="80"/>
        <v>0</v>
      </c>
      <c r="L1734" s="630">
        <f t="shared" ref="L1734:L1755" si="81">K1734/4</f>
        <v>0</v>
      </c>
    </row>
    <row r="1735" spans="3:12" x14ac:dyDescent="0.2">
      <c r="C1735" s="589"/>
      <c r="D1735" s="590" t="s">
        <v>391</v>
      </c>
      <c r="E1735" s="591">
        <f>(F1735+G1735+H1735+I1735+J1735)*120</f>
        <v>0</v>
      </c>
      <c r="F1735" s="3"/>
      <c r="G1735" s="3"/>
      <c r="H1735" s="3"/>
      <c r="I1735" s="3"/>
      <c r="J1735" s="3"/>
      <c r="K1735" s="628">
        <f t="shared" si="80"/>
        <v>0</v>
      </c>
      <c r="L1735" s="630">
        <f t="shared" si="81"/>
        <v>0</v>
      </c>
    </row>
    <row r="1736" spans="3:12" x14ac:dyDescent="0.2">
      <c r="C1736" s="589" t="s">
        <v>719</v>
      </c>
      <c r="D1736" s="590" t="s">
        <v>392</v>
      </c>
      <c r="E1736" s="591">
        <f>(F1736+G1736+H1736+I1736+J1736)*120</f>
        <v>2400</v>
      </c>
      <c r="F1736" s="3">
        <v>6</v>
      </c>
      <c r="G1736" s="3">
        <v>2</v>
      </c>
      <c r="H1736" s="3">
        <v>6</v>
      </c>
      <c r="I1736" s="3"/>
      <c r="J1736" s="3">
        <v>6</v>
      </c>
      <c r="K1736" s="628">
        <f t="shared" si="80"/>
        <v>20</v>
      </c>
      <c r="L1736" s="630">
        <f t="shared" si="81"/>
        <v>5</v>
      </c>
    </row>
    <row r="1737" spans="3:12" x14ac:dyDescent="0.2">
      <c r="C1737" s="589"/>
      <c r="D1737" s="590" t="s">
        <v>425</v>
      </c>
      <c r="E1737" s="591">
        <f>(F1737+G1737+H1737+I1737+J1737)*120</f>
        <v>0</v>
      </c>
      <c r="F1737" s="3"/>
      <c r="G1737" s="3"/>
      <c r="H1737" s="3"/>
      <c r="I1737" s="3"/>
      <c r="J1737" s="3"/>
      <c r="K1737" s="628">
        <f t="shared" si="80"/>
        <v>0</v>
      </c>
      <c r="L1737" s="630">
        <f t="shared" si="81"/>
        <v>0</v>
      </c>
    </row>
    <row r="1738" spans="3:12" x14ac:dyDescent="0.2">
      <c r="C1738" s="589"/>
      <c r="D1738" s="590"/>
      <c r="E1738" s="591"/>
      <c r="F1738" s="3"/>
      <c r="G1738" s="3"/>
      <c r="H1738" s="3"/>
      <c r="I1738" s="3"/>
      <c r="J1738" s="3"/>
      <c r="K1738" s="628">
        <f t="shared" si="80"/>
        <v>0</v>
      </c>
      <c r="L1738" s="630">
        <f t="shared" si="81"/>
        <v>0</v>
      </c>
    </row>
    <row r="1739" spans="3:12" x14ac:dyDescent="0.2">
      <c r="C1739" s="589" t="s">
        <v>722</v>
      </c>
      <c r="D1739" s="590" t="s">
        <v>108</v>
      </c>
      <c r="E1739" s="591">
        <f>(F1739+G1739+H1739+J1739)*112.7+(I1739*119.6)</f>
        <v>3661.6000000000004</v>
      </c>
      <c r="F1739" s="3">
        <v>8</v>
      </c>
      <c r="G1739" s="3">
        <v>4</v>
      </c>
      <c r="H1739" s="3">
        <v>4</v>
      </c>
      <c r="I1739" s="3">
        <v>8</v>
      </c>
      <c r="J1739" s="3">
        <v>8</v>
      </c>
      <c r="K1739" s="628">
        <f t="shared" si="80"/>
        <v>32</v>
      </c>
      <c r="L1739" s="630">
        <f t="shared" si="81"/>
        <v>8</v>
      </c>
    </row>
    <row r="1740" spans="3:12" x14ac:dyDescent="0.2">
      <c r="C1740" s="589" t="s">
        <v>721</v>
      </c>
      <c r="D1740" s="590" t="s">
        <v>393</v>
      </c>
      <c r="E1740" s="591">
        <f>(F1740+G1740+H1740+J1740)*112.7+(I1740*119.6)</f>
        <v>2732.4</v>
      </c>
      <c r="F1740" s="3">
        <v>6</v>
      </c>
      <c r="G1740" s="3">
        <v>4</v>
      </c>
      <c r="H1740" s="3">
        <v>4</v>
      </c>
      <c r="I1740" s="3">
        <v>4</v>
      </c>
      <c r="J1740" s="3">
        <v>6</v>
      </c>
      <c r="K1740" s="628">
        <f t="shared" si="80"/>
        <v>24</v>
      </c>
      <c r="L1740" s="630">
        <f t="shared" si="81"/>
        <v>6</v>
      </c>
    </row>
    <row r="1741" spans="3:12" x14ac:dyDescent="0.2">
      <c r="C1741" s="589" t="s">
        <v>720</v>
      </c>
      <c r="D1741" s="590" t="s">
        <v>216</v>
      </c>
      <c r="E1741" s="591">
        <f>(F1741+G1741+H1741+J1741)*112.7+(I1741*119.6)</f>
        <v>3661.6000000000004</v>
      </c>
      <c r="F1741" s="3">
        <v>8</v>
      </c>
      <c r="G1741" s="3">
        <v>4</v>
      </c>
      <c r="H1741" s="3">
        <v>4</v>
      </c>
      <c r="I1741" s="3">
        <v>8</v>
      </c>
      <c r="J1741" s="3">
        <v>8</v>
      </c>
      <c r="K1741" s="628">
        <f t="shared" si="80"/>
        <v>32</v>
      </c>
      <c r="L1741" s="630">
        <f t="shared" si="81"/>
        <v>8</v>
      </c>
    </row>
    <row r="1742" spans="3:12" x14ac:dyDescent="0.2">
      <c r="C1742" s="589"/>
      <c r="D1742" s="590"/>
      <c r="E1742" s="591"/>
      <c r="F1742" s="3"/>
      <c r="G1742" s="3"/>
      <c r="H1742" s="3"/>
      <c r="I1742" s="3"/>
      <c r="J1742" s="3"/>
      <c r="K1742" s="628">
        <f t="shared" si="80"/>
        <v>0</v>
      </c>
      <c r="L1742" s="630">
        <f t="shared" si="81"/>
        <v>0</v>
      </c>
    </row>
    <row r="1743" spans="3:12" x14ac:dyDescent="0.2">
      <c r="C1743" s="589" t="s">
        <v>719</v>
      </c>
      <c r="D1743" s="590" t="s">
        <v>394</v>
      </c>
      <c r="E1743" s="591">
        <f>(F1743+G1743+H1743+I1743+J1743)*120</f>
        <v>4200</v>
      </c>
      <c r="F1743" s="3">
        <v>10</v>
      </c>
      <c r="G1743" s="3">
        <v>5</v>
      </c>
      <c r="H1743" s="3">
        <v>5</v>
      </c>
      <c r="I1743" s="3">
        <v>5</v>
      </c>
      <c r="J1743" s="3">
        <v>10</v>
      </c>
      <c r="K1743" s="628">
        <f t="shared" si="80"/>
        <v>35</v>
      </c>
      <c r="L1743" s="630">
        <f t="shared" si="81"/>
        <v>8.75</v>
      </c>
    </row>
    <row r="1744" spans="3:12" x14ac:dyDescent="0.2">
      <c r="C1744" s="589" t="s">
        <v>723</v>
      </c>
      <c r="D1744" s="590" t="s">
        <v>110</v>
      </c>
      <c r="E1744" s="591">
        <f>(F1744+G1744+H1744+J1744)*112.7+(I1744*119.6)</f>
        <v>9126.4</v>
      </c>
      <c r="F1744" s="3">
        <v>30</v>
      </c>
      <c r="G1744" s="3">
        <v>16</v>
      </c>
      <c r="H1744" s="3"/>
      <c r="I1744" s="3">
        <v>16</v>
      </c>
      <c r="J1744" s="3">
        <v>18</v>
      </c>
      <c r="K1744" s="628">
        <f t="shared" si="80"/>
        <v>80</v>
      </c>
      <c r="L1744" s="630">
        <f t="shared" si="81"/>
        <v>20</v>
      </c>
    </row>
    <row r="1745" spans="3:12" x14ac:dyDescent="0.2">
      <c r="C1745" s="589"/>
      <c r="D1745" s="590"/>
      <c r="E1745" s="591"/>
      <c r="F1745" s="3"/>
      <c r="G1745" s="3"/>
      <c r="H1745" s="3"/>
      <c r="I1745" s="3"/>
      <c r="J1745" s="3"/>
      <c r="K1745" s="628">
        <f t="shared" si="80"/>
        <v>0</v>
      </c>
      <c r="L1745" s="630">
        <f t="shared" si="81"/>
        <v>0</v>
      </c>
    </row>
    <row r="1746" spans="3:12" x14ac:dyDescent="0.2">
      <c r="C1746" s="589"/>
      <c r="D1746" s="590" t="s">
        <v>381</v>
      </c>
      <c r="E1746" s="591">
        <f>(F1746+G1746+H1746+I1746+J1746)*120+(240*0)+(0*45)</f>
        <v>0</v>
      </c>
      <c r="F1746" s="3"/>
      <c r="G1746" s="3"/>
      <c r="H1746" s="3"/>
      <c r="I1746" s="3"/>
      <c r="J1746" s="3"/>
      <c r="K1746" s="628">
        <f t="shared" si="80"/>
        <v>0</v>
      </c>
      <c r="L1746" s="630">
        <f t="shared" si="81"/>
        <v>0</v>
      </c>
    </row>
    <row r="1747" spans="3:12" x14ac:dyDescent="0.2">
      <c r="C1747" s="589"/>
      <c r="D1747" s="590" t="s">
        <v>276</v>
      </c>
      <c r="E1747" s="591">
        <f>(F1747+G1747+H1747+J1747)*112.7+(I1747*119.6)</f>
        <v>0</v>
      </c>
      <c r="F1747" s="3"/>
      <c r="G1747" s="3"/>
      <c r="H1747" s="3"/>
      <c r="I1747" s="3"/>
      <c r="J1747" s="3"/>
      <c r="K1747" s="628">
        <f t="shared" si="80"/>
        <v>0</v>
      </c>
      <c r="L1747" s="630">
        <f t="shared" si="81"/>
        <v>0</v>
      </c>
    </row>
    <row r="1748" spans="3:12" x14ac:dyDescent="0.2">
      <c r="C1748" s="589"/>
      <c r="D1748" s="590"/>
      <c r="E1748" s="591"/>
      <c r="F1748" s="3"/>
      <c r="G1748" s="3"/>
      <c r="H1748" s="3"/>
      <c r="I1748" s="3"/>
      <c r="J1748" s="3"/>
      <c r="K1748" s="628">
        <f t="shared" si="80"/>
        <v>0</v>
      </c>
      <c r="L1748" s="630">
        <f t="shared" si="81"/>
        <v>0</v>
      </c>
    </row>
    <row r="1749" spans="3:12" x14ac:dyDescent="0.2">
      <c r="C1749" s="589"/>
      <c r="D1749" s="590" t="s">
        <v>75</v>
      </c>
      <c r="E1749" s="591">
        <f>(F1749+G1749+H1749+I1749+J1749)*120</f>
        <v>0</v>
      </c>
      <c r="F1749" s="3"/>
      <c r="G1749" s="3"/>
      <c r="H1749" s="3"/>
      <c r="I1749" s="3"/>
      <c r="J1749" s="3"/>
      <c r="K1749" s="628">
        <f t="shared" si="80"/>
        <v>0</v>
      </c>
      <c r="L1749" s="630">
        <f t="shared" si="81"/>
        <v>0</v>
      </c>
    </row>
    <row r="1750" spans="3:12" x14ac:dyDescent="0.2">
      <c r="C1750" s="589"/>
      <c r="D1750" s="590" t="s">
        <v>278</v>
      </c>
      <c r="E1750" s="591">
        <f>(F1750+G1750+H1750+I1750+J1750)*120</f>
        <v>0</v>
      </c>
      <c r="F1750" s="3"/>
      <c r="G1750" s="3"/>
      <c r="H1750" s="3"/>
      <c r="I1750" s="3"/>
      <c r="J1750" s="3"/>
      <c r="K1750" s="628">
        <f t="shared" si="80"/>
        <v>0</v>
      </c>
      <c r="L1750" s="630">
        <f t="shared" si="81"/>
        <v>0</v>
      </c>
    </row>
    <row r="1751" spans="3:12" x14ac:dyDescent="0.2">
      <c r="C1751" s="589"/>
      <c r="D1751" s="590" t="s">
        <v>270</v>
      </c>
      <c r="E1751" s="591">
        <f>(F1751+G1751+H1751+I1751)*112.7+(J1751*119.6)</f>
        <v>0</v>
      </c>
      <c r="F1751" s="3"/>
      <c r="G1751" s="3"/>
      <c r="H1751" s="3"/>
      <c r="I1751" s="3"/>
      <c r="J1751" s="3"/>
      <c r="K1751" s="628">
        <f t="shared" si="80"/>
        <v>0</v>
      </c>
      <c r="L1751" s="630">
        <f t="shared" si="81"/>
        <v>0</v>
      </c>
    </row>
    <row r="1752" spans="3:12" x14ac:dyDescent="0.2">
      <c r="C1752" s="589"/>
      <c r="D1752" s="590" t="s">
        <v>274</v>
      </c>
      <c r="E1752" s="591">
        <f>(F1752+G1752+H1752+I1752)*112.7+(J1752*119.6)</f>
        <v>0</v>
      </c>
      <c r="F1752" s="3"/>
      <c r="G1752" s="3"/>
      <c r="H1752" s="3"/>
      <c r="I1752" s="3"/>
      <c r="J1752" s="3"/>
      <c r="K1752" s="628">
        <f t="shared" si="80"/>
        <v>0</v>
      </c>
      <c r="L1752" s="630">
        <f t="shared" si="81"/>
        <v>0</v>
      </c>
    </row>
    <row r="1753" spans="3:12" x14ac:dyDescent="0.2">
      <c r="C1753" s="589"/>
      <c r="D1753" s="590" t="s">
        <v>395</v>
      </c>
      <c r="E1753" s="591">
        <f>(F1753+G1753+H1753+I1753)*112.7+(J1753*119.6)</f>
        <v>0</v>
      </c>
      <c r="F1753" s="3"/>
      <c r="G1753" s="3"/>
      <c r="H1753" s="3"/>
      <c r="I1753" s="3"/>
      <c r="J1753" s="3"/>
      <c r="K1753" s="628">
        <f t="shared" si="80"/>
        <v>0</v>
      </c>
      <c r="L1753" s="630">
        <f t="shared" si="81"/>
        <v>0</v>
      </c>
    </row>
    <row r="1754" spans="3:12" x14ac:dyDescent="0.2">
      <c r="C1754" s="683"/>
      <c r="D1754" s="590" t="s">
        <v>112</v>
      </c>
      <c r="E1754" s="591">
        <f>(F1754+G1754+H1754+I1754)*112.7+(J1754*119.6)</f>
        <v>0</v>
      </c>
      <c r="F1754" s="3"/>
      <c r="G1754" s="3"/>
      <c r="H1754" s="3"/>
      <c r="I1754" s="3"/>
      <c r="J1754" s="3"/>
      <c r="K1754" s="628">
        <f t="shared" si="80"/>
        <v>0</v>
      </c>
      <c r="L1754" s="630">
        <f t="shared" si="81"/>
        <v>0</v>
      </c>
    </row>
    <row r="1755" spans="3:12" x14ac:dyDescent="0.2">
      <c r="C1755" s="683"/>
      <c r="D1755" s="590" t="s">
        <v>72</v>
      </c>
      <c r="E1755" s="591">
        <f>(F1755+G1755+H1755+I1755)*112.7+(J1755*119.6)</f>
        <v>0</v>
      </c>
      <c r="F1755" s="3"/>
      <c r="G1755" s="3"/>
      <c r="H1755" s="3"/>
      <c r="I1755" s="3"/>
      <c r="J1755" s="3"/>
      <c r="K1755" s="628">
        <f t="shared" si="80"/>
        <v>0</v>
      </c>
      <c r="L1755" s="630">
        <f t="shared" si="81"/>
        <v>0</v>
      </c>
    </row>
    <row r="1756" spans="3:12" x14ac:dyDescent="0.2">
      <c r="C1756" s="683"/>
      <c r="D1756" s="590" t="s">
        <v>187</v>
      </c>
      <c r="E1756" s="591"/>
      <c r="F1756" s="3"/>
      <c r="G1756" s="3"/>
      <c r="H1756" s="3"/>
      <c r="I1756" s="3"/>
      <c r="J1756" s="3">
        <v>8</v>
      </c>
      <c r="K1756" s="628">
        <f>SUM(F1756:J1756)</f>
        <v>8</v>
      </c>
      <c r="L1756" s="3"/>
    </row>
    <row r="1757" spans="3:12" ht="16" x14ac:dyDescent="0.2">
      <c r="C1757" s="683"/>
      <c r="D1757" s="590"/>
      <c r="E1757" s="592"/>
      <c r="F1757" s="3"/>
      <c r="G1757" s="3"/>
      <c r="H1757" s="3"/>
      <c r="I1757" s="3"/>
      <c r="J1757" s="3"/>
      <c r="K1757" s="628">
        <f>SUM(F1757:J1757)</f>
        <v>0</v>
      </c>
      <c r="L1757" s="3"/>
    </row>
    <row r="1758" spans="3:12" ht="17" thickBot="1" x14ac:dyDescent="0.25">
      <c r="C1758" s="683"/>
      <c r="D1758" s="590"/>
      <c r="E1758" s="624"/>
      <c r="F1758" s="69"/>
      <c r="G1758" s="69"/>
      <c r="H1758" s="69"/>
      <c r="I1758" s="69"/>
      <c r="J1758" s="69"/>
      <c r="K1758" s="629"/>
      <c r="L1758" s="3"/>
    </row>
    <row r="1759" spans="3:12" ht="16" thickBot="1" x14ac:dyDescent="0.25">
      <c r="C1759" s="596"/>
      <c r="D1759" s="623" t="s">
        <v>19</v>
      </c>
      <c r="E1759" s="625">
        <f>SUM(E1733:E1756)</f>
        <v>31482</v>
      </c>
      <c r="F1759" s="614">
        <f>SUM(F1733:F1758)</f>
        <v>84</v>
      </c>
      <c r="G1759" s="614">
        <f>SUM(G1733:G1758)</f>
        <v>50</v>
      </c>
      <c r="H1759" s="614">
        <f>SUM(H1733:H1758)</f>
        <v>29</v>
      </c>
      <c r="I1759" s="614">
        <f>SUM(I1733:I1758)</f>
        <v>46</v>
      </c>
      <c r="J1759" s="614">
        <f>SUM(J1733:J1758)</f>
        <v>79</v>
      </c>
      <c r="K1759" s="626">
        <f>SUM(F1759:J1759)</f>
        <v>288</v>
      </c>
      <c r="L1759" s="631">
        <f>SUM(L1733:L1758)</f>
        <v>70</v>
      </c>
    </row>
    <row r="1760" spans="3:12" x14ac:dyDescent="0.2">
      <c r="C1760" s="596"/>
      <c r="D1760" s="593" t="s">
        <v>113</v>
      </c>
      <c r="E1760" s="620"/>
      <c r="F1760" s="610">
        <f>F1730-F1759</f>
        <v>0</v>
      </c>
      <c r="G1760" s="610">
        <f>G1730-G1759</f>
        <v>0</v>
      </c>
      <c r="H1760" s="610">
        <f>H1730-H1759</f>
        <v>0</v>
      </c>
      <c r="I1760" s="610">
        <f>I1730-I1759</f>
        <v>0</v>
      </c>
      <c r="J1760" s="610">
        <f>J1730-J1759</f>
        <v>0</v>
      </c>
      <c r="K1760" s="636">
        <f>SUM(F1760:J1760)</f>
        <v>0</v>
      </c>
      <c r="L1760" s="3"/>
    </row>
    <row r="1761" spans="3:12" x14ac:dyDescent="0.2">
      <c r="C1761" s="683"/>
      <c r="D1761" s="593" t="s">
        <v>436</v>
      </c>
      <c r="E1761" s="594"/>
      <c r="F1761" s="581"/>
      <c r="G1761" s="581"/>
      <c r="H1761" s="581"/>
      <c r="I1761" s="581"/>
      <c r="J1761" s="581"/>
      <c r="K1761" s="637">
        <f>K1759+K1760</f>
        <v>288</v>
      </c>
      <c r="L1761" s="3"/>
    </row>
    <row r="1763" spans="3:12" ht="18" x14ac:dyDescent="0.2">
      <c r="C1763" s="685" t="s">
        <v>412</v>
      </c>
      <c r="D1763" s="582">
        <v>45707</v>
      </c>
      <c r="E1763" s="800"/>
      <c r="F1763" s="685" t="s">
        <v>83</v>
      </c>
      <c r="G1763" s="801" t="s">
        <v>65</v>
      </c>
      <c r="H1763" s="802"/>
      <c r="I1763" s="802"/>
      <c r="J1763" s="802"/>
      <c r="K1763" s="803"/>
    </row>
    <row r="1764" spans="3:12" x14ac:dyDescent="0.2">
      <c r="C1764" s="804"/>
      <c r="D1764" s="805"/>
      <c r="E1764" s="800"/>
      <c r="F1764" s="683" t="s">
        <v>93</v>
      </c>
      <c r="G1764" s="683" t="s">
        <v>93</v>
      </c>
      <c r="H1764" s="683"/>
      <c r="I1764" s="806"/>
      <c r="J1764" s="806"/>
      <c r="K1764" s="806"/>
    </row>
    <row r="1765" spans="3:12" x14ac:dyDescent="0.2">
      <c r="C1765" s="804"/>
      <c r="D1765" s="805"/>
      <c r="E1765" s="800"/>
      <c r="F1765" s="683" t="s">
        <v>94</v>
      </c>
      <c r="G1765" s="683" t="s">
        <v>95</v>
      </c>
      <c r="H1765" s="683" t="s">
        <v>96</v>
      </c>
      <c r="I1765" s="806"/>
      <c r="J1765" s="806"/>
      <c r="K1765" s="806"/>
    </row>
    <row r="1766" spans="3:12" x14ac:dyDescent="0.2">
      <c r="C1766" s="804"/>
      <c r="D1766" s="805"/>
      <c r="E1766" s="800"/>
      <c r="F1766" s="683"/>
      <c r="G1766" s="683"/>
      <c r="H1766" s="683"/>
      <c r="I1766" s="806"/>
      <c r="J1766" s="806"/>
      <c r="K1766" s="806"/>
    </row>
    <row r="1767" spans="3:12" ht="16" x14ac:dyDescent="0.2">
      <c r="C1767" s="683"/>
      <c r="D1767" s="583" t="s">
        <v>97</v>
      </c>
      <c r="E1767" s="584"/>
      <c r="F1767" s="581"/>
      <c r="G1767" s="585"/>
      <c r="H1767" s="585"/>
      <c r="I1767" s="586"/>
      <c r="J1767" s="586"/>
      <c r="K1767" s="586"/>
    </row>
    <row r="1768" spans="3:12" ht="26" x14ac:dyDescent="0.2">
      <c r="C1768" s="804"/>
      <c r="D1768" s="587"/>
      <c r="E1768" s="588"/>
      <c r="F1768" s="585" t="s">
        <v>383</v>
      </c>
      <c r="G1768" s="585" t="s">
        <v>384</v>
      </c>
      <c r="H1768" s="585" t="s">
        <v>385</v>
      </c>
      <c r="I1768" s="585" t="s">
        <v>386</v>
      </c>
      <c r="J1768" s="585" t="s">
        <v>387</v>
      </c>
      <c r="K1768" s="585" t="s">
        <v>84</v>
      </c>
    </row>
    <row r="1769" spans="3:12" x14ac:dyDescent="0.2">
      <c r="C1769" s="804"/>
      <c r="D1769" s="684" t="s">
        <v>167</v>
      </c>
      <c r="E1769" s="588"/>
      <c r="F1769" s="580">
        <v>16</v>
      </c>
      <c r="G1769" s="579">
        <v>9</v>
      </c>
      <c r="H1769" s="580"/>
      <c r="I1769" s="580">
        <v>6</v>
      </c>
      <c r="J1769" s="580">
        <v>11</v>
      </c>
      <c r="K1769" s="580">
        <f>SUM(F1769:J1769)</f>
        <v>42</v>
      </c>
    </row>
    <row r="1770" spans="3:12" x14ac:dyDescent="0.2">
      <c r="C1770" s="804"/>
      <c r="D1770" s="684" t="s">
        <v>207</v>
      </c>
      <c r="E1770" s="588"/>
      <c r="F1770" s="618">
        <v>112</v>
      </c>
      <c r="G1770" s="619">
        <v>61</v>
      </c>
      <c r="H1770" s="618"/>
      <c r="I1770" s="618">
        <v>66</v>
      </c>
      <c r="J1770" s="618">
        <v>96</v>
      </c>
      <c r="K1770" s="618">
        <f>SUM(F1770:J1770)</f>
        <v>335</v>
      </c>
    </row>
    <row r="1771" spans="3:12" x14ac:dyDescent="0.2">
      <c r="C1771" s="683"/>
      <c r="D1771" s="684" t="s">
        <v>100</v>
      </c>
      <c r="E1771" s="588"/>
      <c r="F1771" s="581"/>
      <c r="G1771" s="581"/>
      <c r="H1771" s="581"/>
      <c r="I1771" s="581"/>
      <c r="J1771" s="581"/>
      <c r="K1771" s="581">
        <f>SUM(F1771:J1771)</f>
        <v>0</v>
      </c>
    </row>
    <row r="1772" spans="3:12" x14ac:dyDescent="0.2">
      <c r="C1772" s="683"/>
      <c r="D1772" s="684" t="s">
        <v>101</v>
      </c>
      <c r="E1772" s="588"/>
      <c r="F1772" s="581">
        <v>3</v>
      </c>
      <c r="G1772" s="581">
        <v>3</v>
      </c>
      <c r="H1772" s="581"/>
      <c r="I1772" s="581">
        <v>1</v>
      </c>
      <c r="J1772" s="581"/>
      <c r="K1772" s="581">
        <f>SUM(F1772:J1772)</f>
        <v>7</v>
      </c>
    </row>
    <row r="1773" spans="3:12" ht="16" thickBot="1" x14ac:dyDescent="0.25">
      <c r="C1773" s="683"/>
      <c r="D1773" s="597" t="s">
        <v>102</v>
      </c>
      <c r="E1773" s="598"/>
      <c r="F1773" s="599"/>
      <c r="G1773" s="600"/>
      <c r="H1773" s="600">
        <v>4</v>
      </c>
      <c r="I1773" s="600"/>
      <c r="J1773" s="600"/>
      <c r="K1773" s="600">
        <f>SUM(F1773:J1773)</f>
        <v>4</v>
      </c>
    </row>
    <row r="1774" spans="3:12" ht="17" thickBot="1" x14ac:dyDescent="0.25">
      <c r="C1774" s="605"/>
      <c r="D1774" s="612" t="s">
        <v>84</v>
      </c>
      <c r="E1774" s="613"/>
      <c r="F1774" s="614">
        <f>(F1770+F1773)-F1772-F1771</f>
        <v>109</v>
      </c>
      <c r="G1774" s="615">
        <f>(G1770+G1773)-G1772-G1771</f>
        <v>58</v>
      </c>
      <c r="H1774" s="616">
        <f>(H1770+H1773)-H1772</f>
        <v>4</v>
      </c>
      <c r="I1774" s="615">
        <f>(I1770+I1773)-I1772-I1771</f>
        <v>65</v>
      </c>
      <c r="J1774" s="622">
        <f>(J1770+J1773)-J1772-J1771</f>
        <v>96</v>
      </c>
      <c r="K1774" s="617">
        <f>(K1770+K1773)-K1772-K1771</f>
        <v>332</v>
      </c>
    </row>
    <row r="1775" spans="3:12" ht="16" x14ac:dyDescent="0.2">
      <c r="C1775" s="683"/>
      <c r="D1775" s="608"/>
      <c r="E1775" s="609"/>
      <c r="F1775" s="610"/>
      <c r="G1775" s="595"/>
      <c r="H1775" s="611"/>
      <c r="I1775" s="595"/>
      <c r="J1775" s="595"/>
      <c r="K1775" s="595"/>
    </row>
    <row r="1776" spans="3:12" ht="16" thickBot="1" x14ac:dyDescent="0.25">
      <c r="C1776" s="606" t="s">
        <v>388</v>
      </c>
      <c r="D1776" s="607" t="s">
        <v>103</v>
      </c>
      <c r="E1776" s="603" t="s">
        <v>84</v>
      </c>
      <c r="F1776" s="602"/>
      <c r="G1776" s="602"/>
      <c r="H1776" s="602"/>
      <c r="I1776" s="601"/>
      <c r="J1776" s="601"/>
      <c r="K1776" s="601" t="s">
        <v>84</v>
      </c>
      <c r="L1776" s="174" t="s">
        <v>389</v>
      </c>
    </row>
    <row r="1777" spans="3:12" x14ac:dyDescent="0.2">
      <c r="C1777" s="589" t="s">
        <v>733</v>
      </c>
      <c r="D1777" s="604" t="s">
        <v>105</v>
      </c>
      <c r="E1777" s="591">
        <f>(F1777+G1777+H1777+I1777+J1777)*100+(0*230)</f>
        <v>3800</v>
      </c>
      <c r="F1777" s="3">
        <v>12</v>
      </c>
      <c r="G1777" s="3">
        <v>8</v>
      </c>
      <c r="H1777" s="3">
        <v>2</v>
      </c>
      <c r="I1777" s="3">
        <v>4</v>
      </c>
      <c r="J1777" s="3">
        <v>12</v>
      </c>
      <c r="K1777" s="628">
        <f t="shared" ref="K1777:K1799" si="82">SUM(F1777:J1777)</f>
        <v>38</v>
      </c>
      <c r="L1777" s="630">
        <f>K1777/4</f>
        <v>9.5</v>
      </c>
    </row>
    <row r="1778" spans="3:12" x14ac:dyDescent="0.2">
      <c r="C1778" s="589" t="s">
        <v>732</v>
      </c>
      <c r="D1778" s="590" t="s">
        <v>390</v>
      </c>
      <c r="E1778" s="591">
        <f>(F1778+G1778+H1778+I1778+J1778)*120</f>
        <v>1200</v>
      </c>
      <c r="F1778" s="3">
        <v>2</v>
      </c>
      <c r="G1778" s="3">
        <v>2</v>
      </c>
      <c r="H1778" s="3">
        <v>2</v>
      </c>
      <c r="I1778" s="3">
        <v>2</v>
      </c>
      <c r="J1778" s="3">
        <v>2</v>
      </c>
      <c r="K1778" s="628">
        <f t="shared" si="82"/>
        <v>10</v>
      </c>
      <c r="L1778" s="630">
        <f t="shared" ref="L1778:L1799" si="83">K1778/4</f>
        <v>2.5</v>
      </c>
    </row>
    <row r="1779" spans="3:12" x14ac:dyDescent="0.2">
      <c r="C1779" s="589" t="s">
        <v>734</v>
      </c>
      <c r="D1779" s="590" t="s">
        <v>391</v>
      </c>
      <c r="E1779" s="591">
        <f>(F1779+G1779+H1779+I1779+J1779)*120</f>
        <v>4800</v>
      </c>
      <c r="F1779" s="3">
        <v>10</v>
      </c>
      <c r="G1779" s="3">
        <v>10</v>
      </c>
      <c r="H1779" s="3"/>
      <c r="I1779" s="3">
        <v>10</v>
      </c>
      <c r="J1779" s="3">
        <v>10</v>
      </c>
      <c r="K1779" s="628">
        <f t="shared" si="82"/>
        <v>40</v>
      </c>
      <c r="L1779" s="630">
        <f t="shared" si="83"/>
        <v>10</v>
      </c>
    </row>
    <row r="1780" spans="3:12" x14ac:dyDescent="0.2">
      <c r="C1780" s="589"/>
      <c r="D1780" s="590" t="s">
        <v>392</v>
      </c>
      <c r="E1780" s="591">
        <f>(F1780+G1780+H1780+I1780+J1780)*120</f>
        <v>0</v>
      </c>
      <c r="F1780" s="3"/>
      <c r="G1780" s="3"/>
      <c r="H1780" s="3"/>
      <c r="I1780" s="3"/>
      <c r="J1780" s="3"/>
      <c r="K1780" s="628">
        <f t="shared" si="82"/>
        <v>0</v>
      </c>
      <c r="L1780" s="630">
        <f t="shared" si="83"/>
        <v>0</v>
      </c>
    </row>
    <row r="1781" spans="3:12" x14ac:dyDescent="0.2">
      <c r="C1781" s="589"/>
      <c r="D1781" s="590" t="s">
        <v>425</v>
      </c>
      <c r="E1781" s="591">
        <f>(F1781+G1781+H1781+I1781+J1781)*120</f>
        <v>0</v>
      </c>
      <c r="F1781" s="3"/>
      <c r="G1781" s="3"/>
      <c r="H1781" s="3"/>
      <c r="I1781" s="3"/>
      <c r="J1781" s="3"/>
      <c r="K1781" s="628">
        <f t="shared" si="82"/>
        <v>0</v>
      </c>
      <c r="L1781" s="630">
        <f t="shared" si="83"/>
        <v>0</v>
      </c>
    </row>
    <row r="1782" spans="3:12" x14ac:dyDescent="0.2">
      <c r="C1782" s="589"/>
      <c r="D1782" s="590"/>
      <c r="E1782" s="591"/>
      <c r="F1782" s="3"/>
      <c r="G1782" s="3"/>
      <c r="H1782" s="3"/>
      <c r="I1782" s="3"/>
      <c r="J1782" s="3"/>
      <c r="K1782" s="628">
        <f t="shared" si="82"/>
        <v>0</v>
      </c>
      <c r="L1782" s="630">
        <f t="shared" si="83"/>
        <v>0</v>
      </c>
    </row>
    <row r="1783" spans="3:12" x14ac:dyDescent="0.2">
      <c r="C1783" s="589" t="s">
        <v>737</v>
      </c>
      <c r="D1783" s="590" t="s">
        <v>108</v>
      </c>
      <c r="E1783" s="591">
        <f>(F1783+G1783+H1783+J1783)*112.7+(I1783*119.6)</f>
        <v>3210.8</v>
      </c>
      <c r="F1783" s="3">
        <v>6</v>
      </c>
      <c r="G1783" s="3">
        <v>8</v>
      </c>
      <c r="H1783" s="3"/>
      <c r="I1783" s="3">
        <v>8</v>
      </c>
      <c r="J1783" s="3">
        <v>6</v>
      </c>
      <c r="K1783" s="628">
        <f t="shared" si="82"/>
        <v>28</v>
      </c>
      <c r="L1783" s="630">
        <f t="shared" si="83"/>
        <v>7</v>
      </c>
    </row>
    <row r="1784" spans="3:12" x14ac:dyDescent="0.2">
      <c r="C1784" s="589" t="s">
        <v>736</v>
      </c>
      <c r="D1784" s="590" t="s">
        <v>393</v>
      </c>
      <c r="E1784" s="591">
        <f>(F1784+G1784+H1784+J1784)*112.7+(I1784*119.6)</f>
        <v>2732.4</v>
      </c>
      <c r="F1784" s="3">
        <v>6</v>
      </c>
      <c r="G1784" s="3">
        <v>8</v>
      </c>
      <c r="H1784" s="3"/>
      <c r="I1784" s="3">
        <v>4</v>
      </c>
      <c r="J1784" s="3">
        <v>6</v>
      </c>
      <c r="K1784" s="628">
        <f t="shared" si="82"/>
        <v>24</v>
      </c>
      <c r="L1784" s="630">
        <f t="shared" si="83"/>
        <v>6</v>
      </c>
    </row>
    <row r="1785" spans="3:12" x14ac:dyDescent="0.2">
      <c r="C1785" s="589" t="s">
        <v>735</v>
      </c>
      <c r="D1785" s="590" t="s">
        <v>216</v>
      </c>
      <c r="E1785" s="591">
        <f>(F1785+G1785+H1785+J1785)*112.7+(I1785*119.6)</f>
        <v>2281.6</v>
      </c>
      <c r="F1785" s="3">
        <v>6</v>
      </c>
      <c r="G1785" s="3">
        <v>4</v>
      </c>
      <c r="H1785" s="3"/>
      <c r="I1785" s="3">
        <v>4</v>
      </c>
      <c r="J1785" s="3">
        <v>6</v>
      </c>
      <c r="K1785" s="628">
        <f t="shared" si="82"/>
        <v>20</v>
      </c>
      <c r="L1785" s="630">
        <f t="shared" si="83"/>
        <v>5</v>
      </c>
    </row>
    <row r="1786" spans="3:12" x14ac:dyDescent="0.2">
      <c r="C1786" s="589"/>
      <c r="D1786" s="590"/>
      <c r="E1786" s="591"/>
      <c r="F1786" s="3"/>
      <c r="G1786" s="3"/>
      <c r="H1786" s="3"/>
      <c r="I1786" s="3"/>
      <c r="J1786" s="3"/>
      <c r="K1786" s="628">
        <f t="shared" si="82"/>
        <v>0</v>
      </c>
      <c r="L1786" s="630">
        <f t="shared" si="83"/>
        <v>0</v>
      </c>
    </row>
    <row r="1787" spans="3:12" x14ac:dyDescent="0.2">
      <c r="C1787" s="589"/>
      <c r="D1787" s="590" t="s">
        <v>394</v>
      </c>
      <c r="E1787" s="591">
        <f>(F1787+G1787+H1787+I1787+J1787)*120</f>
        <v>0</v>
      </c>
      <c r="F1787" s="3"/>
      <c r="G1787" s="3"/>
      <c r="H1787" s="3"/>
      <c r="I1787" s="3"/>
      <c r="J1787" s="3"/>
      <c r="K1787" s="628">
        <f t="shared" si="82"/>
        <v>0</v>
      </c>
      <c r="L1787" s="630">
        <f t="shared" si="83"/>
        <v>0</v>
      </c>
    </row>
    <row r="1788" spans="3:12" x14ac:dyDescent="0.2">
      <c r="C1788" s="589" t="s">
        <v>738</v>
      </c>
      <c r="D1788" s="590" t="s">
        <v>110</v>
      </c>
      <c r="E1788" s="591">
        <f>(F1788+G1788+H1788+J1788)*112.7+(I1788*119.6)</f>
        <v>8197.2000000000007</v>
      </c>
      <c r="F1788" s="3">
        <v>30</v>
      </c>
      <c r="G1788" s="3">
        <v>12</v>
      </c>
      <c r="H1788" s="3"/>
      <c r="I1788" s="3">
        <v>12</v>
      </c>
      <c r="J1788" s="3">
        <v>18</v>
      </c>
      <c r="K1788" s="628">
        <f t="shared" si="82"/>
        <v>72</v>
      </c>
      <c r="L1788" s="630">
        <f t="shared" si="83"/>
        <v>18</v>
      </c>
    </row>
    <row r="1789" spans="3:12" x14ac:dyDescent="0.2">
      <c r="C1789" s="589"/>
      <c r="D1789" s="590"/>
      <c r="E1789" s="591"/>
      <c r="F1789" s="3"/>
      <c r="G1789" s="3"/>
      <c r="H1789" s="3"/>
      <c r="I1789" s="3"/>
      <c r="J1789" s="3"/>
      <c r="K1789" s="628">
        <f t="shared" si="82"/>
        <v>0</v>
      </c>
      <c r="L1789" s="630">
        <f t="shared" si="83"/>
        <v>0</v>
      </c>
    </row>
    <row r="1790" spans="3:12" x14ac:dyDescent="0.2">
      <c r="C1790" s="589"/>
      <c r="D1790" s="590" t="s">
        <v>381</v>
      </c>
      <c r="E1790" s="591">
        <f>(F1790+G1790+H1790+I1790+J1790)*120+(240*0)+(0*45)</f>
        <v>0</v>
      </c>
      <c r="F1790" s="3"/>
      <c r="G1790" s="3"/>
      <c r="H1790" s="3"/>
      <c r="I1790" s="3"/>
      <c r="J1790" s="3"/>
      <c r="K1790" s="628">
        <f t="shared" si="82"/>
        <v>0</v>
      </c>
      <c r="L1790" s="630">
        <f t="shared" si="83"/>
        <v>0</v>
      </c>
    </row>
    <row r="1791" spans="3:12" x14ac:dyDescent="0.2">
      <c r="C1791" s="589"/>
      <c r="D1791" s="590" t="s">
        <v>276</v>
      </c>
      <c r="E1791" s="591">
        <f>(F1791+G1791+H1791+J1791)*112.7+(I1791*119.6)</f>
        <v>0</v>
      </c>
      <c r="F1791" s="3"/>
      <c r="G1791" s="3"/>
      <c r="H1791" s="3"/>
      <c r="I1791" s="3"/>
      <c r="J1791" s="3"/>
      <c r="K1791" s="628">
        <f t="shared" si="82"/>
        <v>0</v>
      </c>
      <c r="L1791" s="630">
        <f t="shared" si="83"/>
        <v>0</v>
      </c>
    </row>
    <row r="1792" spans="3:12" x14ac:dyDescent="0.2">
      <c r="C1792" s="589"/>
      <c r="D1792" s="590"/>
      <c r="E1792" s="591"/>
      <c r="F1792" s="3"/>
      <c r="G1792" s="3"/>
      <c r="H1792" s="3"/>
      <c r="I1792" s="3"/>
      <c r="J1792" s="3"/>
      <c r="K1792" s="628">
        <f t="shared" si="82"/>
        <v>0</v>
      </c>
      <c r="L1792" s="630">
        <f t="shared" si="83"/>
        <v>0</v>
      </c>
    </row>
    <row r="1793" spans="3:12" x14ac:dyDescent="0.2">
      <c r="C1793" s="589"/>
      <c r="D1793" s="590" t="s">
        <v>75</v>
      </c>
      <c r="E1793" s="591">
        <f>(F1793+G1793+H1793+I1793+J1793)*120</f>
        <v>0</v>
      </c>
      <c r="F1793" s="3"/>
      <c r="G1793" s="3"/>
      <c r="H1793" s="3"/>
      <c r="I1793" s="3"/>
      <c r="J1793" s="3"/>
      <c r="K1793" s="628">
        <f t="shared" si="82"/>
        <v>0</v>
      </c>
      <c r="L1793" s="630">
        <f t="shared" si="83"/>
        <v>0</v>
      </c>
    </row>
    <row r="1794" spans="3:12" x14ac:dyDescent="0.2">
      <c r="C1794" s="589"/>
      <c r="D1794" s="590" t="s">
        <v>278</v>
      </c>
      <c r="E1794" s="591">
        <f>(F1794+G1794+H1794+I1794+J1794)*120</f>
        <v>0</v>
      </c>
      <c r="F1794" s="3"/>
      <c r="G1794" s="3"/>
      <c r="H1794" s="3"/>
      <c r="I1794" s="3"/>
      <c r="J1794" s="3"/>
      <c r="K1794" s="628">
        <f t="shared" si="82"/>
        <v>0</v>
      </c>
      <c r="L1794" s="630">
        <f t="shared" si="83"/>
        <v>0</v>
      </c>
    </row>
    <row r="1795" spans="3:12" x14ac:dyDescent="0.2">
      <c r="C1795" s="589"/>
      <c r="D1795" s="590" t="s">
        <v>270</v>
      </c>
      <c r="E1795" s="591">
        <f>(F1795+G1795+H1795+I1795)*112.7+(J1795*119.6)</f>
        <v>0</v>
      </c>
      <c r="F1795" s="3"/>
      <c r="G1795" s="3"/>
      <c r="H1795" s="3"/>
      <c r="I1795" s="3"/>
      <c r="J1795" s="3"/>
      <c r="K1795" s="628">
        <f t="shared" si="82"/>
        <v>0</v>
      </c>
      <c r="L1795" s="630">
        <f t="shared" si="83"/>
        <v>0</v>
      </c>
    </row>
    <row r="1796" spans="3:12" x14ac:dyDescent="0.2">
      <c r="C1796" s="589"/>
      <c r="D1796" s="590" t="s">
        <v>274</v>
      </c>
      <c r="E1796" s="591">
        <f>(F1796+G1796+H1796+I1796)*112.7+(J1796*119.6)</f>
        <v>0</v>
      </c>
      <c r="F1796" s="3"/>
      <c r="G1796" s="3"/>
      <c r="H1796" s="3"/>
      <c r="I1796" s="3"/>
      <c r="J1796" s="3"/>
      <c r="K1796" s="628">
        <f t="shared" si="82"/>
        <v>0</v>
      </c>
      <c r="L1796" s="630">
        <f t="shared" si="83"/>
        <v>0</v>
      </c>
    </row>
    <row r="1797" spans="3:12" x14ac:dyDescent="0.2">
      <c r="C1797" s="589"/>
      <c r="D1797" s="590" t="s">
        <v>395</v>
      </c>
      <c r="E1797" s="591">
        <f>(F1797+G1797+H1797+I1797)*112.7+(J1797*119.6)</f>
        <v>0</v>
      </c>
      <c r="F1797" s="3"/>
      <c r="G1797" s="3"/>
      <c r="H1797" s="3"/>
      <c r="I1797" s="3"/>
      <c r="J1797" s="3"/>
      <c r="K1797" s="628">
        <f t="shared" si="82"/>
        <v>0</v>
      </c>
      <c r="L1797" s="630">
        <f t="shared" si="83"/>
        <v>0</v>
      </c>
    </row>
    <row r="1798" spans="3:12" x14ac:dyDescent="0.2">
      <c r="C1798" s="683"/>
      <c r="D1798" s="590" t="s">
        <v>112</v>
      </c>
      <c r="E1798" s="591">
        <f>(F1798+G1798+H1798+I1798)*112.7+(J1798*119.6)</f>
        <v>0</v>
      </c>
      <c r="F1798" s="3"/>
      <c r="G1798" s="3"/>
      <c r="H1798" s="3"/>
      <c r="I1798" s="3"/>
      <c r="J1798" s="3"/>
      <c r="K1798" s="628">
        <f t="shared" si="82"/>
        <v>0</v>
      </c>
      <c r="L1798" s="630">
        <f t="shared" si="83"/>
        <v>0</v>
      </c>
    </row>
    <row r="1799" spans="3:12" x14ac:dyDescent="0.2">
      <c r="C1799" s="683"/>
      <c r="D1799" s="590" t="s">
        <v>72</v>
      </c>
      <c r="E1799" s="591">
        <f>(F1799+G1799+H1799+I1799)*112.7+(J1799*119.6)</f>
        <v>0</v>
      </c>
      <c r="F1799" s="3"/>
      <c r="G1799" s="3"/>
      <c r="H1799" s="3"/>
      <c r="I1799" s="3"/>
      <c r="J1799" s="3"/>
      <c r="K1799" s="628">
        <f t="shared" si="82"/>
        <v>0</v>
      </c>
      <c r="L1799" s="630">
        <f t="shared" si="83"/>
        <v>0</v>
      </c>
    </row>
    <row r="1800" spans="3:12" x14ac:dyDescent="0.2">
      <c r="C1800" s="683"/>
      <c r="D1800" s="590" t="s">
        <v>187</v>
      </c>
      <c r="E1800" s="591"/>
      <c r="F1800" s="3"/>
      <c r="G1800" s="3"/>
      <c r="H1800" s="3"/>
      <c r="I1800" s="3"/>
      <c r="J1800" s="3">
        <v>9</v>
      </c>
      <c r="K1800" s="628">
        <f>SUM(F1800:J1800)</f>
        <v>9</v>
      </c>
      <c r="L1800" s="3"/>
    </row>
    <row r="1801" spans="3:12" ht="16" x14ac:dyDescent="0.2">
      <c r="C1801" s="683"/>
      <c r="D1801" s="590" t="s">
        <v>739</v>
      </c>
      <c r="E1801" s="592"/>
      <c r="F1801" s="3"/>
      <c r="G1801" s="3"/>
      <c r="H1801" s="3"/>
      <c r="I1801" s="3"/>
      <c r="J1801" s="3">
        <v>2</v>
      </c>
      <c r="K1801" s="628">
        <f>SUM(F1801:J1801)</f>
        <v>2</v>
      </c>
      <c r="L1801" s="3"/>
    </row>
    <row r="1802" spans="3:12" ht="17" thickBot="1" x14ac:dyDescent="0.25">
      <c r="C1802" s="683"/>
      <c r="D1802" s="590"/>
      <c r="E1802" s="624"/>
      <c r="F1802" s="69"/>
      <c r="G1802" s="69"/>
      <c r="H1802" s="69"/>
      <c r="I1802" s="69"/>
      <c r="J1802" s="69"/>
      <c r="K1802" s="629"/>
      <c r="L1802" s="3"/>
    </row>
    <row r="1803" spans="3:12" ht="16" thickBot="1" x14ac:dyDescent="0.25">
      <c r="C1803" s="596"/>
      <c r="D1803" s="623" t="s">
        <v>19</v>
      </c>
      <c r="E1803" s="625">
        <f>SUM(E1777:E1800)</f>
        <v>26222</v>
      </c>
      <c r="F1803" s="614">
        <f>SUM(F1777:F1802)</f>
        <v>72</v>
      </c>
      <c r="G1803" s="614">
        <f>SUM(G1777:G1802)</f>
        <v>52</v>
      </c>
      <c r="H1803" s="614">
        <f>SUM(H1777:H1802)</f>
        <v>4</v>
      </c>
      <c r="I1803" s="614">
        <f>SUM(I1777:I1802)</f>
        <v>44</v>
      </c>
      <c r="J1803" s="614">
        <f>SUM(J1777:J1802)</f>
        <v>71</v>
      </c>
      <c r="K1803" s="626">
        <f>SUM(F1803:J1803)</f>
        <v>243</v>
      </c>
      <c r="L1803" s="631">
        <f>SUM(L1777:L1802)</f>
        <v>58</v>
      </c>
    </row>
    <row r="1804" spans="3:12" x14ac:dyDescent="0.2">
      <c r="C1804" s="596"/>
      <c r="D1804" s="593" t="s">
        <v>113</v>
      </c>
      <c r="E1804" s="620"/>
      <c r="F1804" s="610">
        <f>F1774-F1803</f>
        <v>37</v>
      </c>
      <c r="G1804" s="610">
        <f>G1774-G1803</f>
        <v>6</v>
      </c>
      <c r="H1804" s="610">
        <f>H1774-H1803</f>
        <v>0</v>
      </c>
      <c r="I1804" s="610">
        <f>I1774-I1803</f>
        <v>21</v>
      </c>
      <c r="J1804" s="610">
        <f>J1774-J1803</f>
        <v>25</v>
      </c>
      <c r="K1804" s="636">
        <f>SUM(F1804:J1804)</f>
        <v>89</v>
      </c>
      <c r="L1804" s="3"/>
    </row>
    <row r="1805" spans="3:12" x14ac:dyDescent="0.2">
      <c r="C1805" s="683"/>
      <c r="D1805" s="593" t="s">
        <v>436</v>
      </c>
      <c r="E1805" s="594"/>
      <c r="F1805" s="581"/>
      <c r="G1805" s="581"/>
      <c r="H1805" s="581"/>
      <c r="I1805" s="581"/>
      <c r="J1805" s="581"/>
      <c r="K1805" s="637">
        <f>K1803+K1804</f>
        <v>332</v>
      </c>
      <c r="L1805" s="3"/>
    </row>
    <row r="1807" spans="3:12" ht="18" x14ac:dyDescent="0.2">
      <c r="C1807" s="685" t="s">
        <v>412</v>
      </c>
      <c r="D1807" s="582">
        <v>45708</v>
      </c>
      <c r="E1807" s="800"/>
      <c r="F1807" s="685" t="s">
        <v>83</v>
      </c>
      <c r="G1807" s="801" t="s">
        <v>66</v>
      </c>
      <c r="H1807" s="802"/>
      <c r="I1807" s="802"/>
      <c r="J1807" s="802"/>
      <c r="K1807" s="803"/>
    </row>
    <row r="1808" spans="3:12" x14ac:dyDescent="0.2">
      <c r="C1808" s="804"/>
      <c r="D1808" s="805"/>
      <c r="E1808" s="800"/>
      <c r="F1808" s="683" t="s">
        <v>93</v>
      </c>
      <c r="G1808" s="683" t="s">
        <v>93</v>
      </c>
      <c r="H1808" s="683"/>
      <c r="I1808" s="806"/>
      <c r="J1808" s="806"/>
      <c r="K1808" s="806"/>
    </row>
    <row r="1809" spans="3:12" x14ac:dyDescent="0.2">
      <c r="C1809" s="804"/>
      <c r="D1809" s="805"/>
      <c r="E1809" s="800"/>
      <c r="F1809" s="683" t="s">
        <v>94</v>
      </c>
      <c r="G1809" s="683" t="s">
        <v>95</v>
      </c>
      <c r="H1809" s="683" t="s">
        <v>96</v>
      </c>
      <c r="I1809" s="806"/>
      <c r="J1809" s="806"/>
      <c r="K1809" s="806"/>
    </row>
    <row r="1810" spans="3:12" x14ac:dyDescent="0.2">
      <c r="C1810" s="804"/>
      <c r="D1810" s="805"/>
      <c r="E1810" s="800"/>
      <c r="F1810" s="683"/>
      <c r="G1810" s="683"/>
      <c r="H1810" s="683"/>
      <c r="I1810" s="806"/>
      <c r="J1810" s="806"/>
      <c r="K1810" s="806"/>
    </row>
    <row r="1811" spans="3:12" ht="16" x14ac:dyDescent="0.2">
      <c r="C1811" s="683"/>
      <c r="D1811" s="583" t="s">
        <v>97</v>
      </c>
      <c r="E1811" s="584"/>
      <c r="F1811" s="581"/>
      <c r="G1811" s="585"/>
      <c r="H1811" s="585"/>
      <c r="I1811" s="586"/>
      <c r="J1811" s="586"/>
      <c r="K1811" s="586"/>
    </row>
    <row r="1812" spans="3:12" ht="26" x14ac:dyDescent="0.2">
      <c r="C1812" s="804"/>
      <c r="D1812" s="587"/>
      <c r="E1812" s="588"/>
      <c r="F1812" s="585" t="s">
        <v>383</v>
      </c>
      <c r="G1812" s="585" t="s">
        <v>384</v>
      </c>
      <c r="H1812" s="585" t="s">
        <v>385</v>
      </c>
      <c r="I1812" s="585" t="s">
        <v>386</v>
      </c>
      <c r="J1812" s="585" t="s">
        <v>387</v>
      </c>
      <c r="K1812" s="585" t="s">
        <v>84</v>
      </c>
    </row>
    <row r="1813" spans="3:12" x14ac:dyDescent="0.2">
      <c r="C1813" s="804"/>
      <c r="D1813" s="684" t="s">
        <v>167</v>
      </c>
      <c r="E1813" s="588"/>
      <c r="F1813" s="580">
        <v>8</v>
      </c>
      <c r="G1813" s="579">
        <v>8</v>
      </c>
      <c r="H1813" s="580"/>
      <c r="I1813" s="580">
        <v>4</v>
      </c>
      <c r="J1813" s="580">
        <v>8</v>
      </c>
      <c r="K1813" s="580">
        <f>SUM(F1813:J1813)</f>
        <v>28</v>
      </c>
    </row>
    <row r="1814" spans="3:12" x14ac:dyDescent="0.2">
      <c r="C1814" s="804"/>
      <c r="D1814" s="684" t="s">
        <v>207</v>
      </c>
      <c r="E1814" s="588"/>
      <c r="F1814" s="618">
        <v>56</v>
      </c>
      <c r="G1814" s="619">
        <v>56</v>
      </c>
      <c r="H1814" s="618"/>
      <c r="I1814" s="618">
        <v>44</v>
      </c>
      <c r="J1814" s="618">
        <v>70</v>
      </c>
      <c r="K1814" s="618">
        <f>SUM(F1814:J1814)</f>
        <v>226</v>
      </c>
    </row>
    <row r="1815" spans="3:12" x14ac:dyDescent="0.2">
      <c r="C1815" s="683"/>
      <c r="D1815" s="684" t="s">
        <v>100</v>
      </c>
      <c r="E1815" s="588"/>
      <c r="F1815" s="581"/>
      <c r="G1815" s="581"/>
      <c r="H1815" s="581"/>
      <c r="I1815" s="581"/>
      <c r="J1815" s="581"/>
      <c r="K1815" s="581">
        <f>SUM(F1815:J1815)</f>
        <v>0</v>
      </c>
    </row>
    <row r="1816" spans="3:12" x14ac:dyDescent="0.2">
      <c r="C1816" s="683"/>
      <c r="D1816" s="684" t="s">
        <v>101</v>
      </c>
      <c r="E1816" s="588"/>
      <c r="F1816" s="581"/>
      <c r="G1816" s="581">
        <v>2</v>
      </c>
      <c r="H1816" s="581"/>
      <c r="I1816" s="581"/>
      <c r="J1816" s="581">
        <v>1</v>
      </c>
      <c r="K1816" s="581">
        <f>SUM(F1816:J1816)</f>
        <v>3</v>
      </c>
    </row>
    <row r="1817" spans="3:12" ht="16" thickBot="1" x14ac:dyDescent="0.25">
      <c r="C1817" s="683"/>
      <c r="D1817" s="597" t="s">
        <v>102</v>
      </c>
      <c r="E1817" s="598"/>
      <c r="F1817" s="599">
        <v>37</v>
      </c>
      <c r="G1817" s="600">
        <v>7</v>
      </c>
      <c r="H1817" s="600"/>
      <c r="I1817" s="600">
        <v>21</v>
      </c>
      <c r="J1817" s="600">
        <v>25</v>
      </c>
      <c r="K1817" s="600">
        <f>SUM(F1817:J1817)</f>
        <v>90</v>
      </c>
    </row>
    <row r="1818" spans="3:12" ht="17" thickBot="1" x14ac:dyDescent="0.25">
      <c r="C1818" s="605"/>
      <c r="D1818" s="612" t="s">
        <v>84</v>
      </c>
      <c r="E1818" s="613"/>
      <c r="F1818" s="614">
        <f>(F1814+F1817)-F1816-F1815</f>
        <v>93</v>
      </c>
      <c r="G1818" s="615">
        <f>(G1814+G1817)-G1816-G1815</f>
        <v>61</v>
      </c>
      <c r="H1818" s="616">
        <f>(H1814+H1817)-H1816</f>
        <v>0</v>
      </c>
      <c r="I1818" s="615">
        <f>(I1814+I1817)-I1816-I1815</f>
        <v>65</v>
      </c>
      <c r="J1818" s="622">
        <f>(J1814+J1817)-J1816-J1815</f>
        <v>94</v>
      </c>
      <c r="K1818" s="617">
        <f>(K1814+K1817)-K1816-K1815</f>
        <v>313</v>
      </c>
    </row>
    <row r="1819" spans="3:12" ht="16" x14ac:dyDescent="0.2">
      <c r="C1819" s="683"/>
      <c r="D1819" s="608"/>
      <c r="E1819" s="609"/>
      <c r="F1819" s="610"/>
      <c r="G1819" s="595"/>
      <c r="H1819" s="611"/>
      <c r="I1819" s="595"/>
      <c r="J1819" s="595"/>
      <c r="K1819" s="595"/>
    </row>
    <row r="1820" spans="3:12" ht="16" thickBot="1" x14ac:dyDescent="0.25">
      <c r="C1820" s="606" t="s">
        <v>388</v>
      </c>
      <c r="D1820" s="607" t="s">
        <v>103</v>
      </c>
      <c r="E1820" s="603" t="s">
        <v>84</v>
      </c>
      <c r="F1820" s="602"/>
      <c r="G1820" s="602"/>
      <c r="H1820" s="602"/>
      <c r="I1820" s="601"/>
      <c r="J1820" s="601"/>
      <c r="K1820" s="601" t="s">
        <v>84</v>
      </c>
      <c r="L1820" s="174" t="s">
        <v>389</v>
      </c>
    </row>
    <row r="1821" spans="3:12" x14ac:dyDescent="0.2">
      <c r="C1821" s="589"/>
      <c r="D1821" s="604" t="s">
        <v>105</v>
      </c>
      <c r="E1821" s="591">
        <f>(F1821+G1821+H1821+I1821+J1821)*100+(0*230)</f>
        <v>0</v>
      </c>
      <c r="F1821" s="3"/>
      <c r="G1821" s="3"/>
      <c r="H1821" s="3"/>
      <c r="I1821" s="3"/>
      <c r="J1821" s="3"/>
      <c r="K1821" s="628">
        <f t="shared" ref="K1821:K1843" si="84">SUM(F1821:J1821)</f>
        <v>0</v>
      </c>
      <c r="L1821" s="630">
        <f>K1821/4</f>
        <v>0</v>
      </c>
    </row>
    <row r="1822" spans="3:12" x14ac:dyDescent="0.2">
      <c r="C1822" s="589"/>
      <c r="D1822" s="590" t="s">
        <v>390</v>
      </c>
      <c r="E1822" s="591">
        <f>(F1822+G1822+H1822+I1822+J1822)*120</f>
        <v>0</v>
      </c>
      <c r="F1822" s="3"/>
      <c r="G1822" s="3"/>
      <c r="H1822" s="3"/>
      <c r="I1822" s="3"/>
      <c r="J1822" s="3"/>
      <c r="K1822" s="628">
        <f t="shared" si="84"/>
        <v>0</v>
      </c>
      <c r="L1822" s="630">
        <f t="shared" ref="L1822:L1843" si="85">K1822/4</f>
        <v>0</v>
      </c>
    </row>
    <row r="1823" spans="3:12" x14ac:dyDescent="0.2">
      <c r="C1823" s="589"/>
      <c r="D1823" s="590" t="s">
        <v>391</v>
      </c>
      <c r="E1823" s="591">
        <f>(F1823+G1823+H1823+I1823+J1823)*120</f>
        <v>0</v>
      </c>
      <c r="F1823" s="3"/>
      <c r="G1823" s="3"/>
      <c r="H1823" s="3"/>
      <c r="I1823" s="3"/>
      <c r="J1823" s="3"/>
      <c r="K1823" s="628">
        <f t="shared" si="84"/>
        <v>0</v>
      </c>
      <c r="L1823" s="630">
        <f t="shared" si="85"/>
        <v>0</v>
      </c>
    </row>
    <row r="1824" spans="3:12" x14ac:dyDescent="0.2">
      <c r="C1824" s="589"/>
      <c r="D1824" s="590" t="s">
        <v>392</v>
      </c>
      <c r="E1824" s="591">
        <f>(F1824+G1824+H1824+I1824+J1824)*120</f>
        <v>0</v>
      </c>
      <c r="F1824" s="3"/>
      <c r="G1824" s="3"/>
      <c r="H1824" s="3"/>
      <c r="I1824" s="3"/>
      <c r="J1824" s="3"/>
      <c r="K1824" s="628">
        <f t="shared" si="84"/>
        <v>0</v>
      </c>
      <c r="L1824" s="630">
        <f t="shared" si="85"/>
        <v>0</v>
      </c>
    </row>
    <row r="1825" spans="3:12" x14ac:dyDescent="0.2">
      <c r="C1825" s="589"/>
      <c r="D1825" s="590" t="s">
        <v>425</v>
      </c>
      <c r="E1825" s="591">
        <f>(F1825+G1825+H1825+I1825+J1825)*120</f>
        <v>0</v>
      </c>
      <c r="F1825" s="3"/>
      <c r="G1825" s="3"/>
      <c r="H1825" s="3"/>
      <c r="I1825" s="3"/>
      <c r="J1825" s="3"/>
      <c r="K1825" s="628">
        <f t="shared" si="84"/>
        <v>0</v>
      </c>
      <c r="L1825" s="630">
        <f t="shared" si="85"/>
        <v>0</v>
      </c>
    </row>
    <row r="1826" spans="3:12" x14ac:dyDescent="0.2">
      <c r="C1826" s="589"/>
      <c r="D1826" s="590"/>
      <c r="E1826" s="591"/>
      <c r="F1826" s="3"/>
      <c r="G1826" s="3"/>
      <c r="H1826" s="3"/>
      <c r="I1826" s="3"/>
      <c r="J1826" s="3"/>
      <c r="K1826" s="628">
        <f t="shared" si="84"/>
        <v>0</v>
      </c>
      <c r="L1826" s="630">
        <f t="shared" si="85"/>
        <v>0</v>
      </c>
    </row>
    <row r="1827" spans="3:12" x14ac:dyDescent="0.2">
      <c r="C1827" s="589" t="s">
        <v>742</v>
      </c>
      <c r="D1827" s="590" t="s">
        <v>108</v>
      </c>
      <c r="E1827" s="591">
        <f>(F1827+G1827+H1827+J1827)*112.7+(I1827*119.6)</f>
        <v>4126.2000000000007</v>
      </c>
      <c r="F1827" s="3">
        <v>10</v>
      </c>
      <c r="G1827" s="3">
        <v>6</v>
      </c>
      <c r="H1827" s="3"/>
      <c r="I1827" s="3">
        <v>10</v>
      </c>
      <c r="J1827" s="3">
        <v>10</v>
      </c>
      <c r="K1827" s="628">
        <f t="shared" si="84"/>
        <v>36</v>
      </c>
      <c r="L1827" s="630">
        <f t="shared" si="85"/>
        <v>9</v>
      </c>
    </row>
    <row r="1828" spans="3:12" x14ac:dyDescent="0.2">
      <c r="C1828" s="589"/>
      <c r="D1828" s="590" t="s">
        <v>393</v>
      </c>
      <c r="E1828" s="591">
        <f>(F1828+G1828+H1828+J1828)*112.7+(I1828*119.6)</f>
        <v>0</v>
      </c>
      <c r="F1828" s="3"/>
      <c r="G1828" s="3"/>
      <c r="H1828" s="3"/>
      <c r="I1828" s="3"/>
      <c r="J1828" s="3"/>
      <c r="K1828" s="628">
        <f t="shared" si="84"/>
        <v>0</v>
      </c>
      <c r="L1828" s="630">
        <f t="shared" si="85"/>
        <v>0</v>
      </c>
    </row>
    <row r="1829" spans="3:12" x14ac:dyDescent="0.2">
      <c r="C1829" s="589"/>
      <c r="D1829" s="590" t="s">
        <v>216</v>
      </c>
      <c r="E1829" s="591">
        <f>(F1829+G1829+H1829+J1829)*112.7+(I1829*119.6)</f>
        <v>0</v>
      </c>
      <c r="F1829" s="3"/>
      <c r="G1829" s="3"/>
      <c r="H1829" s="3"/>
      <c r="I1829" s="3"/>
      <c r="J1829" s="3"/>
      <c r="K1829" s="628">
        <f t="shared" si="84"/>
        <v>0</v>
      </c>
      <c r="L1829" s="630">
        <f t="shared" si="85"/>
        <v>0</v>
      </c>
    </row>
    <row r="1830" spans="3:12" x14ac:dyDescent="0.2">
      <c r="C1830" s="589"/>
      <c r="D1830" s="590"/>
      <c r="E1830" s="591"/>
      <c r="F1830" s="3"/>
      <c r="G1830" s="3"/>
      <c r="H1830" s="3"/>
      <c r="I1830" s="3"/>
      <c r="J1830" s="3"/>
      <c r="K1830" s="628">
        <f t="shared" si="84"/>
        <v>0</v>
      </c>
      <c r="L1830" s="630">
        <f t="shared" si="85"/>
        <v>0</v>
      </c>
    </row>
    <row r="1831" spans="3:12" x14ac:dyDescent="0.2">
      <c r="C1831" s="589"/>
      <c r="D1831" s="590" t="s">
        <v>394</v>
      </c>
      <c r="E1831" s="591">
        <f>(F1831+G1831+H1831+I1831+J1831)*120</f>
        <v>0</v>
      </c>
      <c r="F1831" s="3"/>
      <c r="G1831" s="3"/>
      <c r="H1831" s="3"/>
      <c r="I1831" s="3"/>
      <c r="J1831" s="3"/>
      <c r="K1831" s="628">
        <f t="shared" si="84"/>
        <v>0</v>
      </c>
      <c r="L1831" s="630">
        <f t="shared" si="85"/>
        <v>0</v>
      </c>
    </row>
    <row r="1832" spans="3:12" x14ac:dyDescent="0.2">
      <c r="C1832" s="589"/>
      <c r="D1832" s="590" t="s">
        <v>110</v>
      </c>
      <c r="E1832" s="591">
        <f>(F1832+G1832+H1832+J1832)*112.7+(I1832*119.6)</f>
        <v>0</v>
      </c>
      <c r="F1832" s="3"/>
      <c r="G1832" s="3"/>
      <c r="H1832" s="3"/>
      <c r="I1832" s="3"/>
      <c r="J1832" s="3"/>
      <c r="K1832" s="628">
        <f t="shared" si="84"/>
        <v>0</v>
      </c>
      <c r="L1832" s="630">
        <f t="shared" si="85"/>
        <v>0</v>
      </c>
    </row>
    <row r="1833" spans="3:12" x14ac:dyDescent="0.2">
      <c r="C1833" s="589"/>
      <c r="D1833" s="590"/>
      <c r="E1833" s="591"/>
      <c r="F1833" s="3"/>
      <c r="G1833" s="3"/>
      <c r="H1833" s="3"/>
      <c r="I1833" s="3"/>
      <c r="J1833" s="3"/>
      <c r="K1833" s="628">
        <f t="shared" si="84"/>
        <v>0</v>
      </c>
      <c r="L1833" s="630">
        <f t="shared" si="85"/>
        <v>0</v>
      </c>
    </row>
    <row r="1834" spans="3:12" x14ac:dyDescent="0.2">
      <c r="C1834" s="589"/>
      <c r="D1834" s="590" t="s">
        <v>381</v>
      </c>
      <c r="E1834" s="591">
        <f>(F1834+G1834+H1834+I1834+J1834)*120+(240*0)+(0*45)</f>
        <v>0</v>
      </c>
      <c r="F1834" s="3"/>
      <c r="G1834" s="3"/>
      <c r="H1834" s="3"/>
      <c r="I1834" s="3"/>
      <c r="J1834" s="3"/>
      <c r="K1834" s="628">
        <f t="shared" si="84"/>
        <v>0</v>
      </c>
      <c r="L1834" s="630">
        <f t="shared" si="85"/>
        <v>0</v>
      </c>
    </row>
    <row r="1835" spans="3:12" x14ac:dyDescent="0.2">
      <c r="C1835" s="589"/>
      <c r="D1835" s="590" t="s">
        <v>276</v>
      </c>
      <c r="E1835" s="591">
        <f>(F1835+G1835+H1835+J1835)*112.7+(I1835*119.6)</f>
        <v>0</v>
      </c>
      <c r="F1835" s="3"/>
      <c r="G1835" s="3"/>
      <c r="H1835" s="3"/>
      <c r="I1835" s="3"/>
      <c r="J1835" s="3"/>
      <c r="K1835" s="628">
        <f t="shared" si="84"/>
        <v>0</v>
      </c>
      <c r="L1835" s="630">
        <f t="shared" si="85"/>
        <v>0</v>
      </c>
    </row>
    <row r="1836" spans="3:12" x14ac:dyDescent="0.2">
      <c r="C1836" s="589"/>
      <c r="D1836" s="590"/>
      <c r="E1836" s="591"/>
      <c r="F1836" s="3"/>
      <c r="G1836" s="3"/>
      <c r="H1836" s="3"/>
      <c r="I1836" s="3"/>
      <c r="J1836" s="3"/>
      <c r="K1836" s="628">
        <f t="shared" si="84"/>
        <v>0</v>
      </c>
      <c r="L1836" s="630">
        <f t="shared" si="85"/>
        <v>0</v>
      </c>
    </row>
    <row r="1837" spans="3:12" x14ac:dyDescent="0.2">
      <c r="C1837" s="589"/>
      <c r="D1837" s="590" t="s">
        <v>75</v>
      </c>
      <c r="E1837" s="591">
        <f>(F1837+G1837+H1837+I1837+J1837)*120</f>
        <v>0</v>
      </c>
      <c r="F1837" s="3"/>
      <c r="G1837" s="3"/>
      <c r="H1837" s="3"/>
      <c r="I1837" s="3"/>
      <c r="J1837" s="3"/>
      <c r="K1837" s="628">
        <f t="shared" si="84"/>
        <v>0</v>
      </c>
      <c r="L1837" s="630">
        <f t="shared" si="85"/>
        <v>0</v>
      </c>
    </row>
    <row r="1838" spans="3:12" x14ac:dyDescent="0.2">
      <c r="C1838" s="589"/>
      <c r="D1838" s="590" t="s">
        <v>278</v>
      </c>
      <c r="E1838" s="591">
        <f>(F1838+G1838+H1838+I1838+J1838)*120</f>
        <v>0</v>
      </c>
      <c r="F1838" s="3"/>
      <c r="G1838" s="3"/>
      <c r="H1838" s="3"/>
      <c r="I1838" s="3"/>
      <c r="J1838" s="3"/>
      <c r="K1838" s="628">
        <f t="shared" si="84"/>
        <v>0</v>
      </c>
      <c r="L1838" s="630">
        <f t="shared" si="85"/>
        <v>0</v>
      </c>
    </row>
    <row r="1839" spans="3:12" x14ac:dyDescent="0.2">
      <c r="C1839" s="589" t="s">
        <v>744</v>
      </c>
      <c r="D1839" s="590" t="s">
        <v>270</v>
      </c>
      <c r="E1839" s="591">
        <f>(F1839+G1839+H1839+I1839)*112.7+(J1839*119.6)</f>
        <v>7364.6</v>
      </c>
      <c r="F1839" s="3">
        <v>22</v>
      </c>
      <c r="G1839" s="3">
        <v>10</v>
      </c>
      <c r="H1839" s="3"/>
      <c r="I1839" s="3">
        <v>10</v>
      </c>
      <c r="J1839" s="3">
        <v>22</v>
      </c>
      <c r="K1839" s="628">
        <f t="shared" si="84"/>
        <v>64</v>
      </c>
      <c r="L1839" s="630">
        <f t="shared" si="85"/>
        <v>16</v>
      </c>
    </row>
    <row r="1840" spans="3:12" x14ac:dyDescent="0.2">
      <c r="C1840" s="589" t="s">
        <v>743</v>
      </c>
      <c r="D1840" s="590" t="s">
        <v>274</v>
      </c>
      <c r="E1840" s="591">
        <f>(F1840+G1840+H1840+I1840)*112.7+(J1840*119.6)</f>
        <v>5041.6000000000004</v>
      </c>
      <c r="F1840" s="3">
        <v>12</v>
      </c>
      <c r="G1840" s="3">
        <v>10</v>
      </c>
      <c r="H1840" s="3"/>
      <c r="I1840" s="3">
        <v>10</v>
      </c>
      <c r="J1840" s="3">
        <v>12</v>
      </c>
      <c r="K1840" s="628">
        <f t="shared" si="84"/>
        <v>44</v>
      </c>
      <c r="L1840" s="630">
        <f t="shared" si="85"/>
        <v>11</v>
      </c>
    </row>
    <row r="1841" spans="3:12" x14ac:dyDescent="0.2">
      <c r="C1841" s="589" t="s">
        <v>741</v>
      </c>
      <c r="D1841" s="590" t="s">
        <v>395</v>
      </c>
      <c r="E1841" s="591">
        <f>(F1841+G1841+H1841+I1841)*112.7+(J1841*119.6)</f>
        <v>5041.6000000000004</v>
      </c>
      <c r="F1841" s="3">
        <v>12</v>
      </c>
      <c r="G1841" s="3">
        <v>10</v>
      </c>
      <c r="H1841" s="3"/>
      <c r="I1841" s="3">
        <v>10</v>
      </c>
      <c r="J1841" s="3">
        <v>12</v>
      </c>
      <c r="K1841" s="628">
        <f t="shared" si="84"/>
        <v>44</v>
      </c>
      <c r="L1841" s="630">
        <f t="shared" si="85"/>
        <v>11</v>
      </c>
    </row>
    <row r="1842" spans="3:12" x14ac:dyDescent="0.2">
      <c r="C1842" s="683">
        <v>1173201701</v>
      </c>
      <c r="D1842" s="590" t="s">
        <v>112</v>
      </c>
      <c r="E1842" s="591">
        <f>(F1842+G1842+H1842+I1842)*112.7+(J1842*119.6)</f>
        <v>5041.6000000000004</v>
      </c>
      <c r="F1842" s="3">
        <v>12</v>
      </c>
      <c r="G1842" s="3">
        <v>10</v>
      </c>
      <c r="H1842" s="3"/>
      <c r="I1842" s="3">
        <v>10</v>
      </c>
      <c r="J1842" s="3">
        <v>12</v>
      </c>
      <c r="K1842" s="628">
        <f t="shared" si="84"/>
        <v>44</v>
      </c>
      <c r="L1842" s="630">
        <f t="shared" si="85"/>
        <v>11</v>
      </c>
    </row>
    <row r="1843" spans="3:12" x14ac:dyDescent="0.2">
      <c r="C1843" s="683">
        <v>1173200499</v>
      </c>
      <c r="D1843" s="590" t="s">
        <v>72</v>
      </c>
      <c r="E1843" s="591">
        <f>(F1843+G1843+H1843+I1843)*112.7+(J1843*119.6)</f>
        <v>5717.8</v>
      </c>
      <c r="F1843" s="3">
        <v>13</v>
      </c>
      <c r="G1843" s="3">
        <v>15</v>
      </c>
      <c r="H1843" s="3"/>
      <c r="I1843" s="3">
        <v>10</v>
      </c>
      <c r="J1843" s="3">
        <v>12</v>
      </c>
      <c r="K1843" s="628">
        <f t="shared" si="84"/>
        <v>50</v>
      </c>
      <c r="L1843" s="630">
        <f t="shared" si="85"/>
        <v>12.5</v>
      </c>
    </row>
    <row r="1844" spans="3:12" x14ac:dyDescent="0.2">
      <c r="C1844" s="683"/>
      <c r="D1844" s="590" t="s">
        <v>187</v>
      </c>
      <c r="E1844" s="591"/>
      <c r="F1844" s="3"/>
      <c r="G1844" s="3"/>
      <c r="H1844" s="3"/>
      <c r="I1844" s="3">
        <v>1</v>
      </c>
      <c r="J1844" s="3">
        <v>8</v>
      </c>
      <c r="K1844" s="628">
        <f>SUM(F1844:J1844)</f>
        <v>9</v>
      </c>
      <c r="L1844" s="3"/>
    </row>
    <row r="1845" spans="3:12" ht="16" x14ac:dyDescent="0.2">
      <c r="C1845" s="683"/>
      <c r="D1845" s="590"/>
      <c r="E1845" s="592"/>
      <c r="F1845" s="3"/>
      <c r="G1845" s="3"/>
      <c r="H1845" s="3"/>
      <c r="I1845" s="3"/>
      <c r="J1845" s="3"/>
      <c r="K1845" s="628">
        <f>SUM(F1845:J1845)</f>
        <v>0</v>
      </c>
      <c r="L1845" s="3"/>
    </row>
    <row r="1846" spans="3:12" ht="17" thickBot="1" x14ac:dyDescent="0.25">
      <c r="C1846" s="683"/>
      <c r="D1846" s="590"/>
      <c r="E1846" s="624"/>
      <c r="F1846" s="69"/>
      <c r="G1846" s="69"/>
      <c r="H1846" s="69"/>
      <c r="I1846" s="69"/>
      <c r="J1846" s="69"/>
      <c r="K1846" s="629"/>
      <c r="L1846" s="3"/>
    </row>
    <row r="1847" spans="3:12" ht="16" thickBot="1" x14ac:dyDescent="0.25">
      <c r="C1847" s="596"/>
      <c r="D1847" s="623" t="s">
        <v>19</v>
      </c>
      <c r="E1847" s="625">
        <f>SUM(E1821:E1844)</f>
        <v>32333.399999999998</v>
      </c>
      <c r="F1847" s="614">
        <f>SUM(F1821:F1846)</f>
        <v>81</v>
      </c>
      <c r="G1847" s="614">
        <f>SUM(G1821:G1846)</f>
        <v>61</v>
      </c>
      <c r="H1847" s="614">
        <f>SUM(H1821:H1846)</f>
        <v>0</v>
      </c>
      <c r="I1847" s="614">
        <f>SUM(I1821:I1846)</f>
        <v>61</v>
      </c>
      <c r="J1847" s="614">
        <f>SUM(J1821:J1846)</f>
        <v>88</v>
      </c>
      <c r="K1847" s="626">
        <f>SUM(F1847:J1847)</f>
        <v>291</v>
      </c>
      <c r="L1847" s="631">
        <f>SUM(L1821:L1846)</f>
        <v>70.5</v>
      </c>
    </row>
    <row r="1848" spans="3:12" x14ac:dyDescent="0.2">
      <c r="C1848" s="596"/>
      <c r="D1848" s="593" t="s">
        <v>113</v>
      </c>
      <c r="E1848" s="620"/>
      <c r="F1848" s="610">
        <f>F1818-F1847</f>
        <v>12</v>
      </c>
      <c r="G1848" s="610">
        <f>G1818-G1847</f>
        <v>0</v>
      </c>
      <c r="H1848" s="610">
        <f>H1818-H1847</f>
        <v>0</v>
      </c>
      <c r="I1848" s="610">
        <f>I1818-I1847</f>
        <v>4</v>
      </c>
      <c r="J1848" s="610">
        <f>J1818-J1847</f>
        <v>6</v>
      </c>
      <c r="K1848" s="636">
        <f>SUM(F1848:J1848)</f>
        <v>22</v>
      </c>
      <c r="L1848" s="3"/>
    </row>
    <row r="1849" spans="3:12" x14ac:dyDescent="0.2">
      <c r="C1849" s="683"/>
      <c r="D1849" s="593" t="s">
        <v>436</v>
      </c>
      <c r="E1849" s="594"/>
      <c r="F1849" s="581"/>
      <c r="G1849" s="581"/>
      <c r="H1849" s="581"/>
      <c r="I1849" s="581"/>
      <c r="J1849" s="581"/>
      <c r="K1849" s="637">
        <f>K1847+K1848</f>
        <v>313</v>
      </c>
      <c r="L1849" s="3"/>
    </row>
    <row r="1851" spans="3:12" ht="18" x14ac:dyDescent="0.2">
      <c r="C1851" s="685" t="s">
        <v>412</v>
      </c>
      <c r="D1851" s="582">
        <v>45709</v>
      </c>
      <c r="E1851" s="800"/>
      <c r="F1851" s="685" t="s">
        <v>83</v>
      </c>
      <c r="G1851" s="801" t="s">
        <v>67</v>
      </c>
      <c r="H1851" s="802"/>
      <c r="I1851" s="802"/>
      <c r="J1851" s="802"/>
      <c r="K1851" s="803"/>
    </row>
    <row r="1852" spans="3:12" x14ac:dyDescent="0.2">
      <c r="C1852" s="804"/>
      <c r="D1852" s="805"/>
      <c r="E1852" s="800"/>
      <c r="F1852" s="683" t="s">
        <v>93</v>
      </c>
      <c r="G1852" s="683" t="s">
        <v>93</v>
      </c>
      <c r="H1852" s="683"/>
      <c r="I1852" s="806"/>
      <c r="J1852" s="806"/>
      <c r="K1852" s="806"/>
    </row>
    <row r="1853" spans="3:12" x14ac:dyDescent="0.2">
      <c r="C1853" s="804"/>
      <c r="D1853" s="805"/>
      <c r="E1853" s="800"/>
      <c r="F1853" s="683" t="s">
        <v>94</v>
      </c>
      <c r="G1853" s="683" t="s">
        <v>95</v>
      </c>
      <c r="H1853" s="683" t="s">
        <v>96</v>
      </c>
      <c r="I1853" s="806"/>
      <c r="J1853" s="806"/>
      <c r="K1853" s="806"/>
    </row>
    <row r="1854" spans="3:12" x14ac:dyDescent="0.2">
      <c r="C1854" s="804"/>
      <c r="D1854" s="805"/>
      <c r="E1854" s="800"/>
      <c r="F1854" s="683"/>
      <c r="G1854" s="683"/>
      <c r="H1854" s="683"/>
      <c r="I1854" s="806"/>
      <c r="J1854" s="806"/>
      <c r="K1854" s="806"/>
    </row>
    <row r="1855" spans="3:12" ht="16" x14ac:dyDescent="0.2">
      <c r="C1855" s="683"/>
      <c r="D1855" s="583" t="s">
        <v>97</v>
      </c>
      <c r="E1855" s="584"/>
      <c r="F1855" s="581"/>
      <c r="G1855" s="585"/>
      <c r="H1855" s="585"/>
      <c r="I1855" s="586"/>
      <c r="J1855" s="586"/>
      <c r="K1855" s="586"/>
    </row>
    <row r="1856" spans="3:12" ht="26" x14ac:dyDescent="0.2">
      <c r="C1856" s="804"/>
      <c r="D1856" s="587"/>
      <c r="E1856" s="588"/>
      <c r="F1856" s="585" t="s">
        <v>383</v>
      </c>
      <c r="G1856" s="585" t="s">
        <v>384</v>
      </c>
      <c r="H1856" s="585" t="s">
        <v>385</v>
      </c>
      <c r="I1856" s="585" t="s">
        <v>386</v>
      </c>
      <c r="J1856" s="585" t="s">
        <v>387</v>
      </c>
      <c r="K1856" s="585" t="s">
        <v>84</v>
      </c>
    </row>
    <row r="1857" spans="3:12" x14ac:dyDescent="0.2">
      <c r="C1857" s="804"/>
      <c r="D1857" s="684" t="s">
        <v>167</v>
      </c>
      <c r="E1857" s="588"/>
      <c r="F1857" s="580">
        <v>10</v>
      </c>
      <c r="G1857" s="579">
        <v>6</v>
      </c>
      <c r="H1857" s="580">
        <v>2</v>
      </c>
      <c r="I1857" s="580">
        <v>4</v>
      </c>
      <c r="J1857" s="580">
        <v>7</v>
      </c>
      <c r="K1857" s="580">
        <f>SUM(F1857:J1857)</f>
        <v>29</v>
      </c>
    </row>
    <row r="1858" spans="3:12" x14ac:dyDescent="0.2">
      <c r="C1858" s="804"/>
      <c r="D1858" s="684" t="s">
        <v>207</v>
      </c>
      <c r="E1858" s="588"/>
      <c r="F1858" s="618">
        <v>70</v>
      </c>
      <c r="G1858" s="619">
        <v>40</v>
      </c>
      <c r="H1858" s="618">
        <v>14</v>
      </c>
      <c r="I1858" s="618">
        <v>44</v>
      </c>
      <c r="J1858" s="618">
        <v>60</v>
      </c>
      <c r="K1858" s="618">
        <f>SUM(F1858:J1858)</f>
        <v>228</v>
      </c>
    </row>
    <row r="1859" spans="3:12" x14ac:dyDescent="0.2">
      <c r="C1859" s="683"/>
      <c r="D1859" s="684" t="s">
        <v>100</v>
      </c>
      <c r="E1859" s="588"/>
      <c r="F1859" s="581"/>
      <c r="G1859" s="581"/>
      <c r="H1859" s="581"/>
      <c r="I1859" s="581"/>
      <c r="J1859" s="581"/>
      <c r="K1859" s="581">
        <f>SUM(F1859:J1859)</f>
        <v>0</v>
      </c>
    </row>
    <row r="1860" spans="3:12" x14ac:dyDescent="0.2">
      <c r="C1860" s="683"/>
      <c r="D1860" s="684" t="s">
        <v>101</v>
      </c>
      <c r="E1860" s="588"/>
      <c r="F1860" s="581"/>
      <c r="G1860" s="581">
        <v>2</v>
      </c>
      <c r="H1860" s="581">
        <v>1</v>
      </c>
      <c r="I1860" s="581"/>
      <c r="J1860" s="581">
        <v>1</v>
      </c>
      <c r="K1860" s="581">
        <f>SUM(F1860:J1860)</f>
        <v>4</v>
      </c>
    </row>
    <row r="1861" spans="3:12" ht="16" thickBot="1" x14ac:dyDescent="0.25">
      <c r="C1861" s="683"/>
      <c r="D1861" s="597" t="s">
        <v>102</v>
      </c>
      <c r="E1861" s="598"/>
      <c r="F1861" s="599">
        <v>13</v>
      </c>
      <c r="G1861" s="600"/>
      <c r="H1861" s="600"/>
      <c r="I1861" s="600">
        <v>4</v>
      </c>
      <c r="J1861" s="600">
        <v>11</v>
      </c>
      <c r="K1861" s="600">
        <f>SUM(F1861:J1861)</f>
        <v>28</v>
      </c>
    </row>
    <row r="1862" spans="3:12" ht="17" thickBot="1" x14ac:dyDescent="0.25">
      <c r="C1862" s="605"/>
      <c r="D1862" s="612" t="s">
        <v>84</v>
      </c>
      <c r="E1862" s="613"/>
      <c r="F1862" s="614">
        <f>(F1858+F1861)-F1860-F1859</f>
        <v>83</v>
      </c>
      <c r="G1862" s="615">
        <f>(G1858+G1861)-G1860-G1859</f>
        <v>38</v>
      </c>
      <c r="H1862" s="616">
        <f>(H1858+H1861)-H1860</f>
        <v>13</v>
      </c>
      <c r="I1862" s="615">
        <f>(I1858+I1861)-I1860-I1859</f>
        <v>48</v>
      </c>
      <c r="J1862" s="622">
        <f>(J1858+J1861)-J1860-J1859</f>
        <v>70</v>
      </c>
      <c r="K1862" s="617">
        <f>(K1858+K1861)-K1860-K1859</f>
        <v>252</v>
      </c>
    </row>
    <row r="1863" spans="3:12" ht="16" x14ac:dyDescent="0.2">
      <c r="C1863" s="683"/>
      <c r="D1863" s="608"/>
      <c r="E1863" s="609"/>
      <c r="F1863" s="610"/>
      <c r="G1863" s="595"/>
      <c r="H1863" s="611"/>
      <c r="I1863" s="595"/>
      <c r="J1863" s="595"/>
      <c r="K1863" s="595"/>
    </row>
    <row r="1864" spans="3:12" ht="16" thickBot="1" x14ac:dyDescent="0.25">
      <c r="C1864" s="606" t="s">
        <v>388</v>
      </c>
      <c r="D1864" s="607" t="s">
        <v>103</v>
      </c>
      <c r="E1864" s="603" t="s">
        <v>84</v>
      </c>
      <c r="F1864" s="602"/>
      <c r="G1864" s="602"/>
      <c r="H1864" s="602"/>
      <c r="I1864" s="601"/>
      <c r="J1864" s="601"/>
      <c r="K1864" s="601" t="s">
        <v>84</v>
      </c>
      <c r="L1864" s="174" t="s">
        <v>389</v>
      </c>
    </row>
    <row r="1865" spans="3:12" x14ac:dyDescent="0.2">
      <c r="C1865" s="589" t="s">
        <v>486</v>
      </c>
      <c r="D1865" s="604" t="s">
        <v>105</v>
      </c>
      <c r="E1865" s="591">
        <f>(F1865+G1865+H1865+I1865+J1865)*100+(0*230)</f>
        <v>6400</v>
      </c>
      <c r="F1865" s="3">
        <v>24</v>
      </c>
      <c r="G1865" s="3">
        <v>12</v>
      </c>
      <c r="H1865" s="3">
        <v>3</v>
      </c>
      <c r="I1865" s="3">
        <v>8</v>
      </c>
      <c r="J1865" s="3">
        <v>17</v>
      </c>
      <c r="K1865" s="628">
        <f t="shared" ref="K1865:K1887" si="86">SUM(F1865:J1865)</f>
        <v>64</v>
      </c>
      <c r="L1865" s="630">
        <f>K1865/4</f>
        <v>16</v>
      </c>
    </row>
    <row r="1866" spans="3:12" x14ac:dyDescent="0.2">
      <c r="C1866" s="589"/>
      <c r="D1866" s="590" t="s">
        <v>390</v>
      </c>
      <c r="E1866" s="591">
        <f>(F1866+G1866+H1866+I1866+J1866)*120</f>
        <v>0</v>
      </c>
      <c r="F1866" s="3"/>
      <c r="G1866" s="3"/>
      <c r="H1866" s="3"/>
      <c r="I1866" s="3"/>
      <c r="J1866" s="3"/>
      <c r="K1866" s="628">
        <f t="shared" si="86"/>
        <v>0</v>
      </c>
      <c r="L1866" s="630">
        <f t="shared" ref="L1866:L1887" si="87">K1866/4</f>
        <v>0</v>
      </c>
    </row>
    <row r="1867" spans="3:12" x14ac:dyDescent="0.2">
      <c r="C1867" s="589"/>
      <c r="D1867" s="590" t="s">
        <v>391</v>
      </c>
      <c r="E1867" s="591">
        <f>(F1867+G1867+H1867+I1867+J1867)*120</f>
        <v>0</v>
      </c>
      <c r="F1867" s="3"/>
      <c r="G1867" s="3"/>
      <c r="H1867" s="3"/>
      <c r="I1867" s="3"/>
      <c r="J1867" s="3"/>
      <c r="K1867" s="628">
        <f t="shared" si="86"/>
        <v>0</v>
      </c>
      <c r="L1867" s="630">
        <f t="shared" si="87"/>
        <v>0</v>
      </c>
    </row>
    <row r="1868" spans="3:12" x14ac:dyDescent="0.2">
      <c r="C1868" s="589" t="s">
        <v>751</v>
      </c>
      <c r="D1868" s="590" t="s">
        <v>392</v>
      </c>
      <c r="E1868" s="591">
        <f>(F1868+G1868+H1868+I1868+J1868)*120</f>
        <v>1920</v>
      </c>
      <c r="F1868" s="3">
        <v>6</v>
      </c>
      <c r="G1868" s="3">
        <v>2</v>
      </c>
      <c r="H1868" s="3">
        <v>4</v>
      </c>
      <c r="I1868" s="3"/>
      <c r="J1868" s="3">
        <v>4</v>
      </c>
      <c r="K1868" s="628">
        <f t="shared" si="86"/>
        <v>16</v>
      </c>
      <c r="L1868" s="630">
        <f t="shared" si="87"/>
        <v>4</v>
      </c>
    </row>
    <row r="1869" spans="3:12" x14ac:dyDescent="0.2">
      <c r="C1869" s="589"/>
      <c r="D1869" s="590" t="s">
        <v>425</v>
      </c>
      <c r="E1869" s="591">
        <f>(F1869+G1869+H1869+I1869+J1869)*120</f>
        <v>0</v>
      </c>
      <c r="F1869" s="3"/>
      <c r="G1869" s="3"/>
      <c r="H1869" s="3"/>
      <c r="I1869" s="3"/>
      <c r="J1869" s="3"/>
      <c r="K1869" s="628">
        <f t="shared" si="86"/>
        <v>0</v>
      </c>
      <c r="L1869" s="630">
        <f t="shared" si="87"/>
        <v>0</v>
      </c>
    </row>
    <row r="1870" spans="3:12" x14ac:dyDescent="0.2">
      <c r="C1870" s="589"/>
      <c r="D1870" s="590"/>
      <c r="E1870" s="591"/>
      <c r="F1870" s="3"/>
      <c r="G1870" s="3"/>
      <c r="H1870" s="3"/>
      <c r="I1870" s="3"/>
      <c r="J1870" s="3"/>
      <c r="K1870" s="628">
        <f t="shared" si="86"/>
        <v>0</v>
      </c>
      <c r="L1870" s="630">
        <f t="shared" si="87"/>
        <v>0</v>
      </c>
    </row>
    <row r="1871" spans="3:12" x14ac:dyDescent="0.2">
      <c r="C1871" s="589" t="s">
        <v>754</v>
      </c>
      <c r="D1871" s="590" t="s">
        <v>108</v>
      </c>
      <c r="E1871" s="591">
        <f>(F1871+G1871+H1871+J1871)*112.7+(I1871*119.6)</f>
        <v>4140</v>
      </c>
      <c r="F1871" s="3">
        <v>10</v>
      </c>
      <c r="G1871" s="3">
        <v>2</v>
      </c>
      <c r="H1871" s="3">
        <v>2</v>
      </c>
      <c r="I1871" s="3">
        <v>12</v>
      </c>
      <c r="J1871" s="3">
        <v>10</v>
      </c>
      <c r="K1871" s="628">
        <f t="shared" si="86"/>
        <v>36</v>
      </c>
      <c r="L1871" s="630">
        <f t="shared" si="87"/>
        <v>9</v>
      </c>
    </row>
    <row r="1872" spans="3:12" x14ac:dyDescent="0.2">
      <c r="C1872" s="589" t="s">
        <v>753</v>
      </c>
      <c r="D1872" s="590" t="s">
        <v>393</v>
      </c>
      <c r="E1872" s="591">
        <f>(F1872+G1872+H1872+J1872)*112.7+(I1872*119.6)</f>
        <v>2732.4</v>
      </c>
      <c r="F1872" s="3">
        <v>6</v>
      </c>
      <c r="G1872" s="3">
        <v>4</v>
      </c>
      <c r="H1872" s="3">
        <v>4</v>
      </c>
      <c r="I1872" s="3">
        <v>4</v>
      </c>
      <c r="J1872" s="3">
        <v>6</v>
      </c>
      <c r="K1872" s="628">
        <f t="shared" si="86"/>
        <v>24</v>
      </c>
      <c r="L1872" s="630">
        <f t="shared" si="87"/>
        <v>6</v>
      </c>
    </row>
    <row r="1873" spans="3:12" x14ac:dyDescent="0.2">
      <c r="C1873" s="589" t="s">
        <v>752</v>
      </c>
      <c r="D1873" s="590" t="s">
        <v>216</v>
      </c>
      <c r="E1873" s="591">
        <f>(F1873+G1873+H1873+J1873)*112.7+(I1873*119.6)</f>
        <v>2760</v>
      </c>
      <c r="F1873" s="3">
        <v>6</v>
      </c>
      <c r="G1873" s="3">
        <v>4</v>
      </c>
      <c r="H1873" s="3"/>
      <c r="I1873" s="3">
        <v>8</v>
      </c>
      <c r="J1873" s="3">
        <v>6</v>
      </c>
      <c r="K1873" s="628">
        <f t="shared" si="86"/>
        <v>24</v>
      </c>
      <c r="L1873" s="630">
        <f t="shared" si="87"/>
        <v>6</v>
      </c>
    </row>
    <row r="1874" spans="3:12" x14ac:dyDescent="0.2">
      <c r="C1874" s="589"/>
      <c r="D1874" s="590"/>
      <c r="E1874" s="591"/>
      <c r="F1874" s="3"/>
      <c r="G1874" s="3"/>
      <c r="H1874" s="3"/>
      <c r="I1874" s="3"/>
      <c r="J1874" s="3"/>
      <c r="K1874" s="628">
        <f t="shared" si="86"/>
        <v>0</v>
      </c>
      <c r="L1874" s="630">
        <f t="shared" si="87"/>
        <v>0</v>
      </c>
    </row>
    <row r="1875" spans="3:12" x14ac:dyDescent="0.2">
      <c r="C1875" s="589"/>
      <c r="D1875" s="590" t="s">
        <v>394</v>
      </c>
      <c r="E1875" s="591">
        <f>(F1875+G1875+H1875+I1875+J1875)*120</f>
        <v>0</v>
      </c>
      <c r="F1875" s="3"/>
      <c r="G1875" s="3"/>
      <c r="H1875" s="3"/>
      <c r="I1875" s="3"/>
      <c r="J1875" s="3"/>
      <c r="K1875" s="628">
        <f t="shared" si="86"/>
        <v>0</v>
      </c>
      <c r="L1875" s="630">
        <f t="shared" si="87"/>
        <v>0</v>
      </c>
    </row>
    <row r="1876" spans="3:12" x14ac:dyDescent="0.2">
      <c r="C1876" s="589" t="s">
        <v>755</v>
      </c>
      <c r="D1876" s="590" t="s">
        <v>110</v>
      </c>
      <c r="E1876" s="591">
        <f>(F1876+G1876+H1876+J1876)*112.7+(I1876*119.6)</f>
        <v>8675.6</v>
      </c>
      <c r="F1876" s="3">
        <v>30</v>
      </c>
      <c r="G1876" s="3">
        <v>12</v>
      </c>
      <c r="H1876" s="3"/>
      <c r="I1876" s="3">
        <v>16</v>
      </c>
      <c r="J1876" s="3">
        <v>18</v>
      </c>
      <c r="K1876" s="628">
        <f t="shared" si="86"/>
        <v>76</v>
      </c>
      <c r="L1876" s="630">
        <f t="shared" si="87"/>
        <v>19</v>
      </c>
    </row>
    <row r="1877" spans="3:12" x14ac:dyDescent="0.2">
      <c r="C1877" s="589"/>
      <c r="D1877" s="590"/>
      <c r="E1877" s="591"/>
      <c r="F1877" s="3"/>
      <c r="G1877" s="3"/>
      <c r="H1877" s="3"/>
      <c r="I1877" s="3"/>
      <c r="J1877" s="3"/>
      <c r="K1877" s="628">
        <f t="shared" si="86"/>
        <v>0</v>
      </c>
      <c r="L1877" s="630">
        <f t="shared" si="87"/>
        <v>0</v>
      </c>
    </row>
    <row r="1878" spans="3:12" x14ac:dyDescent="0.2">
      <c r="C1878" s="589"/>
      <c r="D1878" s="590" t="s">
        <v>381</v>
      </c>
      <c r="E1878" s="591">
        <f>(F1878+G1878+H1878+I1878+J1878)*120+(240*0)+(0*45)</f>
        <v>0</v>
      </c>
      <c r="F1878" s="3"/>
      <c r="G1878" s="3"/>
      <c r="H1878" s="3"/>
      <c r="I1878" s="3"/>
      <c r="J1878" s="3"/>
      <c r="K1878" s="628">
        <f t="shared" si="86"/>
        <v>0</v>
      </c>
      <c r="L1878" s="630">
        <f t="shared" si="87"/>
        <v>0</v>
      </c>
    </row>
    <row r="1879" spans="3:12" x14ac:dyDescent="0.2">
      <c r="C1879" s="589"/>
      <c r="D1879" s="590" t="s">
        <v>276</v>
      </c>
      <c r="E1879" s="591">
        <f>(F1879+G1879+H1879+J1879)*112.7+(I1879*119.6)</f>
        <v>0</v>
      </c>
      <c r="F1879" s="3"/>
      <c r="G1879" s="3"/>
      <c r="H1879" s="3"/>
      <c r="I1879" s="3"/>
      <c r="J1879" s="3"/>
      <c r="K1879" s="628">
        <f t="shared" si="86"/>
        <v>0</v>
      </c>
      <c r="L1879" s="630">
        <f t="shared" si="87"/>
        <v>0</v>
      </c>
    </row>
    <row r="1880" spans="3:12" x14ac:dyDescent="0.2">
      <c r="C1880" s="589"/>
      <c r="D1880" s="590"/>
      <c r="E1880" s="591"/>
      <c r="F1880" s="3"/>
      <c r="G1880" s="3"/>
      <c r="H1880" s="3"/>
      <c r="I1880" s="3"/>
      <c r="J1880" s="3"/>
      <c r="K1880" s="628">
        <f t="shared" si="86"/>
        <v>0</v>
      </c>
      <c r="L1880" s="630">
        <f t="shared" si="87"/>
        <v>0</v>
      </c>
    </row>
    <row r="1881" spans="3:12" x14ac:dyDescent="0.2">
      <c r="C1881" s="589"/>
      <c r="D1881" s="590" t="s">
        <v>75</v>
      </c>
      <c r="E1881" s="591">
        <f>(F1881+G1881+H1881+I1881+J1881)*120</f>
        <v>0</v>
      </c>
      <c r="F1881" s="3"/>
      <c r="G1881" s="3"/>
      <c r="H1881" s="3"/>
      <c r="I1881" s="3"/>
      <c r="J1881" s="3"/>
      <c r="K1881" s="628">
        <f t="shared" si="86"/>
        <v>0</v>
      </c>
      <c r="L1881" s="630">
        <f t="shared" si="87"/>
        <v>0</v>
      </c>
    </row>
    <row r="1882" spans="3:12" x14ac:dyDescent="0.2">
      <c r="C1882" s="589"/>
      <c r="D1882" s="590" t="s">
        <v>278</v>
      </c>
      <c r="E1882" s="591">
        <f>(F1882+G1882+H1882+I1882+J1882)*120</f>
        <v>0</v>
      </c>
      <c r="F1882" s="3"/>
      <c r="G1882" s="3"/>
      <c r="H1882" s="3"/>
      <c r="I1882" s="3"/>
      <c r="J1882" s="3"/>
      <c r="K1882" s="628">
        <f t="shared" si="86"/>
        <v>0</v>
      </c>
      <c r="L1882" s="630">
        <f t="shared" si="87"/>
        <v>0</v>
      </c>
    </row>
    <row r="1883" spans="3:12" x14ac:dyDescent="0.2">
      <c r="C1883" s="589"/>
      <c r="D1883" s="590" t="s">
        <v>270</v>
      </c>
      <c r="E1883" s="591">
        <f>(F1883+G1883+H1883+I1883)*112.7+(J1883*119.6)</f>
        <v>0</v>
      </c>
      <c r="F1883" s="3"/>
      <c r="G1883" s="3"/>
      <c r="H1883" s="3"/>
      <c r="I1883" s="3"/>
      <c r="J1883" s="3"/>
      <c r="K1883" s="628">
        <f t="shared" si="86"/>
        <v>0</v>
      </c>
      <c r="L1883" s="630">
        <f t="shared" si="87"/>
        <v>0</v>
      </c>
    </row>
    <row r="1884" spans="3:12" x14ac:dyDescent="0.2">
      <c r="C1884" s="589"/>
      <c r="D1884" s="590" t="s">
        <v>274</v>
      </c>
      <c r="E1884" s="591">
        <f>(F1884+G1884+H1884+I1884)*112.7+(J1884*119.6)</f>
        <v>0</v>
      </c>
      <c r="F1884" s="3"/>
      <c r="G1884" s="3"/>
      <c r="H1884" s="3"/>
      <c r="I1884" s="3"/>
      <c r="J1884" s="3"/>
      <c r="K1884" s="628">
        <f t="shared" si="86"/>
        <v>0</v>
      </c>
      <c r="L1884" s="630">
        <f t="shared" si="87"/>
        <v>0</v>
      </c>
    </row>
    <row r="1885" spans="3:12" x14ac:dyDescent="0.2">
      <c r="C1885" s="589"/>
      <c r="D1885" s="590" t="s">
        <v>395</v>
      </c>
      <c r="E1885" s="591">
        <f>(F1885+G1885+H1885+I1885)*112.7+(J1885*119.6)</f>
        <v>0</v>
      </c>
      <c r="F1885" s="3"/>
      <c r="G1885" s="3"/>
      <c r="H1885" s="3"/>
      <c r="I1885" s="3"/>
      <c r="J1885" s="3"/>
      <c r="K1885" s="628">
        <f t="shared" si="86"/>
        <v>0</v>
      </c>
      <c r="L1885" s="630">
        <f t="shared" si="87"/>
        <v>0</v>
      </c>
    </row>
    <row r="1886" spans="3:12" x14ac:dyDescent="0.2">
      <c r="C1886" s="683"/>
      <c r="D1886" s="590" t="s">
        <v>112</v>
      </c>
      <c r="E1886" s="591">
        <f>(F1886+G1886+H1886+I1886)*112.7+(J1886*119.6)</f>
        <v>0</v>
      </c>
      <c r="F1886" s="3"/>
      <c r="G1886" s="3"/>
      <c r="H1886" s="3"/>
      <c r="I1886" s="3"/>
      <c r="J1886" s="3"/>
      <c r="K1886" s="628">
        <f t="shared" si="86"/>
        <v>0</v>
      </c>
      <c r="L1886" s="630">
        <f t="shared" si="87"/>
        <v>0</v>
      </c>
    </row>
    <row r="1887" spans="3:12" x14ac:dyDescent="0.2">
      <c r="C1887" s="683"/>
      <c r="D1887" s="590" t="s">
        <v>72</v>
      </c>
      <c r="E1887" s="591">
        <f>(F1887+G1887+H1887+I1887)*112.7+(J1887*119.6)</f>
        <v>0</v>
      </c>
      <c r="F1887" s="3"/>
      <c r="G1887" s="3"/>
      <c r="H1887" s="3"/>
      <c r="I1887" s="3"/>
      <c r="J1887" s="3"/>
      <c r="K1887" s="628">
        <f t="shared" si="86"/>
        <v>0</v>
      </c>
      <c r="L1887" s="630">
        <f t="shared" si="87"/>
        <v>0</v>
      </c>
    </row>
    <row r="1888" spans="3:12" x14ac:dyDescent="0.2">
      <c r="C1888" s="683"/>
      <c r="D1888" s="590" t="s">
        <v>187</v>
      </c>
      <c r="E1888" s="591"/>
      <c r="F1888" s="3">
        <v>1</v>
      </c>
      <c r="G1888" s="3">
        <v>2</v>
      </c>
      <c r="H1888" s="3"/>
      <c r="I1888" s="3"/>
      <c r="J1888" s="3">
        <v>9</v>
      </c>
      <c r="K1888" s="628">
        <f>SUM(F1888:J1888)</f>
        <v>12</v>
      </c>
      <c r="L1888" s="3"/>
    </row>
    <row r="1889" spans="3:12" ht="16" x14ac:dyDescent="0.2">
      <c r="C1889" s="683"/>
      <c r="D1889" s="590"/>
      <c r="E1889" s="592"/>
      <c r="F1889" s="3"/>
      <c r="G1889" s="3"/>
      <c r="H1889" s="3"/>
      <c r="I1889" s="3"/>
      <c r="J1889" s="3"/>
      <c r="K1889" s="628">
        <f>SUM(F1889:J1889)</f>
        <v>0</v>
      </c>
      <c r="L1889" s="3"/>
    </row>
    <row r="1890" spans="3:12" ht="17" thickBot="1" x14ac:dyDescent="0.25">
      <c r="C1890" s="683"/>
      <c r="D1890" s="590"/>
      <c r="E1890" s="624"/>
      <c r="F1890" s="69"/>
      <c r="G1890" s="69"/>
      <c r="H1890" s="69"/>
      <c r="I1890" s="69"/>
      <c r="J1890" s="69"/>
      <c r="K1890" s="629"/>
      <c r="L1890" s="3"/>
    </row>
    <row r="1891" spans="3:12" ht="16" thickBot="1" x14ac:dyDescent="0.25">
      <c r="C1891" s="596"/>
      <c r="D1891" s="623" t="s">
        <v>19</v>
      </c>
      <c r="E1891" s="625">
        <f>SUM(E1865:E1888)</f>
        <v>26628</v>
      </c>
      <c r="F1891" s="614">
        <f>SUM(F1865:F1890)</f>
        <v>83</v>
      </c>
      <c r="G1891" s="614">
        <f>SUM(G1865:G1890)</f>
        <v>38</v>
      </c>
      <c r="H1891" s="614">
        <f>SUM(H1865:H1890)</f>
        <v>13</v>
      </c>
      <c r="I1891" s="614">
        <f>SUM(I1865:I1890)</f>
        <v>48</v>
      </c>
      <c r="J1891" s="614">
        <f>SUM(J1865:J1890)</f>
        <v>70</v>
      </c>
      <c r="K1891" s="626">
        <f>SUM(F1891:J1891)</f>
        <v>252</v>
      </c>
      <c r="L1891" s="631">
        <f>SUM(L1865:L1890)</f>
        <v>60</v>
      </c>
    </row>
    <row r="1892" spans="3:12" x14ac:dyDescent="0.2">
      <c r="C1892" s="596"/>
      <c r="D1892" s="593" t="s">
        <v>113</v>
      </c>
      <c r="E1892" s="620"/>
      <c r="F1892" s="610">
        <f>F1862-F1891</f>
        <v>0</v>
      </c>
      <c r="G1892" s="610">
        <f>G1862-G1891</f>
        <v>0</v>
      </c>
      <c r="H1892" s="610">
        <f>H1862-H1891</f>
        <v>0</v>
      </c>
      <c r="I1892" s="610">
        <f>I1862-I1891</f>
        <v>0</v>
      </c>
      <c r="J1892" s="610">
        <f>J1862-J1891</f>
        <v>0</v>
      </c>
      <c r="K1892" s="636">
        <f>SUM(F1892:J1892)</f>
        <v>0</v>
      </c>
      <c r="L1892" s="3"/>
    </row>
    <row r="1893" spans="3:12" x14ac:dyDescent="0.2">
      <c r="C1893" s="683"/>
      <c r="D1893" s="593" t="s">
        <v>436</v>
      </c>
      <c r="E1893" s="594"/>
      <c r="F1893" s="581"/>
      <c r="G1893" s="581"/>
      <c r="H1893" s="581"/>
      <c r="I1893" s="581"/>
      <c r="J1893" s="581"/>
      <c r="K1893" s="637">
        <f>K1891+K1892</f>
        <v>252</v>
      </c>
      <c r="L1893" s="3"/>
    </row>
    <row r="1895" spans="3:12" ht="18" x14ac:dyDescent="0.2">
      <c r="C1895" s="685" t="s">
        <v>412</v>
      </c>
      <c r="D1895" s="582">
        <v>45712</v>
      </c>
      <c r="E1895" s="800"/>
      <c r="F1895" s="685" t="s">
        <v>83</v>
      </c>
      <c r="G1895" s="801" t="s">
        <v>63</v>
      </c>
      <c r="H1895" s="802"/>
      <c r="I1895" s="802"/>
      <c r="J1895" s="802"/>
      <c r="K1895" s="803"/>
    </row>
    <row r="1896" spans="3:12" x14ac:dyDescent="0.2">
      <c r="C1896" s="804"/>
      <c r="D1896" s="805"/>
      <c r="E1896" s="800"/>
      <c r="F1896" s="683" t="s">
        <v>93</v>
      </c>
      <c r="G1896" s="683" t="s">
        <v>93</v>
      </c>
      <c r="H1896" s="683"/>
      <c r="I1896" s="806"/>
      <c r="J1896" s="806"/>
      <c r="K1896" s="806"/>
    </row>
    <row r="1897" spans="3:12" x14ac:dyDescent="0.2">
      <c r="C1897" s="804"/>
      <c r="D1897" s="805"/>
      <c r="E1897" s="800"/>
      <c r="F1897" s="683" t="s">
        <v>94</v>
      </c>
      <c r="G1897" s="683" t="s">
        <v>95</v>
      </c>
      <c r="H1897" s="683" t="s">
        <v>96</v>
      </c>
      <c r="I1897" s="806"/>
      <c r="J1897" s="806"/>
      <c r="K1897" s="806"/>
    </row>
    <row r="1898" spans="3:12" x14ac:dyDescent="0.2">
      <c r="C1898" s="804"/>
      <c r="D1898" s="805"/>
      <c r="E1898" s="800"/>
      <c r="F1898" s="683"/>
      <c r="G1898" s="683"/>
      <c r="H1898" s="683"/>
      <c r="I1898" s="806"/>
      <c r="J1898" s="806"/>
      <c r="K1898" s="806"/>
    </row>
    <row r="1899" spans="3:12" ht="16" x14ac:dyDescent="0.2">
      <c r="C1899" s="683"/>
      <c r="D1899" s="583" t="s">
        <v>97</v>
      </c>
      <c r="E1899" s="584"/>
      <c r="F1899" s="581"/>
      <c r="G1899" s="585"/>
      <c r="H1899" s="585"/>
      <c r="I1899" s="586"/>
      <c r="J1899" s="586"/>
      <c r="K1899" s="586"/>
    </row>
    <row r="1900" spans="3:12" ht="26" x14ac:dyDescent="0.2">
      <c r="C1900" s="804"/>
      <c r="D1900" s="587"/>
      <c r="E1900" s="588"/>
      <c r="F1900" s="585" t="s">
        <v>383</v>
      </c>
      <c r="G1900" s="585" t="s">
        <v>384</v>
      </c>
      <c r="H1900" s="585" t="s">
        <v>385</v>
      </c>
      <c r="I1900" s="585" t="s">
        <v>386</v>
      </c>
      <c r="J1900" s="585" t="s">
        <v>387</v>
      </c>
      <c r="K1900" s="585" t="s">
        <v>84</v>
      </c>
    </row>
    <row r="1901" spans="3:12" x14ac:dyDescent="0.2">
      <c r="C1901" s="804"/>
      <c r="D1901" s="684" t="s">
        <v>167</v>
      </c>
      <c r="E1901" s="588"/>
      <c r="F1901" s="580">
        <v>11</v>
      </c>
      <c r="G1901" s="579">
        <v>7</v>
      </c>
      <c r="H1901" s="580">
        <v>4</v>
      </c>
      <c r="I1901" s="580">
        <v>4</v>
      </c>
      <c r="J1901" s="580">
        <v>8</v>
      </c>
      <c r="K1901" s="580">
        <f>SUM(F1901:J1901)</f>
        <v>34</v>
      </c>
    </row>
    <row r="1902" spans="3:12" x14ac:dyDescent="0.2">
      <c r="C1902" s="804"/>
      <c r="D1902" s="684" t="s">
        <v>207</v>
      </c>
      <c r="E1902" s="588"/>
      <c r="F1902" s="618">
        <v>77</v>
      </c>
      <c r="G1902" s="619">
        <v>49</v>
      </c>
      <c r="H1902" s="618">
        <v>28</v>
      </c>
      <c r="I1902" s="618">
        <v>44</v>
      </c>
      <c r="J1902" s="618">
        <v>66</v>
      </c>
      <c r="K1902" s="618">
        <f>SUM(F1902:J1902)</f>
        <v>264</v>
      </c>
    </row>
    <row r="1903" spans="3:12" x14ac:dyDescent="0.2">
      <c r="C1903" s="683"/>
      <c r="D1903" s="684" t="s">
        <v>100</v>
      </c>
      <c r="E1903" s="588"/>
      <c r="F1903" s="581"/>
      <c r="G1903" s="581"/>
      <c r="H1903" s="581"/>
      <c r="I1903" s="581"/>
      <c r="J1903" s="581"/>
      <c r="K1903" s="581">
        <f>SUM(F1903:J1903)</f>
        <v>0</v>
      </c>
    </row>
    <row r="1904" spans="3:12" x14ac:dyDescent="0.2">
      <c r="C1904" s="683"/>
      <c r="D1904" s="684" t="s">
        <v>101</v>
      </c>
      <c r="E1904" s="588"/>
      <c r="F1904" s="581"/>
      <c r="G1904" s="581">
        <v>1</v>
      </c>
      <c r="H1904" s="581"/>
      <c r="I1904" s="581"/>
      <c r="J1904" s="581">
        <v>1</v>
      </c>
      <c r="K1904" s="581">
        <f>SUM(F1904:J1904)</f>
        <v>2</v>
      </c>
    </row>
    <row r="1905" spans="3:12" ht="16" thickBot="1" x14ac:dyDescent="0.25">
      <c r="C1905" s="683"/>
      <c r="D1905" s="597" t="s">
        <v>102</v>
      </c>
      <c r="E1905" s="598"/>
      <c r="F1905" s="599"/>
      <c r="G1905" s="600"/>
      <c r="H1905" s="600">
        <v>1</v>
      </c>
      <c r="I1905" s="600"/>
      <c r="J1905" s="600">
        <v>2</v>
      </c>
      <c r="K1905" s="600">
        <f>SUM(F1905:J1905)</f>
        <v>3</v>
      </c>
    </row>
    <row r="1906" spans="3:12" ht="17" thickBot="1" x14ac:dyDescent="0.25">
      <c r="C1906" s="605"/>
      <c r="D1906" s="612" t="s">
        <v>84</v>
      </c>
      <c r="E1906" s="613"/>
      <c r="F1906" s="614">
        <f>(F1902+F1905)-F1904-F1903</f>
        <v>77</v>
      </c>
      <c r="G1906" s="615">
        <f>(G1902+G1905)-G1904-G1903</f>
        <v>48</v>
      </c>
      <c r="H1906" s="616">
        <f>(H1902+H1905)-H1904</f>
        <v>29</v>
      </c>
      <c r="I1906" s="615">
        <f>(I1902+I1905)-I1904-I1903</f>
        <v>44</v>
      </c>
      <c r="J1906" s="622">
        <f>(J1902+J1905)-J1904-J1903</f>
        <v>67</v>
      </c>
      <c r="K1906" s="617">
        <f>(K1902+K1905)-K1904-K1903</f>
        <v>265</v>
      </c>
    </row>
    <row r="1907" spans="3:12" ht="16" x14ac:dyDescent="0.2">
      <c r="C1907" s="683"/>
      <c r="D1907" s="608"/>
      <c r="E1907" s="609"/>
      <c r="F1907" s="610"/>
      <c r="G1907" s="595"/>
      <c r="H1907" s="611"/>
      <c r="I1907" s="595"/>
      <c r="J1907" s="595"/>
      <c r="K1907" s="595"/>
    </row>
    <row r="1908" spans="3:12" ht="16" thickBot="1" x14ac:dyDescent="0.25">
      <c r="C1908" s="606" t="s">
        <v>388</v>
      </c>
      <c r="D1908" s="607" t="s">
        <v>103</v>
      </c>
      <c r="E1908" s="603" t="s">
        <v>84</v>
      </c>
      <c r="F1908" s="602"/>
      <c r="G1908" s="602"/>
      <c r="H1908" s="602"/>
      <c r="I1908" s="601"/>
      <c r="J1908" s="601"/>
      <c r="K1908" s="601" t="s">
        <v>84</v>
      </c>
      <c r="L1908" s="174" t="s">
        <v>389</v>
      </c>
    </row>
    <row r="1909" spans="3:12" x14ac:dyDescent="0.2">
      <c r="C1909" s="589" t="s">
        <v>417</v>
      </c>
      <c r="D1909" s="604" t="s">
        <v>105</v>
      </c>
      <c r="E1909" s="591">
        <f>(F1909+G1909+H1909+I1909+J1909)*100+(0*230)</f>
        <v>6600</v>
      </c>
      <c r="F1909" s="3">
        <v>18</v>
      </c>
      <c r="G1909" s="3">
        <v>13</v>
      </c>
      <c r="H1909" s="3">
        <v>16</v>
      </c>
      <c r="I1909" s="3">
        <v>6</v>
      </c>
      <c r="J1909" s="3">
        <v>13</v>
      </c>
      <c r="K1909" s="628">
        <f t="shared" ref="K1909:K1931" si="88">SUM(F1909:J1909)</f>
        <v>66</v>
      </c>
      <c r="L1909" s="630">
        <f>K1909/4</f>
        <v>16.5</v>
      </c>
    </row>
    <row r="1910" spans="3:12" x14ac:dyDescent="0.2">
      <c r="C1910" s="589"/>
      <c r="D1910" s="590" t="s">
        <v>390</v>
      </c>
      <c r="E1910" s="591">
        <f>(F1910+G1910+H1910+I1910+J1910)*120</f>
        <v>0</v>
      </c>
      <c r="F1910" s="3"/>
      <c r="G1910" s="3"/>
      <c r="H1910" s="3"/>
      <c r="I1910" s="3"/>
      <c r="J1910" s="3"/>
      <c r="K1910" s="628">
        <f t="shared" si="88"/>
        <v>0</v>
      </c>
      <c r="L1910" s="630">
        <f t="shared" ref="L1910:L1931" si="89">K1910/4</f>
        <v>0</v>
      </c>
    </row>
    <row r="1911" spans="3:12" x14ac:dyDescent="0.2">
      <c r="C1911" s="589"/>
      <c r="D1911" s="590" t="s">
        <v>391</v>
      </c>
      <c r="E1911" s="591">
        <f>(F1911+G1911+H1911+I1911+J1911)*120</f>
        <v>0</v>
      </c>
      <c r="F1911" s="3"/>
      <c r="G1911" s="3"/>
      <c r="H1911" s="3"/>
      <c r="I1911" s="3"/>
      <c r="J1911" s="3"/>
      <c r="K1911" s="628">
        <f t="shared" si="88"/>
        <v>0</v>
      </c>
      <c r="L1911" s="630">
        <f t="shared" si="89"/>
        <v>0</v>
      </c>
    </row>
    <row r="1912" spans="3:12" x14ac:dyDescent="0.2">
      <c r="C1912" s="589"/>
      <c r="D1912" s="590" t="s">
        <v>392</v>
      </c>
      <c r="E1912" s="591">
        <f>(F1912+G1912+H1912+I1912+J1912)*120</f>
        <v>0</v>
      </c>
      <c r="F1912" s="3"/>
      <c r="G1912" s="3"/>
      <c r="H1912" s="3"/>
      <c r="I1912" s="3"/>
      <c r="J1912" s="3"/>
      <c r="K1912" s="628">
        <f t="shared" si="88"/>
        <v>0</v>
      </c>
      <c r="L1912" s="630">
        <f t="shared" si="89"/>
        <v>0</v>
      </c>
    </row>
    <row r="1913" spans="3:12" x14ac:dyDescent="0.2">
      <c r="C1913" s="589"/>
      <c r="D1913" s="590" t="s">
        <v>425</v>
      </c>
      <c r="E1913" s="591">
        <f>(F1913+G1913+H1913+I1913+J1913)*120</f>
        <v>0</v>
      </c>
      <c r="F1913" s="3"/>
      <c r="G1913" s="3"/>
      <c r="H1913" s="3"/>
      <c r="I1913" s="3"/>
      <c r="J1913" s="3"/>
      <c r="K1913" s="628">
        <f t="shared" si="88"/>
        <v>0</v>
      </c>
      <c r="L1913" s="630">
        <f t="shared" si="89"/>
        <v>0</v>
      </c>
    </row>
    <row r="1914" spans="3:12" x14ac:dyDescent="0.2">
      <c r="C1914" s="589"/>
      <c r="D1914" s="590"/>
      <c r="E1914" s="591"/>
      <c r="F1914" s="3"/>
      <c r="G1914" s="3"/>
      <c r="H1914" s="3"/>
      <c r="I1914" s="3"/>
      <c r="J1914" s="3"/>
      <c r="K1914" s="628">
        <f t="shared" si="88"/>
        <v>0</v>
      </c>
      <c r="L1914" s="630">
        <f t="shared" si="89"/>
        <v>0</v>
      </c>
    </row>
    <row r="1915" spans="3:12" x14ac:dyDescent="0.2">
      <c r="C1915" s="589" t="s">
        <v>760</v>
      </c>
      <c r="D1915" s="590" t="s">
        <v>108</v>
      </c>
      <c r="E1915" s="591">
        <f>(F1915+G1915+H1915+J1915)*112.7+(I1915*119.6)</f>
        <v>3210.8</v>
      </c>
      <c r="F1915" s="3">
        <v>6</v>
      </c>
      <c r="G1915" s="3">
        <v>4</v>
      </c>
      <c r="H1915" s="3">
        <v>4</v>
      </c>
      <c r="I1915" s="3">
        <v>8</v>
      </c>
      <c r="J1915" s="3">
        <v>6</v>
      </c>
      <c r="K1915" s="628">
        <f t="shared" si="88"/>
        <v>28</v>
      </c>
      <c r="L1915" s="630">
        <f t="shared" si="89"/>
        <v>7</v>
      </c>
    </row>
    <row r="1916" spans="3:12" x14ac:dyDescent="0.2">
      <c r="C1916" s="589" t="s">
        <v>759</v>
      </c>
      <c r="D1916" s="590" t="s">
        <v>393</v>
      </c>
      <c r="E1916" s="591">
        <f>(F1916+G1916+H1916+J1916)*112.7+(I1916*119.6)</f>
        <v>2732.4</v>
      </c>
      <c r="F1916" s="3">
        <v>6</v>
      </c>
      <c r="G1916" s="3">
        <v>4</v>
      </c>
      <c r="H1916" s="3">
        <v>4</v>
      </c>
      <c r="I1916" s="3">
        <v>4</v>
      </c>
      <c r="J1916" s="3">
        <v>6</v>
      </c>
      <c r="K1916" s="628">
        <f t="shared" si="88"/>
        <v>24</v>
      </c>
      <c r="L1916" s="630">
        <f t="shared" si="89"/>
        <v>6</v>
      </c>
    </row>
    <row r="1917" spans="3:12" x14ac:dyDescent="0.2">
      <c r="C1917" s="589" t="s">
        <v>758</v>
      </c>
      <c r="D1917" s="590" t="s">
        <v>216</v>
      </c>
      <c r="E1917" s="591">
        <f>(F1917+G1917+H1917+J1917)*112.7+(I1917*119.6)</f>
        <v>2281.6</v>
      </c>
      <c r="F1917" s="3">
        <v>6</v>
      </c>
      <c r="G1917" s="3">
        <v>4</v>
      </c>
      <c r="H1917" s="3"/>
      <c r="I1917" s="3">
        <v>4</v>
      </c>
      <c r="J1917" s="3">
        <v>6</v>
      </c>
      <c r="K1917" s="628">
        <f t="shared" si="88"/>
        <v>20</v>
      </c>
      <c r="L1917" s="630">
        <f t="shared" si="89"/>
        <v>5</v>
      </c>
    </row>
    <row r="1918" spans="3:12" x14ac:dyDescent="0.2">
      <c r="C1918" s="589"/>
      <c r="D1918" s="590"/>
      <c r="E1918" s="591"/>
      <c r="F1918" s="3"/>
      <c r="G1918" s="3"/>
      <c r="H1918" s="3"/>
      <c r="I1918" s="3"/>
      <c r="J1918" s="3"/>
      <c r="K1918" s="628">
        <f t="shared" si="88"/>
        <v>0</v>
      </c>
      <c r="L1918" s="630">
        <f t="shared" si="89"/>
        <v>0</v>
      </c>
    </row>
    <row r="1919" spans="3:12" x14ac:dyDescent="0.2">
      <c r="C1919" s="589" t="s">
        <v>418</v>
      </c>
      <c r="D1919" s="590" t="s">
        <v>394</v>
      </c>
      <c r="E1919" s="591">
        <f>(F1919+G1919+H1919+I1919+J1919)*120</f>
        <v>4200</v>
      </c>
      <c r="F1919" s="3">
        <v>10</v>
      </c>
      <c r="G1919" s="3">
        <v>5</v>
      </c>
      <c r="H1919" s="3">
        <v>5</v>
      </c>
      <c r="I1919" s="3">
        <v>5</v>
      </c>
      <c r="J1919" s="3">
        <v>10</v>
      </c>
      <c r="K1919" s="628">
        <f t="shared" si="88"/>
        <v>35</v>
      </c>
      <c r="L1919" s="630">
        <f t="shared" si="89"/>
        <v>8.75</v>
      </c>
    </row>
    <row r="1920" spans="3:12" x14ac:dyDescent="0.2">
      <c r="C1920" s="589" t="s">
        <v>761</v>
      </c>
      <c r="D1920" s="590" t="s">
        <v>110</v>
      </c>
      <c r="E1920" s="591">
        <f>(F1920+G1920+H1920+J1920)*112.7+(I1920*119.6)</f>
        <v>9126.4</v>
      </c>
      <c r="F1920" s="3">
        <v>30</v>
      </c>
      <c r="G1920" s="3">
        <v>16</v>
      </c>
      <c r="H1920" s="3"/>
      <c r="I1920" s="3">
        <v>16</v>
      </c>
      <c r="J1920" s="3">
        <v>18</v>
      </c>
      <c r="K1920" s="628">
        <f t="shared" si="88"/>
        <v>80</v>
      </c>
      <c r="L1920" s="630">
        <f t="shared" si="89"/>
        <v>20</v>
      </c>
    </row>
    <row r="1921" spans="3:12" x14ac:dyDescent="0.2">
      <c r="C1921" s="589"/>
      <c r="D1921" s="590"/>
      <c r="E1921" s="591"/>
      <c r="F1921" s="3"/>
      <c r="G1921" s="3"/>
      <c r="H1921" s="3"/>
      <c r="I1921" s="3"/>
      <c r="J1921" s="3"/>
      <c r="K1921" s="628">
        <f t="shared" si="88"/>
        <v>0</v>
      </c>
      <c r="L1921" s="630">
        <f t="shared" si="89"/>
        <v>0</v>
      </c>
    </row>
    <row r="1922" spans="3:12" x14ac:dyDescent="0.2">
      <c r="C1922" s="589"/>
      <c r="D1922" s="590" t="s">
        <v>381</v>
      </c>
      <c r="E1922" s="591">
        <f>(F1922+G1922+H1922+I1922+J1922)*120+(240*0)+(0*45)</f>
        <v>0</v>
      </c>
      <c r="F1922" s="3"/>
      <c r="G1922" s="3"/>
      <c r="H1922" s="3"/>
      <c r="I1922" s="3"/>
      <c r="J1922" s="3"/>
      <c r="K1922" s="628">
        <f t="shared" si="88"/>
        <v>0</v>
      </c>
      <c r="L1922" s="630">
        <f t="shared" si="89"/>
        <v>0</v>
      </c>
    </row>
    <row r="1923" spans="3:12" x14ac:dyDescent="0.2">
      <c r="C1923" s="589"/>
      <c r="D1923" s="590" t="s">
        <v>276</v>
      </c>
      <c r="E1923" s="591">
        <f>(F1923+G1923+H1923+J1923)*112.7+(I1923*119.6)</f>
        <v>0</v>
      </c>
      <c r="F1923" s="3"/>
      <c r="G1923" s="3"/>
      <c r="H1923" s="3"/>
      <c r="I1923" s="3"/>
      <c r="J1923" s="3"/>
      <c r="K1923" s="628">
        <f t="shared" si="88"/>
        <v>0</v>
      </c>
      <c r="L1923" s="630">
        <f t="shared" si="89"/>
        <v>0</v>
      </c>
    </row>
    <row r="1924" spans="3:12" x14ac:dyDescent="0.2">
      <c r="C1924" s="589"/>
      <c r="D1924" s="590"/>
      <c r="E1924" s="591"/>
      <c r="F1924" s="3"/>
      <c r="G1924" s="3"/>
      <c r="H1924" s="3"/>
      <c r="I1924" s="3"/>
      <c r="J1924" s="3"/>
      <c r="K1924" s="628">
        <f t="shared" si="88"/>
        <v>0</v>
      </c>
      <c r="L1924" s="630">
        <f t="shared" si="89"/>
        <v>0</v>
      </c>
    </row>
    <row r="1925" spans="3:12" x14ac:dyDescent="0.2">
      <c r="C1925" s="589"/>
      <c r="D1925" s="590" t="s">
        <v>75</v>
      </c>
      <c r="E1925" s="591">
        <f>(F1925+G1925+H1925+I1925+J1925)*120</f>
        <v>0</v>
      </c>
      <c r="F1925" s="3"/>
      <c r="G1925" s="3"/>
      <c r="H1925" s="3"/>
      <c r="I1925" s="3"/>
      <c r="J1925" s="3"/>
      <c r="K1925" s="628">
        <f t="shared" si="88"/>
        <v>0</v>
      </c>
      <c r="L1925" s="630">
        <f t="shared" si="89"/>
        <v>0</v>
      </c>
    </row>
    <row r="1926" spans="3:12" x14ac:dyDescent="0.2">
      <c r="C1926" s="589"/>
      <c r="D1926" s="590" t="s">
        <v>278</v>
      </c>
      <c r="E1926" s="591">
        <f>(F1926+G1926+H1926+I1926+J1926)*120</f>
        <v>0</v>
      </c>
      <c r="F1926" s="3"/>
      <c r="G1926" s="3"/>
      <c r="H1926" s="3"/>
      <c r="I1926" s="3"/>
      <c r="J1926" s="3"/>
      <c r="K1926" s="628">
        <f t="shared" si="88"/>
        <v>0</v>
      </c>
      <c r="L1926" s="630">
        <f t="shared" si="89"/>
        <v>0</v>
      </c>
    </row>
    <row r="1927" spans="3:12" x14ac:dyDescent="0.2">
      <c r="C1927" s="589"/>
      <c r="D1927" s="590" t="s">
        <v>270</v>
      </c>
      <c r="E1927" s="591">
        <f>(F1927+G1927+H1927+I1927)*112.7+(J1927*119.6)</f>
        <v>0</v>
      </c>
      <c r="F1927" s="3"/>
      <c r="G1927" s="3"/>
      <c r="H1927" s="3"/>
      <c r="I1927" s="3"/>
      <c r="J1927" s="3"/>
      <c r="K1927" s="628">
        <f t="shared" si="88"/>
        <v>0</v>
      </c>
      <c r="L1927" s="630">
        <f t="shared" si="89"/>
        <v>0</v>
      </c>
    </row>
    <row r="1928" spans="3:12" x14ac:dyDescent="0.2">
      <c r="C1928" s="589"/>
      <c r="D1928" s="590" t="s">
        <v>274</v>
      </c>
      <c r="E1928" s="591">
        <f>(F1928+G1928+H1928+I1928)*112.7+(J1928*119.6)</f>
        <v>0</v>
      </c>
      <c r="F1928" s="3"/>
      <c r="G1928" s="3"/>
      <c r="H1928" s="3"/>
      <c r="I1928" s="3"/>
      <c r="J1928" s="3"/>
      <c r="K1928" s="628">
        <f t="shared" si="88"/>
        <v>0</v>
      </c>
      <c r="L1928" s="630">
        <f t="shared" si="89"/>
        <v>0</v>
      </c>
    </row>
    <row r="1929" spans="3:12" x14ac:dyDescent="0.2">
      <c r="C1929" s="589"/>
      <c r="D1929" s="590" t="s">
        <v>395</v>
      </c>
      <c r="E1929" s="591">
        <f>(F1929+G1929+H1929+I1929)*112.7+(J1929*119.6)</f>
        <v>0</v>
      </c>
      <c r="F1929" s="3"/>
      <c r="G1929" s="3"/>
      <c r="H1929" s="3"/>
      <c r="I1929" s="3"/>
      <c r="J1929" s="3"/>
      <c r="K1929" s="628">
        <f t="shared" si="88"/>
        <v>0</v>
      </c>
      <c r="L1929" s="630">
        <f t="shared" si="89"/>
        <v>0</v>
      </c>
    </row>
    <row r="1930" spans="3:12" x14ac:dyDescent="0.2">
      <c r="C1930" s="683"/>
      <c r="D1930" s="590" t="s">
        <v>112</v>
      </c>
      <c r="E1930" s="591">
        <f>(F1930+G1930+H1930+I1930)*112.7+(J1930*119.6)</f>
        <v>0</v>
      </c>
      <c r="F1930" s="3"/>
      <c r="G1930" s="3"/>
      <c r="H1930" s="3"/>
      <c r="I1930" s="3"/>
      <c r="J1930" s="3"/>
      <c r="K1930" s="628">
        <f t="shared" si="88"/>
        <v>0</v>
      </c>
      <c r="L1930" s="630">
        <f t="shared" si="89"/>
        <v>0</v>
      </c>
    </row>
    <row r="1931" spans="3:12" x14ac:dyDescent="0.2">
      <c r="C1931" s="683"/>
      <c r="D1931" s="590" t="s">
        <v>72</v>
      </c>
      <c r="E1931" s="591">
        <f>(F1931+G1931+H1931+I1931)*112.7+(J1931*119.6)</f>
        <v>0</v>
      </c>
      <c r="F1931" s="3"/>
      <c r="G1931" s="3"/>
      <c r="H1931" s="3"/>
      <c r="I1931" s="3"/>
      <c r="J1931" s="3"/>
      <c r="K1931" s="628">
        <f t="shared" si="88"/>
        <v>0</v>
      </c>
      <c r="L1931" s="630">
        <f t="shared" si="89"/>
        <v>0</v>
      </c>
    </row>
    <row r="1932" spans="3:12" x14ac:dyDescent="0.2">
      <c r="C1932" s="683"/>
      <c r="D1932" s="590" t="s">
        <v>187</v>
      </c>
      <c r="E1932" s="591"/>
      <c r="F1932" s="3"/>
      <c r="G1932" s="3">
        <v>2</v>
      </c>
      <c r="H1932" s="3"/>
      <c r="I1932" s="3"/>
      <c r="J1932" s="3">
        <v>8</v>
      </c>
      <c r="K1932" s="628">
        <f>SUM(F1932:J1932)</f>
        <v>10</v>
      </c>
      <c r="L1932" s="3"/>
    </row>
    <row r="1933" spans="3:12" ht="16" x14ac:dyDescent="0.2">
      <c r="C1933" s="683"/>
      <c r="D1933" s="590"/>
      <c r="E1933" s="592"/>
      <c r="F1933" s="3"/>
      <c r="G1933" s="3"/>
      <c r="H1933" s="3"/>
      <c r="I1933" s="3"/>
      <c r="J1933" s="3"/>
      <c r="K1933" s="628">
        <f>SUM(F1933:J1933)</f>
        <v>0</v>
      </c>
      <c r="L1933" s="3"/>
    </row>
    <row r="1934" spans="3:12" ht="17" thickBot="1" x14ac:dyDescent="0.25">
      <c r="C1934" s="683"/>
      <c r="D1934" s="590"/>
      <c r="E1934" s="624"/>
      <c r="F1934" s="69"/>
      <c r="G1934" s="69"/>
      <c r="H1934" s="69"/>
      <c r="I1934" s="69"/>
      <c r="J1934" s="69"/>
      <c r="K1934" s="629"/>
      <c r="L1934" s="3"/>
    </row>
    <row r="1935" spans="3:12" ht="16" thickBot="1" x14ac:dyDescent="0.25">
      <c r="C1935" s="596"/>
      <c r="D1935" s="623" t="s">
        <v>19</v>
      </c>
      <c r="E1935" s="625">
        <f>SUM(E1909:E1932)</f>
        <v>28151.199999999997</v>
      </c>
      <c r="F1935" s="614">
        <f>SUM(F1909:F1934)</f>
        <v>76</v>
      </c>
      <c r="G1935" s="614">
        <f>SUM(G1909:G1934)</f>
        <v>48</v>
      </c>
      <c r="H1935" s="614">
        <f>SUM(H1909:H1934)</f>
        <v>29</v>
      </c>
      <c r="I1935" s="614">
        <f>SUM(I1909:I1934)</f>
        <v>43</v>
      </c>
      <c r="J1935" s="614">
        <f>SUM(J1909:J1934)</f>
        <v>67</v>
      </c>
      <c r="K1935" s="626">
        <f>SUM(F1935:J1935)</f>
        <v>263</v>
      </c>
      <c r="L1935" s="631">
        <f>SUM(L1909:L1934)</f>
        <v>63.25</v>
      </c>
    </row>
    <row r="1936" spans="3:12" x14ac:dyDescent="0.2">
      <c r="C1936" s="596"/>
      <c r="D1936" s="593" t="s">
        <v>113</v>
      </c>
      <c r="E1936" s="620"/>
      <c r="F1936" s="610">
        <f>F1906-F1935</f>
        <v>1</v>
      </c>
      <c r="G1936" s="610">
        <f>G1906-G1935</f>
        <v>0</v>
      </c>
      <c r="H1936" s="610">
        <f>H1906-H1935</f>
        <v>0</v>
      </c>
      <c r="I1936" s="610">
        <f>I1906-I1935</f>
        <v>1</v>
      </c>
      <c r="J1936" s="610">
        <f>J1906-J1935</f>
        <v>0</v>
      </c>
      <c r="K1936" s="636">
        <f>SUM(F1936:J1936)</f>
        <v>2</v>
      </c>
      <c r="L1936" s="3"/>
    </row>
    <row r="1937" spans="3:12" x14ac:dyDescent="0.2">
      <c r="C1937" s="683"/>
      <c r="D1937" s="593" t="s">
        <v>436</v>
      </c>
      <c r="E1937" s="594"/>
      <c r="F1937" s="581"/>
      <c r="G1937" s="581"/>
      <c r="H1937" s="581"/>
      <c r="I1937" s="581"/>
      <c r="J1937" s="581"/>
      <c r="K1937" s="637">
        <f>K1935+K1936</f>
        <v>265</v>
      </c>
      <c r="L1937" s="3"/>
    </row>
    <row r="1939" spans="3:12" ht="18" x14ac:dyDescent="0.2">
      <c r="C1939" s="685" t="s">
        <v>412</v>
      </c>
      <c r="D1939" s="582">
        <v>45714</v>
      </c>
      <c r="E1939" s="800"/>
      <c r="F1939" s="685" t="s">
        <v>83</v>
      </c>
      <c r="G1939" s="801" t="s">
        <v>65</v>
      </c>
      <c r="H1939" s="802"/>
      <c r="I1939" s="802"/>
      <c r="J1939" s="802"/>
      <c r="K1939" s="803"/>
    </row>
    <row r="1940" spans="3:12" x14ac:dyDescent="0.2">
      <c r="C1940" s="804"/>
      <c r="D1940" s="805"/>
      <c r="E1940" s="800"/>
      <c r="F1940" s="683" t="s">
        <v>93</v>
      </c>
      <c r="G1940" s="683" t="s">
        <v>93</v>
      </c>
      <c r="H1940" s="683"/>
      <c r="I1940" s="806"/>
      <c r="J1940" s="806"/>
      <c r="K1940" s="806"/>
    </row>
    <row r="1941" spans="3:12" x14ac:dyDescent="0.2">
      <c r="C1941" s="804"/>
      <c r="D1941" s="805"/>
      <c r="E1941" s="800"/>
      <c r="F1941" s="683" t="s">
        <v>94</v>
      </c>
      <c r="G1941" s="683" t="s">
        <v>95</v>
      </c>
      <c r="H1941" s="683" t="s">
        <v>96</v>
      </c>
      <c r="I1941" s="806"/>
      <c r="J1941" s="806"/>
      <c r="K1941" s="806"/>
    </row>
    <row r="1942" spans="3:12" x14ac:dyDescent="0.2">
      <c r="C1942" s="804"/>
      <c r="D1942" s="805"/>
      <c r="E1942" s="800"/>
      <c r="F1942" s="683"/>
      <c r="G1942" s="683"/>
      <c r="H1942" s="683"/>
      <c r="I1942" s="806"/>
      <c r="J1942" s="806"/>
      <c r="K1942" s="806"/>
    </row>
    <row r="1943" spans="3:12" ht="16" x14ac:dyDescent="0.2">
      <c r="C1943" s="683"/>
      <c r="D1943" s="583" t="s">
        <v>97</v>
      </c>
      <c r="E1943" s="584"/>
      <c r="F1943" s="581"/>
      <c r="G1943" s="585"/>
      <c r="H1943" s="585"/>
      <c r="I1943" s="586"/>
      <c r="J1943" s="586"/>
      <c r="K1943" s="586"/>
    </row>
    <row r="1944" spans="3:12" ht="26" x14ac:dyDescent="0.2">
      <c r="C1944" s="804"/>
      <c r="D1944" s="587"/>
      <c r="E1944" s="588"/>
      <c r="F1944" s="585" t="s">
        <v>383</v>
      </c>
      <c r="G1944" s="585" t="s">
        <v>384</v>
      </c>
      <c r="H1944" s="585" t="s">
        <v>385</v>
      </c>
      <c r="I1944" s="585" t="s">
        <v>386</v>
      </c>
      <c r="J1944" s="585" t="s">
        <v>387</v>
      </c>
      <c r="K1944" s="585" t="s">
        <v>84</v>
      </c>
    </row>
    <row r="1945" spans="3:12" x14ac:dyDescent="0.2">
      <c r="C1945" s="804"/>
      <c r="D1945" s="684" t="s">
        <v>167</v>
      </c>
      <c r="E1945" s="588"/>
      <c r="F1945" s="580">
        <v>14</v>
      </c>
      <c r="G1945" s="579">
        <v>14</v>
      </c>
      <c r="H1945" s="580"/>
      <c r="I1945" s="580">
        <v>6</v>
      </c>
      <c r="J1945" s="580">
        <v>12</v>
      </c>
      <c r="K1945" s="580">
        <f>SUM(F1945:J1945)</f>
        <v>46</v>
      </c>
    </row>
    <row r="1946" spans="3:12" x14ac:dyDescent="0.2">
      <c r="C1946" s="804"/>
      <c r="D1946" s="684" t="s">
        <v>207</v>
      </c>
      <c r="E1946" s="588"/>
      <c r="F1946" s="618">
        <f>F1945*7</f>
        <v>98</v>
      </c>
      <c r="G1946" s="619">
        <v>98</v>
      </c>
      <c r="H1946" s="618"/>
      <c r="I1946" s="618">
        <v>66</v>
      </c>
      <c r="J1946" s="618">
        <v>106</v>
      </c>
      <c r="K1946" s="618">
        <f>SUM(F1946:J1946)</f>
        <v>368</v>
      </c>
    </row>
    <row r="1947" spans="3:12" x14ac:dyDescent="0.2">
      <c r="C1947" s="683"/>
      <c r="D1947" s="684" t="s">
        <v>100</v>
      </c>
      <c r="E1947" s="588"/>
      <c r="F1947" s="581"/>
      <c r="G1947" s="581"/>
      <c r="H1947" s="581"/>
      <c r="I1947" s="581"/>
      <c r="J1947" s="581"/>
      <c r="K1947" s="581">
        <f>SUM(F1947:J1947)</f>
        <v>0</v>
      </c>
    </row>
    <row r="1948" spans="3:12" x14ac:dyDescent="0.2">
      <c r="C1948" s="683"/>
      <c r="D1948" s="684" t="s">
        <v>101</v>
      </c>
      <c r="E1948" s="588"/>
      <c r="F1948" s="581">
        <v>3</v>
      </c>
      <c r="G1948" s="581">
        <v>4</v>
      </c>
      <c r="H1948" s="581"/>
      <c r="I1948" s="581"/>
      <c r="J1948" s="581"/>
      <c r="K1948" s="581">
        <f>SUM(F1948:J1948)</f>
        <v>7</v>
      </c>
    </row>
    <row r="1949" spans="3:12" ht="16" thickBot="1" x14ac:dyDescent="0.25">
      <c r="C1949" s="683"/>
      <c r="D1949" s="597" t="s">
        <v>102</v>
      </c>
      <c r="E1949" s="598"/>
      <c r="F1949" s="599">
        <v>1</v>
      </c>
      <c r="G1949" s="600">
        <v>1</v>
      </c>
      <c r="H1949" s="600"/>
      <c r="I1949" s="600"/>
      <c r="J1949" s="600">
        <v>2</v>
      </c>
      <c r="K1949" s="600">
        <f>SUM(F1949:J1949)</f>
        <v>4</v>
      </c>
    </row>
    <row r="1950" spans="3:12" ht="17" thickBot="1" x14ac:dyDescent="0.25">
      <c r="C1950" s="605"/>
      <c r="D1950" s="612" t="s">
        <v>84</v>
      </c>
      <c r="E1950" s="613"/>
      <c r="F1950" s="614">
        <f>(F1946+F1949)-F1948-F1947</f>
        <v>96</v>
      </c>
      <c r="G1950" s="615">
        <f>(G1946+G1949)-G1948-G1947</f>
        <v>95</v>
      </c>
      <c r="H1950" s="616">
        <f>(H1946+H1949)-H1948</f>
        <v>0</v>
      </c>
      <c r="I1950" s="615">
        <f>(I1946+I1949)-I1948-I1947</f>
        <v>66</v>
      </c>
      <c r="J1950" s="622">
        <f>(J1946+J1949)-J1948-J1947</f>
        <v>108</v>
      </c>
      <c r="K1950" s="617">
        <f>(K1946+K1949)-K1948-K1947</f>
        <v>365</v>
      </c>
    </row>
    <row r="1951" spans="3:12" ht="16" x14ac:dyDescent="0.2">
      <c r="C1951" s="683"/>
      <c r="D1951" s="608"/>
      <c r="E1951" s="609"/>
      <c r="F1951" s="610"/>
      <c r="G1951" s="595"/>
      <c r="H1951" s="611"/>
      <c r="I1951" s="595"/>
      <c r="J1951" s="595"/>
      <c r="K1951" s="595"/>
    </row>
    <row r="1952" spans="3:12" ht="16" thickBot="1" x14ac:dyDescent="0.25">
      <c r="C1952" s="606" t="s">
        <v>388</v>
      </c>
      <c r="D1952" s="607" t="s">
        <v>103</v>
      </c>
      <c r="E1952" s="603" t="s">
        <v>84</v>
      </c>
      <c r="F1952" s="602"/>
      <c r="G1952" s="602"/>
      <c r="H1952" s="602"/>
      <c r="I1952" s="601"/>
      <c r="J1952" s="601"/>
      <c r="K1952" s="601" t="s">
        <v>84</v>
      </c>
      <c r="L1952" s="174" t="s">
        <v>389</v>
      </c>
    </row>
    <row r="1953" spans="3:12" x14ac:dyDescent="0.2">
      <c r="C1953" s="589" t="s">
        <v>765</v>
      </c>
      <c r="D1953" s="604" t="s">
        <v>105</v>
      </c>
      <c r="E1953" s="591">
        <f>(F1953+G1953+H1953+I1953+J1953)*100+(0*230)</f>
        <v>6800</v>
      </c>
      <c r="F1953" s="3">
        <v>20</v>
      </c>
      <c r="G1953" s="3">
        <v>20</v>
      </c>
      <c r="H1953" s="3"/>
      <c r="I1953" s="3">
        <v>8</v>
      </c>
      <c r="J1953" s="3">
        <v>20</v>
      </c>
      <c r="K1953" s="628">
        <f t="shared" ref="K1953:K1975" si="90">SUM(F1953:J1953)</f>
        <v>68</v>
      </c>
      <c r="L1953" s="630">
        <f>K1953/4</f>
        <v>17</v>
      </c>
    </row>
    <row r="1954" spans="3:12" x14ac:dyDescent="0.2">
      <c r="C1954" s="589" t="s">
        <v>524</v>
      </c>
      <c r="D1954" s="590" t="s">
        <v>390</v>
      </c>
      <c r="E1954" s="591">
        <f>(F1954+G1954+H1954+I1954+J1954)*120</f>
        <v>1200</v>
      </c>
      <c r="F1954" s="3">
        <v>2</v>
      </c>
      <c r="G1954" s="3">
        <v>3</v>
      </c>
      <c r="H1954" s="3"/>
      <c r="I1954" s="3">
        <v>3</v>
      </c>
      <c r="J1954" s="3">
        <v>2</v>
      </c>
      <c r="K1954" s="628">
        <f t="shared" si="90"/>
        <v>10</v>
      </c>
      <c r="L1954" s="630">
        <f t="shared" ref="L1954:L1975" si="91">K1954/4</f>
        <v>2.5</v>
      </c>
    </row>
    <row r="1955" spans="3:12" x14ac:dyDescent="0.2">
      <c r="C1955" s="589"/>
      <c r="D1955" s="590" t="s">
        <v>391</v>
      </c>
      <c r="E1955" s="591">
        <f>(F1955+G1955+H1955+I1955+J1955)*120</f>
        <v>0</v>
      </c>
      <c r="F1955" s="3"/>
      <c r="G1955" s="3"/>
      <c r="H1955" s="3"/>
      <c r="I1955" s="3"/>
      <c r="J1955" s="3"/>
      <c r="K1955" s="628">
        <f t="shared" si="90"/>
        <v>0</v>
      </c>
      <c r="L1955" s="630">
        <f t="shared" si="91"/>
        <v>0</v>
      </c>
    </row>
    <row r="1956" spans="3:12" x14ac:dyDescent="0.2">
      <c r="C1956" s="589" t="s">
        <v>732</v>
      </c>
      <c r="D1956" s="590" t="s">
        <v>392</v>
      </c>
      <c r="E1956" s="591">
        <f>(F1956+G1956+H1956+I1956+J1956)*120</f>
        <v>1680</v>
      </c>
      <c r="F1956" s="3">
        <v>6</v>
      </c>
      <c r="G1956" s="3">
        <v>2</v>
      </c>
      <c r="H1956" s="3"/>
      <c r="I1956" s="3"/>
      <c r="J1956" s="3">
        <v>6</v>
      </c>
      <c r="K1956" s="628">
        <f t="shared" si="90"/>
        <v>14</v>
      </c>
      <c r="L1956" s="630">
        <f t="shared" si="91"/>
        <v>3.5</v>
      </c>
    </row>
    <row r="1957" spans="3:12" x14ac:dyDescent="0.2">
      <c r="C1957" s="589"/>
      <c r="D1957" s="590" t="s">
        <v>425</v>
      </c>
      <c r="E1957" s="591">
        <f>(F1957+G1957+H1957+I1957+J1957)*120</f>
        <v>0</v>
      </c>
      <c r="F1957" s="3"/>
      <c r="G1957" s="3"/>
      <c r="H1957" s="3"/>
      <c r="I1957" s="3"/>
      <c r="J1957" s="3"/>
      <c r="K1957" s="628">
        <f t="shared" si="90"/>
        <v>0</v>
      </c>
      <c r="L1957" s="630">
        <f t="shared" si="91"/>
        <v>0</v>
      </c>
    </row>
    <row r="1958" spans="3:12" x14ac:dyDescent="0.2">
      <c r="C1958" s="589"/>
      <c r="D1958" s="590"/>
      <c r="E1958" s="591"/>
      <c r="F1958" s="3"/>
      <c r="G1958" s="3"/>
      <c r="H1958" s="3"/>
      <c r="I1958" s="3"/>
      <c r="J1958" s="3"/>
      <c r="K1958" s="628">
        <f t="shared" si="90"/>
        <v>0</v>
      </c>
      <c r="L1958" s="630">
        <f t="shared" si="91"/>
        <v>0</v>
      </c>
    </row>
    <row r="1959" spans="3:12" x14ac:dyDescent="0.2">
      <c r="C1959" s="589" t="s">
        <v>768</v>
      </c>
      <c r="D1959" s="590" t="s">
        <v>108</v>
      </c>
      <c r="E1959" s="591">
        <f>(F1959+G1959+H1959+J1959)*112.7+(I1959*119.6)</f>
        <v>4112.3999999999996</v>
      </c>
      <c r="F1959" s="3">
        <v>10</v>
      </c>
      <c r="G1959" s="3">
        <v>8</v>
      </c>
      <c r="H1959" s="3"/>
      <c r="I1959" s="3">
        <v>8</v>
      </c>
      <c r="J1959" s="3">
        <v>10</v>
      </c>
      <c r="K1959" s="628">
        <f t="shared" si="90"/>
        <v>36</v>
      </c>
      <c r="L1959" s="630">
        <f t="shared" si="91"/>
        <v>9</v>
      </c>
    </row>
    <row r="1960" spans="3:12" x14ac:dyDescent="0.2">
      <c r="C1960" s="589" t="s">
        <v>767</v>
      </c>
      <c r="D1960" s="590" t="s">
        <v>393</v>
      </c>
      <c r="E1960" s="591">
        <f>(F1960+G1960+H1960+J1960)*112.7+(I1960*119.6)</f>
        <v>2732.4</v>
      </c>
      <c r="F1960" s="3">
        <v>6</v>
      </c>
      <c r="G1960" s="3">
        <v>8</v>
      </c>
      <c r="H1960" s="3"/>
      <c r="I1960" s="3">
        <v>4</v>
      </c>
      <c r="J1960" s="3">
        <v>6</v>
      </c>
      <c r="K1960" s="628">
        <f t="shared" si="90"/>
        <v>24</v>
      </c>
      <c r="L1960" s="630">
        <f t="shared" si="91"/>
        <v>6</v>
      </c>
    </row>
    <row r="1961" spans="3:12" x14ac:dyDescent="0.2">
      <c r="C1961" s="589" t="s">
        <v>766</v>
      </c>
      <c r="D1961" s="590" t="s">
        <v>216</v>
      </c>
      <c r="E1961" s="591">
        <f>(F1961+G1961+H1961+J1961)*112.7+(I1961*119.6)</f>
        <v>3210.8</v>
      </c>
      <c r="F1961" s="3">
        <v>6</v>
      </c>
      <c r="G1961" s="3">
        <v>8</v>
      </c>
      <c r="H1961" s="3"/>
      <c r="I1961" s="3">
        <v>8</v>
      </c>
      <c r="J1961" s="3">
        <v>6</v>
      </c>
      <c r="K1961" s="628">
        <f t="shared" si="90"/>
        <v>28</v>
      </c>
      <c r="L1961" s="630">
        <f t="shared" si="91"/>
        <v>7</v>
      </c>
    </row>
    <row r="1962" spans="3:12" x14ac:dyDescent="0.2">
      <c r="C1962" s="589"/>
      <c r="D1962" s="590"/>
      <c r="E1962" s="591"/>
      <c r="F1962" s="3"/>
      <c r="G1962" s="3"/>
      <c r="H1962" s="3"/>
      <c r="I1962" s="3"/>
      <c r="J1962" s="3"/>
      <c r="K1962" s="628">
        <f t="shared" si="90"/>
        <v>0</v>
      </c>
      <c r="L1962" s="630">
        <f t="shared" si="91"/>
        <v>0</v>
      </c>
    </row>
    <row r="1963" spans="3:12" x14ac:dyDescent="0.2">
      <c r="C1963" s="589"/>
      <c r="D1963" s="590" t="s">
        <v>394</v>
      </c>
      <c r="E1963" s="591">
        <f>(F1963+G1963+H1963+I1963+J1963)*120</f>
        <v>0</v>
      </c>
      <c r="F1963" s="3"/>
      <c r="G1963" s="3"/>
      <c r="H1963" s="3"/>
      <c r="I1963" s="3"/>
      <c r="J1963" s="3"/>
      <c r="K1963" s="628">
        <f t="shared" si="90"/>
        <v>0</v>
      </c>
      <c r="L1963" s="630">
        <f t="shared" si="91"/>
        <v>0</v>
      </c>
    </row>
    <row r="1964" spans="3:12" x14ac:dyDescent="0.2">
      <c r="C1964" s="589" t="s">
        <v>769</v>
      </c>
      <c r="D1964" s="590" t="s">
        <v>110</v>
      </c>
      <c r="E1964" s="591">
        <f>(F1964+G1964+H1964+J1964)*112.7+(I1964*119.6)</f>
        <v>9577.2000000000007</v>
      </c>
      <c r="F1964" s="3">
        <v>26</v>
      </c>
      <c r="G1964" s="3">
        <v>16</v>
      </c>
      <c r="H1964" s="3"/>
      <c r="I1964" s="3">
        <v>16</v>
      </c>
      <c r="J1964" s="3">
        <v>26</v>
      </c>
      <c r="K1964" s="628">
        <f t="shared" si="90"/>
        <v>84</v>
      </c>
      <c r="L1964" s="630">
        <f t="shared" si="91"/>
        <v>21</v>
      </c>
    </row>
    <row r="1965" spans="3:12" x14ac:dyDescent="0.2">
      <c r="C1965" s="589"/>
      <c r="D1965" s="590"/>
      <c r="E1965" s="591"/>
      <c r="F1965" s="3"/>
      <c r="G1965" s="3"/>
      <c r="H1965" s="3"/>
      <c r="I1965" s="3"/>
      <c r="J1965" s="3"/>
      <c r="K1965" s="628">
        <f t="shared" si="90"/>
        <v>0</v>
      </c>
      <c r="L1965" s="630">
        <f t="shared" si="91"/>
        <v>0</v>
      </c>
    </row>
    <row r="1966" spans="3:12" x14ac:dyDescent="0.2">
      <c r="C1966" s="589"/>
      <c r="D1966" s="590" t="s">
        <v>381</v>
      </c>
      <c r="E1966" s="591">
        <f>(F1966+G1966+H1966+I1966+J1966)*120+(240*0)+(0*45)</f>
        <v>0</v>
      </c>
      <c r="F1966" s="3"/>
      <c r="G1966" s="3"/>
      <c r="H1966" s="3"/>
      <c r="I1966" s="3"/>
      <c r="J1966" s="3"/>
      <c r="K1966" s="628">
        <f t="shared" si="90"/>
        <v>0</v>
      </c>
      <c r="L1966" s="630">
        <f t="shared" si="91"/>
        <v>0</v>
      </c>
    </row>
    <row r="1967" spans="3:12" x14ac:dyDescent="0.2">
      <c r="C1967" s="589"/>
      <c r="D1967" s="590" t="s">
        <v>276</v>
      </c>
      <c r="E1967" s="591">
        <f>(F1967+G1967+H1967+J1967)*112.7+(I1967*119.6)</f>
        <v>0</v>
      </c>
      <c r="F1967" s="3"/>
      <c r="G1967" s="3"/>
      <c r="H1967" s="3"/>
      <c r="I1967" s="3"/>
      <c r="J1967" s="3"/>
      <c r="K1967" s="628">
        <f t="shared" si="90"/>
        <v>0</v>
      </c>
      <c r="L1967" s="630">
        <f t="shared" si="91"/>
        <v>0</v>
      </c>
    </row>
    <row r="1968" spans="3:12" x14ac:dyDescent="0.2">
      <c r="C1968" s="589"/>
      <c r="D1968" s="590"/>
      <c r="E1968" s="591"/>
      <c r="F1968" s="3"/>
      <c r="G1968" s="3"/>
      <c r="H1968" s="3"/>
      <c r="I1968" s="3"/>
      <c r="J1968" s="3"/>
      <c r="K1968" s="628">
        <f t="shared" si="90"/>
        <v>0</v>
      </c>
      <c r="L1968" s="630">
        <f t="shared" si="91"/>
        <v>0</v>
      </c>
    </row>
    <row r="1969" spans="3:12" x14ac:dyDescent="0.2">
      <c r="C1969" s="589"/>
      <c r="D1969" s="590" t="s">
        <v>75</v>
      </c>
      <c r="E1969" s="591">
        <f>(F1969+G1969+H1969+I1969+J1969)*120</f>
        <v>0</v>
      </c>
      <c r="F1969" s="3"/>
      <c r="G1969" s="3"/>
      <c r="H1969" s="3"/>
      <c r="I1969" s="3"/>
      <c r="J1969" s="3"/>
      <c r="K1969" s="628">
        <f t="shared" si="90"/>
        <v>0</v>
      </c>
      <c r="L1969" s="630">
        <f t="shared" si="91"/>
        <v>0</v>
      </c>
    </row>
    <row r="1970" spans="3:12" x14ac:dyDescent="0.2">
      <c r="C1970" s="589"/>
      <c r="D1970" s="590" t="s">
        <v>278</v>
      </c>
      <c r="E1970" s="591">
        <f>(F1970+G1970+H1970+I1970+J1970)*120</f>
        <v>0</v>
      </c>
      <c r="F1970" s="3"/>
      <c r="G1970" s="3"/>
      <c r="H1970" s="3"/>
      <c r="I1970" s="3"/>
      <c r="J1970" s="3"/>
      <c r="K1970" s="628">
        <f t="shared" si="90"/>
        <v>0</v>
      </c>
      <c r="L1970" s="630">
        <f t="shared" si="91"/>
        <v>0</v>
      </c>
    </row>
    <row r="1971" spans="3:12" x14ac:dyDescent="0.2">
      <c r="C1971" s="589"/>
      <c r="D1971" s="590" t="s">
        <v>270</v>
      </c>
      <c r="E1971" s="591">
        <f>(F1971+G1971+H1971+I1971)*112.7+(J1971*119.6)</f>
        <v>0</v>
      </c>
      <c r="F1971" s="3"/>
      <c r="G1971" s="3"/>
      <c r="H1971" s="3"/>
      <c r="I1971" s="3"/>
      <c r="J1971" s="3"/>
      <c r="K1971" s="628">
        <f t="shared" si="90"/>
        <v>0</v>
      </c>
      <c r="L1971" s="630">
        <f t="shared" si="91"/>
        <v>0</v>
      </c>
    </row>
    <row r="1972" spans="3:12" x14ac:dyDescent="0.2">
      <c r="C1972" s="589"/>
      <c r="D1972" s="590" t="s">
        <v>274</v>
      </c>
      <c r="E1972" s="591">
        <f>(F1972+G1972+H1972+I1972)*112.7+(J1972*119.6)</f>
        <v>0</v>
      </c>
      <c r="F1972" s="3"/>
      <c r="G1972" s="3"/>
      <c r="H1972" s="3"/>
      <c r="I1972" s="3"/>
      <c r="J1972" s="3"/>
      <c r="K1972" s="628">
        <f t="shared" si="90"/>
        <v>0</v>
      </c>
      <c r="L1972" s="630">
        <f t="shared" si="91"/>
        <v>0</v>
      </c>
    </row>
    <row r="1973" spans="3:12" x14ac:dyDescent="0.2">
      <c r="C1973" s="589"/>
      <c r="D1973" s="590" t="s">
        <v>395</v>
      </c>
      <c r="E1973" s="591">
        <f>(F1973+G1973+H1973+I1973)*112.7+(J1973*119.6)</f>
        <v>0</v>
      </c>
      <c r="F1973" s="3"/>
      <c r="G1973" s="3"/>
      <c r="H1973" s="3"/>
      <c r="I1973" s="3"/>
      <c r="J1973" s="3"/>
      <c r="K1973" s="628">
        <f t="shared" si="90"/>
        <v>0</v>
      </c>
      <c r="L1973" s="630">
        <f t="shared" si="91"/>
        <v>0</v>
      </c>
    </row>
    <row r="1974" spans="3:12" x14ac:dyDescent="0.2">
      <c r="C1974" s="683"/>
      <c r="D1974" s="590" t="s">
        <v>112</v>
      </c>
      <c r="E1974" s="591">
        <f>(F1974+G1974+H1974+I1974)*112.7+(J1974*119.6)</f>
        <v>0</v>
      </c>
      <c r="F1974" s="3"/>
      <c r="G1974" s="3"/>
      <c r="H1974" s="3"/>
      <c r="I1974" s="3"/>
      <c r="J1974" s="3"/>
      <c r="K1974" s="628">
        <f t="shared" si="90"/>
        <v>0</v>
      </c>
      <c r="L1974" s="630">
        <f t="shared" si="91"/>
        <v>0</v>
      </c>
    </row>
    <row r="1975" spans="3:12" x14ac:dyDescent="0.2">
      <c r="C1975" s="683"/>
      <c r="D1975" s="590" t="s">
        <v>72</v>
      </c>
      <c r="E1975" s="591">
        <f>(F1975+G1975+H1975+I1975)*112.7+(J1975*119.6)</f>
        <v>0</v>
      </c>
      <c r="F1975" s="3"/>
      <c r="G1975" s="3"/>
      <c r="H1975" s="3"/>
      <c r="I1975" s="3"/>
      <c r="J1975" s="3"/>
      <c r="K1975" s="628">
        <f t="shared" si="90"/>
        <v>0</v>
      </c>
      <c r="L1975" s="630">
        <f t="shared" si="91"/>
        <v>0</v>
      </c>
    </row>
    <row r="1976" spans="3:12" x14ac:dyDescent="0.2">
      <c r="C1976" s="683"/>
      <c r="D1976" s="590" t="s">
        <v>187</v>
      </c>
      <c r="E1976" s="591"/>
      <c r="F1976" s="3">
        <v>2</v>
      </c>
      <c r="G1976" s="3"/>
      <c r="H1976" s="3"/>
      <c r="I1976" s="3">
        <v>3</v>
      </c>
      <c r="J1976" s="3">
        <v>8</v>
      </c>
      <c r="K1976" s="628">
        <f>SUM(F1976:J1976)</f>
        <v>13</v>
      </c>
      <c r="L1976" s="3"/>
    </row>
    <row r="1977" spans="3:12" ht="16" x14ac:dyDescent="0.2">
      <c r="C1977" s="683"/>
      <c r="D1977" s="590"/>
      <c r="E1977" s="592"/>
      <c r="F1977" s="3"/>
      <c r="G1977" s="3"/>
      <c r="H1977" s="3"/>
      <c r="I1977" s="3"/>
      <c r="J1977" s="3"/>
      <c r="K1977" s="628">
        <f>SUM(F1977:J1977)</f>
        <v>0</v>
      </c>
      <c r="L1977" s="3"/>
    </row>
    <row r="1978" spans="3:12" ht="17" thickBot="1" x14ac:dyDescent="0.25">
      <c r="C1978" s="683"/>
      <c r="D1978" s="590"/>
      <c r="E1978" s="624"/>
      <c r="F1978" s="69"/>
      <c r="G1978" s="69"/>
      <c r="H1978" s="69"/>
      <c r="I1978" s="69"/>
      <c r="J1978" s="69"/>
      <c r="K1978" s="629"/>
      <c r="L1978" s="3"/>
    </row>
    <row r="1979" spans="3:12" ht="16" thickBot="1" x14ac:dyDescent="0.25">
      <c r="C1979" s="596"/>
      <c r="D1979" s="623" t="s">
        <v>19</v>
      </c>
      <c r="E1979" s="625">
        <f>SUM(E1953:E1976)</f>
        <v>29312.799999999999</v>
      </c>
      <c r="F1979" s="614">
        <f>SUM(F1953:F1978)</f>
        <v>78</v>
      </c>
      <c r="G1979" s="614">
        <f>SUM(G1953:G1978)</f>
        <v>65</v>
      </c>
      <c r="H1979" s="614">
        <f>SUM(H1953:H1978)</f>
        <v>0</v>
      </c>
      <c r="I1979" s="614">
        <f>SUM(I1953:I1978)</f>
        <v>50</v>
      </c>
      <c r="J1979" s="614">
        <f>SUM(J1953:J1978)</f>
        <v>84</v>
      </c>
      <c r="K1979" s="626">
        <f>SUM(F1979:J1979)</f>
        <v>277</v>
      </c>
      <c r="L1979" s="631">
        <f>SUM(L1953:L1978)</f>
        <v>66</v>
      </c>
    </row>
    <row r="1980" spans="3:12" x14ac:dyDescent="0.2">
      <c r="C1980" s="596"/>
      <c r="D1980" s="593" t="s">
        <v>113</v>
      </c>
      <c r="E1980" s="620"/>
      <c r="F1980" s="610">
        <f>F1950-F1979</f>
        <v>18</v>
      </c>
      <c r="G1980" s="610">
        <f>G1950-G1979</f>
        <v>30</v>
      </c>
      <c r="H1980" s="610">
        <f>H1950-H1979</f>
        <v>0</v>
      </c>
      <c r="I1980" s="610">
        <f>I1950-I1979</f>
        <v>16</v>
      </c>
      <c r="J1980" s="610">
        <f>J1950-J1979</f>
        <v>24</v>
      </c>
      <c r="K1980" s="636">
        <f>SUM(F1980:J1980)</f>
        <v>88</v>
      </c>
      <c r="L1980" s="3"/>
    </row>
    <row r="1981" spans="3:12" x14ac:dyDescent="0.2">
      <c r="C1981" s="683"/>
      <c r="D1981" s="593" t="s">
        <v>436</v>
      </c>
      <c r="E1981" s="594"/>
      <c r="F1981" s="581"/>
      <c r="G1981" s="581"/>
      <c r="H1981" s="581"/>
      <c r="I1981" s="581"/>
      <c r="J1981" s="581"/>
      <c r="K1981" s="637">
        <f>K1979+K1980</f>
        <v>365</v>
      </c>
      <c r="L1981" s="3"/>
    </row>
    <row r="1983" spans="3:12" ht="18" x14ac:dyDescent="0.2">
      <c r="C1983" s="685" t="s">
        <v>412</v>
      </c>
      <c r="D1983" s="582">
        <v>45715</v>
      </c>
      <c r="E1983" s="800"/>
      <c r="F1983" s="685" t="s">
        <v>83</v>
      </c>
      <c r="G1983" s="801" t="s">
        <v>66</v>
      </c>
      <c r="H1983" s="802"/>
      <c r="I1983" s="802"/>
      <c r="J1983" s="802"/>
      <c r="K1983" s="803"/>
    </row>
    <row r="1984" spans="3:12" x14ac:dyDescent="0.2">
      <c r="C1984" s="804"/>
      <c r="D1984" s="805"/>
      <c r="E1984" s="800"/>
      <c r="F1984" s="683" t="s">
        <v>93</v>
      </c>
      <c r="G1984" s="683" t="s">
        <v>93</v>
      </c>
      <c r="H1984" s="683"/>
      <c r="I1984" s="806"/>
      <c r="J1984" s="806"/>
      <c r="K1984" s="806"/>
    </row>
    <row r="1985" spans="3:12" x14ac:dyDescent="0.2">
      <c r="C1985" s="804"/>
      <c r="D1985" s="805"/>
      <c r="E1985" s="800"/>
      <c r="F1985" s="683" t="s">
        <v>94</v>
      </c>
      <c r="G1985" s="683" t="s">
        <v>95</v>
      </c>
      <c r="H1985" s="683" t="s">
        <v>96</v>
      </c>
      <c r="I1985" s="806"/>
      <c r="J1985" s="806"/>
      <c r="K1985" s="806"/>
    </row>
    <row r="1986" spans="3:12" x14ac:dyDescent="0.2">
      <c r="C1986" s="804"/>
      <c r="D1986" s="805"/>
      <c r="E1986" s="800"/>
      <c r="F1986" s="683"/>
      <c r="G1986" s="683"/>
      <c r="H1986" s="683"/>
      <c r="I1986" s="806"/>
      <c r="J1986" s="806"/>
      <c r="K1986" s="806"/>
    </row>
    <row r="1987" spans="3:12" ht="16" x14ac:dyDescent="0.2">
      <c r="C1987" s="683"/>
      <c r="D1987" s="583" t="s">
        <v>97</v>
      </c>
      <c r="E1987" s="584"/>
      <c r="F1987" s="581"/>
      <c r="G1987" s="585"/>
      <c r="H1987" s="585"/>
      <c r="I1987" s="586"/>
      <c r="J1987" s="586"/>
      <c r="K1987" s="586"/>
    </row>
    <row r="1988" spans="3:12" ht="26" x14ac:dyDescent="0.2">
      <c r="C1988" s="804"/>
      <c r="D1988" s="587"/>
      <c r="E1988" s="588"/>
      <c r="F1988" s="585" t="s">
        <v>383</v>
      </c>
      <c r="G1988" s="585" t="s">
        <v>384</v>
      </c>
      <c r="H1988" s="585" t="s">
        <v>385</v>
      </c>
      <c r="I1988" s="585" t="s">
        <v>386</v>
      </c>
      <c r="J1988" s="585" t="s">
        <v>387</v>
      </c>
      <c r="K1988" s="585" t="s">
        <v>84</v>
      </c>
    </row>
    <row r="1989" spans="3:12" x14ac:dyDescent="0.2">
      <c r="C1989" s="804"/>
      <c r="D1989" s="684" t="s">
        <v>167</v>
      </c>
      <c r="E1989" s="588"/>
      <c r="F1989" s="580">
        <v>12</v>
      </c>
      <c r="G1989" s="579">
        <v>5</v>
      </c>
      <c r="H1989" s="580">
        <v>2</v>
      </c>
      <c r="I1989" s="580">
        <v>5</v>
      </c>
      <c r="J1989" s="580">
        <v>9</v>
      </c>
      <c r="K1989" s="580">
        <f>SUM(F1989:J1989)</f>
        <v>33</v>
      </c>
    </row>
    <row r="1990" spans="3:12" x14ac:dyDescent="0.2">
      <c r="C1990" s="804"/>
      <c r="D1990" s="684" t="s">
        <v>207</v>
      </c>
      <c r="E1990" s="588"/>
      <c r="F1990" s="618">
        <v>84</v>
      </c>
      <c r="G1990" s="619">
        <v>35</v>
      </c>
      <c r="H1990" s="618">
        <v>14</v>
      </c>
      <c r="I1990" s="618">
        <v>55</v>
      </c>
      <c r="J1990" s="618">
        <v>79</v>
      </c>
      <c r="K1990" s="618">
        <f>SUM(F1990:J1990)</f>
        <v>267</v>
      </c>
    </row>
    <row r="1991" spans="3:12" x14ac:dyDescent="0.2">
      <c r="C1991" s="683"/>
      <c r="D1991" s="684" t="s">
        <v>100</v>
      </c>
      <c r="E1991" s="588"/>
      <c r="F1991" s="581"/>
      <c r="G1991" s="581"/>
      <c r="H1991" s="581"/>
      <c r="I1991" s="581"/>
      <c r="J1991" s="581"/>
      <c r="K1991" s="581">
        <f>SUM(F1991:J1991)</f>
        <v>0</v>
      </c>
    </row>
    <row r="1992" spans="3:12" x14ac:dyDescent="0.2">
      <c r="C1992" s="683"/>
      <c r="D1992" s="684" t="s">
        <v>101</v>
      </c>
      <c r="E1992" s="588"/>
      <c r="F1992" s="581">
        <v>3</v>
      </c>
      <c r="G1992" s="581"/>
      <c r="H1992" s="581">
        <v>1</v>
      </c>
      <c r="I1992" s="581">
        <v>1</v>
      </c>
      <c r="J1992" s="581"/>
      <c r="K1992" s="581">
        <f>SUM(F1992:J1992)</f>
        <v>5</v>
      </c>
    </row>
    <row r="1993" spans="3:12" ht="16" thickBot="1" x14ac:dyDescent="0.25">
      <c r="C1993" s="683"/>
      <c r="D1993" s="597" t="s">
        <v>102</v>
      </c>
      <c r="E1993" s="598"/>
      <c r="F1993" s="599">
        <v>18</v>
      </c>
      <c r="G1993" s="600">
        <v>30</v>
      </c>
      <c r="H1993" s="600"/>
      <c r="I1993" s="600">
        <v>16</v>
      </c>
      <c r="J1993" s="600">
        <v>24</v>
      </c>
      <c r="K1993" s="600">
        <f>SUM(F1993:J1993)</f>
        <v>88</v>
      </c>
    </row>
    <row r="1994" spans="3:12" ht="17" thickBot="1" x14ac:dyDescent="0.25">
      <c r="C1994" s="605"/>
      <c r="D1994" s="612" t="s">
        <v>84</v>
      </c>
      <c r="E1994" s="613"/>
      <c r="F1994" s="614">
        <f>(F1990+F1993)-F1992-F1991</f>
        <v>99</v>
      </c>
      <c r="G1994" s="615">
        <f>(G1990+G1993)-G1992-G1991</f>
        <v>65</v>
      </c>
      <c r="H1994" s="616">
        <f>(H1990+H1993)-H1992</f>
        <v>13</v>
      </c>
      <c r="I1994" s="615">
        <f>(I1990+I1993)-I1992-I1991</f>
        <v>70</v>
      </c>
      <c r="J1994" s="622">
        <f>(J1990+J1993)-J1992-J1991</f>
        <v>103</v>
      </c>
      <c r="K1994" s="617">
        <f>(K1990+K1993)-K1992-K1991</f>
        <v>350</v>
      </c>
    </row>
    <row r="1995" spans="3:12" ht="16" x14ac:dyDescent="0.2">
      <c r="C1995" s="683"/>
      <c r="D1995" s="608"/>
      <c r="E1995" s="609"/>
      <c r="F1995" s="610"/>
      <c r="G1995" s="595"/>
      <c r="H1995" s="611"/>
      <c r="I1995" s="595"/>
      <c r="J1995" s="595"/>
      <c r="K1995" s="595"/>
    </row>
    <row r="1996" spans="3:12" ht="16" thickBot="1" x14ac:dyDescent="0.25">
      <c r="C1996" s="606" t="s">
        <v>388</v>
      </c>
      <c r="D1996" s="607" t="s">
        <v>103</v>
      </c>
      <c r="E1996" s="603" t="s">
        <v>84</v>
      </c>
      <c r="F1996" s="602"/>
      <c r="G1996" s="602"/>
      <c r="H1996" s="602"/>
      <c r="I1996" s="601"/>
      <c r="J1996" s="601"/>
      <c r="K1996" s="601" t="s">
        <v>84</v>
      </c>
      <c r="L1996" s="174" t="s">
        <v>389</v>
      </c>
    </row>
    <row r="1997" spans="3:12" x14ac:dyDescent="0.2">
      <c r="C1997" s="589"/>
      <c r="D1997" s="604" t="s">
        <v>105</v>
      </c>
      <c r="E1997" s="591">
        <f>(F1997+G1997+H1997+I1997+J1997)*100+(0*230)</f>
        <v>0</v>
      </c>
      <c r="F1997" s="3"/>
      <c r="G1997" s="3"/>
      <c r="H1997" s="3"/>
      <c r="I1997" s="3"/>
      <c r="J1997" s="3"/>
      <c r="K1997" s="628">
        <f t="shared" ref="K1997:K2019" si="92">SUM(F1997:J1997)</f>
        <v>0</v>
      </c>
      <c r="L1997" s="630">
        <f>K1997/4</f>
        <v>0</v>
      </c>
    </row>
    <row r="1998" spans="3:12" x14ac:dyDescent="0.2">
      <c r="C1998" s="589"/>
      <c r="D1998" s="590" t="s">
        <v>390</v>
      </c>
      <c r="E1998" s="591">
        <f>(F1998+G1998+H1998+I1998+J1998)*120</f>
        <v>0</v>
      </c>
      <c r="F1998" s="3"/>
      <c r="G1998" s="3"/>
      <c r="H1998" s="3"/>
      <c r="I1998" s="3"/>
      <c r="J1998" s="3"/>
      <c r="K1998" s="628">
        <f t="shared" si="92"/>
        <v>0</v>
      </c>
      <c r="L1998" s="630">
        <f t="shared" ref="L1998:L2019" si="93">K1998/4</f>
        <v>0</v>
      </c>
    </row>
    <row r="1999" spans="3:12" x14ac:dyDescent="0.2">
      <c r="C1999" s="589"/>
      <c r="D1999" s="590" t="s">
        <v>391</v>
      </c>
      <c r="E1999" s="591">
        <f>(F1999+G1999+H1999+I1999+J1999)*120</f>
        <v>0</v>
      </c>
      <c r="F1999" s="3"/>
      <c r="G1999" s="3"/>
      <c r="H1999" s="3"/>
      <c r="I1999" s="3"/>
      <c r="J1999" s="3"/>
      <c r="K1999" s="628">
        <f t="shared" si="92"/>
        <v>0</v>
      </c>
      <c r="L1999" s="630">
        <f t="shared" si="93"/>
        <v>0</v>
      </c>
    </row>
    <row r="2000" spans="3:12" x14ac:dyDescent="0.2">
      <c r="C2000" s="589"/>
      <c r="D2000" s="590" t="s">
        <v>392</v>
      </c>
      <c r="E2000" s="591">
        <f>(F2000+G2000+H2000+I2000+J2000)*120</f>
        <v>0</v>
      </c>
      <c r="F2000" s="3"/>
      <c r="G2000" s="3"/>
      <c r="H2000" s="3"/>
      <c r="I2000" s="3"/>
      <c r="J2000" s="3"/>
      <c r="K2000" s="628">
        <f t="shared" si="92"/>
        <v>0</v>
      </c>
      <c r="L2000" s="630">
        <f t="shared" si="93"/>
        <v>0</v>
      </c>
    </row>
    <row r="2001" spans="3:12" x14ac:dyDescent="0.2">
      <c r="C2001" s="589"/>
      <c r="D2001" s="590" t="s">
        <v>425</v>
      </c>
      <c r="E2001" s="591">
        <f>(F2001+G2001+H2001+I2001+J2001)*120</f>
        <v>0</v>
      </c>
      <c r="F2001" s="3"/>
      <c r="G2001" s="3"/>
      <c r="H2001" s="3"/>
      <c r="I2001" s="3"/>
      <c r="J2001" s="3"/>
      <c r="K2001" s="628">
        <f t="shared" si="92"/>
        <v>0</v>
      </c>
      <c r="L2001" s="630">
        <f t="shared" si="93"/>
        <v>0</v>
      </c>
    </row>
    <row r="2002" spans="3:12" x14ac:dyDescent="0.2">
      <c r="C2002" s="589"/>
      <c r="D2002" s="590"/>
      <c r="E2002" s="591"/>
      <c r="F2002" s="3"/>
      <c r="G2002" s="3"/>
      <c r="H2002" s="3"/>
      <c r="I2002" s="3"/>
      <c r="J2002" s="3"/>
      <c r="K2002" s="628">
        <f t="shared" si="92"/>
        <v>0</v>
      </c>
      <c r="L2002" s="630">
        <f t="shared" si="93"/>
        <v>0</v>
      </c>
    </row>
    <row r="2003" spans="3:12" x14ac:dyDescent="0.2">
      <c r="C2003" s="589"/>
      <c r="D2003" s="590" t="s">
        <v>108</v>
      </c>
      <c r="E2003" s="591">
        <f>(F2003+G2003+H2003+J2003)*112.7+(I2003*119.6)</f>
        <v>0</v>
      </c>
      <c r="F2003" s="3"/>
      <c r="G2003" s="3"/>
      <c r="H2003" s="3"/>
      <c r="I2003" s="3"/>
      <c r="J2003" s="3"/>
      <c r="K2003" s="628">
        <f t="shared" si="92"/>
        <v>0</v>
      </c>
      <c r="L2003" s="630">
        <f t="shared" si="93"/>
        <v>0</v>
      </c>
    </row>
    <row r="2004" spans="3:12" x14ac:dyDescent="0.2">
      <c r="C2004" s="589"/>
      <c r="D2004" s="590" t="s">
        <v>393</v>
      </c>
      <c r="E2004" s="591">
        <f>(F2004+G2004+H2004+J2004)*112.7+(I2004*119.6)</f>
        <v>0</v>
      </c>
      <c r="F2004" s="3"/>
      <c r="G2004" s="3"/>
      <c r="H2004" s="3"/>
      <c r="I2004" s="3"/>
      <c r="J2004" s="3"/>
      <c r="K2004" s="628">
        <f t="shared" si="92"/>
        <v>0</v>
      </c>
      <c r="L2004" s="630">
        <f t="shared" si="93"/>
        <v>0</v>
      </c>
    </row>
    <row r="2005" spans="3:12" x14ac:dyDescent="0.2">
      <c r="C2005" s="589"/>
      <c r="D2005" s="590" t="s">
        <v>216</v>
      </c>
      <c r="E2005" s="591">
        <f>(F2005+G2005+H2005+J2005)*112.7+(I2005*119.6)</f>
        <v>0</v>
      </c>
      <c r="F2005" s="3"/>
      <c r="G2005" s="3"/>
      <c r="H2005" s="3"/>
      <c r="I2005" s="3"/>
      <c r="J2005" s="3"/>
      <c r="K2005" s="628">
        <f t="shared" si="92"/>
        <v>0</v>
      </c>
      <c r="L2005" s="630">
        <f t="shared" si="93"/>
        <v>0</v>
      </c>
    </row>
    <row r="2006" spans="3:12" x14ac:dyDescent="0.2">
      <c r="C2006" s="589"/>
      <c r="D2006" s="590"/>
      <c r="E2006" s="591"/>
      <c r="F2006" s="3"/>
      <c r="G2006" s="3"/>
      <c r="H2006" s="3"/>
      <c r="I2006" s="3"/>
      <c r="J2006" s="3"/>
      <c r="K2006" s="628">
        <f t="shared" si="92"/>
        <v>0</v>
      </c>
      <c r="L2006" s="630">
        <f t="shared" si="93"/>
        <v>0</v>
      </c>
    </row>
    <row r="2007" spans="3:12" x14ac:dyDescent="0.2">
      <c r="C2007" s="589"/>
      <c r="D2007" s="590" t="s">
        <v>394</v>
      </c>
      <c r="E2007" s="591">
        <f>(F2007+G2007+H2007+I2007+J2007)*120</f>
        <v>0</v>
      </c>
      <c r="F2007" s="3"/>
      <c r="G2007" s="3"/>
      <c r="H2007" s="3"/>
      <c r="I2007" s="3"/>
      <c r="J2007" s="3"/>
      <c r="K2007" s="628">
        <f t="shared" si="92"/>
        <v>0</v>
      </c>
      <c r="L2007" s="630">
        <f t="shared" si="93"/>
        <v>0</v>
      </c>
    </row>
    <row r="2008" spans="3:12" x14ac:dyDescent="0.2">
      <c r="C2008" s="589"/>
      <c r="D2008" s="590" t="s">
        <v>110</v>
      </c>
      <c r="E2008" s="591">
        <f>(F2008+G2008+H2008+J2008)*112.7+(I2008*119.6)</f>
        <v>0</v>
      </c>
      <c r="F2008" s="3"/>
      <c r="G2008" s="3"/>
      <c r="H2008" s="3"/>
      <c r="I2008" s="3"/>
      <c r="J2008" s="3"/>
      <c r="K2008" s="628">
        <f t="shared" si="92"/>
        <v>0</v>
      </c>
      <c r="L2008" s="630">
        <f t="shared" si="93"/>
        <v>0</v>
      </c>
    </row>
    <row r="2009" spans="3:12" x14ac:dyDescent="0.2">
      <c r="C2009" s="589"/>
      <c r="D2009" s="590"/>
      <c r="E2009" s="591"/>
      <c r="F2009" s="3"/>
      <c r="G2009" s="3"/>
      <c r="H2009" s="3"/>
      <c r="I2009" s="3"/>
      <c r="J2009" s="3"/>
      <c r="K2009" s="628">
        <f t="shared" si="92"/>
        <v>0</v>
      </c>
      <c r="L2009" s="630">
        <f t="shared" si="93"/>
        <v>0</v>
      </c>
    </row>
    <row r="2010" spans="3:12" x14ac:dyDescent="0.2">
      <c r="C2010" s="589" t="s">
        <v>772</v>
      </c>
      <c r="D2010" s="590" t="s">
        <v>381</v>
      </c>
      <c r="E2010" s="591">
        <f>(F2010+G2010+H2010+I2010+J2010)*120+(240*4)+(4*45)</f>
        <v>3420</v>
      </c>
      <c r="F2010" s="3">
        <v>5</v>
      </c>
      <c r="G2010" s="3">
        <v>4</v>
      </c>
      <c r="H2010" s="3"/>
      <c r="I2010" s="3">
        <v>5</v>
      </c>
      <c r="J2010" s="3">
        <v>5</v>
      </c>
      <c r="K2010" s="628">
        <f t="shared" si="92"/>
        <v>19</v>
      </c>
      <c r="L2010" s="630">
        <f t="shared" si="93"/>
        <v>4.75</v>
      </c>
    </row>
    <row r="2011" spans="3:12" x14ac:dyDescent="0.2">
      <c r="C2011" s="589" t="s">
        <v>773</v>
      </c>
      <c r="D2011" s="590" t="s">
        <v>276</v>
      </c>
      <c r="E2011" s="591">
        <f>(F2011+G2011+H2011+J2011)*112.7+(I2011*119.6)</f>
        <v>2760</v>
      </c>
      <c r="F2011" s="3">
        <v>5</v>
      </c>
      <c r="G2011" s="3">
        <v>3</v>
      </c>
      <c r="H2011" s="3">
        <v>1</v>
      </c>
      <c r="I2011" s="3">
        <v>8</v>
      </c>
      <c r="J2011" s="3">
        <v>7</v>
      </c>
      <c r="K2011" s="628">
        <f t="shared" si="92"/>
        <v>24</v>
      </c>
      <c r="L2011" s="630">
        <f t="shared" si="93"/>
        <v>6</v>
      </c>
    </row>
    <row r="2012" spans="3:12" x14ac:dyDescent="0.2">
      <c r="C2012" s="589"/>
      <c r="D2012" s="590"/>
      <c r="E2012" s="591"/>
      <c r="F2012" s="3"/>
      <c r="G2012" s="3"/>
      <c r="H2012" s="3"/>
      <c r="I2012" s="3"/>
      <c r="J2012" s="3"/>
      <c r="K2012" s="628">
        <f t="shared" si="92"/>
        <v>0</v>
      </c>
      <c r="L2012" s="630">
        <f t="shared" si="93"/>
        <v>0</v>
      </c>
    </row>
    <row r="2013" spans="3:12" x14ac:dyDescent="0.2">
      <c r="C2013" s="589"/>
      <c r="D2013" s="590" t="s">
        <v>75</v>
      </c>
      <c r="E2013" s="591">
        <f>(F2013+G2013+H2013+I2013+J2013)*120</f>
        <v>0</v>
      </c>
      <c r="F2013" s="3"/>
      <c r="G2013" s="3"/>
      <c r="H2013" s="3"/>
      <c r="I2013" s="3"/>
      <c r="J2013" s="3"/>
      <c r="K2013" s="628">
        <f t="shared" si="92"/>
        <v>0</v>
      </c>
      <c r="L2013" s="630">
        <f t="shared" si="93"/>
        <v>0</v>
      </c>
    </row>
    <row r="2014" spans="3:12" x14ac:dyDescent="0.2">
      <c r="C2014" s="589"/>
      <c r="D2014" s="590" t="s">
        <v>278</v>
      </c>
      <c r="E2014" s="591">
        <f>(F2014+G2014+H2014+I2014+J2014)*120</f>
        <v>0</v>
      </c>
      <c r="F2014" s="3"/>
      <c r="G2014" s="3"/>
      <c r="H2014" s="3"/>
      <c r="I2014" s="3"/>
      <c r="J2014" s="3"/>
      <c r="K2014" s="628">
        <f t="shared" si="92"/>
        <v>0</v>
      </c>
      <c r="L2014" s="630">
        <f t="shared" si="93"/>
        <v>0</v>
      </c>
    </row>
    <row r="2015" spans="3:12" x14ac:dyDescent="0.2">
      <c r="C2015" s="589" t="s">
        <v>776</v>
      </c>
      <c r="D2015" s="590" t="s">
        <v>270</v>
      </c>
      <c r="E2015" s="591">
        <f>(F2015+G2015+H2015+I2015)*112.7+(J2015*119.6)</f>
        <v>8730.7999999999993</v>
      </c>
      <c r="F2015" s="3">
        <v>24</v>
      </c>
      <c r="G2015" s="3">
        <v>12</v>
      </c>
      <c r="H2015" s="3"/>
      <c r="I2015" s="3">
        <v>16</v>
      </c>
      <c r="J2015" s="3">
        <v>24</v>
      </c>
      <c r="K2015" s="628">
        <f t="shared" si="92"/>
        <v>76</v>
      </c>
      <c r="L2015" s="630">
        <f t="shared" si="93"/>
        <v>19</v>
      </c>
    </row>
    <row r="2016" spans="3:12" x14ac:dyDescent="0.2">
      <c r="C2016" s="589" t="s">
        <v>775</v>
      </c>
      <c r="D2016" s="590" t="s">
        <v>274</v>
      </c>
      <c r="E2016" s="591">
        <f>(F2016+G2016+H2016+I2016)*112.7+(J2016*119.6)</f>
        <v>5970.8</v>
      </c>
      <c r="F2016" s="3">
        <v>16</v>
      </c>
      <c r="G2016" s="3">
        <v>10</v>
      </c>
      <c r="H2016" s="3"/>
      <c r="I2016" s="3">
        <v>10</v>
      </c>
      <c r="J2016" s="3">
        <v>16</v>
      </c>
      <c r="K2016" s="628">
        <f t="shared" si="92"/>
        <v>52</v>
      </c>
      <c r="L2016" s="630">
        <f t="shared" si="93"/>
        <v>13</v>
      </c>
    </row>
    <row r="2017" spans="3:12" x14ac:dyDescent="0.2">
      <c r="C2017" s="589" t="s">
        <v>774</v>
      </c>
      <c r="D2017" s="590" t="s">
        <v>395</v>
      </c>
      <c r="E2017" s="591">
        <f>(F2017+G2017+H2017+I2017)*112.7+(J2017*119.6)</f>
        <v>5970.8</v>
      </c>
      <c r="F2017" s="3">
        <v>16</v>
      </c>
      <c r="G2017" s="3">
        <v>10</v>
      </c>
      <c r="H2017" s="3"/>
      <c r="I2017" s="3">
        <v>10</v>
      </c>
      <c r="J2017" s="3">
        <v>16</v>
      </c>
      <c r="K2017" s="628">
        <f t="shared" si="92"/>
        <v>52</v>
      </c>
      <c r="L2017" s="630">
        <f t="shared" si="93"/>
        <v>13</v>
      </c>
    </row>
    <row r="2018" spans="3:12" x14ac:dyDescent="0.2">
      <c r="C2018" s="683">
        <v>1173439456</v>
      </c>
      <c r="D2018" s="590" t="s">
        <v>112</v>
      </c>
      <c r="E2018" s="591">
        <f>(F2018+G2018+H2018+I2018)*112.7+(J2018*119.6)</f>
        <v>5970.8</v>
      </c>
      <c r="F2018" s="3">
        <v>16</v>
      </c>
      <c r="G2018" s="3">
        <v>10</v>
      </c>
      <c r="H2018" s="3"/>
      <c r="I2018" s="3">
        <v>10</v>
      </c>
      <c r="J2018" s="3">
        <v>16</v>
      </c>
      <c r="K2018" s="628">
        <f t="shared" si="92"/>
        <v>52</v>
      </c>
      <c r="L2018" s="630">
        <f t="shared" si="93"/>
        <v>13</v>
      </c>
    </row>
    <row r="2019" spans="3:12" x14ac:dyDescent="0.2">
      <c r="C2019" s="683">
        <v>1173439454</v>
      </c>
      <c r="D2019" s="590" t="s">
        <v>72</v>
      </c>
      <c r="E2019" s="591">
        <f>(F2019+G2019+H2019+I2019)*112.7+(J2019*119.6)</f>
        <v>5704</v>
      </c>
      <c r="F2019" s="3">
        <v>15</v>
      </c>
      <c r="G2019" s="3">
        <v>15</v>
      </c>
      <c r="H2019" s="3"/>
      <c r="I2019" s="3">
        <v>10</v>
      </c>
      <c r="J2019" s="3">
        <v>10</v>
      </c>
      <c r="K2019" s="628">
        <f t="shared" si="92"/>
        <v>50</v>
      </c>
      <c r="L2019" s="630">
        <f t="shared" si="93"/>
        <v>12.5</v>
      </c>
    </row>
    <row r="2020" spans="3:12" x14ac:dyDescent="0.2">
      <c r="C2020" s="683"/>
      <c r="D2020" s="590" t="s">
        <v>187</v>
      </c>
      <c r="E2020" s="591"/>
      <c r="F2020" s="3">
        <v>2</v>
      </c>
      <c r="G2020" s="3"/>
      <c r="H2020" s="3"/>
      <c r="I2020" s="3"/>
      <c r="J2020" s="3">
        <v>5</v>
      </c>
      <c r="K2020" s="628">
        <f>SUM(F2020:J2020)</f>
        <v>7</v>
      </c>
      <c r="L2020" s="3"/>
    </row>
    <row r="2021" spans="3:12" ht="16" x14ac:dyDescent="0.2">
      <c r="C2021" s="683"/>
      <c r="D2021" s="590"/>
      <c r="E2021" s="592"/>
      <c r="F2021" s="3"/>
      <c r="G2021" s="3"/>
      <c r="H2021" s="3"/>
      <c r="I2021" s="3"/>
      <c r="J2021" s="3"/>
      <c r="K2021" s="628">
        <f>SUM(F2021:J2021)</f>
        <v>0</v>
      </c>
      <c r="L2021" s="3"/>
    </row>
    <row r="2022" spans="3:12" ht="17" thickBot="1" x14ac:dyDescent="0.25">
      <c r="C2022" s="683"/>
      <c r="D2022" s="590"/>
      <c r="E2022" s="624"/>
      <c r="F2022" s="69"/>
      <c r="G2022" s="69"/>
      <c r="H2022" s="69"/>
      <c r="I2022" s="69"/>
      <c r="J2022" s="69"/>
      <c r="K2022" s="629"/>
      <c r="L2022" s="3"/>
    </row>
    <row r="2023" spans="3:12" ht="16" thickBot="1" x14ac:dyDescent="0.25">
      <c r="C2023" s="596"/>
      <c r="D2023" s="623" t="s">
        <v>19</v>
      </c>
      <c r="E2023" s="625">
        <f>SUM(E1997:E2020)</f>
        <v>38527.199999999997</v>
      </c>
      <c r="F2023" s="614">
        <f>SUM(F1997:F2022)</f>
        <v>99</v>
      </c>
      <c r="G2023" s="614">
        <f>SUM(G1997:G2022)</f>
        <v>64</v>
      </c>
      <c r="H2023" s="614">
        <f>SUM(H1997:H2022)</f>
        <v>1</v>
      </c>
      <c r="I2023" s="614">
        <f>SUM(I1997:I2022)</f>
        <v>69</v>
      </c>
      <c r="J2023" s="614">
        <f>SUM(J1997:J2022)</f>
        <v>99</v>
      </c>
      <c r="K2023" s="626">
        <f>SUM(F2023:J2023)</f>
        <v>332</v>
      </c>
      <c r="L2023" s="631">
        <f>SUM(L1997:L2022)</f>
        <v>81.25</v>
      </c>
    </row>
    <row r="2024" spans="3:12" x14ac:dyDescent="0.2">
      <c r="C2024" s="596"/>
      <c r="D2024" s="593" t="s">
        <v>113</v>
      </c>
      <c r="E2024" s="620"/>
      <c r="F2024" s="610">
        <f>F1994-F2023</f>
        <v>0</v>
      </c>
      <c r="G2024" s="610">
        <f>G1994-G2023</f>
        <v>1</v>
      </c>
      <c r="H2024" s="610">
        <f>H1994-H2023</f>
        <v>12</v>
      </c>
      <c r="I2024" s="610">
        <f>I1994-I2023</f>
        <v>1</v>
      </c>
      <c r="J2024" s="610">
        <f>J1994-J2023</f>
        <v>4</v>
      </c>
      <c r="K2024" s="636">
        <f>SUM(F2024:J2024)</f>
        <v>18</v>
      </c>
      <c r="L2024" s="3"/>
    </row>
    <row r="2025" spans="3:12" x14ac:dyDescent="0.2">
      <c r="C2025" s="683"/>
      <c r="D2025" s="593" t="s">
        <v>436</v>
      </c>
      <c r="E2025" s="594"/>
      <c r="F2025" s="581"/>
      <c r="G2025" s="581"/>
      <c r="H2025" s="581"/>
      <c r="I2025" s="581"/>
      <c r="J2025" s="581"/>
      <c r="K2025" s="637">
        <f>K2023+K2024</f>
        <v>350</v>
      </c>
      <c r="L2025" s="3"/>
    </row>
    <row r="2027" spans="3:12" ht="18" x14ac:dyDescent="0.2">
      <c r="C2027" s="685" t="s">
        <v>412</v>
      </c>
      <c r="D2027" s="582">
        <v>45716</v>
      </c>
      <c r="E2027" s="800"/>
      <c r="F2027" s="685" t="s">
        <v>83</v>
      </c>
      <c r="G2027" s="801" t="s">
        <v>67</v>
      </c>
      <c r="H2027" s="802"/>
      <c r="I2027" s="802"/>
      <c r="J2027" s="802"/>
      <c r="K2027" s="803"/>
    </row>
    <row r="2028" spans="3:12" x14ac:dyDescent="0.2">
      <c r="C2028" s="804"/>
      <c r="D2028" s="805"/>
      <c r="E2028" s="800"/>
      <c r="F2028" s="683" t="s">
        <v>93</v>
      </c>
      <c r="G2028" s="683" t="s">
        <v>93</v>
      </c>
      <c r="H2028" s="683"/>
      <c r="I2028" s="806"/>
      <c r="J2028" s="806"/>
      <c r="K2028" s="806"/>
    </row>
    <row r="2029" spans="3:12" x14ac:dyDescent="0.2">
      <c r="C2029" s="804"/>
      <c r="D2029" s="805"/>
      <c r="E2029" s="800"/>
      <c r="F2029" s="683" t="s">
        <v>94</v>
      </c>
      <c r="G2029" s="683" t="s">
        <v>95</v>
      </c>
      <c r="H2029" s="683" t="s">
        <v>96</v>
      </c>
      <c r="I2029" s="806"/>
      <c r="J2029" s="806"/>
      <c r="K2029" s="806"/>
    </row>
    <row r="2030" spans="3:12" x14ac:dyDescent="0.2">
      <c r="C2030" s="804"/>
      <c r="D2030" s="805"/>
      <c r="E2030" s="800"/>
      <c r="F2030" s="683"/>
      <c r="G2030" s="683"/>
      <c r="H2030" s="683"/>
      <c r="I2030" s="806"/>
      <c r="J2030" s="806"/>
      <c r="K2030" s="806"/>
    </row>
    <row r="2031" spans="3:12" ht="16" x14ac:dyDescent="0.2">
      <c r="C2031" s="683"/>
      <c r="D2031" s="583" t="s">
        <v>97</v>
      </c>
      <c r="E2031" s="584"/>
      <c r="F2031" s="581"/>
      <c r="G2031" s="585"/>
      <c r="H2031" s="585"/>
      <c r="I2031" s="586"/>
      <c r="J2031" s="586"/>
      <c r="K2031" s="586"/>
    </row>
    <row r="2032" spans="3:12" ht="26" x14ac:dyDescent="0.2">
      <c r="C2032" s="804"/>
      <c r="D2032" s="587"/>
      <c r="E2032" s="588"/>
      <c r="F2032" s="585" t="s">
        <v>383</v>
      </c>
      <c r="G2032" s="585" t="s">
        <v>384</v>
      </c>
      <c r="H2032" s="585" t="s">
        <v>385</v>
      </c>
      <c r="I2032" s="585" t="s">
        <v>386</v>
      </c>
      <c r="J2032" s="585" t="s">
        <v>387</v>
      </c>
      <c r="K2032" s="585" t="s">
        <v>84</v>
      </c>
    </row>
    <row r="2033" spans="3:12" x14ac:dyDescent="0.2">
      <c r="C2033" s="804"/>
      <c r="D2033" s="684" t="s">
        <v>167</v>
      </c>
      <c r="E2033" s="588"/>
      <c r="F2033" s="580">
        <v>16</v>
      </c>
      <c r="G2033" s="579">
        <v>9</v>
      </c>
      <c r="H2033" s="580">
        <v>4</v>
      </c>
      <c r="I2033" s="580">
        <v>5</v>
      </c>
      <c r="J2033" s="580">
        <v>10</v>
      </c>
      <c r="K2033" s="580">
        <f>SUM(F2033:J2033)</f>
        <v>44</v>
      </c>
    </row>
    <row r="2034" spans="3:12" x14ac:dyDescent="0.2">
      <c r="C2034" s="804"/>
      <c r="D2034" s="684" t="s">
        <v>207</v>
      </c>
      <c r="E2034" s="588"/>
      <c r="F2034" s="618">
        <v>112</v>
      </c>
      <c r="G2034" s="619">
        <v>63</v>
      </c>
      <c r="H2034" s="618">
        <v>28</v>
      </c>
      <c r="I2034" s="618">
        <v>55</v>
      </c>
      <c r="J2034" s="618">
        <v>86</v>
      </c>
      <c r="K2034" s="618">
        <f>SUM(F2034:J2034)</f>
        <v>344</v>
      </c>
    </row>
    <row r="2035" spans="3:12" x14ac:dyDescent="0.2">
      <c r="C2035" s="683"/>
      <c r="D2035" s="684" t="s">
        <v>100</v>
      </c>
      <c r="E2035" s="588"/>
      <c r="F2035" s="581"/>
      <c r="G2035" s="581"/>
      <c r="H2035" s="581"/>
      <c r="I2035" s="581"/>
      <c r="J2035" s="581"/>
      <c r="K2035" s="581">
        <f>SUM(F2035:J2035)</f>
        <v>0</v>
      </c>
    </row>
    <row r="2036" spans="3:12" x14ac:dyDescent="0.2">
      <c r="C2036" s="683"/>
      <c r="D2036" s="684" t="s">
        <v>101</v>
      </c>
      <c r="E2036" s="588"/>
      <c r="F2036" s="581"/>
      <c r="G2036" s="581">
        <v>4</v>
      </c>
      <c r="H2036" s="581"/>
      <c r="I2036" s="581">
        <v>3</v>
      </c>
      <c r="J2036" s="581"/>
      <c r="K2036" s="581">
        <f>SUM(F2036:J2036)</f>
        <v>7</v>
      </c>
    </row>
    <row r="2037" spans="3:12" ht="16" thickBot="1" x14ac:dyDescent="0.25">
      <c r="C2037" s="683"/>
      <c r="D2037" s="597" t="s">
        <v>102</v>
      </c>
      <c r="E2037" s="598"/>
      <c r="F2037" s="599"/>
      <c r="G2037" s="600">
        <v>1</v>
      </c>
      <c r="H2037" s="600">
        <v>12</v>
      </c>
      <c r="I2037" s="600">
        <v>1</v>
      </c>
      <c r="J2037" s="600">
        <v>3</v>
      </c>
      <c r="K2037" s="600">
        <f>SUM(F2037:J2037)</f>
        <v>17</v>
      </c>
    </row>
    <row r="2038" spans="3:12" ht="17" thickBot="1" x14ac:dyDescent="0.25">
      <c r="C2038" s="605"/>
      <c r="D2038" s="612" t="s">
        <v>84</v>
      </c>
      <c r="E2038" s="613"/>
      <c r="F2038" s="614">
        <f>(F2034+F2037)-F2036-F2035</f>
        <v>112</v>
      </c>
      <c r="G2038" s="615">
        <f>(G2034+G2037)-G2036-G2035</f>
        <v>60</v>
      </c>
      <c r="H2038" s="616">
        <f>(H2034+H2037)-H2036</f>
        <v>40</v>
      </c>
      <c r="I2038" s="615">
        <f>(I2034+I2037)-I2036-I2035</f>
        <v>53</v>
      </c>
      <c r="J2038" s="622">
        <f>(J2034+J2037)-J2036-J2035</f>
        <v>89</v>
      </c>
      <c r="K2038" s="617">
        <f>(K2034+K2037)-K2036-K2035</f>
        <v>354</v>
      </c>
    </row>
    <row r="2039" spans="3:12" ht="16" x14ac:dyDescent="0.2">
      <c r="C2039" s="683"/>
      <c r="D2039" s="608"/>
      <c r="E2039" s="609"/>
      <c r="F2039" s="610"/>
      <c r="G2039" s="595"/>
      <c r="H2039" s="611"/>
      <c r="I2039" s="595"/>
      <c r="J2039" s="595"/>
      <c r="K2039" s="595"/>
    </row>
    <row r="2040" spans="3:12" ht="16" thickBot="1" x14ac:dyDescent="0.25">
      <c r="C2040" s="606" t="s">
        <v>388</v>
      </c>
      <c r="D2040" s="607" t="s">
        <v>103</v>
      </c>
      <c r="E2040" s="603" t="s">
        <v>84</v>
      </c>
      <c r="F2040" s="602" t="s">
        <v>78</v>
      </c>
      <c r="G2040" s="602" t="s">
        <v>79</v>
      </c>
      <c r="H2040" s="602" t="s">
        <v>81</v>
      </c>
      <c r="I2040" s="601" t="s">
        <v>316</v>
      </c>
      <c r="J2040" s="601" t="s">
        <v>85</v>
      </c>
      <c r="K2040" s="601" t="s">
        <v>84</v>
      </c>
      <c r="L2040" s="174" t="s">
        <v>389</v>
      </c>
    </row>
    <row r="2041" spans="3:12" x14ac:dyDescent="0.2">
      <c r="C2041" s="589" t="s">
        <v>539</v>
      </c>
      <c r="D2041" s="604" t="s">
        <v>105</v>
      </c>
      <c r="E2041" s="591">
        <f>(F2041+G2041+H2041+I2041+J2041)*100+(0*230)</f>
        <v>6700</v>
      </c>
      <c r="F2041" s="3">
        <v>24</v>
      </c>
      <c r="G2041" s="3">
        <v>11</v>
      </c>
      <c r="H2041" s="3">
        <v>12</v>
      </c>
      <c r="I2041" s="3">
        <v>2</v>
      </c>
      <c r="J2041" s="3">
        <v>18</v>
      </c>
      <c r="K2041" s="628">
        <f t="shared" ref="K2041:K2063" si="94">SUM(F2041:J2041)</f>
        <v>67</v>
      </c>
      <c r="L2041" s="630">
        <f>K2041/4</f>
        <v>16.75</v>
      </c>
    </row>
    <row r="2042" spans="3:12" x14ac:dyDescent="0.2">
      <c r="C2042" s="589" t="s">
        <v>779</v>
      </c>
      <c r="D2042" s="590" t="s">
        <v>390</v>
      </c>
      <c r="E2042" s="591">
        <f>(F2042+G2042+H2042+I2042+J2042)*120</f>
        <v>1200</v>
      </c>
      <c r="F2042" s="3">
        <v>3</v>
      </c>
      <c r="G2042" s="3">
        <v>1</v>
      </c>
      <c r="H2042" s="3">
        <v>2</v>
      </c>
      <c r="I2042" s="3">
        <v>2</v>
      </c>
      <c r="J2042" s="3">
        <v>2</v>
      </c>
      <c r="K2042" s="628">
        <f t="shared" si="94"/>
        <v>10</v>
      </c>
      <c r="L2042" s="630">
        <f t="shared" ref="L2042:L2063" si="95">K2042/4</f>
        <v>2.5</v>
      </c>
    </row>
    <row r="2043" spans="3:12" x14ac:dyDescent="0.2">
      <c r="C2043" s="589" t="s">
        <v>780</v>
      </c>
      <c r="D2043" s="590" t="s">
        <v>391</v>
      </c>
      <c r="E2043" s="591">
        <f>(F2043+G2043+H2043+I2043+J2043)*120</f>
        <v>3000</v>
      </c>
      <c r="F2043" s="3">
        <v>5</v>
      </c>
      <c r="G2043" s="3">
        <v>5</v>
      </c>
      <c r="H2043" s="3">
        <v>5</v>
      </c>
      <c r="I2043" s="3">
        <v>5</v>
      </c>
      <c r="J2043" s="3">
        <v>5</v>
      </c>
      <c r="K2043" s="628">
        <f t="shared" si="94"/>
        <v>25</v>
      </c>
      <c r="L2043" s="630">
        <f t="shared" si="95"/>
        <v>6.25</v>
      </c>
    </row>
    <row r="2044" spans="3:12" x14ac:dyDescent="0.2">
      <c r="C2044" s="589" t="s">
        <v>781</v>
      </c>
      <c r="D2044" s="590" t="s">
        <v>392</v>
      </c>
      <c r="E2044" s="591">
        <f>(F2044+G2044+H2044+I2044+J2044)*120</f>
        <v>2400</v>
      </c>
      <c r="F2044" s="3">
        <v>6</v>
      </c>
      <c r="G2044" s="3">
        <v>2</v>
      </c>
      <c r="H2044" s="3">
        <v>6</v>
      </c>
      <c r="I2044" s="3"/>
      <c r="J2044" s="3">
        <v>6</v>
      </c>
      <c r="K2044" s="628">
        <f t="shared" si="94"/>
        <v>20</v>
      </c>
      <c r="L2044" s="630">
        <f t="shared" si="95"/>
        <v>5</v>
      </c>
    </row>
    <row r="2045" spans="3:12" x14ac:dyDescent="0.2">
      <c r="C2045" s="589"/>
      <c r="D2045" s="590" t="s">
        <v>425</v>
      </c>
      <c r="E2045" s="591">
        <f>(F2045+G2045+H2045+I2045+J2045)*120</f>
        <v>0</v>
      </c>
      <c r="F2045" s="3"/>
      <c r="G2045" s="3"/>
      <c r="H2045" s="3"/>
      <c r="I2045" s="3"/>
      <c r="J2045" s="3"/>
      <c r="K2045" s="628">
        <f t="shared" si="94"/>
        <v>0</v>
      </c>
      <c r="L2045" s="630">
        <f t="shared" si="95"/>
        <v>0</v>
      </c>
    </row>
    <row r="2046" spans="3:12" x14ac:dyDescent="0.2">
      <c r="C2046" s="589"/>
      <c r="D2046" s="590"/>
      <c r="E2046" s="591"/>
      <c r="F2046" s="3"/>
      <c r="G2046" s="3"/>
      <c r="H2046" s="3"/>
      <c r="I2046" s="3"/>
      <c r="J2046" s="3"/>
      <c r="K2046" s="628">
        <f t="shared" si="94"/>
        <v>0</v>
      </c>
      <c r="L2046" s="630">
        <f t="shared" si="95"/>
        <v>0</v>
      </c>
    </row>
    <row r="2047" spans="3:12" x14ac:dyDescent="0.2">
      <c r="C2047" s="589" t="s">
        <v>784</v>
      </c>
      <c r="D2047" s="590" t="s">
        <v>108</v>
      </c>
      <c r="E2047" s="591">
        <f>(F2047+G2047+H2047+J2047)*112.7+(I2047*119.6)</f>
        <v>5943.2</v>
      </c>
      <c r="F2047" s="3">
        <v>14</v>
      </c>
      <c r="G2047" s="3">
        <v>6</v>
      </c>
      <c r="H2047" s="3">
        <v>6</v>
      </c>
      <c r="I2047" s="3">
        <v>12</v>
      </c>
      <c r="J2047" s="3">
        <v>14</v>
      </c>
      <c r="K2047" s="628">
        <f t="shared" si="94"/>
        <v>52</v>
      </c>
      <c r="L2047" s="630">
        <f t="shared" si="95"/>
        <v>13</v>
      </c>
    </row>
    <row r="2048" spans="3:12" x14ac:dyDescent="0.2">
      <c r="C2048" s="589" t="s">
        <v>783</v>
      </c>
      <c r="D2048" s="590" t="s">
        <v>393</v>
      </c>
      <c r="E2048" s="591">
        <f>(F2048+G2048+H2048+J2048)*112.7+(I2048*119.6)</f>
        <v>3183.2000000000003</v>
      </c>
      <c r="F2048" s="3">
        <v>8</v>
      </c>
      <c r="G2048" s="3">
        <v>4</v>
      </c>
      <c r="H2048" s="3">
        <v>4</v>
      </c>
      <c r="I2048" s="3">
        <v>4</v>
      </c>
      <c r="J2048" s="3">
        <v>8</v>
      </c>
      <c r="K2048" s="628">
        <f t="shared" si="94"/>
        <v>28</v>
      </c>
      <c r="L2048" s="630">
        <f t="shared" si="95"/>
        <v>7</v>
      </c>
    </row>
    <row r="2049" spans="3:12" x14ac:dyDescent="0.2">
      <c r="C2049" s="589" t="s">
        <v>782</v>
      </c>
      <c r="D2049" s="590" t="s">
        <v>216</v>
      </c>
      <c r="E2049" s="591">
        <f>(F2049+G2049+H2049+J2049)*112.7+(I2049*119.6)</f>
        <v>3661.6000000000004</v>
      </c>
      <c r="F2049" s="3">
        <v>8</v>
      </c>
      <c r="G2049" s="3">
        <v>8</v>
      </c>
      <c r="H2049" s="3"/>
      <c r="I2049" s="3">
        <v>8</v>
      </c>
      <c r="J2049" s="3">
        <v>8</v>
      </c>
      <c r="K2049" s="628">
        <f t="shared" si="94"/>
        <v>32</v>
      </c>
      <c r="L2049" s="630">
        <f t="shared" si="95"/>
        <v>8</v>
      </c>
    </row>
    <row r="2050" spans="3:12" x14ac:dyDescent="0.2">
      <c r="C2050" s="589"/>
      <c r="D2050" s="590"/>
      <c r="E2050" s="591"/>
      <c r="F2050" s="3"/>
      <c r="G2050" s="3"/>
      <c r="H2050" s="3"/>
      <c r="I2050" s="3"/>
      <c r="J2050" s="3"/>
      <c r="K2050" s="628">
        <f t="shared" si="94"/>
        <v>0</v>
      </c>
      <c r="L2050" s="630">
        <f t="shared" si="95"/>
        <v>0</v>
      </c>
    </row>
    <row r="2051" spans="3:12" x14ac:dyDescent="0.2">
      <c r="C2051" s="589"/>
      <c r="D2051" s="590" t="s">
        <v>394</v>
      </c>
      <c r="E2051" s="591">
        <f>(F2051+G2051+H2051+I2051+J2051)*120</f>
        <v>0</v>
      </c>
      <c r="F2051" s="3"/>
      <c r="G2051" s="3"/>
      <c r="H2051" s="3"/>
      <c r="I2051" s="3"/>
      <c r="J2051" s="3"/>
      <c r="K2051" s="628">
        <f t="shared" si="94"/>
        <v>0</v>
      </c>
      <c r="L2051" s="630">
        <f t="shared" si="95"/>
        <v>0</v>
      </c>
    </row>
    <row r="2052" spans="3:12" x14ac:dyDescent="0.2">
      <c r="C2052" s="589" t="s">
        <v>785</v>
      </c>
      <c r="D2052" s="590" t="s">
        <v>110</v>
      </c>
      <c r="E2052" s="591">
        <f>(F2052+G2052+H2052+J2052)*112.7+(I2052*119.6)</f>
        <v>11408</v>
      </c>
      <c r="F2052" s="3">
        <v>40</v>
      </c>
      <c r="G2052" s="3">
        <v>20</v>
      </c>
      <c r="H2052" s="3"/>
      <c r="I2052" s="3">
        <v>20</v>
      </c>
      <c r="J2052" s="3">
        <v>20</v>
      </c>
      <c r="K2052" s="628">
        <f t="shared" si="94"/>
        <v>100</v>
      </c>
      <c r="L2052" s="630">
        <f t="shared" si="95"/>
        <v>25</v>
      </c>
    </row>
    <row r="2053" spans="3:12" x14ac:dyDescent="0.2">
      <c r="C2053" s="589"/>
      <c r="D2053" s="590"/>
      <c r="E2053" s="591"/>
      <c r="F2053" s="3"/>
      <c r="G2053" s="3"/>
      <c r="H2053" s="3"/>
      <c r="I2053" s="3"/>
      <c r="J2053" s="3"/>
      <c r="K2053" s="628">
        <f t="shared" si="94"/>
        <v>0</v>
      </c>
      <c r="L2053" s="630">
        <f t="shared" si="95"/>
        <v>0</v>
      </c>
    </row>
    <row r="2054" spans="3:12" x14ac:dyDescent="0.2">
      <c r="C2054" s="589"/>
      <c r="D2054" s="590" t="s">
        <v>381</v>
      </c>
      <c r="E2054" s="591">
        <f>(F2054+G2054+H2054+I2054+J2054)*120+(240*0)+(0*45)</f>
        <v>0</v>
      </c>
      <c r="F2054" s="3"/>
      <c r="G2054" s="3"/>
      <c r="H2054" s="3"/>
      <c r="I2054" s="3"/>
      <c r="J2054" s="3"/>
      <c r="K2054" s="628">
        <f t="shared" si="94"/>
        <v>0</v>
      </c>
      <c r="L2054" s="630">
        <f t="shared" si="95"/>
        <v>0</v>
      </c>
    </row>
    <row r="2055" spans="3:12" x14ac:dyDescent="0.2">
      <c r="C2055" s="589"/>
      <c r="D2055" s="590" t="s">
        <v>276</v>
      </c>
      <c r="E2055" s="591">
        <f>(F2055+G2055+H2055+J2055)*112.7+(I2055*119.6)</f>
        <v>0</v>
      </c>
      <c r="F2055" s="3"/>
      <c r="G2055" s="3"/>
      <c r="H2055" s="3"/>
      <c r="I2055" s="3"/>
      <c r="J2055" s="3"/>
      <c r="K2055" s="628">
        <f t="shared" si="94"/>
        <v>0</v>
      </c>
      <c r="L2055" s="630">
        <f t="shared" si="95"/>
        <v>0</v>
      </c>
    </row>
    <row r="2056" spans="3:12" x14ac:dyDescent="0.2">
      <c r="C2056" s="589"/>
      <c r="D2056" s="590"/>
      <c r="E2056" s="591"/>
      <c r="F2056" s="3"/>
      <c r="G2056" s="3"/>
      <c r="H2056" s="3"/>
      <c r="I2056" s="3"/>
      <c r="J2056" s="3"/>
      <c r="K2056" s="628">
        <f t="shared" si="94"/>
        <v>0</v>
      </c>
      <c r="L2056" s="630">
        <f t="shared" si="95"/>
        <v>0</v>
      </c>
    </row>
    <row r="2057" spans="3:12" x14ac:dyDescent="0.2">
      <c r="C2057" s="589"/>
      <c r="D2057" s="590" t="s">
        <v>75</v>
      </c>
      <c r="E2057" s="591">
        <f>(F2057+G2057+H2057+I2057+J2057)*120</f>
        <v>0</v>
      </c>
      <c r="F2057" s="3"/>
      <c r="G2057" s="3"/>
      <c r="H2057" s="3"/>
      <c r="I2057" s="3"/>
      <c r="J2057" s="3"/>
      <c r="K2057" s="628">
        <f t="shared" si="94"/>
        <v>0</v>
      </c>
      <c r="L2057" s="630">
        <f t="shared" si="95"/>
        <v>0</v>
      </c>
    </row>
    <row r="2058" spans="3:12" x14ac:dyDescent="0.2">
      <c r="C2058" s="589"/>
      <c r="D2058" s="590" t="s">
        <v>278</v>
      </c>
      <c r="E2058" s="591">
        <f>(F2058+G2058+H2058+I2058+J2058)*120</f>
        <v>0</v>
      </c>
      <c r="F2058" s="3"/>
      <c r="G2058" s="3"/>
      <c r="H2058" s="3"/>
      <c r="I2058" s="3"/>
      <c r="J2058" s="3"/>
      <c r="K2058" s="628">
        <f t="shared" si="94"/>
        <v>0</v>
      </c>
      <c r="L2058" s="630">
        <f t="shared" si="95"/>
        <v>0</v>
      </c>
    </row>
    <row r="2059" spans="3:12" x14ac:dyDescent="0.2">
      <c r="C2059" s="589"/>
      <c r="D2059" s="590" t="s">
        <v>270</v>
      </c>
      <c r="E2059" s="591">
        <f>(F2059+G2059+H2059+I2059)*112.7+(J2059*119.6)</f>
        <v>0</v>
      </c>
      <c r="F2059" s="3"/>
      <c r="G2059" s="3"/>
      <c r="H2059" s="3"/>
      <c r="I2059" s="3"/>
      <c r="J2059" s="3"/>
      <c r="K2059" s="628">
        <f t="shared" si="94"/>
        <v>0</v>
      </c>
      <c r="L2059" s="630">
        <f t="shared" si="95"/>
        <v>0</v>
      </c>
    </row>
    <row r="2060" spans="3:12" x14ac:dyDescent="0.2">
      <c r="C2060" s="589"/>
      <c r="D2060" s="590" t="s">
        <v>274</v>
      </c>
      <c r="E2060" s="591">
        <f>(F2060+G2060+H2060+I2060)*112.7+(J2060*119.6)</f>
        <v>0</v>
      </c>
      <c r="F2060" s="3"/>
      <c r="G2060" s="3"/>
      <c r="H2060" s="3"/>
      <c r="I2060" s="3"/>
      <c r="J2060" s="3"/>
      <c r="K2060" s="628">
        <f t="shared" si="94"/>
        <v>0</v>
      </c>
      <c r="L2060" s="630">
        <f t="shared" si="95"/>
        <v>0</v>
      </c>
    </row>
    <row r="2061" spans="3:12" x14ac:dyDescent="0.2">
      <c r="C2061" s="589"/>
      <c r="D2061" s="590" t="s">
        <v>395</v>
      </c>
      <c r="E2061" s="591">
        <f>(F2061+G2061+H2061+I2061)*112.7+(J2061*119.6)</f>
        <v>0</v>
      </c>
      <c r="F2061" s="3"/>
      <c r="G2061" s="3"/>
      <c r="H2061" s="3"/>
      <c r="I2061" s="3"/>
      <c r="J2061" s="3"/>
      <c r="K2061" s="628">
        <f t="shared" si="94"/>
        <v>0</v>
      </c>
      <c r="L2061" s="630">
        <f t="shared" si="95"/>
        <v>0</v>
      </c>
    </row>
    <row r="2062" spans="3:12" x14ac:dyDescent="0.2">
      <c r="C2062" s="683"/>
      <c r="D2062" s="590" t="s">
        <v>112</v>
      </c>
      <c r="E2062" s="591">
        <f>(F2062+G2062+H2062+I2062)*112.7+(J2062*119.6)</f>
        <v>0</v>
      </c>
      <c r="F2062" s="3"/>
      <c r="G2062" s="3"/>
      <c r="H2062" s="3"/>
      <c r="I2062" s="3"/>
      <c r="J2062" s="3"/>
      <c r="K2062" s="628">
        <f t="shared" si="94"/>
        <v>0</v>
      </c>
      <c r="L2062" s="630">
        <f t="shared" si="95"/>
        <v>0</v>
      </c>
    </row>
    <row r="2063" spans="3:12" x14ac:dyDescent="0.2">
      <c r="C2063" s="683"/>
      <c r="D2063" s="590" t="s">
        <v>72</v>
      </c>
      <c r="E2063" s="591">
        <f>(F2063+G2063+H2063+I2063)*112.7+(J2063*119.6)</f>
        <v>0</v>
      </c>
      <c r="F2063" s="3"/>
      <c r="G2063" s="3"/>
      <c r="H2063" s="3"/>
      <c r="I2063" s="3"/>
      <c r="J2063" s="3"/>
      <c r="K2063" s="628">
        <f t="shared" si="94"/>
        <v>0</v>
      </c>
      <c r="L2063" s="630">
        <f t="shared" si="95"/>
        <v>0</v>
      </c>
    </row>
    <row r="2064" spans="3:12" x14ac:dyDescent="0.2">
      <c r="C2064" s="683"/>
      <c r="D2064" s="590" t="s">
        <v>187</v>
      </c>
      <c r="E2064" s="591"/>
      <c r="F2064" s="3">
        <v>1</v>
      </c>
      <c r="G2064" s="3">
        <v>3</v>
      </c>
      <c r="H2064" s="3">
        <v>2</v>
      </c>
      <c r="I2064" s="3"/>
      <c r="J2064" s="3">
        <v>8</v>
      </c>
      <c r="K2064" s="628">
        <f>SUM(F2064:J2064)</f>
        <v>14</v>
      </c>
      <c r="L2064" s="3"/>
    </row>
    <row r="2065" spans="3:12" ht="16" x14ac:dyDescent="0.2">
      <c r="C2065" s="683"/>
      <c r="D2065" s="590"/>
      <c r="E2065" s="592"/>
      <c r="F2065" s="3"/>
      <c r="G2065" s="3"/>
      <c r="H2065" s="3"/>
      <c r="I2065" s="3"/>
      <c r="J2065" s="3"/>
      <c r="K2065" s="628">
        <f>SUM(F2065:J2065)</f>
        <v>0</v>
      </c>
      <c r="L2065" s="3"/>
    </row>
    <row r="2066" spans="3:12" ht="17" thickBot="1" x14ac:dyDescent="0.25">
      <c r="C2066" s="683"/>
      <c r="D2066" s="590"/>
      <c r="E2066" s="624"/>
      <c r="F2066" s="69"/>
      <c r="G2066" s="69"/>
      <c r="H2066" s="69"/>
      <c r="I2066" s="69"/>
      <c r="J2066" s="69"/>
      <c r="K2066" s="629"/>
      <c r="L2066" s="3"/>
    </row>
    <row r="2067" spans="3:12" ht="16" thickBot="1" x14ac:dyDescent="0.25">
      <c r="C2067" s="596"/>
      <c r="D2067" s="623" t="s">
        <v>19</v>
      </c>
      <c r="E2067" s="625">
        <f>SUM(E2041:E2064)</f>
        <v>37496</v>
      </c>
      <c r="F2067" s="614">
        <f>SUM(F2041:F2066)</f>
        <v>109</v>
      </c>
      <c r="G2067" s="614">
        <f>SUM(G2041:G2066)</f>
        <v>60</v>
      </c>
      <c r="H2067" s="614">
        <f>SUM(H2041:H2066)</f>
        <v>37</v>
      </c>
      <c r="I2067" s="614">
        <f>SUM(I2041:I2066)</f>
        <v>53</v>
      </c>
      <c r="J2067" s="614">
        <f>SUM(J2041:J2066)</f>
        <v>89</v>
      </c>
      <c r="K2067" s="626">
        <f>SUM(F2067:J2067)</f>
        <v>348</v>
      </c>
      <c r="L2067" s="631">
        <f>SUM(L2041:L2066)</f>
        <v>83.5</v>
      </c>
    </row>
    <row r="2068" spans="3:12" x14ac:dyDescent="0.2">
      <c r="C2068" s="596"/>
      <c r="D2068" s="593" t="s">
        <v>113</v>
      </c>
      <c r="E2068" s="620"/>
      <c r="F2068" s="610">
        <f>F2038-F2067</f>
        <v>3</v>
      </c>
      <c r="G2068" s="610">
        <f>G2038-G2067</f>
        <v>0</v>
      </c>
      <c r="H2068" s="610">
        <f>H2038-H2067</f>
        <v>3</v>
      </c>
      <c r="I2068" s="610">
        <f>I2038-I2067</f>
        <v>0</v>
      </c>
      <c r="J2068" s="610">
        <f>J2038-J2067</f>
        <v>0</v>
      </c>
      <c r="K2068" s="636">
        <f>SUM(F2068:J2068)</f>
        <v>6</v>
      </c>
      <c r="L2068" s="3"/>
    </row>
    <row r="2069" spans="3:12" x14ac:dyDescent="0.2">
      <c r="C2069" s="683"/>
      <c r="D2069" s="593" t="s">
        <v>436</v>
      </c>
      <c r="E2069" s="594"/>
      <c r="F2069" s="581"/>
      <c r="G2069" s="581"/>
      <c r="H2069" s="581"/>
      <c r="I2069" s="581"/>
      <c r="J2069" s="581"/>
      <c r="K2069" s="637">
        <f>K2067+K2068</f>
        <v>354</v>
      </c>
      <c r="L2069" s="3"/>
    </row>
    <row r="2071" spans="3:12" ht="18" x14ac:dyDescent="0.2">
      <c r="C2071" s="685" t="s">
        <v>412</v>
      </c>
      <c r="D2071" s="582">
        <v>45719</v>
      </c>
      <c r="E2071" s="800"/>
      <c r="F2071" s="685" t="s">
        <v>83</v>
      </c>
      <c r="G2071" s="801" t="s">
        <v>63</v>
      </c>
      <c r="H2071" s="802"/>
      <c r="I2071" s="802"/>
      <c r="J2071" s="802"/>
      <c r="K2071" s="803"/>
    </row>
    <row r="2072" spans="3:12" x14ac:dyDescent="0.2">
      <c r="C2072" s="804"/>
      <c r="D2072" s="805"/>
      <c r="E2072" s="800"/>
      <c r="F2072" s="683" t="s">
        <v>93</v>
      </c>
      <c r="G2072" s="683" t="s">
        <v>93</v>
      </c>
      <c r="H2072" s="683"/>
      <c r="I2072" s="806"/>
      <c r="J2072" s="806"/>
      <c r="K2072" s="806"/>
    </row>
    <row r="2073" spans="3:12" x14ac:dyDescent="0.2">
      <c r="C2073" s="804"/>
      <c r="D2073" s="805"/>
      <c r="E2073" s="800"/>
      <c r="F2073" s="683" t="s">
        <v>94</v>
      </c>
      <c r="G2073" s="683" t="s">
        <v>95</v>
      </c>
      <c r="H2073" s="683" t="s">
        <v>96</v>
      </c>
      <c r="I2073" s="806"/>
      <c r="J2073" s="806"/>
      <c r="K2073" s="806"/>
    </row>
    <row r="2074" spans="3:12" x14ac:dyDescent="0.2">
      <c r="C2074" s="804"/>
      <c r="D2074" s="805"/>
      <c r="E2074" s="800"/>
      <c r="F2074" s="683"/>
      <c r="G2074" s="683"/>
      <c r="H2074" s="683"/>
      <c r="I2074" s="806"/>
      <c r="J2074" s="806"/>
      <c r="K2074" s="806"/>
    </row>
    <row r="2075" spans="3:12" ht="16" x14ac:dyDescent="0.2">
      <c r="C2075" s="683"/>
      <c r="D2075" s="583" t="s">
        <v>97</v>
      </c>
      <c r="E2075" s="584"/>
      <c r="F2075" s="581"/>
      <c r="G2075" s="585"/>
      <c r="H2075" s="585"/>
      <c r="I2075" s="586"/>
      <c r="J2075" s="586"/>
      <c r="K2075" s="586"/>
    </row>
    <row r="2076" spans="3:12" ht="26" x14ac:dyDescent="0.2">
      <c r="C2076" s="804"/>
      <c r="D2076" s="587"/>
      <c r="E2076" s="588"/>
      <c r="F2076" s="585" t="s">
        <v>383</v>
      </c>
      <c r="G2076" s="585" t="s">
        <v>384</v>
      </c>
      <c r="H2076" s="585" t="s">
        <v>385</v>
      </c>
      <c r="I2076" s="585" t="s">
        <v>386</v>
      </c>
      <c r="J2076" s="585" t="s">
        <v>387</v>
      </c>
      <c r="K2076" s="585" t="s">
        <v>84</v>
      </c>
    </row>
    <row r="2077" spans="3:12" x14ac:dyDescent="0.2">
      <c r="C2077" s="804"/>
      <c r="D2077" s="684" t="s">
        <v>167</v>
      </c>
      <c r="E2077" s="588"/>
      <c r="F2077" s="580">
        <v>11</v>
      </c>
      <c r="G2077" s="579">
        <v>7</v>
      </c>
      <c r="H2077" s="580">
        <v>4</v>
      </c>
      <c r="I2077" s="580">
        <v>4</v>
      </c>
      <c r="J2077" s="580">
        <v>10</v>
      </c>
      <c r="K2077" s="580">
        <f>SUM(F2077:J2077)</f>
        <v>36</v>
      </c>
    </row>
    <row r="2078" spans="3:12" x14ac:dyDescent="0.2">
      <c r="C2078" s="804"/>
      <c r="D2078" s="684" t="s">
        <v>207</v>
      </c>
      <c r="E2078" s="588"/>
      <c r="F2078" s="618">
        <v>74</v>
      </c>
      <c r="G2078" s="619">
        <v>48</v>
      </c>
      <c r="H2078" s="618">
        <v>28</v>
      </c>
      <c r="I2078" s="618">
        <v>44</v>
      </c>
      <c r="J2078" s="618">
        <v>88</v>
      </c>
      <c r="K2078" s="618">
        <f>SUM(F2078:J2078)</f>
        <v>282</v>
      </c>
    </row>
    <row r="2079" spans="3:12" x14ac:dyDescent="0.2">
      <c r="C2079" s="683"/>
      <c r="D2079" s="684" t="s">
        <v>100</v>
      </c>
      <c r="E2079" s="588"/>
      <c r="F2079" s="581"/>
      <c r="G2079" s="581"/>
      <c r="H2079" s="581"/>
      <c r="I2079" s="581"/>
      <c r="J2079" s="581"/>
      <c r="K2079" s="581">
        <f>SUM(F2079:J2079)</f>
        <v>0</v>
      </c>
    </row>
    <row r="2080" spans="3:12" x14ac:dyDescent="0.2">
      <c r="C2080" s="683"/>
      <c r="D2080" s="684" t="s">
        <v>101</v>
      </c>
      <c r="E2080" s="588"/>
      <c r="F2080" s="581">
        <v>4</v>
      </c>
      <c r="G2080" s="581"/>
      <c r="H2080" s="581"/>
      <c r="I2080" s="581"/>
      <c r="J2080" s="581"/>
      <c r="K2080" s="581">
        <f>SUM(F2080:J2080)</f>
        <v>4</v>
      </c>
    </row>
    <row r="2081" spans="3:12" ht="16" thickBot="1" x14ac:dyDescent="0.25">
      <c r="C2081" s="683"/>
      <c r="D2081" s="597" t="s">
        <v>102</v>
      </c>
      <c r="E2081" s="598"/>
      <c r="F2081" s="599"/>
      <c r="G2081" s="600"/>
      <c r="H2081" s="600">
        <v>2</v>
      </c>
      <c r="I2081" s="600"/>
      <c r="J2081" s="600"/>
      <c r="K2081" s="600">
        <f>SUM(F2081:J2081)</f>
        <v>2</v>
      </c>
    </row>
    <row r="2082" spans="3:12" ht="17" thickBot="1" x14ac:dyDescent="0.25">
      <c r="C2082" s="605"/>
      <c r="D2082" s="612" t="s">
        <v>84</v>
      </c>
      <c r="E2082" s="613"/>
      <c r="F2082" s="614">
        <f>(F2078+F2081)-F2080-F2079</f>
        <v>70</v>
      </c>
      <c r="G2082" s="615">
        <f>(G2078+G2081)-G2080-G2079</f>
        <v>48</v>
      </c>
      <c r="H2082" s="616">
        <f>(H2078+H2081)-H2080</f>
        <v>30</v>
      </c>
      <c r="I2082" s="615">
        <f>(I2078+I2081)-I2080-I2079</f>
        <v>44</v>
      </c>
      <c r="J2082" s="622">
        <f>(J2078+J2081)-J2080-J2079</f>
        <v>88</v>
      </c>
      <c r="K2082" s="617">
        <f>(K2078+K2081)-K2080-K2079</f>
        <v>280</v>
      </c>
    </row>
    <row r="2083" spans="3:12" ht="16" x14ac:dyDescent="0.2">
      <c r="C2083" s="683"/>
      <c r="D2083" s="608"/>
      <c r="E2083" s="609"/>
      <c r="F2083" s="610"/>
      <c r="G2083" s="595"/>
      <c r="H2083" s="611"/>
      <c r="I2083" s="595"/>
      <c r="J2083" s="595"/>
      <c r="K2083" s="595"/>
    </row>
    <row r="2084" spans="3:12" ht="16" thickBot="1" x14ac:dyDescent="0.25">
      <c r="C2084" s="606" t="s">
        <v>388</v>
      </c>
      <c r="D2084" s="607" t="s">
        <v>103</v>
      </c>
      <c r="E2084" s="603" t="s">
        <v>84</v>
      </c>
      <c r="F2084" s="602" t="s">
        <v>78</v>
      </c>
      <c r="G2084" s="602" t="s">
        <v>79</v>
      </c>
      <c r="H2084" s="602" t="s">
        <v>81</v>
      </c>
      <c r="I2084" s="601" t="s">
        <v>316</v>
      </c>
      <c r="J2084" s="601" t="s">
        <v>85</v>
      </c>
      <c r="K2084" s="601" t="s">
        <v>84</v>
      </c>
      <c r="L2084" s="174" t="s">
        <v>389</v>
      </c>
    </row>
    <row r="2085" spans="3:12" x14ac:dyDescent="0.2">
      <c r="C2085" s="589" t="s">
        <v>789</v>
      </c>
      <c r="D2085" s="604" t="s">
        <v>105</v>
      </c>
      <c r="E2085" s="591">
        <f>(F2085+G2085+H2085+I2085+J2085)*100+(0*230)</f>
        <v>6900</v>
      </c>
      <c r="F2085" s="3">
        <v>10</v>
      </c>
      <c r="G2085" s="3">
        <v>17</v>
      </c>
      <c r="H2085" s="3">
        <v>11</v>
      </c>
      <c r="I2085" s="3">
        <v>11</v>
      </c>
      <c r="J2085" s="3">
        <v>20</v>
      </c>
      <c r="K2085" s="628">
        <f t="shared" ref="K2085:K2107" si="96">SUM(F2085:J2085)</f>
        <v>69</v>
      </c>
      <c r="L2085" s="630">
        <f>K2085/4</f>
        <v>17.25</v>
      </c>
    </row>
    <row r="2086" spans="3:12" x14ac:dyDescent="0.2">
      <c r="C2086" s="589"/>
      <c r="D2086" s="590" t="s">
        <v>390</v>
      </c>
      <c r="E2086" s="591">
        <f>(F2086+G2086+H2086+I2086+J2086)*120</f>
        <v>0</v>
      </c>
      <c r="F2086" s="3"/>
      <c r="G2086" s="3"/>
      <c r="H2086" s="3"/>
      <c r="I2086" s="3"/>
      <c r="J2086" s="3"/>
      <c r="K2086" s="628">
        <f t="shared" si="96"/>
        <v>0</v>
      </c>
      <c r="L2086" s="630">
        <f t="shared" ref="L2086:L2107" si="97">K2086/4</f>
        <v>0</v>
      </c>
    </row>
    <row r="2087" spans="3:12" x14ac:dyDescent="0.2">
      <c r="C2087" s="589"/>
      <c r="D2087" s="590" t="s">
        <v>391</v>
      </c>
      <c r="E2087" s="591">
        <f>(F2087+G2087+H2087+I2087+J2087)*120</f>
        <v>0</v>
      </c>
      <c r="F2087" s="3"/>
      <c r="G2087" s="3"/>
      <c r="H2087" s="3"/>
      <c r="I2087" s="3"/>
      <c r="J2087" s="3"/>
      <c r="K2087" s="628">
        <f t="shared" si="96"/>
        <v>0</v>
      </c>
      <c r="L2087" s="630">
        <f t="shared" si="97"/>
        <v>0</v>
      </c>
    </row>
    <row r="2088" spans="3:12" x14ac:dyDescent="0.2">
      <c r="C2088" s="589" t="s">
        <v>733</v>
      </c>
      <c r="D2088" s="590" t="s">
        <v>392</v>
      </c>
      <c r="E2088" s="591">
        <f>(F2088+G2088+H2088+I2088+J2088)*120</f>
        <v>2400</v>
      </c>
      <c r="F2088" s="3">
        <v>6</v>
      </c>
      <c r="G2088" s="3">
        <v>2</v>
      </c>
      <c r="H2088" s="3">
        <v>6</v>
      </c>
      <c r="I2088" s="3"/>
      <c r="J2088" s="3">
        <v>6</v>
      </c>
      <c r="K2088" s="628">
        <f t="shared" si="96"/>
        <v>20</v>
      </c>
      <c r="L2088" s="630">
        <f t="shared" si="97"/>
        <v>5</v>
      </c>
    </row>
    <row r="2089" spans="3:12" x14ac:dyDescent="0.2">
      <c r="C2089" s="589"/>
      <c r="D2089" s="590" t="s">
        <v>425</v>
      </c>
      <c r="E2089" s="591">
        <f>(F2089+G2089+H2089+I2089+J2089)*120</f>
        <v>0</v>
      </c>
      <c r="F2089" s="3"/>
      <c r="G2089" s="3"/>
      <c r="H2089" s="3"/>
      <c r="I2089" s="3"/>
      <c r="J2089" s="3"/>
      <c r="K2089" s="628">
        <f t="shared" si="96"/>
        <v>0</v>
      </c>
      <c r="L2089" s="630">
        <f t="shared" si="97"/>
        <v>0</v>
      </c>
    </row>
    <row r="2090" spans="3:12" x14ac:dyDescent="0.2">
      <c r="C2090" s="589"/>
      <c r="D2090" s="590"/>
      <c r="E2090" s="591"/>
      <c r="F2090" s="3"/>
      <c r="G2090" s="3"/>
      <c r="H2090" s="3"/>
      <c r="I2090" s="3"/>
      <c r="J2090" s="3"/>
      <c r="K2090" s="628">
        <f t="shared" si="96"/>
        <v>0</v>
      </c>
      <c r="L2090" s="630">
        <f t="shared" si="97"/>
        <v>0</v>
      </c>
    </row>
    <row r="2091" spans="3:12" x14ac:dyDescent="0.2">
      <c r="C2091" s="589" t="s">
        <v>792</v>
      </c>
      <c r="D2091" s="590" t="s">
        <v>108</v>
      </c>
      <c r="E2091" s="591">
        <f>(F2091+G2091+H2091+J2091)*112.7+(I2091*119.6)</f>
        <v>3661.6000000000004</v>
      </c>
      <c r="F2091" s="3">
        <v>8</v>
      </c>
      <c r="G2091" s="3">
        <v>4</v>
      </c>
      <c r="H2091" s="3">
        <v>4</v>
      </c>
      <c r="I2091" s="3">
        <v>8</v>
      </c>
      <c r="J2091" s="3">
        <v>8</v>
      </c>
      <c r="K2091" s="628">
        <f t="shared" si="96"/>
        <v>32</v>
      </c>
      <c r="L2091" s="630">
        <f t="shared" si="97"/>
        <v>8</v>
      </c>
    </row>
    <row r="2092" spans="3:12" x14ac:dyDescent="0.2">
      <c r="C2092" s="589" t="s">
        <v>791</v>
      </c>
      <c r="D2092" s="590" t="s">
        <v>393</v>
      </c>
      <c r="E2092" s="591">
        <f>(F2092+G2092+H2092+J2092)*112.7+(I2092*119.6)</f>
        <v>2732.4</v>
      </c>
      <c r="F2092" s="3">
        <v>6</v>
      </c>
      <c r="G2092" s="3">
        <v>4</v>
      </c>
      <c r="H2092" s="3">
        <v>4</v>
      </c>
      <c r="I2092" s="3">
        <v>4</v>
      </c>
      <c r="J2092" s="3">
        <v>6</v>
      </c>
      <c r="K2092" s="628">
        <f t="shared" si="96"/>
        <v>24</v>
      </c>
      <c r="L2092" s="630">
        <f t="shared" si="97"/>
        <v>6</v>
      </c>
    </row>
    <row r="2093" spans="3:12" x14ac:dyDescent="0.2">
      <c r="C2093" s="589" t="s">
        <v>790</v>
      </c>
      <c r="D2093" s="590" t="s">
        <v>216</v>
      </c>
      <c r="E2093" s="591">
        <f>(F2093+G2093+H2093+J2093)*112.7+(I2093*119.6)</f>
        <v>2281.6</v>
      </c>
      <c r="F2093" s="3">
        <v>6</v>
      </c>
      <c r="G2093" s="3">
        <v>4</v>
      </c>
      <c r="H2093" s="3"/>
      <c r="I2093" s="3">
        <v>4</v>
      </c>
      <c r="J2093" s="3">
        <v>6</v>
      </c>
      <c r="K2093" s="628">
        <f t="shared" si="96"/>
        <v>20</v>
      </c>
      <c r="L2093" s="630">
        <f t="shared" si="97"/>
        <v>5</v>
      </c>
    </row>
    <row r="2094" spans="3:12" x14ac:dyDescent="0.2">
      <c r="C2094" s="589"/>
      <c r="D2094" s="590"/>
      <c r="E2094" s="591"/>
      <c r="F2094" s="3"/>
      <c r="G2094" s="3"/>
      <c r="H2094" s="3"/>
      <c r="I2094" s="3"/>
      <c r="J2094" s="3"/>
      <c r="K2094" s="628">
        <f t="shared" si="96"/>
        <v>0</v>
      </c>
      <c r="L2094" s="630">
        <f t="shared" si="97"/>
        <v>0</v>
      </c>
    </row>
    <row r="2095" spans="3:12" x14ac:dyDescent="0.2">
      <c r="C2095" s="589" t="s">
        <v>608</v>
      </c>
      <c r="D2095" s="590" t="s">
        <v>394</v>
      </c>
      <c r="E2095" s="591">
        <f>(F2095+G2095+H2095+I2095+J2095)*120</f>
        <v>4200</v>
      </c>
      <c r="F2095" s="3">
        <v>10</v>
      </c>
      <c r="G2095" s="3">
        <v>5</v>
      </c>
      <c r="H2095" s="3">
        <v>5</v>
      </c>
      <c r="I2095" s="3">
        <v>5</v>
      </c>
      <c r="J2095" s="3">
        <v>10</v>
      </c>
      <c r="K2095" s="628">
        <f t="shared" si="96"/>
        <v>35</v>
      </c>
      <c r="L2095" s="630">
        <f t="shared" si="97"/>
        <v>8.75</v>
      </c>
    </row>
    <row r="2096" spans="3:12" x14ac:dyDescent="0.2">
      <c r="C2096" s="589" t="s">
        <v>793</v>
      </c>
      <c r="D2096" s="590" t="s">
        <v>110</v>
      </c>
      <c r="E2096" s="591">
        <f>(F2096+G2096+H2096+J2096)*112.7+(I2096*119.6)</f>
        <v>8197.2000000000007</v>
      </c>
      <c r="F2096" s="3">
        <v>24</v>
      </c>
      <c r="G2096" s="3">
        <v>12</v>
      </c>
      <c r="H2096" s="3"/>
      <c r="I2096" s="3">
        <v>12</v>
      </c>
      <c r="J2096" s="3">
        <v>24</v>
      </c>
      <c r="K2096" s="628">
        <f t="shared" si="96"/>
        <v>72</v>
      </c>
      <c r="L2096" s="630">
        <f t="shared" si="97"/>
        <v>18</v>
      </c>
    </row>
    <row r="2097" spans="3:12" x14ac:dyDescent="0.2">
      <c r="C2097" s="589"/>
      <c r="D2097" s="590"/>
      <c r="E2097" s="591"/>
      <c r="F2097" s="3"/>
      <c r="G2097" s="3"/>
      <c r="H2097" s="3"/>
      <c r="I2097" s="3"/>
      <c r="J2097" s="3"/>
      <c r="K2097" s="628">
        <f t="shared" si="96"/>
        <v>0</v>
      </c>
      <c r="L2097" s="630">
        <f t="shared" si="97"/>
        <v>0</v>
      </c>
    </row>
    <row r="2098" spans="3:12" x14ac:dyDescent="0.2">
      <c r="C2098" s="589"/>
      <c r="D2098" s="590" t="s">
        <v>381</v>
      </c>
      <c r="E2098" s="591">
        <f>(F2098+G2098+H2098+I2098+J2098)*120+(240*0)+(0*45)</f>
        <v>0</v>
      </c>
      <c r="F2098" s="3"/>
      <c r="G2098" s="3"/>
      <c r="H2098" s="3"/>
      <c r="I2098" s="3"/>
      <c r="J2098" s="3"/>
      <c r="K2098" s="628">
        <f t="shared" si="96"/>
        <v>0</v>
      </c>
      <c r="L2098" s="630">
        <f t="shared" si="97"/>
        <v>0</v>
      </c>
    </row>
    <row r="2099" spans="3:12" x14ac:dyDescent="0.2">
      <c r="C2099" s="589"/>
      <c r="D2099" s="590" t="s">
        <v>276</v>
      </c>
      <c r="E2099" s="591">
        <f>(F2099+G2099+H2099+J2099)*112.7+(I2099*119.6)</f>
        <v>0</v>
      </c>
      <c r="F2099" s="3"/>
      <c r="G2099" s="3"/>
      <c r="H2099" s="3"/>
      <c r="I2099" s="3"/>
      <c r="J2099" s="3"/>
      <c r="K2099" s="628">
        <f t="shared" si="96"/>
        <v>0</v>
      </c>
      <c r="L2099" s="630">
        <f t="shared" si="97"/>
        <v>0</v>
      </c>
    </row>
    <row r="2100" spans="3:12" x14ac:dyDescent="0.2">
      <c r="C2100" s="589"/>
      <c r="D2100" s="590"/>
      <c r="E2100" s="591"/>
      <c r="F2100" s="3"/>
      <c r="G2100" s="3"/>
      <c r="H2100" s="3"/>
      <c r="I2100" s="3"/>
      <c r="J2100" s="3"/>
      <c r="K2100" s="628">
        <f t="shared" si="96"/>
        <v>0</v>
      </c>
      <c r="L2100" s="630">
        <f t="shared" si="97"/>
        <v>0</v>
      </c>
    </row>
    <row r="2101" spans="3:12" x14ac:dyDescent="0.2">
      <c r="C2101" s="589"/>
      <c r="D2101" s="590" t="s">
        <v>75</v>
      </c>
      <c r="E2101" s="591">
        <f>(F2101+G2101+H2101+I2101+J2101)*120</f>
        <v>0</v>
      </c>
      <c r="F2101" s="3"/>
      <c r="G2101" s="3"/>
      <c r="H2101" s="3"/>
      <c r="I2101" s="3"/>
      <c r="J2101" s="3"/>
      <c r="K2101" s="628">
        <f t="shared" si="96"/>
        <v>0</v>
      </c>
      <c r="L2101" s="630">
        <f t="shared" si="97"/>
        <v>0</v>
      </c>
    </row>
    <row r="2102" spans="3:12" x14ac:dyDescent="0.2">
      <c r="C2102" s="589"/>
      <c r="D2102" s="590" t="s">
        <v>278</v>
      </c>
      <c r="E2102" s="591">
        <f>(F2102+G2102+H2102+I2102+J2102)*120</f>
        <v>0</v>
      </c>
      <c r="F2102" s="3"/>
      <c r="G2102" s="3"/>
      <c r="H2102" s="3"/>
      <c r="I2102" s="3"/>
      <c r="J2102" s="3"/>
      <c r="K2102" s="628">
        <f t="shared" si="96"/>
        <v>0</v>
      </c>
      <c r="L2102" s="630">
        <f t="shared" si="97"/>
        <v>0</v>
      </c>
    </row>
    <row r="2103" spans="3:12" x14ac:dyDescent="0.2">
      <c r="C2103" s="589"/>
      <c r="D2103" s="590" t="s">
        <v>270</v>
      </c>
      <c r="E2103" s="591">
        <f>(F2103+G2103+H2103+I2103)*112.7+(J2103*119.6)</f>
        <v>0</v>
      </c>
      <c r="F2103" s="3"/>
      <c r="G2103" s="3"/>
      <c r="H2103" s="3"/>
      <c r="I2103" s="3"/>
      <c r="J2103" s="3"/>
      <c r="K2103" s="628">
        <f t="shared" si="96"/>
        <v>0</v>
      </c>
      <c r="L2103" s="630">
        <f t="shared" si="97"/>
        <v>0</v>
      </c>
    </row>
    <row r="2104" spans="3:12" x14ac:dyDescent="0.2">
      <c r="C2104" s="589"/>
      <c r="D2104" s="590" t="s">
        <v>274</v>
      </c>
      <c r="E2104" s="591">
        <f>(F2104+G2104+H2104+I2104)*112.7+(J2104*119.6)</f>
        <v>0</v>
      </c>
      <c r="F2104" s="3"/>
      <c r="G2104" s="3"/>
      <c r="H2104" s="3"/>
      <c r="I2104" s="3"/>
      <c r="J2104" s="3"/>
      <c r="K2104" s="628">
        <f t="shared" si="96"/>
        <v>0</v>
      </c>
      <c r="L2104" s="630">
        <f t="shared" si="97"/>
        <v>0</v>
      </c>
    </row>
    <row r="2105" spans="3:12" x14ac:dyDescent="0.2">
      <c r="C2105" s="589"/>
      <c r="D2105" s="590" t="s">
        <v>395</v>
      </c>
      <c r="E2105" s="591">
        <f>(F2105+G2105+H2105+I2105)*112.7+(J2105*119.6)</f>
        <v>0</v>
      </c>
      <c r="F2105" s="3"/>
      <c r="G2105" s="3"/>
      <c r="H2105" s="3"/>
      <c r="I2105" s="3"/>
      <c r="J2105" s="3"/>
      <c r="K2105" s="628">
        <f t="shared" si="96"/>
        <v>0</v>
      </c>
      <c r="L2105" s="630">
        <f t="shared" si="97"/>
        <v>0</v>
      </c>
    </row>
    <row r="2106" spans="3:12" x14ac:dyDescent="0.2">
      <c r="C2106" s="683"/>
      <c r="D2106" s="590" t="s">
        <v>112</v>
      </c>
      <c r="E2106" s="591">
        <f>(F2106+G2106+H2106+I2106)*112.7+(J2106*119.6)</f>
        <v>0</v>
      </c>
      <c r="F2106" s="3"/>
      <c r="G2106" s="3"/>
      <c r="H2106" s="3"/>
      <c r="I2106" s="3"/>
      <c r="J2106" s="3"/>
      <c r="K2106" s="628">
        <f t="shared" si="96"/>
        <v>0</v>
      </c>
      <c r="L2106" s="630">
        <f t="shared" si="97"/>
        <v>0</v>
      </c>
    </row>
    <row r="2107" spans="3:12" x14ac:dyDescent="0.2">
      <c r="C2107" s="683"/>
      <c r="D2107" s="590" t="s">
        <v>72</v>
      </c>
      <c r="E2107" s="591">
        <f>(F2107+G2107+H2107+I2107)*112.7+(J2107*119.6)</f>
        <v>0</v>
      </c>
      <c r="F2107" s="3"/>
      <c r="G2107" s="3"/>
      <c r="H2107" s="3"/>
      <c r="I2107" s="3"/>
      <c r="J2107" s="3"/>
      <c r="K2107" s="628">
        <f t="shared" si="96"/>
        <v>0</v>
      </c>
      <c r="L2107" s="630">
        <f t="shared" si="97"/>
        <v>0</v>
      </c>
    </row>
    <row r="2108" spans="3:12" x14ac:dyDescent="0.2">
      <c r="C2108" s="683"/>
      <c r="D2108" s="590" t="s">
        <v>187</v>
      </c>
      <c r="E2108" s="591"/>
      <c r="F2108" s="3"/>
      <c r="G2108" s="3"/>
      <c r="H2108" s="3"/>
      <c r="I2108" s="3"/>
      <c r="J2108" s="3">
        <v>8</v>
      </c>
      <c r="K2108" s="628">
        <f>SUM(F2108:J2108)</f>
        <v>8</v>
      </c>
      <c r="L2108" s="3"/>
    </row>
    <row r="2109" spans="3:12" ht="16" x14ac:dyDescent="0.2">
      <c r="C2109" s="683"/>
      <c r="D2109" s="590"/>
      <c r="E2109" s="592"/>
      <c r="F2109" s="3"/>
      <c r="G2109" s="3"/>
      <c r="H2109" s="3"/>
      <c r="I2109" s="3"/>
      <c r="J2109" s="3"/>
      <c r="K2109" s="628">
        <f>SUM(F2109:J2109)</f>
        <v>0</v>
      </c>
      <c r="L2109" s="3"/>
    </row>
    <row r="2110" spans="3:12" ht="17" thickBot="1" x14ac:dyDescent="0.25">
      <c r="C2110" s="683"/>
      <c r="D2110" s="590"/>
      <c r="E2110" s="624"/>
      <c r="F2110" s="69"/>
      <c r="G2110" s="69"/>
      <c r="H2110" s="69"/>
      <c r="I2110" s="69"/>
      <c r="J2110" s="69"/>
      <c r="K2110" s="629"/>
      <c r="L2110" s="3"/>
    </row>
    <row r="2111" spans="3:12" ht="16" thickBot="1" x14ac:dyDescent="0.25">
      <c r="C2111" s="596"/>
      <c r="D2111" s="623" t="s">
        <v>19</v>
      </c>
      <c r="E2111" s="625">
        <f>SUM(E2085:E2108)</f>
        <v>30372.799999999999</v>
      </c>
      <c r="F2111" s="614">
        <f>SUM(F2085:F2110)</f>
        <v>70</v>
      </c>
      <c r="G2111" s="614">
        <f>SUM(G2085:G2110)</f>
        <v>48</v>
      </c>
      <c r="H2111" s="614">
        <f>SUM(H2085:H2110)</f>
        <v>30</v>
      </c>
      <c r="I2111" s="614">
        <f>SUM(I2085:I2110)</f>
        <v>44</v>
      </c>
      <c r="J2111" s="614">
        <f>SUM(J2085:J2110)</f>
        <v>88</v>
      </c>
      <c r="K2111" s="626">
        <f>SUM(F2111:J2111)</f>
        <v>280</v>
      </c>
      <c r="L2111" s="631">
        <f>SUM(L2085:L2110)</f>
        <v>68</v>
      </c>
    </row>
    <row r="2112" spans="3:12" x14ac:dyDescent="0.2">
      <c r="C2112" s="596"/>
      <c r="D2112" s="593" t="s">
        <v>113</v>
      </c>
      <c r="E2112" s="620"/>
      <c r="F2112" s="610">
        <f>F2082-F2111</f>
        <v>0</v>
      </c>
      <c r="G2112" s="610">
        <f>G2082-G2111</f>
        <v>0</v>
      </c>
      <c r="H2112" s="610">
        <f>H2082-H2111</f>
        <v>0</v>
      </c>
      <c r="I2112" s="610">
        <f>I2082-I2111</f>
        <v>0</v>
      </c>
      <c r="J2112" s="610">
        <f>J2082-J2111</f>
        <v>0</v>
      </c>
      <c r="K2112" s="636">
        <f>SUM(F2112:J2112)</f>
        <v>0</v>
      </c>
      <c r="L2112" s="3"/>
    </row>
    <row r="2113" spans="3:12" x14ac:dyDescent="0.2">
      <c r="C2113" s="683"/>
      <c r="D2113" s="593" t="s">
        <v>436</v>
      </c>
      <c r="E2113" s="594"/>
      <c r="F2113" s="581"/>
      <c r="G2113" s="581"/>
      <c r="H2113" s="581"/>
      <c r="I2113" s="581"/>
      <c r="J2113" s="581"/>
      <c r="K2113" s="637">
        <f>K2111+K2112</f>
        <v>280</v>
      </c>
      <c r="L2113" s="3"/>
    </row>
    <row r="2115" spans="3:12" ht="18" x14ac:dyDescent="0.2">
      <c r="C2115" s="685" t="s">
        <v>412</v>
      </c>
      <c r="D2115" s="582">
        <v>45720</v>
      </c>
      <c r="E2115" s="800"/>
      <c r="F2115" s="685" t="s">
        <v>83</v>
      </c>
      <c r="G2115" s="801" t="s">
        <v>64</v>
      </c>
      <c r="H2115" s="802"/>
      <c r="I2115" s="802"/>
      <c r="J2115" s="802"/>
      <c r="K2115" s="803"/>
    </row>
    <row r="2116" spans="3:12" x14ac:dyDescent="0.2">
      <c r="C2116" s="804"/>
      <c r="D2116" s="805"/>
      <c r="E2116" s="800"/>
      <c r="F2116" s="683" t="s">
        <v>93</v>
      </c>
      <c r="G2116" s="683" t="s">
        <v>93</v>
      </c>
      <c r="H2116" s="683"/>
      <c r="I2116" s="806"/>
      <c r="J2116" s="806"/>
      <c r="K2116" s="806"/>
    </row>
    <row r="2117" spans="3:12" x14ac:dyDescent="0.2">
      <c r="C2117" s="804"/>
      <c r="D2117" s="805"/>
      <c r="E2117" s="800"/>
      <c r="F2117" s="683" t="s">
        <v>94</v>
      </c>
      <c r="G2117" s="683" t="s">
        <v>95</v>
      </c>
      <c r="H2117" s="683" t="s">
        <v>96</v>
      </c>
      <c r="I2117" s="806"/>
      <c r="J2117" s="806"/>
      <c r="K2117" s="806"/>
    </row>
    <row r="2118" spans="3:12" x14ac:dyDescent="0.2">
      <c r="C2118" s="804"/>
      <c r="D2118" s="805"/>
      <c r="E2118" s="800"/>
      <c r="F2118" s="683"/>
      <c r="G2118" s="683"/>
      <c r="H2118" s="683"/>
      <c r="I2118" s="806"/>
      <c r="J2118" s="806"/>
      <c r="K2118" s="806"/>
    </row>
    <row r="2119" spans="3:12" ht="16" x14ac:dyDescent="0.2">
      <c r="C2119" s="683"/>
      <c r="D2119" s="583" t="s">
        <v>97</v>
      </c>
      <c r="E2119" s="584"/>
      <c r="F2119" s="581"/>
      <c r="G2119" s="585"/>
      <c r="H2119" s="585"/>
      <c r="I2119" s="586"/>
      <c r="J2119" s="586"/>
      <c r="K2119" s="586"/>
    </row>
    <row r="2120" spans="3:12" ht="26" x14ac:dyDescent="0.2">
      <c r="C2120" s="804"/>
      <c r="D2120" s="587"/>
      <c r="E2120" s="588"/>
      <c r="F2120" s="585" t="s">
        <v>383</v>
      </c>
      <c r="G2120" s="585" t="s">
        <v>384</v>
      </c>
      <c r="H2120" s="585" t="s">
        <v>385</v>
      </c>
      <c r="I2120" s="585" t="s">
        <v>386</v>
      </c>
      <c r="J2120" s="585" t="s">
        <v>387</v>
      </c>
      <c r="K2120" s="585" t="s">
        <v>84</v>
      </c>
    </row>
    <row r="2121" spans="3:12" x14ac:dyDescent="0.2">
      <c r="C2121" s="804"/>
      <c r="D2121" s="684" t="s">
        <v>167</v>
      </c>
      <c r="E2121" s="588"/>
      <c r="F2121" s="580">
        <v>13</v>
      </c>
      <c r="G2121" s="579">
        <v>9</v>
      </c>
      <c r="H2121" s="580"/>
      <c r="I2121" s="580">
        <v>6</v>
      </c>
      <c r="J2121" s="580">
        <v>10</v>
      </c>
      <c r="K2121" s="580">
        <f>SUM(F2121:J2121)</f>
        <v>38</v>
      </c>
    </row>
    <row r="2122" spans="3:12" x14ac:dyDescent="0.2">
      <c r="C2122" s="804"/>
      <c r="D2122" s="684" t="s">
        <v>207</v>
      </c>
      <c r="E2122" s="588"/>
      <c r="F2122" s="618">
        <v>91</v>
      </c>
      <c r="G2122" s="619">
        <v>63</v>
      </c>
      <c r="H2122" s="618"/>
      <c r="I2122" s="618">
        <v>64</v>
      </c>
      <c r="J2122" s="618">
        <v>88</v>
      </c>
      <c r="K2122" s="618">
        <f>SUM(F2122:J2122)</f>
        <v>306</v>
      </c>
    </row>
    <row r="2123" spans="3:12" x14ac:dyDescent="0.2">
      <c r="C2123" s="683"/>
      <c r="D2123" s="684" t="s">
        <v>100</v>
      </c>
      <c r="E2123" s="588"/>
      <c r="F2123" s="581"/>
      <c r="G2123" s="581"/>
      <c r="H2123" s="581"/>
      <c r="I2123" s="581"/>
      <c r="J2123" s="581"/>
      <c r="K2123" s="581">
        <f>SUM(F2123:J2123)</f>
        <v>0</v>
      </c>
    </row>
    <row r="2124" spans="3:12" x14ac:dyDescent="0.2">
      <c r="C2124" s="683"/>
      <c r="D2124" s="684" t="s">
        <v>101</v>
      </c>
      <c r="E2124" s="588"/>
      <c r="F2124" s="581">
        <v>3</v>
      </c>
      <c r="G2124" s="581">
        <v>3</v>
      </c>
      <c r="H2124" s="581"/>
      <c r="I2124" s="581"/>
      <c r="J2124" s="581">
        <v>2</v>
      </c>
      <c r="K2124" s="581">
        <f>SUM(F2124:J2124)</f>
        <v>8</v>
      </c>
    </row>
    <row r="2125" spans="3:12" ht="16" thickBot="1" x14ac:dyDescent="0.25">
      <c r="C2125" s="683"/>
      <c r="D2125" s="597" t="s">
        <v>102</v>
      </c>
      <c r="E2125" s="598"/>
      <c r="F2125" s="599"/>
      <c r="G2125" s="600"/>
      <c r="H2125" s="600"/>
      <c r="I2125" s="600"/>
      <c r="J2125" s="600"/>
      <c r="K2125" s="600">
        <f>SUM(F2125:J2125)</f>
        <v>0</v>
      </c>
    </row>
    <row r="2126" spans="3:12" ht="17" thickBot="1" x14ac:dyDescent="0.25">
      <c r="C2126" s="605"/>
      <c r="D2126" s="612" t="s">
        <v>84</v>
      </c>
      <c r="E2126" s="613"/>
      <c r="F2126" s="614">
        <f>(F2122+F2125)-F2124-F2123</f>
        <v>88</v>
      </c>
      <c r="G2126" s="615">
        <f>(G2122+G2125)-G2124-G2123</f>
        <v>60</v>
      </c>
      <c r="H2126" s="616">
        <f>(H2122+H2125)-H2124</f>
        <v>0</v>
      </c>
      <c r="I2126" s="615">
        <f>(I2122+I2125)-I2124-I2123</f>
        <v>64</v>
      </c>
      <c r="J2126" s="622">
        <f>(J2122+J2125)-J2124-J2123</f>
        <v>86</v>
      </c>
      <c r="K2126" s="617">
        <f>(K2122+K2125)-K2124-K2123</f>
        <v>298</v>
      </c>
    </row>
    <row r="2127" spans="3:12" ht="16" x14ac:dyDescent="0.2">
      <c r="C2127" s="683"/>
      <c r="D2127" s="608"/>
      <c r="E2127" s="609"/>
      <c r="F2127" s="610"/>
      <c r="G2127" s="595"/>
      <c r="H2127" s="611"/>
      <c r="I2127" s="595"/>
      <c r="J2127" s="595"/>
      <c r="K2127" s="595"/>
    </row>
    <row r="2128" spans="3:12" ht="16" thickBot="1" x14ac:dyDescent="0.25">
      <c r="C2128" s="606" t="s">
        <v>388</v>
      </c>
      <c r="D2128" s="607" t="s">
        <v>103</v>
      </c>
      <c r="E2128" s="603" t="s">
        <v>84</v>
      </c>
      <c r="F2128" s="602" t="s">
        <v>78</v>
      </c>
      <c r="G2128" s="602" t="s">
        <v>79</v>
      </c>
      <c r="H2128" s="602" t="s">
        <v>81</v>
      </c>
      <c r="I2128" s="601" t="s">
        <v>316</v>
      </c>
      <c r="J2128" s="601" t="s">
        <v>85</v>
      </c>
      <c r="K2128" s="601" t="s">
        <v>84</v>
      </c>
      <c r="L2128" s="174" t="s">
        <v>389</v>
      </c>
    </row>
    <row r="2129" spans="3:12" x14ac:dyDescent="0.2">
      <c r="C2129" s="589"/>
      <c r="D2129" s="604" t="s">
        <v>105</v>
      </c>
      <c r="E2129" s="591">
        <f>(F2129+G2129+H2129+I2129+J2129)*100+(0*230)</f>
        <v>0</v>
      </c>
      <c r="F2129" s="3"/>
      <c r="G2129" s="3"/>
      <c r="H2129" s="3"/>
      <c r="I2129" s="3"/>
      <c r="J2129" s="3"/>
      <c r="K2129" s="628">
        <f t="shared" ref="K2129:K2151" si="98">SUM(F2129:J2129)</f>
        <v>0</v>
      </c>
      <c r="L2129" s="630">
        <f>K2129/4</f>
        <v>0</v>
      </c>
    </row>
    <row r="2130" spans="3:12" x14ac:dyDescent="0.2">
      <c r="C2130" s="589"/>
      <c r="D2130" s="590" t="s">
        <v>390</v>
      </c>
      <c r="E2130" s="591">
        <f>(F2130+G2130+H2130+I2130+J2130)*120</f>
        <v>0</v>
      </c>
      <c r="F2130" s="3"/>
      <c r="G2130" s="3"/>
      <c r="H2130" s="3"/>
      <c r="I2130" s="3"/>
      <c r="J2130" s="3"/>
      <c r="K2130" s="628">
        <f t="shared" si="98"/>
        <v>0</v>
      </c>
      <c r="L2130" s="630">
        <f t="shared" ref="L2130:L2151" si="99">K2130/4</f>
        <v>0</v>
      </c>
    </row>
    <row r="2131" spans="3:12" x14ac:dyDescent="0.2">
      <c r="C2131" s="589"/>
      <c r="D2131" s="590" t="s">
        <v>391</v>
      </c>
      <c r="E2131" s="591">
        <f>(F2131+G2131+H2131+I2131+J2131)*120</f>
        <v>0</v>
      </c>
      <c r="F2131" s="3"/>
      <c r="G2131" s="3"/>
      <c r="H2131" s="3"/>
      <c r="I2131" s="3"/>
      <c r="J2131" s="3"/>
      <c r="K2131" s="628">
        <f t="shared" si="98"/>
        <v>0</v>
      </c>
      <c r="L2131" s="630">
        <f t="shared" si="99"/>
        <v>0</v>
      </c>
    </row>
    <row r="2132" spans="3:12" x14ac:dyDescent="0.2">
      <c r="C2132" s="589"/>
      <c r="D2132" s="590" t="s">
        <v>392</v>
      </c>
      <c r="E2132" s="591">
        <f>(F2132+G2132+H2132+I2132+J2132)*120</f>
        <v>0</v>
      </c>
      <c r="F2132" s="3"/>
      <c r="G2132" s="3"/>
      <c r="H2132" s="3"/>
      <c r="I2132" s="3"/>
      <c r="J2132" s="3"/>
      <c r="K2132" s="628">
        <f t="shared" si="98"/>
        <v>0</v>
      </c>
      <c r="L2132" s="630">
        <f t="shared" si="99"/>
        <v>0</v>
      </c>
    </row>
    <row r="2133" spans="3:12" x14ac:dyDescent="0.2">
      <c r="C2133" s="589"/>
      <c r="D2133" s="590" t="s">
        <v>425</v>
      </c>
      <c r="E2133" s="591">
        <f>(F2133+G2133+H2133+I2133+J2133)*120</f>
        <v>0</v>
      </c>
      <c r="F2133" s="3"/>
      <c r="G2133" s="3"/>
      <c r="H2133" s="3"/>
      <c r="I2133" s="3"/>
      <c r="J2133" s="3"/>
      <c r="K2133" s="628">
        <f t="shared" si="98"/>
        <v>0</v>
      </c>
      <c r="L2133" s="630">
        <f t="shared" si="99"/>
        <v>0</v>
      </c>
    </row>
    <row r="2134" spans="3:12" x14ac:dyDescent="0.2">
      <c r="C2134" s="589"/>
      <c r="D2134" s="590"/>
      <c r="E2134" s="591"/>
      <c r="F2134" s="3"/>
      <c r="G2134" s="3"/>
      <c r="H2134" s="3"/>
      <c r="I2134" s="3"/>
      <c r="J2134" s="3"/>
      <c r="K2134" s="628">
        <f t="shared" si="98"/>
        <v>0</v>
      </c>
      <c r="L2134" s="630">
        <f t="shared" si="99"/>
        <v>0</v>
      </c>
    </row>
    <row r="2135" spans="3:12" x14ac:dyDescent="0.2">
      <c r="C2135" s="589"/>
      <c r="D2135" s="590" t="s">
        <v>108</v>
      </c>
      <c r="E2135" s="591">
        <f>(F2135+G2135+H2135+J2135)*112.7+(I2135*119.6)</f>
        <v>0</v>
      </c>
      <c r="F2135" s="3"/>
      <c r="G2135" s="3"/>
      <c r="H2135" s="3"/>
      <c r="I2135" s="3"/>
      <c r="J2135" s="3"/>
      <c r="K2135" s="628">
        <f t="shared" si="98"/>
        <v>0</v>
      </c>
      <c r="L2135" s="630">
        <f t="shared" si="99"/>
        <v>0</v>
      </c>
    </row>
    <row r="2136" spans="3:12" x14ac:dyDescent="0.2">
      <c r="C2136" s="589"/>
      <c r="D2136" s="590" t="s">
        <v>393</v>
      </c>
      <c r="E2136" s="591">
        <f>(F2136+G2136+H2136+J2136)*112.7+(I2136*119.6)</f>
        <v>0</v>
      </c>
      <c r="F2136" s="3"/>
      <c r="G2136" s="3"/>
      <c r="H2136" s="3"/>
      <c r="I2136" s="3"/>
      <c r="J2136" s="3"/>
      <c r="K2136" s="628">
        <f t="shared" si="98"/>
        <v>0</v>
      </c>
      <c r="L2136" s="630">
        <f t="shared" si="99"/>
        <v>0</v>
      </c>
    </row>
    <row r="2137" spans="3:12" x14ac:dyDescent="0.2">
      <c r="C2137" s="589"/>
      <c r="D2137" s="590" t="s">
        <v>216</v>
      </c>
      <c r="E2137" s="591">
        <f>(F2137+G2137+H2137+J2137)*112.7+(I2137*119.6)</f>
        <v>0</v>
      </c>
      <c r="F2137" s="3"/>
      <c r="G2137" s="3"/>
      <c r="H2137" s="3"/>
      <c r="I2137" s="3"/>
      <c r="J2137" s="3"/>
      <c r="K2137" s="628">
        <f t="shared" si="98"/>
        <v>0</v>
      </c>
      <c r="L2137" s="630">
        <f t="shared" si="99"/>
        <v>0</v>
      </c>
    </row>
    <row r="2138" spans="3:12" x14ac:dyDescent="0.2">
      <c r="C2138" s="589"/>
      <c r="D2138" s="590"/>
      <c r="E2138" s="591"/>
      <c r="F2138" s="3"/>
      <c r="G2138" s="3"/>
      <c r="H2138" s="3"/>
      <c r="I2138" s="3"/>
      <c r="J2138" s="3"/>
      <c r="K2138" s="628">
        <f t="shared" si="98"/>
        <v>0</v>
      </c>
      <c r="L2138" s="630">
        <f t="shared" si="99"/>
        <v>0</v>
      </c>
    </row>
    <row r="2139" spans="3:12" x14ac:dyDescent="0.2">
      <c r="C2139" s="589"/>
      <c r="D2139" s="590" t="s">
        <v>394</v>
      </c>
      <c r="E2139" s="591">
        <f>(F2139+G2139+H2139+I2139+J2139)*120</f>
        <v>0</v>
      </c>
      <c r="F2139" s="3"/>
      <c r="G2139" s="3"/>
      <c r="H2139" s="3"/>
      <c r="I2139" s="3"/>
      <c r="J2139" s="3"/>
      <c r="K2139" s="628">
        <f t="shared" si="98"/>
        <v>0</v>
      </c>
      <c r="L2139" s="630">
        <f t="shared" si="99"/>
        <v>0</v>
      </c>
    </row>
    <row r="2140" spans="3:12" x14ac:dyDescent="0.2">
      <c r="C2140" s="589"/>
      <c r="D2140" s="590" t="s">
        <v>110</v>
      </c>
      <c r="E2140" s="591">
        <f>(F2140+G2140+H2140+J2140)*112.7+(I2140*119.6)</f>
        <v>0</v>
      </c>
      <c r="F2140" s="3"/>
      <c r="G2140" s="3"/>
      <c r="H2140" s="3"/>
      <c r="I2140" s="3"/>
      <c r="J2140" s="3"/>
      <c r="K2140" s="628">
        <f t="shared" si="98"/>
        <v>0</v>
      </c>
      <c r="L2140" s="630">
        <f t="shared" si="99"/>
        <v>0</v>
      </c>
    </row>
    <row r="2141" spans="3:12" x14ac:dyDescent="0.2">
      <c r="C2141" s="589"/>
      <c r="D2141" s="590"/>
      <c r="E2141" s="591"/>
      <c r="F2141" s="3"/>
      <c r="G2141" s="3"/>
      <c r="H2141" s="3"/>
      <c r="I2141" s="3"/>
      <c r="J2141" s="3"/>
      <c r="K2141" s="628">
        <f t="shared" si="98"/>
        <v>0</v>
      </c>
      <c r="L2141" s="630">
        <f t="shared" si="99"/>
        <v>0</v>
      </c>
    </row>
    <row r="2142" spans="3:12" x14ac:dyDescent="0.2">
      <c r="C2142" s="589"/>
      <c r="D2142" s="590" t="s">
        <v>381</v>
      </c>
      <c r="E2142" s="591">
        <f>(F2142+G2142+H2142+I2142+J2142)*120+(240*0)+(0*45)</f>
        <v>0</v>
      </c>
      <c r="F2142" s="3"/>
      <c r="G2142" s="3"/>
      <c r="H2142" s="3"/>
      <c r="I2142" s="3"/>
      <c r="J2142" s="3"/>
      <c r="K2142" s="628">
        <f t="shared" si="98"/>
        <v>0</v>
      </c>
      <c r="L2142" s="630">
        <f t="shared" si="99"/>
        <v>0</v>
      </c>
    </row>
    <row r="2143" spans="3:12" x14ac:dyDescent="0.2">
      <c r="C2143" s="589"/>
      <c r="D2143" s="590" t="s">
        <v>276</v>
      </c>
      <c r="E2143" s="591">
        <f>(F2143+G2143+H2143+J2143)*112.7+(I2143*119.6)</f>
        <v>0</v>
      </c>
      <c r="F2143" s="3"/>
      <c r="G2143" s="3"/>
      <c r="H2143" s="3"/>
      <c r="I2143" s="3"/>
      <c r="J2143" s="3"/>
      <c r="K2143" s="628">
        <f t="shared" si="98"/>
        <v>0</v>
      </c>
      <c r="L2143" s="630">
        <f t="shared" si="99"/>
        <v>0</v>
      </c>
    </row>
    <row r="2144" spans="3:12" x14ac:dyDescent="0.2">
      <c r="C2144" s="589"/>
      <c r="D2144" s="590"/>
      <c r="E2144" s="591"/>
      <c r="F2144" s="3"/>
      <c r="G2144" s="3"/>
      <c r="H2144" s="3"/>
      <c r="I2144" s="3"/>
      <c r="J2144" s="3"/>
      <c r="K2144" s="628">
        <f t="shared" si="98"/>
        <v>0</v>
      </c>
      <c r="L2144" s="630">
        <f t="shared" si="99"/>
        <v>0</v>
      </c>
    </row>
    <row r="2145" spans="3:12" x14ac:dyDescent="0.2">
      <c r="C2145" s="589"/>
      <c r="D2145" s="590" t="s">
        <v>75</v>
      </c>
      <c r="E2145" s="591">
        <f>(F2145+G2145+H2145+I2145+J2145)*120</f>
        <v>0</v>
      </c>
      <c r="F2145" s="3"/>
      <c r="G2145" s="3"/>
      <c r="H2145" s="3"/>
      <c r="I2145" s="3"/>
      <c r="J2145" s="3"/>
      <c r="K2145" s="628">
        <f t="shared" si="98"/>
        <v>0</v>
      </c>
      <c r="L2145" s="630">
        <f t="shared" si="99"/>
        <v>0</v>
      </c>
    </row>
    <row r="2146" spans="3:12" x14ac:dyDescent="0.2">
      <c r="C2146" s="589"/>
      <c r="D2146" s="590" t="s">
        <v>278</v>
      </c>
      <c r="E2146" s="591">
        <f>(F2146+G2146+H2146+I2146+J2146)*120</f>
        <v>0</v>
      </c>
      <c r="F2146" s="3"/>
      <c r="G2146" s="3"/>
      <c r="H2146" s="3"/>
      <c r="I2146" s="3"/>
      <c r="J2146" s="3"/>
      <c r="K2146" s="628">
        <f t="shared" si="98"/>
        <v>0</v>
      </c>
      <c r="L2146" s="630">
        <f t="shared" si="99"/>
        <v>0</v>
      </c>
    </row>
    <row r="2147" spans="3:12" x14ac:dyDescent="0.2">
      <c r="C2147" s="589" t="s">
        <v>798</v>
      </c>
      <c r="D2147" s="590" t="s">
        <v>270</v>
      </c>
      <c r="E2147" s="591">
        <f>(F2147+G2147+H2147+I2147)*112.7+(J2147*119.6)</f>
        <v>7688.9000000000005</v>
      </c>
      <c r="F2147" s="3">
        <v>23</v>
      </c>
      <c r="G2147" s="3">
        <v>12</v>
      </c>
      <c r="H2147" s="3"/>
      <c r="I2147" s="3">
        <v>12</v>
      </c>
      <c r="J2147" s="3">
        <v>20</v>
      </c>
      <c r="K2147" s="628">
        <f t="shared" si="98"/>
        <v>67</v>
      </c>
      <c r="L2147" s="630">
        <f t="shared" si="99"/>
        <v>16.75</v>
      </c>
    </row>
    <row r="2148" spans="3:12" x14ac:dyDescent="0.2">
      <c r="C2148" s="589" t="s">
        <v>797</v>
      </c>
      <c r="D2148" s="590" t="s">
        <v>274</v>
      </c>
      <c r="E2148" s="591">
        <f>(F2148+G2148+H2148+I2148)*112.7+(J2148*119.6)</f>
        <v>6083.5</v>
      </c>
      <c r="F2148" s="3">
        <v>16</v>
      </c>
      <c r="G2148" s="3">
        <v>9</v>
      </c>
      <c r="H2148" s="3"/>
      <c r="I2148" s="3">
        <v>12</v>
      </c>
      <c r="J2148" s="3">
        <v>16</v>
      </c>
      <c r="K2148" s="628">
        <f t="shared" si="98"/>
        <v>53</v>
      </c>
      <c r="L2148" s="630">
        <f t="shared" si="99"/>
        <v>13.25</v>
      </c>
    </row>
    <row r="2149" spans="3:12" x14ac:dyDescent="0.2">
      <c r="C2149" s="589" t="s">
        <v>796</v>
      </c>
      <c r="D2149" s="590" t="s">
        <v>395</v>
      </c>
      <c r="E2149" s="591">
        <f>(F2149+G2149+H2149+I2149)*112.7+(J2149*119.6)</f>
        <v>6421.6</v>
      </c>
      <c r="F2149" s="3">
        <v>16</v>
      </c>
      <c r="G2149" s="3">
        <v>12</v>
      </c>
      <c r="H2149" s="3"/>
      <c r="I2149" s="3">
        <v>12</v>
      </c>
      <c r="J2149" s="3">
        <v>16</v>
      </c>
      <c r="K2149" s="628">
        <f t="shared" si="98"/>
        <v>56</v>
      </c>
      <c r="L2149" s="630">
        <f t="shared" si="99"/>
        <v>14</v>
      </c>
    </row>
    <row r="2150" spans="3:12" x14ac:dyDescent="0.2">
      <c r="C2150" s="683">
        <v>1174029685</v>
      </c>
      <c r="D2150" s="590" t="s">
        <v>112</v>
      </c>
      <c r="E2150" s="591">
        <f>(F2150+G2150+H2150+I2150)*112.7+(J2150*119.6)</f>
        <v>6421.6</v>
      </c>
      <c r="F2150" s="3">
        <v>16</v>
      </c>
      <c r="G2150" s="3">
        <v>12</v>
      </c>
      <c r="H2150" s="3"/>
      <c r="I2150" s="3">
        <v>12</v>
      </c>
      <c r="J2150" s="3">
        <v>16</v>
      </c>
      <c r="K2150" s="628">
        <f t="shared" si="98"/>
        <v>56</v>
      </c>
      <c r="L2150" s="630">
        <f t="shared" si="99"/>
        <v>14</v>
      </c>
    </row>
    <row r="2151" spans="3:12" x14ac:dyDescent="0.2">
      <c r="C2151" s="683">
        <v>1174029681</v>
      </c>
      <c r="D2151" s="590" t="s">
        <v>72</v>
      </c>
      <c r="E2151" s="591">
        <f>(F2151+G2151+H2151+I2151)*112.7+(J2151*119.6)</f>
        <v>5704</v>
      </c>
      <c r="F2151" s="3">
        <v>15</v>
      </c>
      <c r="G2151" s="3">
        <v>15</v>
      </c>
      <c r="H2151" s="3"/>
      <c r="I2151" s="3">
        <v>10</v>
      </c>
      <c r="J2151" s="3">
        <v>10</v>
      </c>
      <c r="K2151" s="628">
        <f t="shared" si="98"/>
        <v>50</v>
      </c>
      <c r="L2151" s="630">
        <f t="shared" si="99"/>
        <v>12.5</v>
      </c>
    </row>
    <row r="2152" spans="3:12" x14ac:dyDescent="0.2">
      <c r="C2152" s="683"/>
      <c r="D2152" s="590" t="s">
        <v>187</v>
      </c>
      <c r="E2152" s="591"/>
      <c r="F2152" s="3">
        <v>2</v>
      </c>
      <c r="G2152" s="3"/>
      <c r="H2152" s="3"/>
      <c r="I2152" s="3"/>
      <c r="J2152" s="3">
        <v>8</v>
      </c>
      <c r="K2152" s="628">
        <f>SUM(F2152:J2152)</f>
        <v>10</v>
      </c>
      <c r="L2152" s="3"/>
    </row>
    <row r="2153" spans="3:12" ht="16" x14ac:dyDescent="0.2">
      <c r="C2153" s="683"/>
      <c r="D2153" s="590"/>
      <c r="E2153" s="592"/>
      <c r="F2153" s="3"/>
      <c r="G2153" s="3"/>
      <c r="H2153" s="3"/>
      <c r="I2153" s="3"/>
      <c r="J2153" s="3"/>
      <c r="K2153" s="628">
        <f>SUM(F2153:J2153)</f>
        <v>0</v>
      </c>
      <c r="L2153" s="3"/>
    </row>
    <row r="2154" spans="3:12" ht="17" thickBot="1" x14ac:dyDescent="0.25">
      <c r="C2154" s="683"/>
      <c r="D2154" s="590"/>
      <c r="E2154" s="624"/>
      <c r="F2154" s="69"/>
      <c r="G2154" s="69"/>
      <c r="H2154" s="69"/>
      <c r="I2154" s="69"/>
      <c r="J2154" s="69"/>
      <c r="K2154" s="629"/>
      <c r="L2154" s="3"/>
    </row>
    <row r="2155" spans="3:12" ht="16" thickBot="1" x14ac:dyDescent="0.25">
      <c r="C2155" s="596"/>
      <c r="D2155" s="623" t="s">
        <v>19</v>
      </c>
      <c r="E2155" s="625">
        <f>SUM(E2129:E2152)</f>
        <v>32319.599999999999</v>
      </c>
      <c r="F2155" s="614">
        <f>SUM(F2129:F2154)</f>
        <v>88</v>
      </c>
      <c r="G2155" s="614">
        <f>SUM(G2129:G2154)</f>
        <v>60</v>
      </c>
      <c r="H2155" s="614">
        <f>SUM(H2129:H2154)</f>
        <v>0</v>
      </c>
      <c r="I2155" s="614">
        <f>SUM(I2129:I2154)</f>
        <v>58</v>
      </c>
      <c r="J2155" s="614">
        <f>SUM(J2129:J2154)</f>
        <v>86</v>
      </c>
      <c r="K2155" s="626">
        <f>SUM(F2155:J2155)</f>
        <v>292</v>
      </c>
      <c r="L2155" s="631">
        <f>SUM(L2129:L2154)</f>
        <v>70.5</v>
      </c>
    </row>
    <row r="2156" spans="3:12" x14ac:dyDescent="0.2">
      <c r="C2156" s="596"/>
      <c r="D2156" s="593" t="s">
        <v>113</v>
      </c>
      <c r="E2156" s="620"/>
      <c r="F2156" s="610">
        <f>F2126-F2155</f>
        <v>0</v>
      </c>
      <c r="G2156" s="610">
        <f>G2126-G2155</f>
        <v>0</v>
      </c>
      <c r="H2156" s="610">
        <f>H2126-H2155</f>
        <v>0</v>
      </c>
      <c r="I2156" s="610">
        <f>I2126-I2155</f>
        <v>6</v>
      </c>
      <c r="J2156" s="610">
        <f>J2126-J2155</f>
        <v>0</v>
      </c>
      <c r="K2156" s="636">
        <f>SUM(F2156:J2156)</f>
        <v>6</v>
      </c>
      <c r="L2156" s="3"/>
    </row>
    <row r="2157" spans="3:12" x14ac:dyDescent="0.2">
      <c r="C2157" s="683"/>
      <c r="D2157" s="593" t="s">
        <v>436</v>
      </c>
      <c r="E2157" s="594"/>
      <c r="F2157" s="581"/>
      <c r="G2157" s="581"/>
      <c r="H2157" s="581"/>
      <c r="I2157" s="581"/>
      <c r="J2157" s="581"/>
      <c r="K2157" s="637">
        <f>K2155+K2156</f>
        <v>298</v>
      </c>
      <c r="L2157" s="3"/>
    </row>
    <row r="2159" spans="3:12" ht="18" x14ac:dyDescent="0.2">
      <c r="C2159" s="685" t="s">
        <v>412</v>
      </c>
      <c r="D2159" s="582">
        <v>45721</v>
      </c>
      <c r="E2159" s="800"/>
      <c r="F2159" s="685" t="s">
        <v>83</v>
      </c>
      <c r="G2159" s="801" t="s">
        <v>65</v>
      </c>
      <c r="H2159" s="802"/>
      <c r="I2159" s="802"/>
      <c r="J2159" s="802"/>
      <c r="K2159" s="803"/>
    </row>
    <row r="2160" spans="3:12" x14ac:dyDescent="0.2">
      <c r="C2160" s="804"/>
      <c r="D2160" s="805"/>
      <c r="E2160" s="800"/>
      <c r="F2160" s="683" t="s">
        <v>93</v>
      </c>
      <c r="G2160" s="683" t="s">
        <v>93</v>
      </c>
      <c r="H2160" s="683"/>
      <c r="I2160" s="806"/>
      <c r="J2160" s="806"/>
      <c r="K2160" s="806"/>
    </row>
    <row r="2161" spans="3:12" x14ac:dyDescent="0.2">
      <c r="C2161" s="804"/>
      <c r="D2161" s="805"/>
      <c r="E2161" s="800"/>
      <c r="F2161" s="683" t="s">
        <v>94</v>
      </c>
      <c r="G2161" s="683" t="s">
        <v>95</v>
      </c>
      <c r="H2161" s="683" t="s">
        <v>96</v>
      </c>
      <c r="I2161" s="806"/>
      <c r="J2161" s="806"/>
      <c r="K2161" s="806"/>
    </row>
    <row r="2162" spans="3:12" x14ac:dyDescent="0.2">
      <c r="C2162" s="804"/>
      <c r="D2162" s="805"/>
      <c r="E2162" s="800"/>
      <c r="F2162" s="683"/>
      <c r="G2162" s="683"/>
      <c r="H2162" s="683"/>
      <c r="I2162" s="806"/>
      <c r="J2162" s="806"/>
      <c r="K2162" s="806"/>
    </row>
    <row r="2163" spans="3:12" ht="16" x14ac:dyDescent="0.2">
      <c r="C2163" s="683"/>
      <c r="D2163" s="583" t="s">
        <v>97</v>
      </c>
      <c r="E2163" s="584"/>
      <c r="F2163" s="581"/>
      <c r="G2163" s="585"/>
      <c r="H2163" s="585"/>
      <c r="I2163" s="586"/>
      <c r="J2163" s="586"/>
      <c r="K2163" s="586"/>
    </row>
    <row r="2164" spans="3:12" ht="26" x14ac:dyDescent="0.2">
      <c r="C2164" s="804"/>
      <c r="D2164" s="587"/>
      <c r="E2164" s="588"/>
      <c r="F2164" s="585" t="s">
        <v>383</v>
      </c>
      <c r="G2164" s="585" t="s">
        <v>384</v>
      </c>
      <c r="H2164" s="585" t="s">
        <v>385</v>
      </c>
      <c r="I2164" s="585" t="s">
        <v>386</v>
      </c>
      <c r="J2164" s="585" t="s">
        <v>387</v>
      </c>
      <c r="K2164" s="585" t="s">
        <v>84</v>
      </c>
    </row>
    <row r="2165" spans="3:12" x14ac:dyDescent="0.2">
      <c r="C2165" s="804"/>
      <c r="D2165" s="684" t="s">
        <v>167</v>
      </c>
      <c r="E2165" s="588"/>
      <c r="F2165" s="580">
        <v>12</v>
      </c>
      <c r="G2165" s="579">
        <v>7</v>
      </c>
      <c r="H2165" s="580">
        <v>3</v>
      </c>
      <c r="I2165" s="580">
        <v>5</v>
      </c>
      <c r="J2165" s="580">
        <v>10</v>
      </c>
      <c r="K2165" s="580">
        <f>SUM(F2165:J2165)</f>
        <v>37</v>
      </c>
    </row>
    <row r="2166" spans="3:12" x14ac:dyDescent="0.2">
      <c r="C2166" s="804"/>
      <c r="D2166" s="684" t="s">
        <v>207</v>
      </c>
      <c r="E2166" s="588"/>
      <c r="F2166" s="618">
        <v>84</v>
      </c>
      <c r="G2166" s="619">
        <v>47</v>
      </c>
      <c r="H2166" s="618">
        <v>21</v>
      </c>
      <c r="I2166" s="618">
        <v>55</v>
      </c>
      <c r="J2166" s="618">
        <v>88</v>
      </c>
      <c r="K2166" s="618">
        <f>SUM(F2166:J2166)</f>
        <v>295</v>
      </c>
    </row>
    <row r="2167" spans="3:12" x14ac:dyDescent="0.2">
      <c r="C2167" s="683"/>
      <c r="D2167" s="684" t="s">
        <v>100</v>
      </c>
      <c r="E2167" s="588"/>
      <c r="F2167" s="581">
        <v>1</v>
      </c>
      <c r="G2167" s="581"/>
      <c r="H2167" s="581"/>
      <c r="I2167" s="581">
        <v>1</v>
      </c>
      <c r="J2167" s="581">
        <v>1</v>
      </c>
      <c r="K2167" s="581">
        <f>SUM(F2167:J2167)</f>
        <v>3</v>
      </c>
    </row>
    <row r="2168" spans="3:12" x14ac:dyDescent="0.2">
      <c r="C2168" s="683"/>
      <c r="D2168" s="684" t="s">
        <v>101</v>
      </c>
      <c r="E2168" s="588"/>
      <c r="F2168" s="581">
        <v>1</v>
      </c>
      <c r="G2168" s="581">
        <v>4</v>
      </c>
      <c r="H2168" s="581">
        <v>1</v>
      </c>
      <c r="I2168" s="581"/>
      <c r="J2168" s="581"/>
      <c r="K2168" s="581">
        <f>SUM(F2168:J2168)</f>
        <v>6</v>
      </c>
    </row>
    <row r="2169" spans="3:12" ht="16" thickBot="1" x14ac:dyDescent="0.25">
      <c r="C2169" s="683"/>
      <c r="D2169" s="597" t="s">
        <v>102</v>
      </c>
      <c r="E2169" s="598"/>
      <c r="F2169" s="599"/>
      <c r="G2169" s="600">
        <v>1</v>
      </c>
      <c r="H2169" s="600"/>
      <c r="I2169" s="600">
        <v>6</v>
      </c>
      <c r="J2169" s="600">
        <v>3</v>
      </c>
      <c r="K2169" s="600">
        <f>SUM(F2169:J2169)</f>
        <v>10</v>
      </c>
    </row>
    <row r="2170" spans="3:12" ht="17" thickBot="1" x14ac:dyDescent="0.25">
      <c r="C2170" s="605"/>
      <c r="D2170" s="612" t="s">
        <v>84</v>
      </c>
      <c r="E2170" s="613"/>
      <c r="F2170" s="614">
        <f>(F2166+F2169)-F2168-F2167</f>
        <v>82</v>
      </c>
      <c r="G2170" s="615">
        <f>(G2166+G2169)-G2168-G2167</f>
        <v>44</v>
      </c>
      <c r="H2170" s="616">
        <f>(H2166+H2169)-H2168</f>
        <v>20</v>
      </c>
      <c r="I2170" s="615">
        <f>(I2166+I2169)-I2168-I2167</f>
        <v>60</v>
      </c>
      <c r="J2170" s="622">
        <f>(J2166+J2169)-J2168-J2167</f>
        <v>90</v>
      </c>
      <c r="K2170" s="617">
        <f>(K2166+K2169)-K2168-K2167</f>
        <v>296</v>
      </c>
    </row>
    <row r="2171" spans="3:12" ht="16" x14ac:dyDescent="0.2">
      <c r="C2171" s="683"/>
      <c r="D2171" s="608"/>
      <c r="E2171" s="609"/>
      <c r="F2171" s="610"/>
      <c r="G2171" s="595"/>
      <c r="H2171" s="611"/>
      <c r="I2171" s="595"/>
      <c r="J2171" s="595"/>
      <c r="K2171" s="595"/>
    </row>
    <row r="2172" spans="3:12" ht="16" thickBot="1" x14ac:dyDescent="0.25">
      <c r="C2172" s="606" t="s">
        <v>388</v>
      </c>
      <c r="D2172" s="607" t="s">
        <v>103</v>
      </c>
      <c r="E2172" s="603" t="s">
        <v>84</v>
      </c>
      <c r="F2172" s="602" t="s">
        <v>78</v>
      </c>
      <c r="G2172" s="602" t="s">
        <v>79</v>
      </c>
      <c r="H2172" s="602" t="s">
        <v>81</v>
      </c>
      <c r="I2172" s="601" t="s">
        <v>316</v>
      </c>
      <c r="J2172" s="601" t="s">
        <v>85</v>
      </c>
      <c r="K2172" s="601" t="s">
        <v>84</v>
      </c>
      <c r="L2172" s="174" t="s">
        <v>389</v>
      </c>
    </row>
    <row r="2173" spans="3:12" x14ac:dyDescent="0.2">
      <c r="C2173" s="589"/>
      <c r="D2173" s="604" t="s">
        <v>105</v>
      </c>
      <c r="E2173" s="591">
        <f>(F2173+G2173+H2173+I2173+J2173)*100+(0*230)</f>
        <v>4500</v>
      </c>
      <c r="F2173" s="3">
        <v>16</v>
      </c>
      <c r="G2173" s="3">
        <v>5</v>
      </c>
      <c r="H2173" s="3">
        <v>4</v>
      </c>
      <c r="I2173" s="3">
        <v>4</v>
      </c>
      <c r="J2173" s="3">
        <v>16</v>
      </c>
      <c r="K2173" s="628">
        <f t="shared" ref="K2173:K2195" si="100">SUM(F2173:J2173)</f>
        <v>45</v>
      </c>
      <c r="L2173" s="630">
        <f>K2173/4</f>
        <v>11.25</v>
      </c>
    </row>
    <row r="2174" spans="3:12" x14ac:dyDescent="0.2">
      <c r="C2174" s="589"/>
      <c r="D2174" s="590" t="s">
        <v>390</v>
      </c>
      <c r="E2174" s="591">
        <f>(F2174+G2174+H2174+I2174+J2174)*120</f>
        <v>1200</v>
      </c>
      <c r="F2174" s="3">
        <v>2</v>
      </c>
      <c r="G2174" s="3">
        <v>2</v>
      </c>
      <c r="H2174" s="3">
        <v>2</v>
      </c>
      <c r="I2174" s="3">
        <v>2</v>
      </c>
      <c r="J2174" s="3">
        <v>2</v>
      </c>
      <c r="K2174" s="628">
        <f t="shared" si="100"/>
        <v>10</v>
      </c>
      <c r="L2174" s="630">
        <f t="shared" ref="L2174:L2195" si="101">K2174/4</f>
        <v>2.5</v>
      </c>
    </row>
    <row r="2175" spans="3:12" x14ac:dyDescent="0.2">
      <c r="C2175" s="589" t="s">
        <v>804</v>
      </c>
      <c r="D2175" s="590" t="s">
        <v>391</v>
      </c>
      <c r="E2175" s="591">
        <f>(F2175+G2175+H2175+I2175+J2175)*120</f>
        <v>3000</v>
      </c>
      <c r="F2175" s="3">
        <v>5</v>
      </c>
      <c r="G2175" s="3">
        <v>5</v>
      </c>
      <c r="H2175" s="3">
        <v>5</v>
      </c>
      <c r="I2175" s="3">
        <v>5</v>
      </c>
      <c r="J2175" s="3">
        <v>5</v>
      </c>
      <c r="K2175" s="628">
        <f t="shared" si="100"/>
        <v>25</v>
      </c>
      <c r="L2175" s="630">
        <f t="shared" si="101"/>
        <v>6.25</v>
      </c>
    </row>
    <row r="2176" spans="3:12" x14ac:dyDescent="0.2">
      <c r="C2176" s="589"/>
      <c r="D2176" s="590" t="s">
        <v>392</v>
      </c>
      <c r="E2176" s="591">
        <f>(F2176+G2176+H2176+I2176+J2176)*120</f>
        <v>0</v>
      </c>
      <c r="F2176" s="3"/>
      <c r="G2176" s="3"/>
      <c r="H2176" s="3"/>
      <c r="I2176" s="3"/>
      <c r="J2176" s="3"/>
      <c r="K2176" s="628">
        <f t="shared" si="100"/>
        <v>0</v>
      </c>
      <c r="L2176" s="630">
        <f t="shared" si="101"/>
        <v>0</v>
      </c>
    </row>
    <row r="2177" spans="3:12" x14ac:dyDescent="0.2">
      <c r="C2177" s="589"/>
      <c r="D2177" s="590" t="s">
        <v>425</v>
      </c>
      <c r="E2177" s="591">
        <f>(F2177+G2177+H2177+I2177+J2177)*120</f>
        <v>0</v>
      </c>
      <c r="F2177" s="3"/>
      <c r="G2177" s="3"/>
      <c r="H2177" s="3"/>
      <c r="I2177" s="3"/>
      <c r="J2177" s="3"/>
      <c r="K2177" s="628">
        <f t="shared" si="100"/>
        <v>0</v>
      </c>
      <c r="L2177" s="630">
        <f t="shared" si="101"/>
        <v>0</v>
      </c>
    </row>
    <row r="2178" spans="3:12" x14ac:dyDescent="0.2">
      <c r="C2178" s="589"/>
      <c r="D2178" s="590"/>
      <c r="E2178" s="591"/>
      <c r="F2178" s="3"/>
      <c r="G2178" s="3"/>
      <c r="H2178" s="3"/>
      <c r="I2178" s="3"/>
      <c r="J2178" s="3"/>
      <c r="K2178" s="628">
        <f t="shared" si="100"/>
        <v>0</v>
      </c>
      <c r="L2178" s="630">
        <f t="shared" si="101"/>
        <v>0</v>
      </c>
    </row>
    <row r="2179" spans="3:12" x14ac:dyDescent="0.2">
      <c r="C2179" s="589" t="s">
        <v>807</v>
      </c>
      <c r="D2179" s="590" t="s">
        <v>108</v>
      </c>
      <c r="E2179" s="591">
        <f>(F2179+G2179+H2179+J2179)*112.7+(I2179*119.6)</f>
        <v>3661.6000000000004</v>
      </c>
      <c r="F2179" s="3">
        <v>8</v>
      </c>
      <c r="G2179" s="3">
        <v>4</v>
      </c>
      <c r="H2179" s="3">
        <v>4</v>
      </c>
      <c r="I2179" s="3">
        <v>8</v>
      </c>
      <c r="J2179" s="3">
        <v>8</v>
      </c>
      <c r="K2179" s="628">
        <f t="shared" si="100"/>
        <v>32</v>
      </c>
      <c r="L2179" s="630">
        <f t="shared" si="101"/>
        <v>8</v>
      </c>
    </row>
    <row r="2180" spans="3:12" x14ac:dyDescent="0.2">
      <c r="C2180" s="589" t="s">
        <v>806</v>
      </c>
      <c r="D2180" s="590" t="s">
        <v>393</v>
      </c>
      <c r="E2180" s="591">
        <f>(F2180+G2180+H2180+J2180)*112.7+(I2180*119.6)</f>
        <v>2732.4</v>
      </c>
      <c r="F2180" s="3">
        <v>6</v>
      </c>
      <c r="G2180" s="3">
        <v>4</v>
      </c>
      <c r="H2180" s="3">
        <v>4</v>
      </c>
      <c r="I2180" s="3">
        <v>4</v>
      </c>
      <c r="J2180" s="3">
        <v>6</v>
      </c>
      <c r="K2180" s="628">
        <f t="shared" si="100"/>
        <v>24</v>
      </c>
      <c r="L2180" s="630">
        <f t="shared" si="101"/>
        <v>6</v>
      </c>
    </row>
    <row r="2181" spans="3:12" x14ac:dyDescent="0.2">
      <c r="C2181" s="589" t="s">
        <v>805</v>
      </c>
      <c r="D2181" s="590" t="s">
        <v>216</v>
      </c>
      <c r="E2181" s="591">
        <f>(F2181+G2181+H2181+J2181)*112.7+(I2181*119.6)</f>
        <v>2281.6</v>
      </c>
      <c r="F2181" s="3">
        <v>6</v>
      </c>
      <c r="G2181" s="3">
        <v>4</v>
      </c>
      <c r="H2181" s="3"/>
      <c r="I2181" s="3">
        <v>4</v>
      </c>
      <c r="J2181" s="3">
        <v>6</v>
      </c>
      <c r="K2181" s="628">
        <f t="shared" si="100"/>
        <v>20</v>
      </c>
      <c r="L2181" s="630">
        <f t="shared" si="101"/>
        <v>5</v>
      </c>
    </row>
    <row r="2182" spans="3:12" x14ac:dyDescent="0.2">
      <c r="C2182" s="589"/>
      <c r="D2182" s="590"/>
      <c r="E2182" s="591"/>
      <c r="F2182" s="3"/>
      <c r="G2182" s="3"/>
      <c r="H2182" s="3"/>
      <c r="I2182" s="3"/>
      <c r="J2182" s="3"/>
      <c r="K2182" s="628">
        <f t="shared" si="100"/>
        <v>0</v>
      </c>
      <c r="L2182" s="630">
        <f t="shared" si="101"/>
        <v>0</v>
      </c>
    </row>
    <row r="2183" spans="3:12" x14ac:dyDescent="0.2">
      <c r="C2183" s="589"/>
      <c r="D2183" s="590" t="s">
        <v>394</v>
      </c>
      <c r="E2183" s="591">
        <f>(F2183+G2183+H2183+I2183+J2183)*120</f>
        <v>0</v>
      </c>
      <c r="F2183" s="3"/>
      <c r="G2183" s="3"/>
      <c r="H2183" s="3"/>
      <c r="I2183" s="3"/>
      <c r="J2183" s="3"/>
      <c r="K2183" s="628">
        <f t="shared" si="100"/>
        <v>0</v>
      </c>
      <c r="L2183" s="630">
        <f t="shared" si="101"/>
        <v>0</v>
      </c>
    </row>
    <row r="2184" spans="3:12" x14ac:dyDescent="0.2">
      <c r="C2184" s="589" t="s">
        <v>808</v>
      </c>
      <c r="D2184" s="590" t="s">
        <v>110</v>
      </c>
      <c r="E2184" s="591">
        <f>(F2184+G2184+H2184+J2184)*112.7+(I2184*119.6)</f>
        <v>8197.2000000000007</v>
      </c>
      <c r="F2184" s="3">
        <v>24</v>
      </c>
      <c r="G2184" s="3">
        <v>12</v>
      </c>
      <c r="H2184" s="3"/>
      <c r="I2184" s="3">
        <v>12</v>
      </c>
      <c r="J2184" s="3">
        <v>24</v>
      </c>
      <c r="K2184" s="628">
        <f t="shared" si="100"/>
        <v>72</v>
      </c>
      <c r="L2184" s="630">
        <f t="shared" si="101"/>
        <v>18</v>
      </c>
    </row>
    <row r="2185" spans="3:12" x14ac:dyDescent="0.2">
      <c r="C2185" s="589"/>
      <c r="D2185" s="590"/>
      <c r="E2185" s="591"/>
      <c r="F2185" s="3"/>
      <c r="G2185" s="3"/>
      <c r="H2185" s="3"/>
      <c r="I2185" s="3"/>
      <c r="J2185" s="3"/>
      <c r="K2185" s="628">
        <f t="shared" si="100"/>
        <v>0</v>
      </c>
      <c r="L2185" s="630">
        <f t="shared" si="101"/>
        <v>0</v>
      </c>
    </row>
    <row r="2186" spans="3:12" x14ac:dyDescent="0.2">
      <c r="C2186" s="589"/>
      <c r="D2186" s="590" t="s">
        <v>381</v>
      </c>
      <c r="E2186" s="591">
        <f>(F2186+G2186+H2186+I2186+J2186)*120+(240*0)+(0*45)</f>
        <v>0</v>
      </c>
      <c r="F2186" s="3"/>
      <c r="G2186" s="3"/>
      <c r="H2186" s="3"/>
      <c r="I2186" s="3"/>
      <c r="J2186" s="3"/>
      <c r="K2186" s="628">
        <f t="shared" si="100"/>
        <v>0</v>
      </c>
      <c r="L2186" s="630">
        <f t="shared" si="101"/>
        <v>0</v>
      </c>
    </row>
    <row r="2187" spans="3:12" x14ac:dyDescent="0.2">
      <c r="C2187" s="589"/>
      <c r="D2187" s="590" t="s">
        <v>276</v>
      </c>
      <c r="E2187" s="591">
        <f>(F2187+G2187+H2187+J2187)*112.7+(I2187*119.6)</f>
        <v>0</v>
      </c>
      <c r="F2187" s="3"/>
      <c r="G2187" s="3"/>
      <c r="H2187" s="3"/>
      <c r="I2187" s="3"/>
      <c r="J2187" s="3"/>
      <c r="K2187" s="628">
        <f t="shared" si="100"/>
        <v>0</v>
      </c>
      <c r="L2187" s="630">
        <f t="shared" si="101"/>
        <v>0</v>
      </c>
    </row>
    <row r="2188" spans="3:12" x14ac:dyDescent="0.2">
      <c r="C2188" s="589"/>
      <c r="D2188" s="590"/>
      <c r="E2188" s="591"/>
      <c r="F2188" s="3"/>
      <c r="G2188" s="3"/>
      <c r="H2188" s="3"/>
      <c r="I2188" s="3"/>
      <c r="J2188" s="3"/>
      <c r="K2188" s="628">
        <f t="shared" si="100"/>
        <v>0</v>
      </c>
      <c r="L2188" s="630">
        <f t="shared" si="101"/>
        <v>0</v>
      </c>
    </row>
    <row r="2189" spans="3:12" x14ac:dyDescent="0.2">
      <c r="C2189" s="589"/>
      <c r="D2189" s="590" t="s">
        <v>75</v>
      </c>
      <c r="E2189" s="591">
        <f>(F2189+G2189+H2189+I2189+J2189)*120</f>
        <v>0</v>
      </c>
      <c r="F2189" s="3"/>
      <c r="G2189" s="3"/>
      <c r="H2189" s="3"/>
      <c r="I2189" s="3"/>
      <c r="J2189" s="3"/>
      <c r="K2189" s="628">
        <f t="shared" si="100"/>
        <v>0</v>
      </c>
      <c r="L2189" s="630">
        <f t="shared" si="101"/>
        <v>0</v>
      </c>
    </row>
    <row r="2190" spans="3:12" x14ac:dyDescent="0.2">
      <c r="C2190" s="589"/>
      <c r="D2190" s="590" t="s">
        <v>278</v>
      </c>
      <c r="E2190" s="591">
        <f>(F2190+G2190+H2190+I2190+J2190)*120</f>
        <v>0</v>
      </c>
      <c r="F2190" s="3"/>
      <c r="G2190" s="3"/>
      <c r="H2190" s="3"/>
      <c r="I2190" s="3"/>
      <c r="J2190" s="3"/>
      <c r="K2190" s="628">
        <f t="shared" si="100"/>
        <v>0</v>
      </c>
      <c r="L2190" s="630">
        <f t="shared" si="101"/>
        <v>0</v>
      </c>
    </row>
    <row r="2191" spans="3:12" x14ac:dyDescent="0.2">
      <c r="C2191" s="589"/>
      <c r="D2191" s="590" t="s">
        <v>270</v>
      </c>
      <c r="E2191" s="591">
        <f>(F2191+G2191+H2191+I2191)*112.7+(J2191*119.6)</f>
        <v>0</v>
      </c>
      <c r="F2191" s="3"/>
      <c r="G2191" s="3"/>
      <c r="H2191" s="3"/>
      <c r="I2191" s="3"/>
      <c r="J2191" s="3"/>
      <c r="K2191" s="628">
        <f t="shared" si="100"/>
        <v>0</v>
      </c>
      <c r="L2191" s="630">
        <f t="shared" si="101"/>
        <v>0</v>
      </c>
    </row>
    <row r="2192" spans="3:12" x14ac:dyDescent="0.2">
      <c r="C2192" s="589"/>
      <c r="D2192" s="590" t="s">
        <v>274</v>
      </c>
      <c r="E2192" s="591">
        <f>(F2192+G2192+H2192+I2192)*112.7+(J2192*119.6)</f>
        <v>0</v>
      </c>
      <c r="F2192" s="3"/>
      <c r="G2192" s="3"/>
      <c r="H2192" s="3"/>
      <c r="I2192" s="3"/>
      <c r="J2192" s="3"/>
      <c r="K2192" s="628">
        <f t="shared" si="100"/>
        <v>0</v>
      </c>
      <c r="L2192" s="630">
        <f t="shared" si="101"/>
        <v>0</v>
      </c>
    </row>
    <row r="2193" spans="3:12" x14ac:dyDescent="0.2">
      <c r="C2193" s="589"/>
      <c r="D2193" s="590" t="s">
        <v>395</v>
      </c>
      <c r="E2193" s="591">
        <f>(F2193+G2193+H2193+I2193)*112.7+(J2193*119.6)</f>
        <v>0</v>
      </c>
      <c r="F2193" s="3"/>
      <c r="G2193" s="3"/>
      <c r="H2193" s="3"/>
      <c r="I2193" s="3"/>
      <c r="J2193" s="3"/>
      <c r="K2193" s="628">
        <f t="shared" si="100"/>
        <v>0</v>
      </c>
      <c r="L2193" s="630">
        <f t="shared" si="101"/>
        <v>0</v>
      </c>
    </row>
    <row r="2194" spans="3:12" x14ac:dyDescent="0.2">
      <c r="C2194" s="683"/>
      <c r="D2194" s="590" t="s">
        <v>112</v>
      </c>
      <c r="E2194" s="591">
        <f>(F2194+G2194+H2194+I2194)*112.7+(J2194*119.6)</f>
        <v>0</v>
      </c>
      <c r="F2194" s="3"/>
      <c r="G2194" s="3"/>
      <c r="H2194" s="3"/>
      <c r="I2194" s="3"/>
      <c r="J2194" s="3"/>
      <c r="K2194" s="628">
        <f t="shared" si="100"/>
        <v>0</v>
      </c>
      <c r="L2194" s="630">
        <f t="shared" si="101"/>
        <v>0</v>
      </c>
    </row>
    <row r="2195" spans="3:12" x14ac:dyDescent="0.2">
      <c r="C2195" s="683"/>
      <c r="D2195" s="590" t="s">
        <v>72</v>
      </c>
      <c r="E2195" s="591">
        <f>(F2195+G2195+H2195+I2195)*112.7+(J2195*119.6)</f>
        <v>0</v>
      </c>
      <c r="F2195" s="3"/>
      <c r="G2195" s="3"/>
      <c r="H2195" s="3"/>
      <c r="I2195" s="3"/>
      <c r="J2195" s="3"/>
      <c r="K2195" s="628">
        <f t="shared" si="100"/>
        <v>0</v>
      </c>
      <c r="L2195" s="630">
        <f t="shared" si="101"/>
        <v>0</v>
      </c>
    </row>
    <row r="2196" spans="3:12" x14ac:dyDescent="0.2">
      <c r="C2196" s="683"/>
      <c r="D2196" s="590" t="s">
        <v>187</v>
      </c>
      <c r="E2196" s="591"/>
      <c r="F2196" s="3">
        <v>1</v>
      </c>
      <c r="G2196" s="3"/>
      <c r="H2196" s="3"/>
      <c r="I2196" s="3">
        <v>2</v>
      </c>
      <c r="J2196" s="3">
        <v>8</v>
      </c>
      <c r="K2196" s="628">
        <f>SUM(F2196:J2196)</f>
        <v>11</v>
      </c>
      <c r="L2196" s="3"/>
    </row>
    <row r="2197" spans="3:12" ht="16" x14ac:dyDescent="0.2">
      <c r="C2197" s="683"/>
      <c r="D2197" s="590" t="s">
        <v>501</v>
      </c>
      <c r="E2197" s="592"/>
      <c r="F2197" s="3">
        <v>2</v>
      </c>
      <c r="G2197" s="3"/>
      <c r="H2197" s="3"/>
      <c r="I2197" s="3"/>
      <c r="J2197" s="3"/>
      <c r="K2197" s="628">
        <f>SUM(F2197:J2197)</f>
        <v>2</v>
      </c>
      <c r="L2197" s="3"/>
    </row>
    <row r="2198" spans="3:12" ht="17" thickBot="1" x14ac:dyDescent="0.25">
      <c r="C2198" s="683"/>
      <c r="D2198" s="590"/>
      <c r="E2198" s="624"/>
      <c r="F2198" s="69"/>
      <c r="G2198" s="69"/>
      <c r="H2198" s="69"/>
      <c r="I2198" s="69"/>
      <c r="J2198" s="69"/>
      <c r="K2198" s="629"/>
      <c r="L2198" s="3"/>
    </row>
    <row r="2199" spans="3:12" ht="16" thickBot="1" x14ac:dyDescent="0.25">
      <c r="C2199" s="596"/>
      <c r="D2199" s="623" t="s">
        <v>19</v>
      </c>
      <c r="E2199" s="625">
        <f>SUM(E2173:E2196)</f>
        <v>25572.799999999999</v>
      </c>
      <c r="F2199" s="614">
        <f>SUM(F2173:F2198)</f>
        <v>70</v>
      </c>
      <c r="G2199" s="614">
        <f>SUM(G2173:G2198)</f>
        <v>36</v>
      </c>
      <c r="H2199" s="614">
        <f>SUM(H2173:H2198)</f>
        <v>19</v>
      </c>
      <c r="I2199" s="614">
        <f>SUM(I2173:I2198)</f>
        <v>41</v>
      </c>
      <c r="J2199" s="614">
        <f>SUM(J2173:J2198)</f>
        <v>75</v>
      </c>
      <c r="K2199" s="626">
        <f>SUM(F2199:J2199)</f>
        <v>241</v>
      </c>
      <c r="L2199" s="631">
        <f>SUM(L2173:L2198)</f>
        <v>57</v>
      </c>
    </row>
    <row r="2200" spans="3:12" x14ac:dyDescent="0.2">
      <c r="C2200" s="596"/>
      <c r="D2200" s="593" t="s">
        <v>113</v>
      </c>
      <c r="E2200" s="620"/>
      <c r="F2200" s="610">
        <f>F2170-F2199</f>
        <v>12</v>
      </c>
      <c r="G2200" s="610">
        <f>G2170-G2199</f>
        <v>8</v>
      </c>
      <c r="H2200" s="610">
        <f>H2170-H2199</f>
        <v>1</v>
      </c>
      <c r="I2200" s="610">
        <f>I2170-I2199</f>
        <v>19</v>
      </c>
      <c r="J2200" s="610">
        <f>J2170-J2199</f>
        <v>15</v>
      </c>
      <c r="K2200" s="636">
        <f>SUM(F2200:J2200)</f>
        <v>55</v>
      </c>
      <c r="L2200" s="3"/>
    </row>
    <row r="2201" spans="3:12" x14ac:dyDescent="0.2">
      <c r="C2201" s="683"/>
      <c r="D2201" s="593" t="s">
        <v>436</v>
      </c>
      <c r="E2201" s="594"/>
      <c r="F2201" s="581"/>
      <c r="G2201" s="581"/>
      <c r="H2201" s="581"/>
      <c r="I2201" s="581"/>
      <c r="J2201" s="581"/>
      <c r="K2201" s="637">
        <f>K2199+K2200</f>
        <v>296</v>
      </c>
      <c r="L2201" s="3"/>
    </row>
    <row r="2203" spans="3:12" ht="18" x14ac:dyDescent="0.2">
      <c r="C2203" s="685" t="s">
        <v>412</v>
      </c>
      <c r="D2203" s="582">
        <v>45722</v>
      </c>
      <c r="E2203" s="800"/>
      <c r="F2203" s="685" t="s">
        <v>83</v>
      </c>
      <c r="G2203" s="801" t="s">
        <v>66</v>
      </c>
      <c r="H2203" s="802"/>
      <c r="I2203" s="802"/>
      <c r="J2203" s="802"/>
      <c r="K2203" s="803"/>
    </row>
    <row r="2204" spans="3:12" x14ac:dyDescent="0.2">
      <c r="C2204" s="804"/>
      <c r="D2204" s="805"/>
      <c r="E2204" s="800"/>
      <c r="F2204" s="683" t="s">
        <v>93</v>
      </c>
      <c r="G2204" s="683" t="s">
        <v>93</v>
      </c>
      <c r="H2204" s="683"/>
      <c r="I2204" s="806"/>
      <c r="J2204" s="806"/>
      <c r="K2204" s="806"/>
    </row>
    <row r="2205" spans="3:12" x14ac:dyDescent="0.2">
      <c r="C2205" s="804"/>
      <c r="D2205" s="805"/>
      <c r="E2205" s="800"/>
      <c r="F2205" s="683" t="s">
        <v>94</v>
      </c>
      <c r="G2205" s="683" t="s">
        <v>95</v>
      </c>
      <c r="H2205" s="683" t="s">
        <v>96</v>
      </c>
      <c r="I2205" s="806"/>
      <c r="J2205" s="806"/>
      <c r="K2205" s="806"/>
    </row>
    <row r="2206" spans="3:12" x14ac:dyDescent="0.2">
      <c r="C2206" s="804"/>
      <c r="D2206" s="805"/>
      <c r="E2206" s="800"/>
      <c r="F2206" s="683"/>
      <c r="G2206" s="683"/>
      <c r="H2206" s="683"/>
      <c r="I2206" s="806"/>
      <c r="J2206" s="806"/>
      <c r="K2206" s="806"/>
    </row>
    <row r="2207" spans="3:12" ht="16" x14ac:dyDescent="0.2">
      <c r="C2207" s="683"/>
      <c r="D2207" s="583" t="s">
        <v>97</v>
      </c>
      <c r="E2207" s="584"/>
      <c r="F2207" s="581"/>
      <c r="G2207" s="585"/>
      <c r="H2207" s="585"/>
      <c r="I2207" s="586"/>
      <c r="J2207" s="586"/>
      <c r="K2207" s="586"/>
    </row>
    <row r="2208" spans="3:12" ht="26" x14ac:dyDescent="0.2">
      <c r="C2208" s="804"/>
      <c r="D2208" s="587"/>
      <c r="E2208" s="588"/>
      <c r="F2208" s="585" t="s">
        <v>383</v>
      </c>
      <c r="G2208" s="585" t="s">
        <v>384</v>
      </c>
      <c r="H2208" s="585" t="s">
        <v>385</v>
      </c>
      <c r="I2208" s="585" t="s">
        <v>386</v>
      </c>
      <c r="J2208" s="585" t="s">
        <v>387</v>
      </c>
      <c r="K2208" s="585" t="s">
        <v>84</v>
      </c>
    </row>
    <row r="2209" spans="3:12" x14ac:dyDescent="0.2">
      <c r="C2209" s="804"/>
      <c r="D2209" s="684" t="s">
        <v>167</v>
      </c>
      <c r="E2209" s="588"/>
      <c r="F2209" s="580"/>
      <c r="G2209" s="579"/>
      <c r="H2209" s="580"/>
      <c r="I2209" s="580"/>
      <c r="J2209" s="580"/>
      <c r="K2209" s="580">
        <f>SUM(F2209:J2209)</f>
        <v>0</v>
      </c>
    </row>
    <row r="2210" spans="3:12" x14ac:dyDescent="0.2">
      <c r="C2210" s="804"/>
      <c r="D2210" s="684" t="s">
        <v>207</v>
      </c>
      <c r="E2210" s="588"/>
      <c r="F2210" s="618"/>
      <c r="G2210" s="619"/>
      <c r="H2210" s="618"/>
      <c r="I2210" s="618"/>
      <c r="J2210" s="618"/>
      <c r="K2210" s="618">
        <f>SUM(F2210:J2210)</f>
        <v>0</v>
      </c>
    </row>
    <row r="2211" spans="3:12" x14ac:dyDescent="0.2">
      <c r="C2211" s="683"/>
      <c r="D2211" s="684" t="s">
        <v>100</v>
      </c>
      <c r="E2211" s="588"/>
      <c r="F2211" s="581"/>
      <c r="G2211" s="581"/>
      <c r="H2211" s="581"/>
      <c r="I2211" s="581"/>
      <c r="J2211" s="581"/>
      <c r="K2211" s="581">
        <f>SUM(F2211:J2211)</f>
        <v>0</v>
      </c>
    </row>
    <row r="2212" spans="3:12" x14ac:dyDescent="0.2">
      <c r="C2212" s="683"/>
      <c r="D2212" s="684" t="s">
        <v>101</v>
      </c>
      <c r="E2212" s="588"/>
      <c r="F2212" s="581"/>
      <c r="G2212" s="581"/>
      <c r="H2212" s="581"/>
      <c r="I2212" s="581"/>
      <c r="J2212" s="581"/>
      <c r="K2212" s="581">
        <f>SUM(F2212:J2212)</f>
        <v>0</v>
      </c>
    </row>
    <row r="2213" spans="3:12" ht="16" thickBot="1" x14ac:dyDescent="0.25">
      <c r="C2213" s="683"/>
      <c r="D2213" s="597" t="s">
        <v>102</v>
      </c>
      <c r="E2213" s="598"/>
      <c r="F2213" s="599">
        <v>12</v>
      </c>
      <c r="G2213" s="600">
        <v>8</v>
      </c>
      <c r="H2213" s="600">
        <v>1</v>
      </c>
      <c r="I2213" s="600">
        <v>19</v>
      </c>
      <c r="J2213" s="600">
        <v>15</v>
      </c>
      <c r="K2213" s="600">
        <f>SUM(F2213:J2213)</f>
        <v>55</v>
      </c>
    </row>
    <row r="2214" spans="3:12" ht="17" thickBot="1" x14ac:dyDescent="0.25">
      <c r="C2214" s="605"/>
      <c r="D2214" s="612" t="s">
        <v>84</v>
      </c>
      <c r="E2214" s="613"/>
      <c r="F2214" s="614">
        <f>(F2210+F2213)-F2212-F2211</f>
        <v>12</v>
      </c>
      <c r="G2214" s="615">
        <f>(G2210+G2213)-G2212-G2211</f>
        <v>8</v>
      </c>
      <c r="H2214" s="616">
        <f>(H2210+H2213)-H2212</f>
        <v>1</v>
      </c>
      <c r="I2214" s="615">
        <f>(I2210+I2213)-I2212-I2211</f>
        <v>19</v>
      </c>
      <c r="J2214" s="622">
        <f>(J2210+J2213)-J2212-J2211</f>
        <v>15</v>
      </c>
      <c r="K2214" s="617">
        <f>(K2210+K2213)-K2212-K2211</f>
        <v>55</v>
      </c>
    </row>
    <row r="2215" spans="3:12" ht="16" x14ac:dyDescent="0.2">
      <c r="C2215" s="683"/>
      <c r="D2215" s="608"/>
      <c r="E2215" s="609"/>
      <c r="F2215" s="610"/>
      <c r="G2215" s="595"/>
      <c r="H2215" s="611"/>
      <c r="I2215" s="595"/>
      <c r="J2215" s="595"/>
      <c r="K2215" s="595"/>
    </row>
    <row r="2216" spans="3:12" ht="16" thickBot="1" x14ac:dyDescent="0.25">
      <c r="C2216" s="606" t="s">
        <v>388</v>
      </c>
      <c r="D2216" s="607" t="s">
        <v>103</v>
      </c>
      <c r="E2216" s="603" t="s">
        <v>84</v>
      </c>
      <c r="F2216" s="602" t="s">
        <v>78</v>
      </c>
      <c r="G2216" s="602" t="s">
        <v>79</v>
      </c>
      <c r="H2216" s="602" t="s">
        <v>81</v>
      </c>
      <c r="I2216" s="601" t="s">
        <v>316</v>
      </c>
      <c r="J2216" s="601" t="s">
        <v>85</v>
      </c>
      <c r="K2216" s="601" t="s">
        <v>84</v>
      </c>
      <c r="L2216" s="174" t="s">
        <v>389</v>
      </c>
    </row>
    <row r="2217" spans="3:12" x14ac:dyDescent="0.2">
      <c r="C2217" s="589" t="s">
        <v>626</v>
      </c>
      <c r="D2217" s="604" t="s">
        <v>105</v>
      </c>
      <c r="E2217" s="591">
        <f>(F2217+G2217+H2217+I2217+J2217)*100+(0*230)</f>
        <v>2700</v>
      </c>
      <c r="F2217" s="3">
        <v>4</v>
      </c>
      <c r="G2217" s="3">
        <v>4</v>
      </c>
      <c r="H2217" s="3">
        <v>1</v>
      </c>
      <c r="I2217" s="3">
        <v>11</v>
      </c>
      <c r="J2217" s="3">
        <v>7</v>
      </c>
      <c r="K2217" s="628">
        <f t="shared" ref="K2217:K2239" si="102">SUM(F2217:J2217)</f>
        <v>27</v>
      </c>
      <c r="L2217" s="630">
        <f>K2217/4</f>
        <v>6.75</v>
      </c>
    </row>
    <row r="2218" spans="3:12" x14ac:dyDescent="0.2">
      <c r="C2218" s="589"/>
      <c r="D2218" s="590" t="s">
        <v>390</v>
      </c>
      <c r="E2218" s="591">
        <f>(F2218+G2218+H2218+I2218+J2218)*120</f>
        <v>0</v>
      </c>
      <c r="F2218" s="3"/>
      <c r="G2218" s="3"/>
      <c r="H2218" s="3"/>
      <c r="I2218" s="3"/>
      <c r="J2218" s="3"/>
      <c r="K2218" s="628">
        <f t="shared" si="102"/>
        <v>0</v>
      </c>
      <c r="L2218" s="630">
        <f t="shared" ref="L2218:L2239" si="103">K2218/4</f>
        <v>0</v>
      </c>
    </row>
    <row r="2219" spans="3:12" x14ac:dyDescent="0.2">
      <c r="C2219" s="589"/>
      <c r="D2219" s="590" t="s">
        <v>391</v>
      </c>
      <c r="E2219" s="591">
        <f>(F2219+G2219+H2219+I2219+J2219)*120</f>
        <v>0</v>
      </c>
      <c r="F2219" s="3"/>
      <c r="G2219" s="3"/>
      <c r="H2219" s="3"/>
      <c r="I2219" s="3"/>
      <c r="J2219" s="3"/>
      <c r="K2219" s="628">
        <f t="shared" si="102"/>
        <v>0</v>
      </c>
      <c r="L2219" s="630">
        <f t="shared" si="103"/>
        <v>0</v>
      </c>
    </row>
    <row r="2220" spans="3:12" x14ac:dyDescent="0.2">
      <c r="C2220" s="589"/>
      <c r="D2220" s="590" t="s">
        <v>392</v>
      </c>
      <c r="E2220" s="591">
        <f>(F2220+G2220+H2220+I2220+J2220)*120</f>
        <v>0</v>
      </c>
      <c r="F2220" s="3"/>
      <c r="G2220" s="3"/>
      <c r="H2220" s="3"/>
      <c r="I2220" s="3"/>
      <c r="J2220" s="3"/>
      <c r="K2220" s="628">
        <f t="shared" si="102"/>
        <v>0</v>
      </c>
      <c r="L2220" s="630">
        <f t="shared" si="103"/>
        <v>0</v>
      </c>
    </row>
    <row r="2221" spans="3:12" x14ac:dyDescent="0.2">
      <c r="C2221" s="589"/>
      <c r="D2221" s="590" t="s">
        <v>425</v>
      </c>
      <c r="E2221" s="591">
        <f>(F2221+G2221+H2221+I2221+J2221)*120</f>
        <v>0</v>
      </c>
      <c r="F2221" s="3"/>
      <c r="G2221" s="3"/>
      <c r="H2221" s="3"/>
      <c r="I2221" s="3"/>
      <c r="J2221" s="3"/>
      <c r="K2221" s="628">
        <f t="shared" si="102"/>
        <v>0</v>
      </c>
      <c r="L2221" s="630">
        <f t="shared" si="103"/>
        <v>0</v>
      </c>
    </row>
    <row r="2222" spans="3:12" x14ac:dyDescent="0.2">
      <c r="C2222" s="589"/>
      <c r="D2222" s="590"/>
      <c r="E2222" s="591"/>
      <c r="F2222" s="3"/>
      <c r="G2222" s="3"/>
      <c r="H2222" s="3"/>
      <c r="I2222" s="3"/>
      <c r="J2222" s="3"/>
      <c r="K2222" s="628">
        <f t="shared" si="102"/>
        <v>0</v>
      </c>
      <c r="L2222" s="630">
        <f t="shared" si="103"/>
        <v>0</v>
      </c>
    </row>
    <row r="2223" spans="3:12" x14ac:dyDescent="0.2">
      <c r="C2223" s="589"/>
      <c r="D2223" s="590" t="s">
        <v>108</v>
      </c>
      <c r="E2223" s="591">
        <f>(F2223+G2223+H2223+J2223)*112.7+(I2223*119.6)</f>
        <v>0</v>
      </c>
      <c r="F2223" s="3"/>
      <c r="G2223" s="3"/>
      <c r="H2223" s="3"/>
      <c r="I2223" s="3"/>
      <c r="J2223" s="3"/>
      <c r="K2223" s="628">
        <f t="shared" si="102"/>
        <v>0</v>
      </c>
      <c r="L2223" s="630">
        <f t="shared" si="103"/>
        <v>0</v>
      </c>
    </row>
    <row r="2224" spans="3:12" x14ac:dyDescent="0.2">
      <c r="C2224" s="589"/>
      <c r="D2224" s="590" t="s">
        <v>393</v>
      </c>
      <c r="E2224" s="591">
        <f>(F2224+G2224+H2224+J2224)*112.7+(I2224*119.6)</f>
        <v>0</v>
      </c>
      <c r="F2224" s="3"/>
      <c r="G2224" s="3"/>
      <c r="H2224" s="3"/>
      <c r="I2224" s="3"/>
      <c r="J2224" s="3"/>
      <c r="K2224" s="628">
        <f t="shared" si="102"/>
        <v>0</v>
      </c>
      <c r="L2224" s="630">
        <f t="shared" si="103"/>
        <v>0</v>
      </c>
    </row>
    <row r="2225" spans="3:12" x14ac:dyDescent="0.2">
      <c r="C2225" s="589"/>
      <c r="D2225" s="590" t="s">
        <v>216</v>
      </c>
      <c r="E2225" s="591">
        <f>(F2225+G2225+H2225+J2225)*112.7+(I2225*119.6)</f>
        <v>0</v>
      </c>
      <c r="F2225" s="3"/>
      <c r="G2225" s="3"/>
      <c r="H2225" s="3"/>
      <c r="I2225" s="3"/>
      <c r="J2225" s="3"/>
      <c r="K2225" s="628">
        <f t="shared" si="102"/>
        <v>0</v>
      </c>
      <c r="L2225" s="630">
        <f t="shared" si="103"/>
        <v>0</v>
      </c>
    </row>
    <row r="2226" spans="3:12" x14ac:dyDescent="0.2">
      <c r="C2226" s="589"/>
      <c r="D2226" s="590"/>
      <c r="E2226" s="591"/>
      <c r="F2226" s="3"/>
      <c r="G2226" s="3"/>
      <c r="H2226" s="3"/>
      <c r="I2226" s="3"/>
      <c r="J2226" s="3"/>
      <c r="K2226" s="628">
        <f t="shared" si="102"/>
        <v>0</v>
      </c>
      <c r="L2226" s="630">
        <f t="shared" si="103"/>
        <v>0</v>
      </c>
    </row>
    <row r="2227" spans="3:12" x14ac:dyDescent="0.2">
      <c r="C2227" s="589"/>
      <c r="D2227" s="590" t="s">
        <v>394</v>
      </c>
      <c r="E2227" s="591">
        <f>(F2227+G2227+H2227+I2227+J2227)*120</f>
        <v>0</v>
      </c>
      <c r="F2227" s="3"/>
      <c r="G2227" s="3"/>
      <c r="H2227" s="3"/>
      <c r="I2227" s="3"/>
      <c r="J2227" s="3"/>
      <c r="K2227" s="628">
        <f t="shared" si="102"/>
        <v>0</v>
      </c>
      <c r="L2227" s="630">
        <f t="shared" si="103"/>
        <v>0</v>
      </c>
    </row>
    <row r="2228" spans="3:12" x14ac:dyDescent="0.2">
      <c r="C2228" s="589"/>
      <c r="D2228" s="590" t="s">
        <v>110</v>
      </c>
      <c r="E2228" s="591">
        <f>(F2228+G2228+H2228+J2228)*112.7+(I2228*119.6)</f>
        <v>0</v>
      </c>
      <c r="F2228" s="3"/>
      <c r="G2228" s="3"/>
      <c r="H2228" s="3"/>
      <c r="I2228" s="3"/>
      <c r="J2228" s="3"/>
      <c r="K2228" s="628">
        <f t="shared" si="102"/>
        <v>0</v>
      </c>
      <c r="L2228" s="630">
        <f t="shared" si="103"/>
        <v>0</v>
      </c>
    </row>
    <row r="2229" spans="3:12" x14ac:dyDescent="0.2">
      <c r="C2229" s="589"/>
      <c r="D2229" s="590"/>
      <c r="E2229" s="591"/>
      <c r="F2229" s="3"/>
      <c r="G2229" s="3"/>
      <c r="H2229" s="3"/>
      <c r="I2229" s="3"/>
      <c r="J2229" s="3"/>
      <c r="K2229" s="628">
        <f t="shared" si="102"/>
        <v>0</v>
      </c>
      <c r="L2229" s="630">
        <f t="shared" si="103"/>
        <v>0</v>
      </c>
    </row>
    <row r="2230" spans="3:12" x14ac:dyDescent="0.2">
      <c r="C2230" s="589"/>
      <c r="D2230" s="590" t="s">
        <v>381</v>
      </c>
      <c r="E2230" s="591">
        <f>(F2230+G2230+H2230+I2230+J2230)*120+(240*0)+(0*45)</f>
        <v>0</v>
      </c>
      <c r="F2230" s="3"/>
      <c r="G2230" s="3"/>
      <c r="H2230" s="3"/>
      <c r="I2230" s="3"/>
      <c r="J2230" s="3"/>
      <c r="K2230" s="628">
        <f t="shared" si="102"/>
        <v>0</v>
      </c>
      <c r="L2230" s="630">
        <f t="shared" si="103"/>
        <v>0</v>
      </c>
    </row>
    <row r="2231" spans="3:12" x14ac:dyDescent="0.2">
      <c r="C2231" s="589" t="s">
        <v>810</v>
      </c>
      <c r="D2231" s="590" t="s">
        <v>276</v>
      </c>
      <c r="E2231" s="591">
        <f>(F2231+G2231+H2231+J2231)*112.7+(I2231*119.6)</f>
        <v>3210.8</v>
      </c>
      <c r="F2231" s="3">
        <v>8</v>
      </c>
      <c r="G2231" s="3">
        <v>4</v>
      </c>
      <c r="H2231" s="3"/>
      <c r="I2231" s="3">
        <v>8</v>
      </c>
      <c r="J2231" s="3">
        <v>8</v>
      </c>
      <c r="K2231" s="628">
        <f t="shared" si="102"/>
        <v>28</v>
      </c>
      <c r="L2231" s="630">
        <f t="shared" si="103"/>
        <v>7</v>
      </c>
    </row>
    <row r="2232" spans="3:12" x14ac:dyDescent="0.2">
      <c r="C2232" s="589"/>
      <c r="D2232" s="590"/>
      <c r="E2232" s="591"/>
      <c r="F2232" s="3"/>
      <c r="G2232" s="3"/>
      <c r="H2232" s="3"/>
      <c r="I2232" s="3"/>
      <c r="J2232" s="3"/>
      <c r="K2232" s="628">
        <f t="shared" si="102"/>
        <v>0</v>
      </c>
      <c r="L2232" s="630">
        <f t="shared" si="103"/>
        <v>0</v>
      </c>
    </row>
    <row r="2233" spans="3:12" x14ac:dyDescent="0.2">
      <c r="C2233" s="589"/>
      <c r="D2233" s="590" t="s">
        <v>75</v>
      </c>
      <c r="E2233" s="591">
        <f>(F2233+G2233+H2233+I2233+J2233)*120</f>
        <v>0</v>
      </c>
      <c r="F2233" s="3"/>
      <c r="G2233" s="3"/>
      <c r="H2233" s="3"/>
      <c r="I2233" s="3"/>
      <c r="J2233" s="3"/>
      <c r="K2233" s="628">
        <f t="shared" si="102"/>
        <v>0</v>
      </c>
      <c r="L2233" s="630">
        <f t="shared" si="103"/>
        <v>0</v>
      </c>
    </row>
    <row r="2234" spans="3:12" x14ac:dyDescent="0.2">
      <c r="C2234" s="589"/>
      <c r="D2234" s="590" t="s">
        <v>278</v>
      </c>
      <c r="E2234" s="591">
        <f>(F2234+G2234+H2234+I2234+J2234)*120</f>
        <v>0</v>
      </c>
      <c r="F2234" s="3"/>
      <c r="G2234" s="3"/>
      <c r="H2234" s="3"/>
      <c r="I2234" s="3"/>
      <c r="J2234" s="3"/>
      <c r="K2234" s="628">
        <f t="shared" si="102"/>
        <v>0</v>
      </c>
      <c r="L2234" s="630">
        <f t="shared" si="103"/>
        <v>0</v>
      </c>
    </row>
    <row r="2235" spans="3:12" x14ac:dyDescent="0.2">
      <c r="C2235" s="589"/>
      <c r="D2235" s="590" t="s">
        <v>270</v>
      </c>
      <c r="E2235" s="591">
        <f>(F2235+G2235+H2235+I2235)*112.7+(J2235*119.6)</f>
        <v>0</v>
      </c>
      <c r="F2235" s="3"/>
      <c r="G2235" s="3"/>
      <c r="H2235" s="3"/>
      <c r="I2235" s="3"/>
      <c r="J2235" s="3"/>
      <c r="K2235" s="628">
        <f t="shared" si="102"/>
        <v>0</v>
      </c>
      <c r="L2235" s="630">
        <f t="shared" si="103"/>
        <v>0</v>
      </c>
    </row>
    <row r="2236" spans="3:12" x14ac:dyDescent="0.2">
      <c r="C2236" s="589"/>
      <c r="D2236" s="590" t="s">
        <v>274</v>
      </c>
      <c r="E2236" s="591">
        <f>(F2236+G2236+H2236+I2236)*112.7+(J2236*119.6)</f>
        <v>0</v>
      </c>
      <c r="F2236" s="3"/>
      <c r="G2236" s="3"/>
      <c r="H2236" s="3"/>
      <c r="I2236" s="3"/>
      <c r="J2236" s="3"/>
      <c r="K2236" s="628">
        <f t="shared" si="102"/>
        <v>0</v>
      </c>
      <c r="L2236" s="630">
        <f t="shared" si="103"/>
        <v>0</v>
      </c>
    </row>
    <row r="2237" spans="3:12" x14ac:dyDescent="0.2">
      <c r="C2237" s="589"/>
      <c r="D2237" s="590" t="s">
        <v>395</v>
      </c>
      <c r="E2237" s="591">
        <f>(F2237+G2237+H2237+I2237)*112.7+(J2237*119.6)</f>
        <v>0</v>
      </c>
      <c r="F2237" s="3"/>
      <c r="G2237" s="3"/>
      <c r="H2237" s="3"/>
      <c r="I2237" s="3"/>
      <c r="J2237" s="3"/>
      <c r="K2237" s="628">
        <f t="shared" si="102"/>
        <v>0</v>
      </c>
      <c r="L2237" s="630">
        <f t="shared" si="103"/>
        <v>0</v>
      </c>
    </row>
    <row r="2238" spans="3:12" x14ac:dyDescent="0.2">
      <c r="C2238" s="683"/>
      <c r="D2238" s="590" t="s">
        <v>112</v>
      </c>
      <c r="E2238" s="591">
        <f>(F2238+G2238+H2238+I2238)*112.7+(J2238*119.6)</f>
        <v>0</v>
      </c>
      <c r="F2238" s="3"/>
      <c r="G2238" s="3"/>
      <c r="H2238" s="3"/>
      <c r="I2238" s="3"/>
      <c r="J2238" s="3"/>
      <c r="K2238" s="628">
        <f t="shared" si="102"/>
        <v>0</v>
      </c>
      <c r="L2238" s="630">
        <f t="shared" si="103"/>
        <v>0</v>
      </c>
    </row>
    <row r="2239" spans="3:12" x14ac:dyDescent="0.2">
      <c r="C2239" s="683"/>
      <c r="D2239" s="590" t="s">
        <v>72</v>
      </c>
      <c r="E2239" s="591">
        <f>(F2239+G2239+H2239+I2239)*112.7+(J2239*119.6)</f>
        <v>0</v>
      </c>
      <c r="F2239" s="3"/>
      <c r="G2239" s="3"/>
      <c r="H2239" s="3"/>
      <c r="I2239" s="3"/>
      <c r="J2239" s="3"/>
      <c r="K2239" s="628">
        <f t="shared" si="102"/>
        <v>0</v>
      </c>
      <c r="L2239" s="630">
        <f t="shared" si="103"/>
        <v>0</v>
      </c>
    </row>
    <row r="2240" spans="3:12" x14ac:dyDescent="0.2">
      <c r="C2240" s="683"/>
      <c r="D2240" s="590" t="s">
        <v>187</v>
      </c>
      <c r="E2240" s="591"/>
      <c r="F2240" s="3"/>
      <c r="G2240" s="3"/>
      <c r="H2240" s="3"/>
      <c r="I2240" s="3"/>
      <c r="J2240" s="3"/>
      <c r="K2240" s="628">
        <f>SUM(F2240:J2240)</f>
        <v>0</v>
      </c>
      <c r="L2240" s="3"/>
    </row>
    <row r="2241" spans="3:12" ht="16" x14ac:dyDescent="0.2">
      <c r="C2241" s="683"/>
      <c r="D2241" s="590" t="s">
        <v>501</v>
      </c>
      <c r="E2241" s="592"/>
      <c r="F2241" s="3"/>
      <c r="G2241" s="3"/>
      <c r="H2241" s="3"/>
      <c r="I2241" s="3"/>
      <c r="J2241" s="3"/>
      <c r="K2241" s="628">
        <f>SUM(F2241:J2241)</f>
        <v>0</v>
      </c>
      <c r="L2241" s="3"/>
    </row>
    <row r="2242" spans="3:12" ht="17" thickBot="1" x14ac:dyDescent="0.25">
      <c r="C2242" s="683"/>
      <c r="D2242" s="590"/>
      <c r="E2242" s="624"/>
      <c r="F2242" s="69"/>
      <c r="G2242" s="69"/>
      <c r="H2242" s="69"/>
      <c r="I2242" s="69"/>
      <c r="J2242" s="69"/>
      <c r="K2242" s="629"/>
      <c r="L2242" s="3"/>
    </row>
    <row r="2243" spans="3:12" ht="16" thickBot="1" x14ac:dyDescent="0.25">
      <c r="C2243" s="596"/>
      <c r="D2243" s="623" t="s">
        <v>19</v>
      </c>
      <c r="E2243" s="625">
        <f>SUM(E2217:E2240)</f>
        <v>5910.8</v>
      </c>
      <c r="F2243" s="614">
        <f>SUM(F2217:F2242)</f>
        <v>12</v>
      </c>
      <c r="G2243" s="614">
        <f>SUM(G2217:G2242)</f>
        <v>8</v>
      </c>
      <c r="H2243" s="614">
        <f>SUM(H2217:H2242)</f>
        <v>1</v>
      </c>
      <c r="I2243" s="614">
        <f>SUM(I2217:I2242)</f>
        <v>19</v>
      </c>
      <c r="J2243" s="614">
        <f>SUM(J2217:J2242)</f>
        <v>15</v>
      </c>
      <c r="K2243" s="626">
        <f>SUM(F2243:J2243)</f>
        <v>55</v>
      </c>
      <c r="L2243" s="631">
        <f>SUM(L2217:L2242)</f>
        <v>13.75</v>
      </c>
    </row>
    <row r="2244" spans="3:12" x14ac:dyDescent="0.2">
      <c r="C2244" s="596"/>
      <c r="D2244" s="593" t="s">
        <v>113</v>
      </c>
      <c r="E2244" s="620"/>
      <c r="F2244" s="610">
        <f>F2214-F2243</f>
        <v>0</v>
      </c>
      <c r="G2244" s="610">
        <f>G2214-G2243</f>
        <v>0</v>
      </c>
      <c r="H2244" s="610">
        <f>H2214-H2243</f>
        <v>0</v>
      </c>
      <c r="I2244" s="610">
        <f>I2214-I2243</f>
        <v>0</v>
      </c>
      <c r="J2244" s="610">
        <f>J2214-J2243</f>
        <v>0</v>
      </c>
      <c r="K2244" s="636">
        <f>SUM(F2244:J2244)</f>
        <v>0</v>
      </c>
      <c r="L2244" s="3"/>
    </row>
    <row r="2245" spans="3:12" x14ac:dyDescent="0.2">
      <c r="C2245" s="683"/>
      <c r="D2245" s="593" t="s">
        <v>436</v>
      </c>
      <c r="E2245" s="594"/>
      <c r="F2245" s="581"/>
      <c r="G2245" s="581"/>
      <c r="H2245" s="581"/>
      <c r="I2245" s="581"/>
      <c r="J2245" s="581"/>
      <c r="K2245" s="637">
        <f>K2243+K2244</f>
        <v>55</v>
      </c>
      <c r="L2245" s="3"/>
    </row>
    <row r="2247" spans="3:12" ht="18" x14ac:dyDescent="0.2">
      <c r="C2247" s="685" t="s">
        <v>412</v>
      </c>
      <c r="D2247" s="582">
        <v>45723</v>
      </c>
      <c r="E2247" s="800"/>
      <c r="F2247" s="685" t="s">
        <v>83</v>
      </c>
      <c r="G2247" s="801" t="s">
        <v>67</v>
      </c>
      <c r="H2247" s="802"/>
      <c r="I2247" s="802"/>
      <c r="J2247" s="802"/>
      <c r="K2247" s="803"/>
    </row>
    <row r="2248" spans="3:12" x14ac:dyDescent="0.2">
      <c r="C2248" s="804"/>
      <c r="D2248" s="805"/>
      <c r="E2248" s="800"/>
      <c r="F2248" s="683" t="s">
        <v>93</v>
      </c>
      <c r="G2248" s="683" t="s">
        <v>93</v>
      </c>
      <c r="H2248" s="683"/>
      <c r="I2248" s="806"/>
      <c r="J2248" s="806"/>
      <c r="K2248" s="806"/>
    </row>
    <row r="2249" spans="3:12" x14ac:dyDescent="0.2">
      <c r="C2249" s="804"/>
      <c r="D2249" s="805"/>
      <c r="E2249" s="800"/>
      <c r="F2249" s="683" t="s">
        <v>94</v>
      </c>
      <c r="G2249" s="683" t="s">
        <v>95</v>
      </c>
      <c r="H2249" s="683" t="s">
        <v>96</v>
      </c>
      <c r="I2249" s="806"/>
      <c r="J2249" s="806"/>
      <c r="K2249" s="806"/>
    </row>
    <row r="2250" spans="3:12" x14ac:dyDescent="0.2">
      <c r="C2250" s="804"/>
      <c r="D2250" s="805"/>
      <c r="E2250" s="800"/>
      <c r="F2250" s="683"/>
      <c r="G2250" s="683"/>
      <c r="H2250" s="683"/>
      <c r="I2250" s="806"/>
      <c r="J2250" s="806"/>
      <c r="K2250" s="806"/>
    </row>
    <row r="2251" spans="3:12" ht="16" x14ac:dyDescent="0.2">
      <c r="C2251" s="683"/>
      <c r="D2251" s="583" t="s">
        <v>97</v>
      </c>
      <c r="E2251" s="584"/>
      <c r="F2251" s="581"/>
      <c r="G2251" s="585"/>
      <c r="H2251" s="585"/>
      <c r="I2251" s="586"/>
      <c r="J2251" s="586"/>
      <c r="K2251" s="586"/>
    </row>
    <row r="2252" spans="3:12" ht="26" x14ac:dyDescent="0.2">
      <c r="C2252" s="804"/>
      <c r="D2252" s="587"/>
      <c r="E2252" s="588"/>
      <c r="F2252" s="585" t="s">
        <v>383</v>
      </c>
      <c r="G2252" s="585" t="s">
        <v>384</v>
      </c>
      <c r="H2252" s="585" t="s">
        <v>385</v>
      </c>
      <c r="I2252" s="585" t="s">
        <v>386</v>
      </c>
      <c r="J2252" s="585" t="s">
        <v>387</v>
      </c>
      <c r="K2252" s="585" t="s">
        <v>84</v>
      </c>
    </row>
    <row r="2253" spans="3:12" x14ac:dyDescent="0.2">
      <c r="C2253" s="804"/>
      <c r="D2253" s="684" t="s">
        <v>167</v>
      </c>
      <c r="E2253" s="588"/>
      <c r="F2253" s="580">
        <v>11</v>
      </c>
      <c r="G2253" s="579">
        <v>7</v>
      </c>
      <c r="H2253" s="580">
        <v>3</v>
      </c>
      <c r="I2253" s="580">
        <v>5</v>
      </c>
      <c r="J2253" s="580">
        <v>11</v>
      </c>
      <c r="K2253" s="580">
        <f>SUM(F2253:J2253)</f>
        <v>37</v>
      </c>
    </row>
    <row r="2254" spans="3:12" x14ac:dyDescent="0.2">
      <c r="C2254" s="804"/>
      <c r="D2254" s="684" t="s">
        <v>207</v>
      </c>
      <c r="E2254" s="588"/>
      <c r="F2254" s="618">
        <v>77</v>
      </c>
      <c r="G2254" s="619">
        <v>49</v>
      </c>
      <c r="H2254" s="618">
        <v>21</v>
      </c>
      <c r="I2254" s="618">
        <v>55</v>
      </c>
      <c r="J2254" s="618">
        <v>95.5</v>
      </c>
      <c r="K2254" s="618">
        <f>SUM(F2254:J2254)</f>
        <v>297.5</v>
      </c>
    </row>
    <row r="2255" spans="3:12" x14ac:dyDescent="0.2">
      <c r="C2255" s="683"/>
      <c r="D2255" s="684" t="s">
        <v>100</v>
      </c>
      <c r="E2255" s="588"/>
      <c r="F2255" s="581">
        <v>1</v>
      </c>
      <c r="G2255" s="581">
        <v>1</v>
      </c>
      <c r="H2255" s="581"/>
      <c r="I2255" s="581"/>
      <c r="J2255" s="581"/>
      <c r="K2255" s="581">
        <f>SUM(F2255:J2255)</f>
        <v>2</v>
      </c>
    </row>
    <row r="2256" spans="3:12" x14ac:dyDescent="0.2">
      <c r="C2256" s="683"/>
      <c r="D2256" s="684" t="s">
        <v>101</v>
      </c>
      <c r="E2256" s="588"/>
      <c r="F2256" s="581"/>
      <c r="G2256" s="581">
        <v>1</v>
      </c>
      <c r="H2256" s="581"/>
      <c r="I2256" s="581"/>
      <c r="J2256" s="581">
        <v>0.5</v>
      </c>
      <c r="K2256" s="581">
        <f>SUM(F2256:J2256)</f>
        <v>1.5</v>
      </c>
    </row>
    <row r="2257" spans="3:12" ht="16" thickBot="1" x14ac:dyDescent="0.25">
      <c r="C2257" s="683"/>
      <c r="D2257" s="597" t="s">
        <v>102</v>
      </c>
      <c r="E2257" s="598"/>
      <c r="F2257" s="599"/>
      <c r="G2257" s="600"/>
      <c r="H2257" s="600"/>
      <c r="I2257" s="600"/>
      <c r="J2257" s="600"/>
      <c r="K2257" s="600">
        <f>SUM(F2257:J2257)</f>
        <v>0</v>
      </c>
    </row>
    <row r="2258" spans="3:12" ht="17" thickBot="1" x14ac:dyDescent="0.25">
      <c r="C2258" s="605"/>
      <c r="D2258" s="612" t="s">
        <v>84</v>
      </c>
      <c r="E2258" s="613"/>
      <c r="F2258" s="614">
        <f>(F2254+F2257)-F2256-F2255</f>
        <v>76</v>
      </c>
      <c r="G2258" s="615">
        <f>(G2254+G2257)-G2256-G2255</f>
        <v>47</v>
      </c>
      <c r="H2258" s="616">
        <f>(H2254+H2257)-H2256</f>
        <v>21</v>
      </c>
      <c r="I2258" s="615">
        <f>(I2254+I2257)-I2256-I2255</f>
        <v>55</v>
      </c>
      <c r="J2258" s="622">
        <f>(J2254+J2257)-J2256-J2255</f>
        <v>95</v>
      </c>
      <c r="K2258" s="617">
        <f>(K2254+K2257)-K2256-K2255</f>
        <v>294</v>
      </c>
    </row>
    <row r="2259" spans="3:12" ht="16" x14ac:dyDescent="0.2">
      <c r="C2259" s="683"/>
      <c r="D2259" s="608"/>
      <c r="E2259" s="609"/>
      <c r="F2259" s="610"/>
      <c r="G2259" s="595"/>
      <c r="H2259" s="611"/>
      <c r="I2259" s="595"/>
      <c r="J2259" s="595"/>
      <c r="K2259" s="595"/>
    </row>
    <row r="2260" spans="3:12" ht="16" thickBot="1" x14ac:dyDescent="0.25">
      <c r="C2260" s="606" t="s">
        <v>388</v>
      </c>
      <c r="D2260" s="607" t="s">
        <v>103</v>
      </c>
      <c r="E2260" s="603" t="s">
        <v>84</v>
      </c>
      <c r="F2260" s="602" t="s">
        <v>78</v>
      </c>
      <c r="G2260" s="602" t="s">
        <v>79</v>
      </c>
      <c r="H2260" s="602" t="s">
        <v>81</v>
      </c>
      <c r="I2260" s="601" t="s">
        <v>316</v>
      </c>
      <c r="J2260" s="601" t="s">
        <v>85</v>
      </c>
      <c r="K2260" s="601" t="s">
        <v>84</v>
      </c>
      <c r="L2260" s="174" t="s">
        <v>389</v>
      </c>
    </row>
    <row r="2261" spans="3:12" x14ac:dyDescent="0.2">
      <c r="C2261" s="589" t="s">
        <v>627</v>
      </c>
      <c r="D2261" s="604" t="s">
        <v>105</v>
      </c>
      <c r="E2261" s="591">
        <f>(F2261+G2261+H2261+I2261+J2261)*100+(0*230)</f>
        <v>6900</v>
      </c>
      <c r="F2261" s="3">
        <v>16</v>
      </c>
      <c r="G2261" s="3">
        <v>8</v>
      </c>
      <c r="H2261" s="3">
        <v>3</v>
      </c>
      <c r="I2261" s="3">
        <v>12</v>
      </c>
      <c r="J2261" s="3">
        <v>30</v>
      </c>
      <c r="K2261" s="628">
        <f t="shared" ref="K2261:K2283" si="104">SUM(F2261:J2261)</f>
        <v>69</v>
      </c>
      <c r="L2261" s="630">
        <f>K2261/4</f>
        <v>17.25</v>
      </c>
    </row>
    <row r="2262" spans="3:12" x14ac:dyDescent="0.2">
      <c r="C2262" s="589" t="s">
        <v>812</v>
      </c>
      <c r="D2262" s="590" t="s">
        <v>390</v>
      </c>
      <c r="E2262" s="591">
        <f>(F2262+G2262+H2262+I2262+J2262)*120</f>
        <v>1200</v>
      </c>
      <c r="F2262" s="3">
        <v>2</v>
      </c>
      <c r="G2262" s="3">
        <v>2</v>
      </c>
      <c r="H2262" s="3">
        <v>2</v>
      </c>
      <c r="I2262" s="3">
        <v>2</v>
      </c>
      <c r="J2262" s="3">
        <v>2</v>
      </c>
      <c r="K2262" s="628">
        <f t="shared" si="104"/>
        <v>10</v>
      </c>
      <c r="L2262" s="630">
        <f t="shared" ref="L2262:L2283" si="105">K2262/4</f>
        <v>2.5</v>
      </c>
    </row>
    <row r="2263" spans="3:12" x14ac:dyDescent="0.2">
      <c r="C2263" s="589"/>
      <c r="D2263" s="590" t="s">
        <v>391</v>
      </c>
      <c r="E2263" s="591">
        <f>(F2263+G2263+H2263+I2263+J2263)*120</f>
        <v>0</v>
      </c>
      <c r="F2263" s="3"/>
      <c r="G2263" s="3"/>
      <c r="H2263" s="3"/>
      <c r="I2263" s="3"/>
      <c r="J2263" s="3"/>
      <c r="K2263" s="628">
        <f t="shared" si="104"/>
        <v>0</v>
      </c>
      <c r="L2263" s="630">
        <f t="shared" si="105"/>
        <v>0</v>
      </c>
    </row>
    <row r="2264" spans="3:12" x14ac:dyDescent="0.2">
      <c r="C2264" s="589" t="s">
        <v>427</v>
      </c>
      <c r="D2264" s="590" t="s">
        <v>392</v>
      </c>
      <c r="E2264" s="591">
        <f>(F2264+G2264+H2264+I2264+J2264)*120</f>
        <v>2400</v>
      </c>
      <c r="F2264" s="3">
        <v>6</v>
      </c>
      <c r="G2264" s="3">
        <v>2</v>
      </c>
      <c r="H2264" s="3">
        <v>6</v>
      </c>
      <c r="I2264" s="3"/>
      <c r="J2264" s="3">
        <v>6</v>
      </c>
      <c r="K2264" s="628">
        <f t="shared" si="104"/>
        <v>20</v>
      </c>
      <c r="L2264" s="630">
        <f t="shared" si="105"/>
        <v>5</v>
      </c>
    </row>
    <row r="2265" spans="3:12" x14ac:dyDescent="0.2">
      <c r="C2265" s="589"/>
      <c r="D2265" s="590" t="s">
        <v>425</v>
      </c>
      <c r="E2265" s="591">
        <f>(F2265+G2265+H2265+I2265+J2265)*120</f>
        <v>0</v>
      </c>
      <c r="F2265" s="3"/>
      <c r="G2265" s="3"/>
      <c r="H2265" s="3"/>
      <c r="I2265" s="3"/>
      <c r="J2265" s="3"/>
      <c r="K2265" s="628">
        <f t="shared" si="104"/>
        <v>0</v>
      </c>
      <c r="L2265" s="630">
        <f t="shared" si="105"/>
        <v>0</v>
      </c>
    </row>
    <row r="2266" spans="3:12" x14ac:dyDescent="0.2">
      <c r="C2266" s="589"/>
      <c r="D2266" s="590"/>
      <c r="E2266" s="591"/>
      <c r="F2266" s="3"/>
      <c r="G2266" s="3"/>
      <c r="H2266" s="3"/>
      <c r="I2266" s="3"/>
      <c r="J2266" s="3"/>
      <c r="K2266" s="628">
        <f t="shared" si="104"/>
        <v>0</v>
      </c>
      <c r="L2266" s="630">
        <f t="shared" si="105"/>
        <v>0</v>
      </c>
    </row>
    <row r="2267" spans="3:12" x14ac:dyDescent="0.2">
      <c r="C2267" s="589" t="s">
        <v>815</v>
      </c>
      <c r="D2267" s="590" t="s">
        <v>108</v>
      </c>
      <c r="E2267" s="591">
        <f>(F2267+G2267+H2267+J2267)*112.7+(I2267*119.6)</f>
        <v>5014</v>
      </c>
      <c r="F2267" s="3">
        <v>12</v>
      </c>
      <c r="G2267" s="3">
        <v>6</v>
      </c>
      <c r="H2267" s="3">
        <v>6</v>
      </c>
      <c r="I2267" s="3">
        <v>8</v>
      </c>
      <c r="J2267" s="3">
        <v>12</v>
      </c>
      <c r="K2267" s="628">
        <f t="shared" si="104"/>
        <v>44</v>
      </c>
      <c r="L2267" s="630">
        <f t="shared" si="105"/>
        <v>11</v>
      </c>
    </row>
    <row r="2268" spans="3:12" x14ac:dyDescent="0.2">
      <c r="C2268" s="589" t="s">
        <v>814</v>
      </c>
      <c r="D2268" s="590" t="s">
        <v>393</v>
      </c>
      <c r="E2268" s="591">
        <f>(F2268+G2268+H2268+J2268)*112.7+(I2268*119.6)</f>
        <v>2732.4</v>
      </c>
      <c r="F2268" s="3">
        <v>6</v>
      </c>
      <c r="G2268" s="3">
        <v>4</v>
      </c>
      <c r="H2268" s="3">
        <v>4</v>
      </c>
      <c r="I2268" s="3">
        <v>4</v>
      </c>
      <c r="J2268" s="3">
        <v>6</v>
      </c>
      <c r="K2268" s="628">
        <f t="shared" si="104"/>
        <v>24</v>
      </c>
      <c r="L2268" s="630">
        <f t="shared" si="105"/>
        <v>6</v>
      </c>
    </row>
    <row r="2269" spans="3:12" x14ac:dyDescent="0.2">
      <c r="C2269" s="589" t="s">
        <v>813</v>
      </c>
      <c r="D2269" s="590" t="s">
        <v>216</v>
      </c>
      <c r="E2269" s="591">
        <f>(F2269+G2269+H2269+J2269)*112.7+(I2269*119.6)</f>
        <v>3661.6000000000004</v>
      </c>
      <c r="F2269" s="3">
        <v>8</v>
      </c>
      <c r="G2269" s="3">
        <v>8</v>
      </c>
      <c r="H2269" s="3"/>
      <c r="I2269" s="3">
        <v>8</v>
      </c>
      <c r="J2269" s="3">
        <v>8</v>
      </c>
      <c r="K2269" s="628">
        <f t="shared" si="104"/>
        <v>32</v>
      </c>
      <c r="L2269" s="630">
        <f t="shared" si="105"/>
        <v>8</v>
      </c>
    </row>
    <row r="2270" spans="3:12" x14ac:dyDescent="0.2">
      <c r="C2270" s="589"/>
      <c r="D2270" s="590"/>
      <c r="E2270" s="591"/>
      <c r="F2270" s="3"/>
      <c r="G2270" s="3"/>
      <c r="H2270" s="3"/>
      <c r="I2270" s="3"/>
      <c r="J2270" s="3"/>
      <c r="K2270" s="628">
        <f t="shared" si="104"/>
        <v>0</v>
      </c>
      <c r="L2270" s="630">
        <f t="shared" si="105"/>
        <v>0</v>
      </c>
    </row>
    <row r="2271" spans="3:12" x14ac:dyDescent="0.2">
      <c r="C2271" s="589"/>
      <c r="D2271" s="590" t="s">
        <v>394</v>
      </c>
      <c r="E2271" s="591">
        <f>(F2271+G2271+H2271+I2271+J2271)*120</f>
        <v>0</v>
      </c>
      <c r="F2271" s="3"/>
      <c r="G2271" s="3"/>
      <c r="H2271" s="3"/>
      <c r="I2271" s="3"/>
      <c r="J2271" s="3"/>
      <c r="K2271" s="628">
        <f t="shared" si="104"/>
        <v>0</v>
      </c>
      <c r="L2271" s="630">
        <f t="shared" si="105"/>
        <v>0</v>
      </c>
    </row>
    <row r="2272" spans="3:12" x14ac:dyDescent="0.2">
      <c r="C2272" s="589" t="s">
        <v>816</v>
      </c>
      <c r="D2272" s="590" t="s">
        <v>110</v>
      </c>
      <c r="E2272" s="591">
        <f>(F2272+G2272+H2272+J2272)*112.7+(I2272*119.6)</f>
        <v>9577.2000000000007</v>
      </c>
      <c r="F2272" s="3">
        <v>26</v>
      </c>
      <c r="G2272" s="3">
        <v>16</v>
      </c>
      <c r="H2272" s="3"/>
      <c r="I2272" s="3">
        <v>16</v>
      </c>
      <c r="J2272" s="3">
        <v>26</v>
      </c>
      <c r="K2272" s="628">
        <f t="shared" si="104"/>
        <v>84</v>
      </c>
      <c r="L2272" s="630">
        <f t="shared" si="105"/>
        <v>21</v>
      </c>
    </row>
    <row r="2273" spans="3:12" x14ac:dyDescent="0.2">
      <c r="C2273" s="589"/>
      <c r="D2273" s="590"/>
      <c r="E2273" s="591"/>
      <c r="F2273" s="3"/>
      <c r="G2273" s="3"/>
      <c r="H2273" s="3"/>
      <c r="I2273" s="3"/>
      <c r="J2273" s="3"/>
      <c r="K2273" s="628">
        <f t="shared" si="104"/>
        <v>0</v>
      </c>
      <c r="L2273" s="630">
        <f t="shared" si="105"/>
        <v>0</v>
      </c>
    </row>
    <row r="2274" spans="3:12" x14ac:dyDescent="0.2">
      <c r="C2274" s="589"/>
      <c r="D2274" s="590" t="s">
        <v>381</v>
      </c>
      <c r="E2274" s="591">
        <f>(F2274+G2274+H2274+I2274+J2274)*120+(240*0)+(0*45)</f>
        <v>0</v>
      </c>
      <c r="F2274" s="3"/>
      <c r="G2274" s="3"/>
      <c r="H2274" s="3"/>
      <c r="I2274" s="3"/>
      <c r="J2274" s="3"/>
      <c r="K2274" s="628">
        <f t="shared" si="104"/>
        <v>0</v>
      </c>
      <c r="L2274" s="630">
        <f t="shared" si="105"/>
        <v>0</v>
      </c>
    </row>
    <row r="2275" spans="3:12" x14ac:dyDescent="0.2">
      <c r="C2275" s="589"/>
      <c r="D2275" s="590" t="s">
        <v>276</v>
      </c>
      <c r="E2275" s="591">
        <f>(F2275+G2275+H2275+J2275)*112.7+(I2275*119.6)</f>
        <v>0</v>
      </c>
      <c r="F2275" s="3"/>
      <c r="G2275" s="3"/>
      <c r="H2275" s="3"/>
      <c r="I2275" s="3"/>
      <c r="J2275" s="3"/>
      <c r="K2275" s="628">
        <f t="shared" si="104"/>
        <v>0</v>
      </c>
      <c r="L2275" s="630">
        <f t="shared" si="105"/>
        <v>0</v>
      </c>
    </row>
    <row r="2276" spans="3:12" x14ac:dyDescent="0.2">
      <c r="C2276" s="589"/>
      <c r="D2276" s="590"/>
      <c r="E2276" s="591"/>
      <c r="F2276" s="3"/>
      <c r="G2276" s="3"/>
      <c r="H2276" s="3"/>
      <c r="I2276" s="3"/>
      <c r="J2276" s="3"/>
      <c r="K2276" s="628">
        <f t="shared" si="104"/>
        <v>0</v>
      </c>
      <c r="L2276" s="630">
        <f t="shared" si="105"/>
        <v>0</v>
      </c>
    </row>
    <row r="2277" spans="3:12" x14ac:dyDescent="0.2">
      <c r="C2277" s="589"/>
      <c r="D2277" s="590" t="s">
        <v>75</v>
      </c>
      <c r="E2277" s="591">
        <f>(F2277+G2277+H2277+I2277+J2277)*120</f>
        <v>0</v>
      </c>
      <c r="F2277" s="3"/>
      <c r="G2277" s="3"/>
      <c r="H2277" s="3"/>
      <c r="I2277" s="3"/>
      <c r="J2277" s="3"/>
      <c r="K2277" s="628">
        <f t="shared" si="104"/>
        <v>0</v>
      </c>
      <c r="L2277" s="630">
        <f t="shared" si="105"/>
        <v>0</v>
      </c>
    </row>
    <row r="2278" spans="3:12" x14ac:dyDescent="0.2">
      <c r="C2278" s="589"/>
      <c r="D2278" s="590" t="s">
        <v>278</v>
      </c>
      <c r="E2278" s="591">
        <f>(F2278+G2278+H2278+I2278+J2278)*120</f>
        <v>0</v>
      </c>
      <c r="F2278" s="3"/>
      <c r="G2278" s="3"/>
      <c r="H2278" s="3"/>
      <c r="I2278" s="3"/>
      <c r="J2278" s="3"/>
      <c r="K2278" s="628">
        <f t="shared" si="104"/>
        <v>0</v>
      </c>
      <c r="L2278" s="630">
        <f t="shared" si="105"/>
        <v>0</v>
      </c>
    </row>
    <row r="2279" spans="3:12" x14ac:dyDescent="0.2">
      <c r="C2279" s="589"/>
      <c r="D2279" s="590" t="s">
        <v>270</v>
      </c>
      <c r="E2279" s="591">
        <f>(F2279+G2279+H2279+I2279)*112.7+(J2279*119.6)</f>
        <v>0</v>
      </c>
      <c r="F2279" s="3"/>
      <c r="G2279" s="3"/>
      <c r="H2279" s="3"/>
      <c r="I2279" s="3"/>
      <c r="J2279" s="3"/>
      <c r="K2279" s="628">
        <f t="shared" si="104"/>
        <v>0</v>
      </c>
      <c r="L2279" s="630">
        <f t="shared" si="105"/>
        <v>0</v>
      </c>
    </row>
    <row r="2280" spans="3:12" x14ac:dyDescent="0.2">
      <c r="C2280" s="589"/>
      <c r="D2280" s="590" t="s">
        <v>274</v>
      </c>
      <c r="E2280" s="591">
        <f>(F2280+G2280+H2280+I2280)*112.7+(J2280*119.6)</f>
        <v>0</v>
      </c>
      <c r="F2280" s="3"/>
      <c r="G2280" s="3"/>
      <c r="H2280" s="3"/>
      <c r="I2280" s="3"/>
      <c r="J2280" s="3"/>
      <c r="K2280" s="628">
        <f t="shared" si="104"/>
        <v>0</v>
      </c>
      <c r="L2280" s="630">
        <f t="shared" si="105"/>
        <v>0</v>
      </c>
    </row>
    <row r="2281" spans="3:12" x14ac:dyDescent="0.2">
      <c r="C2281" s="589"/>
      <c r="D2281" s="590" t="s">
        <v>395</v>
      </c>
      <c r="E2281" s="591">
        <f>(F2281+G2281+H2281+I2281)*112.7+(J2281*119.6)</f>
        <v>0</v>
      </c>
      <c r="F2281" s="3"/>
      <c r="G2281" s="3"/>
      <c r="H2281" s="3"/>
      <c r="I2281" s="3"/>
      <c r="J2281" s="3"/>
      <c r="K2281" s="628">
        <f t="shared" si="104"/>
        <v>0</v>
      </c>
      <c r="L2281" s="630">
        <f t="shared" si="105"/>
        <v>0</v>
      </c>
    </row>
    <row r="2282" spans="3:12" x14ac:dyDescent="0.2">
      <c r="C2282" s="683"/>
      <c r="D2282" s="590" t="s">
        <v>112</v>
      </c>
      <c r="E2282" s="591">
        <f>(F2282+G2282+H2282+I2282)*112.7+(J2282*119.6)</f>
        <v>0</v>
      </c>
      <c r="F2282" s="3"/>
      <c r="G2282" s="3"/>
      <c r="H2282" s="3"/>
      <c r="I2282" s="3"/>
      <c r="J2282" s="3"/>
      <c r="K2282" s="628">
        <f t="shared" si="104"/>
        <v>0</v>
      </c>
      <c r="L2282" s="630">
        <f t="shared" si="105"/>
        <v>0</v>
      </c>
    </row>
    <row r="2283" spans="3:12" x14ac:dyDescent="0.2">
      <c r="C2283" s="683"/>
      <c r="D2283" s="590" t="s">
        <v>72</v>
      </c>
      <c r="E2283" s="591">
        <f>(F2283+G2283+H2283+I2283)*112.7+(J2283*119.6)</f>
        <v>0</v>
      </c>
      <c r="F2283" s="3"/>
      <c r="G2283" s="3"/>
      <c r="H2283" s="3"/>
      <c r="I2283" s="3"/>
      <c r="J2283" s="3"/>
      <c r="K2283" s="628">
        <f t="shared" si="104"/>
        <v>0</v>
      </c>
      <c r="L2283" s="630">
        <f t="shared" si="105"/>
        <v>0</v>
      </c>
    </row>
    <row r="2284" spans="3:12" x14ac:dyDescent="0.2">
      <c r="C2284" s="683"/>
      <c r="D2284" s="590" t="s">
        <v>187</v>
      </c>
      <c r="E2284" s="591"/>
      <c r="F2284" s="3"/>
      <c r="G2284" s="3"/>
      <c r="H2284" s="3"/>
      <c r="I2284" s="3"/>
      <c r="J2284" s="3"/>
      <c r="K2284" s="628">
        <f>SUM(F2284:J2284)</f>
        <v>0</v>
      </c>
      <c r="L2284" s="3"/>
    </row>
    <row r="2285" spans="3:12" ht="16" x14ac:dyDescent="0.2">
      <c r="C2285" s="683"/>
      <c r="D2285" s="590" t="s">
        <v>811</v>
      </c>
      <c r="E2285" s="592"/>
      <c r="F2285" s="3"/>
      <c r="G2285" s="3">
        <v>1</v>
      </c>
      <c r="H2285" s="3"/>
      <c r="I2285" s="3"/>
      <c r="J2285" s="3">
        <v>5</v>
      </c>
      <c r="K2285" s="628">
        <f>SUM(F2285:J2285)</f>
        <v>6</v>
      </c>
      <c r="L2285" s="3"/>
    </row>
    <row r="2286" spans="3:12" ht="17" thickBot="1" x14ac:dyDescent="0.25">
      <c r="C2286" s="683"/>
      <c r="D2286" s="590"/>
      <c r="E2286" s="624"/>
      <c r="F2286" s="69"/>
      <c r="G2286" s="69"/>
      <c r="H2286" s="69"/>
      <c r="I2286" s="69"/>
      <c r="J2286" s="69"/>
      <c r="K2286" s="629"/>
      <c r="L2286" s="3"/>
    </row>
    <row r="2287" spans="3:12" ht="16" thickBot="1" x14ac:dyDescent="0.25">
      <c r="C2287" s="596"/>
      <c r="D2287" s="623" t="s">
        <v>19</v>
      </c>
      <c r="E2287" s="625">
        <f>SUM(E2261:E2284)</f>
        <v>31485.200000000001</v>
      </c>
      <c r="F2287" s="614">
        <f>SUM(F2261:F2286)</f>
        <v>76</v>
      </c>
      <c r="G2287" s="614">
        <f>SUM(G2261:G2286)</f>
        <v>47</v>
      </c>
      <c r="H2287" s="614">
        <f>SUM(H2261:H2286)</f>
        <v>21</v>
      </c>
      <c r="I2287" s="614">
        <f>SUM(I2261:I2286)</f>
        <v>50</v>
      </c>
      <c r="J2287" s="614">
        <f>SUM(J2261:J2286)</f>
        <v>95</v>
      </c>
      <c r="K2287" s="626">
        <f>SUM(F2287:J2287)</f>
        <v>289</v>
      </c>
      <c r="L2287" s="631">
        <f>SUM(L2261:L2286)</f>
        <v>70.75</v>
      </c>
    </row>
    <row r="2288" spans="3:12" x14ac:dyDescent="0.2">
      <c r="C2288" s="596"/>
      <c r="D2288" s="593" t="s">
        <v>113</v>
      </c>
      <c r="E2288" s="620"/>
      <c r="F2288" s="610">
        <f>F2258-F2287</f>
        <v>0</v>
      </c>
      <c r="G2288" s="610">
        <f>G2258-G2287</f>
        <v>0</v>
      </c>
      <c r="H2288" s="610">
        <f>H2258-H2287</f>
        <v>0</v>
      </c>
      <c r="I2288" s="610">
        <f>I2258-I2287</f>
        <v>5</v>
      </c>
      <c r="J2288" s="610">
        <f>J2258-J2287</f>
        <v>0</v>
      </c>
      <c r="K2288" s="636">
        <f>SUM(F2288:J2288)</f>
        <v>5</v>
      </c>
      <c r="L2288" s="3"/>
    </row>
    <row r="2289" spans="3:12" x14ac:dyDescent="0.2">
      <c r="C2289" s="683"/>
      <c r="D2289" s="593" t="s">
        <v>436</v>
      </c>
      <c r="E2289" s="594"/>
      <c r="F2289" s="581"/>
      <c r="G2289" s="581"/>
      <c r="H2289" s="581"/>
      <c r="I2289" s="581"/>
      <c r="J2289" s="581"/>
      <c r="K2289" s="637">
        <f>K2287+K2288</f>
        <v>294</v>
      </c>
      <c r="L2289" s="3"/>
    </row>
    <row r="2291" spans="3:12" ht="18" x14ac:dyDescent="0.2">
      <c r="C2291" s="685" t="s">
        <v>412</v>
      </c>
      <c r="D2291" s="582">
        <v>45725</v>
      </c>
      <c r="E2291" s="800"/>
      <c r="F2291" s="685" t="s">
        <v>83</v>
      </c>
      <c r="G2291" s="801" t="s">
        <v>822</v>
      </c>
      <c r="H2291" s="802"/>
      <c r="I2291" s="802"/>
      <c r="J2291" s="802"/>
      <c r="K2291" s="803"/>
    </row>
    <row r="2292" spans="3:12" x14ac:dyDescent="0.2">
      <c r="C2292" s="804"/>
      <c r="D2292" s="805"/>
      <c r="E2292" s="800"/>
      <c r="F2292" s="683" t="s">
        <v>93</v>
      </c>
      <c r="G2292" s="683" t="s">
        <v>93</v>
      </c>
      <c r="H2292" s="683"/>
      <c r="I2292" s="806"/>
      <c r="J2292" s="806"/>
      <c r="K2292" s="806"/>
    </row>
    <row r="2293" spans="3:12" x14ac:dyDescent="0.2">
      <c r="C2293" s="804"/>
      <c r="D2293" s="805"/>
      <c r="E2293" s="800"/>
      <c r="F2293" s="683" t="s">
        <v>94</v>
      </c>
      <c r="G2293" s="683" t="s">
        <v>95</v>
      </c>
      <c r="H2293" s="683" t="s">
        <v>96</v>
      </c>
      <c r="I2293" s="806"/>
      <c r="J2293" s="806"/>
      <c r="K2293" s="806"/>
    </row>
    <row r="2294" spans="3:12" x14ac:dyDescent="0.2">
      <c r="C2294" s="804"/>
      <c r="D2294" s="805"/>
      <c r="E2294" s="800"/>
      <c r="F2294" s="683"/>
      <c r="G2294" s="683"/>
      <c r="H2294" s="683"/>
      <c r="I2294" s="806"/>
      <c r="J2294" s="806"/>
      <c r="K2294" s="806"/>
    </row>
    <row r="2295" spans="3:12" ht="16" x14ac:dyDescent="0.2">
      <c r="C2295" s="683"/>
      <c r="D2295" s="583" t="s">
        <v>97</v>
      </c>
      <c r="E2295" s="584"/>
      <c r="F2295" s="581"/>
      <c r="G2295" s="585"/>
      <c r="H2295" s="585"/>
      <c r="I2295" s="586"/>
      <c r="J2295" s="586"/>
      <c r="K2295" s="586"/>
    </row>
    <row r="2296" spans="3:12" ht="26" x14ac:dyDescent="0.2">
      <c r="C2296" s="804"/>
      <c r="D2296" s="587"/>
      <c r="E2296" s="588"/>
      <c r="F2296" s="585" t="s">
        <v>383</v>
      </c>
      <c r="G2296" s="585" t="s">
        <v>384</v>
      </c>
      <c r="H2296" s="585" t="s">
        <v>385</v>
      </c>
      <c r="I2296" s="585" t="s">
        <v>386</v>
      </c>
      <c r="J2296" s="585" t="s">
        <v>387</v>
      </c>
      <c r="K2296" s="585" t="s">
        <v>84</v>
      </c>
    </row>
    <row r="2297" spans="3:12" x14ac:dyDescent="0.2">
      <c r="C2297" s="804"/>
      <c r="D2297" s="684" t="s">
        <v>167</v>
      </c>
      <c r="E2297" s="588"/>
      <c r="F2297" s="580">
        <v>4</v>
      </c>
      <c r="G2297" s="579">
        <v>2</v>
      </c>
      <c r="H2297" s="580"/>
      <c r="I2297" s="580">
        <v>2</v>
      </c>
      <c r="J2297" s="580">
        <v>4</v>
      </c>
      <c r="K2297" s="580">
        <f>SUM(F2297:J2297)</f>
        <v>12</v>
      </c>
    </row>
    <row r="2298" spans="3:12" x14ac:dyDescent="0.2">
      <c r="C2298" s="804"/>
      <c r="D2298" s="684" t="s">
        <v>207</v>
      </c>
      <c r="E2298" s="588"/>
      <c r="F2298" s="618">
        <v>28</v>
      </c>
      <c r="G2298" s="619">
        <v>14</v>
      </c>
      <c r="H2298" s="618"/>
      <c r="I2298" s="618">
        <v>22</v>
      </c>
      <c r="J2298" s="618">
        <v>36</v>
      </c>
      <c r="K2298" s="618">
        <f>SUM(F2298:J2298)</f>
        <v>100</v>
      </c>
    </row>
    <row r="2299" spans="3:12" x14ac:dyDescent="0.2">
      <c r="C2299" s="683"/>
      <c r="D2299" s="684" t="s">
        <v>100</v>
      </c>
      <c r="E2299" s="588"/>
      <c r="F2299" s="581"/>
      <c r="G2299" s="581"/>
      <c r="H2299" s="581"/>
      <c r="I2299" s="581"/>
      <c r="J2299" s="581"/>
      <c r="K2299" s="581">
        <f>SUM(F2299:J2299)</f>
        <v>0</v>
      </c>
    </row>
    <row r="2300" spans="3:12" x14ac:dyDescent="0.2">
      <c r="C2300" s="683"/>
      <c r="D2300" s="684" t="s">
        <v>101</v>
      </c>
      <c r="E2300" s="588"/>
      <c r="F2300" s="581">
        <v>2</v>
      </c>
      <c r="G2300" s="581"/>
      <c r="H2300" s="581"/>
      <c r="I2300" s="581"/>
      <c r="J2300" s="581">
        <v>1</v>
      </c>
      <c r="K2300" s="581">
        <f>SUM(F2300:J2300)</f>
        <v>3</v>
      </c>
    </row>
    <row r="2301" spans="3:12" ht="16" thickBot="1" x14ac:dyDescent="0.25">
      <c r="C2301" s="683"/>
      <c r="D2301" s="597" t="s">
        <v>102</v>
      </c>
      <c r="E2301" s="598"/>
      <c r="F2301" s="599"/>
      <c r="G2301" s="600"/>
      <c r="H2301" s="600"/>
      <c r="I2301" s="600">
        <v>5</v>
      </c>
      <c r="J2301" s="600"/>
      <c r="K2301" s="600">
        <f>SUM(F2301:J2301)</f>
        <v>5</v>
      </c>
    </row>
    <row r="2302" spans="3:12" ht="17" thickBot="1" x14ac:dyDescent="0.25">
      <c r="C2302" s="605"/>
      <c r="D2302" s="612" t="s">
        <v>84</v>
      </c>
      <c r="E2302" s="613"/>
      <c r="F2302" s="614">
        <f>(F2298+F2301)-F2300-F2299</f>
        <v>26</v>
      </c>
      <c r="G2302" s="615">
        <f>(G2298+G2301)-G2300-G2299</f>
        <v>14</v>
      </c>
      <c r="H2302" s="616">
        <f>(H2298+H2301)-H2300</f>
        <v>0</v>
      </c>
      <c r="I2302" s="615">
        <f>(I2298+I2301)-I2300-I2299</f>
        <v>27</v>
      </c>
      <c r="J2302" s="622">
        <f>(J2298+J2301)-J2300-J2299</f>
        <v>35</v>
      </c>
      <c r="K2302" s="617">
        <f>(K2298+K2301)-K2300-K2299</f>
        <v>102</v>
      </c>
    </row>
    <row r="2303" spans="3:12" ht="16" x14ac:dyDescent="0.2">
      <c r="C2303" s="683"/>
      <c r="D2303" s="608"/>
      <c r="E2303" s="609"/>
      <c r="F2303" s="610"/>
      <c r="G2303" s="595"/>
      <c r="H2303" s="611"/>
      <c r="I2303" s="595"/>
      <c r="J2303" s="595"/>
      <c r="K2303" s="595"/>
    </row>
    <row r="2304" spans="3:12" ht="16" thickBot="1" x14ac:dyDescent="0.25">
      <c r="C2304" s="606" t="s">
        <v>388</v>
      </c>
      <c r="D2304" s="607" t="s">
        <v>103</v>
      </c>
      <c r="E2304" s="603" t="s">
        <v>84</v>
      </c>
      <c r="F2304" s="602" t="s">
        <v>78</v>
      </c>
      <c r="G2304" s="602" t="s">
        <v>79</v>
      </c>
      <c r="H2304" s="602" t="s">
        <v>81</v>
      </c>
      <c r="I2304" s="601" t="s">
        <v>316</v>
      </c>
      <c r="J2304" s="601" t="s">
        <v>85</v>
      </c>
      <c r="K2304" s="601" t="s">
        <v>84</v>
      </c>
      <c r="L2304" s="174" t="s">
        <v>389</v>
      </c>
    </row>
    <row r="2305" spans="3:12" x14ac:dyDescent="0.2">
      <c r="C2305" s="589"/>
      <c r="D2305" s="604" t="s">
        <v>105</v>
      </c>
      <c r="E2305" s="591">
        <f>(F2305+G2305+H2305+I2305+J2305)*100+(0*230)</f>
        <v>0</v>
      </c>
      <c r="F2305" s="3"/>
      <c r="G2305" s="3"/>
      <c r="H2305" s="3"/>
      <c r="I2305" s="3"/>
      <c r="J2305" s="3"/>
      <c r="K2305" s="628">
        <f t="shared" ref="K2305:K2327" si="106">SUM(F2305:J2305)</f>
        <v>0</v>
      </c>
      <c r="L2305" s="630">
        <f>K2305/4</f>
        <v>0</v>
      </c>
    </row>
    <row r="2306" spans="3:12" x14ac:dyDescent="0.2">
      <c r="C2306" s="589"/>
      <c r="D2306" s="590" t="s">
        <v>390</v>
      </c>
      <c r="E2306" s="591">
        <f>(F2306+G2306+H2306+I2306+J2306)*120</f>
        <v>0</v>
      </c>
      <c r="F2306" s="3"/>
      <c r="G2306" s="3"/>
      <c r="H2306" s="3"/>
      <c r="I2306" s="3"/>
      <c r="J2306" s="3"/>
      <c r="K2306" s="628">
        <f t="shared" si="106"/>
        <v>0</v>
      </c>
      <c r="L2306" s="630">
        <f t="shared" ref="L2306:L2327" si="107">K2306/4</f>
        <v>0</v>
      </c>
    </row>
    <row r="2307" spans="3:12" x14ac:dyDescent="0.2">
      <c r="C2307" s="589"/>
      <c r="D2307" s="590" t="s">
        <v>391</v>
      </c>
      <c r="E2307" s="591">
        <f>(F2307+G2307+H2307+I2307+J2307)*120</f>
        <v>0</v>
      </c>
      <c r="F2307" s="3"/>
      <c r="G2307" s="3"/>
      <c r="H2307" s="3"/>
      <c r="I2307" s="3"/>
      <c r="J2307" s="3"/>
      <c r="K2307" s="628">
        <f t="shared" si="106"/>
        <v>0</v>
      </c>
      <c r="L2307" s="630">
        <f t="shared" si="107"/>
        <v>0</v>
      </c>
    </row>
    <row r="2308" spans="3:12" x14ac:dyDescent="0.2">
      <c r="C2308" s="589"/>
      <c r="D2308" s="590" t="s">
        <v>392</v>
      </c>
      <c r="E2308" s="591">
        <f>(F2308+G2308+H2308+I2308+J2308)*120</f>
        <v>0</v>
      </c>
      <c r="F2308" s="3"/>
      <c r="G2308" s="3"/>
      <c r="H2308" s="3"/>
      <c r="I2308" s="3"/>
      <c r="J2308" s="3"/>
      <c r="K2308" s="628">
        <f t="shared" si="106"/>
        <v>0</v>
      </c>
      <c r="L2308" s="630">
        <f t="shared" si="107"/>
        <v>0</v>
      </c>
    </row>
    <row r="2309" spans="3:12" x14ac:dyDescent="0.2">
      <c r="C2309" s="589"/>
      <c r="D2309" s="590" t="s">
        <v>425</v>
      </c>
      <c r="E2309" s="591">
        <f>(F2309+G2309+H2309+I2309+J2309)*120</f>
        <v>0</v>
      </c>
      <c r="F2309" s="3"/>
      <c r="G2309" s="3"/>
      <c r="H2309" s="3"/>
      <c r="I2309" s="3"/>
      <c r="J2309" s="3"/>
      <c r="K2309" s="628">
        <f t="shared" si="106"/>
        <v>0</v>
      </c>
      <c r="L2309" s="630">
        <f t="shared" si="107"/>
        <v>0</v>
      </c>
    </row>
    <row r="2310" spans="3:12" x14ac:dyDescent="0.2">
      <c r="C2310" s="589"/>
      <c r="D2310" s="590"/>
      <c r="E2310" s="591"/>
      <c r="F2310" s="3"/>
      <c r="G2310" s="3"/>
      <c r="H2310" s="3"/>
      <c r="I2310" s="3"/>
      <c r="J2310" s="3"/>
      <c r="K2310" s="628">
        <f t="shared" si="106"/>
        <v>0</v>
      </c>
      <c r="L2310" s="630">
        <f t="shared" si="107"/>
        <v>0</v>
      </c>
    </row>
    <row r="2311" spans="3:12" x14ac:dyDescent="0.2">
      <c r="C2311" s="589"/>
      <c r="D2311" s="590" t="s">
        <v>108</v>
      </c>
      <c r="E2311" s="591">
        <f>(F2311+G2311+H2311+J2311)*112.7+(I2311*119.6)</f>
        <v>0</v>
      </c>
      <c r="F2311" s="3"/>
      <c r="G2311" s="3"/>
      <c r="H2311" s="3"/>
      <c r="I2311" s="3"/>
      <c r="J2311" s="3"/>
      <c r="K2311" s="628">
        <f t="shared" si="106"/>
        <v>0</v>
      </c>
      <c r="L2311" s="630">
        <f t="shared" si="107"/>
        <v>0</v>
      </c>
    </row>
    <row r="2312" spans="3:12" x14ac:dyDescent="0.2">
      <c r="C2312" s="589"/>
      <c r="D2312" s="590" t="s">
        <v>393</v>
      </c>
      <c r="E2312" s="591">
        <f>(F2312+G2312+H2312+J2312)*112.7+(I2312*119.6)</f>
        <v>0</v>
      </c>
      <c r="F2312" s="3"/>
      <c r="G2312" s="3"/>
      <c r="H2312" s="3"/>
      <c r="I2312" s="3"/>
      <c r="J2312" s="3"/>
      <c r="K2312" s="628">
        <f t="shared" si="106"/>
        <v>0</v>
      </c>
      <c r="L2312" s="630">
        <f t="shared" si="107"/>
        <v>0</v>
      </c>
    </row>
    <row r="2313" spans="3:12" x14ac:dyDescent="0.2">
      <c r="C2313" s="589"/>
      <c r="D2313" s="590" t="s">
        <v>216</v>
      </c>
      <c r="E2313" s="591">
        <f>(F2313+G2313+H2313+J2313)*112.7+(I2313*119.6)</f>
        <v>0</v>
      </c>
      <c r="F2313" s="3"/>
      <c r="G2313" s="3"/>
      <c r="H2313" s="3"/>
      <c r="I2313" s="3"/>
      <c r="J2313" s="3"/>
      <c r="K2313" s="628">
        <f t="shared" si="106"/>
        <v>0</v>
      </c>
      <c r="L2313" s="630">
        <f t="shared" si="107"/>
        <v>0</v>
      </c>
    </row>
    <row r="2314" spans="3:12" x14ac:dyDescent="0.2">
      <c r="C2314" s="589"/>
      <c r="D2314" s="590"/>
      <c r="E2314" s="591"/>
      <c r="F2314" s="3"/>
      <c r="G2314" s="3"/>
      <c r="H2314" s="3"/>
      <c r="I2314" s="3"/>
      <c r="J2314" s="3"/>
      <c r="K2314" s="628">
        <f t="shared" si="106"/>
        <v>0</v>
      </c>
      <c r="L2314" s="630">
        <f t="shared" si="107"/>
        <v>0</v>
      </c>
    </row>
    <row r="2315" spans="3:12" x14ac:dyDescent="0.2">
      <c r="C2315" s="589"/>
      <c r="D2315" s="590" t="s">
        <v>394</v>
      </c>
      <c r="E2315" s="591">
        <f>(F2315+G2315+H2315+I2315+J2315)*120</f>
        <v>0</v>
      </c>
      <c r="F2315" s="3"/>
      <c r="G2315" s="3"/>
      <c r="H2315" s="3"/>
      <c r="I2315" s="3"/>
      <c r="J2315" s="3"/>
      <c r="K2315" s="628">
        <f t="shared" si="106"/>
        <v>0</v>
      </c>
      <c r="L2315" s="630">
        <f t="shared" si="107"/>
        <v>0</v>
      </c>
    </row>
    <row r="2316" spans="3:12" x14ac:dyDescent="0.2">
      <c r="C2316" s="589"/>
      <c r="D2316" s="590" t="s">
        <v>110</v>
      </c>
      <c r="E2316" s="591">
        <f>(F2316+G2316+H2316+J2316)*112.7+(I2316*119.6)</f>
        <v>8197.2000000000007</v>
      </c>
      <c r="F2316" s="3">
        <v>24</v>
      </c>
      <c r="G2316" s="3">
        <v>12</v>
      </c>
      <c r="H2316" s="3"/>
      <c r="I2316" s="3">
        <v>12</v>
      </c>
      <c r="J2316" s="3">
        <v>24</v>
      </c>
      <c r="K2316" s="628">
        <f t="shared" si="106"/>
        <v>72</v>
      </c>
      <c r="L2316" s="630">
        <f t="shared" si="107"/>
        <v>18</v>
      </c>
    </row>
    <row r="2317" spans="3:12" x14ac:dyDescent="0.2">
      <c r="C2317" s="589"/>
      <c r="D2317" s="590"/>
      <c r="E2317" s="591"/>
      <c r="F2317" s="3"/>
      <c r="G2317" s="3"/>
      <c r="H2317" s="3"/>
      <c r="I2317" s="3"/>
      <c r="J2317" s="3"/>
      <c r="K2317" s="628">
        <f t="shared" si="106"/>
        <v>0</v>
      </c>
      <c r="L2317" s="630">
        <f t="shared" si="107"/>
        <v>0</v>
      </c>
    </row>
    <row r="2318" spans="3:12" x14ac:dyDescent="0.2">
      <c r="C2318" s="589"/>
      <c r="D2318" s="590" t="s">
        <v>381</v>
      </c>
      <c r="E2318" s="591">
        <f>(F2318+G2318+H2318+I2318+J2318)*120+(240*0)+(0*45)</f>
        <v>0</v>
      </c>
      <c r="F2318" s="3"/>
      <c r="G2318" s="3"/>
      <c r="H2318" s="3"/>
      <c r="I2318" s="3"/>
      <c r="J2318" s="3"/>
      <c r="K2318" s="628">
        <f t="shared" si="106"/>
        <v>0</v>
      </c>
      <c r="L2318" s="630">
        <f t="shared" si="107"/>
        <v>0</v>
      </c>
    </row>
    <row r="2319" spans="3:12" x14ac:dyDescent="0.2">
      <c r="C2319" s="589"/>
      <c r="D2319" s="590" t="s">
        <v>276</v>
      </c>
      <c r="E2319" s="591">
        <f>(F2319+G2319+H2319+J2319)*112.7+(I2319*119.6)</f>
        <v>0</v>
      </c>
      <c r="F2319" s="3"/>
      <c r="G2319" s="3"/>
      <c r="H2319" s="3"/>
      <c r="I2319" s="3"/>
      <c r="J2319" s="3"/>
      <c r="K2319" s="628">
        <f t="shared" si="106"/>
        <v>0</v>
      </c>
      <c r="L2319" s="630">
        <f t="shared" si="107"/>
        <v>0</v>
      </c>
    </row>
    <row r="2320" spans="3:12" x14ac:dyDescent="0.2">
      <c r="C2320" s="589"/>
      <c r="D2320" s="590"/>
      <c r="E2320" s="591"/>
      <c r="F2320" s="3"/>
      <c r="G2320" s="3"/>
      <c r="H2320" s="3"/>
      <c r="I2320" s="3"/>
      <c r="J2320" s="3"/>
      <c r="K2320" s="628">
        <f t="shared" si="106"/>
        <v>0</v>
      </c>
      <c r="L2320" s="630">
        <f t="shared" si="107"/>
        <v>0</v>
      </c>
    </row>
    <row r="2321" spans="3:12" x14ac:dyDescent="0.2">
      <c r="C2321" s="589"/>
      <c r="D2321" s="590" t="s">
        <v>75</v>
      </c>
      <c r="E2321" s="591">
        <f>(F2321+G2321+H2321+I2321+J2321)*120</f>
        <v>0</v>
      </c>
      <c r="F2321" s="3"/>
      <c r="G2321" s="3"/>
      <c r="H2321" s="3"/>
      <c r="I2321" s="3"/>
      <c r="J2321" s="3"/>
      <c r="K2321" s="628">
        <f t="shared" si="106"/>
        <v>0</v>
      </c>
      <c r="L2321" s="630">
        <f t="shared" si="107"/>
        <v>0</v>
      </c>
    </row>
    <row r="2322" spans="3:12" x14ac:dyDescent="0.2">
      <c r="C2322" s="589"/>
      <c r="D2322" s="590" t="s">
        <v>278</v>
      </c>
      <c r="E2322" s="591">
        <f>(F2322+G2322+H2322+I2322+J2322)*120</f>
        <v>0</v>
      </c>
      <c r="F2322" s="3"/>
      <c r="G2322" s="3"/>
      <c r="H2322" s="3"/>
      <c r="I2322" s="3"/>
      <c r="J2322" s="3"/>
      <c r="K2322" s="628">
        <f t="shared" si="106"/>
        <v>0</v>
      </c>
      <c r="L2322" s="630">
        <f t="shared" si="107"/>
        <v>0</v>
      </c>
    </row>
    <row r="2323" spans="3:12" x14ac:dyDescent="0.2">
      <c r="C2323" s="589"/>
      <c r="D2323" s="590" t="s">
        <v>270</v>
      </c>
      <c r="E2323" s="591">
        <f>(F2323+G2323+H2323+I2323)*112.7+(J2323*119.6)</f>
        <v>0</v>
      </c>
      <c r="F2323" s="3"/>
      <c r="G2323" s="3"/>
      <c r="H2323" s="3"/>
      <c r="I2323" s="3"/>
      <c r="J2323" s="3"/>
      <c r="K2323" s="628">
        <f t="shared" si="106"/>
        <v>0</v>
      </c>
      <c r="L2323" s="630">
        <f t="shared" si="107"/>
        <v>0</v>
      </c>
    </row>
    <row r="2324" spans="3:12" x14ac:dyDescent="0.2">
      <c r="C2324" s="589"/>
      <c r="D2324" s="590" t="s">
        <v>274</v>
      </c>
      <c r="E2324" s="591">
        <f>(F2324+G2324+H2324+I2324)*112.7+(J2324*119.6)</f>
        <v>0</v>
      </c>
      <c r="F2324" s="3"/>
      <c r="G2324" s="3"/>
      <c r="H2324" s="3"/>
      <c r="I2324" s="3"/>
      <c r="J2324" s="3"/>
      <c r="K2324" s="628">
        <f t="shared" si="106"/>
        <v>0</v>
      </c>
      <c r="L2324" s="630">
        <f t="shared" si="107"/>
        <v>0</v>
      </c>
    </row>
    <row r="2325" spans="3:12" x14ac:dyDescent="0.2">
      <c r="C2325" s="589"/>
      <c r="D2325" s="590" t="s">
        <v>395</v>
      </c>
      <c r="E2325" s="591">
        <f>(F2325+G2325+H2325+I2325)*112.7+(J2325*119.6)</f>
        <v>0</v>
      </c>
      <c r="F2325" s="3"/>
      <c r="G2325" s="3"/>
      <c r="H2325" s="3"/>
      <c r="I2325" s="3"/>
      <c r="J2325" s="3"/>
      <c r="K2325" s="628">
        <f t="shared" si="106"/>
        <v>0</v>
      </c>
      <c r="L2325" s="630">
        <f t="shared" si="107"/>
        <v>0</v>
      </c>
    </row>
    <row r="2326" spans="3:12" x14ac:dyDescent="0.2">
      <c r="C2326" s="683"/>
      <c r="D2326" s="590" t="s">
        <v>112</v>
      </c>
      <c r="E2326" s="591">
        <f>(F2326+G2326+H2326+I2326)*112.7+(J2326*119.6)</f>
        <v>0</v>
      </c>
      <c r="F2326" s="3"/>
      <c r="G2326" s="3"/>
      <c r="H2326" s="3"/>
      <c r="I2326" s="3"/>
      <c r="J2326" s="3"/>
      <c r="K2326" s="628">
        <f t="shared" si="106"/>
        <v>0</v>
      </c>
      <c r="L2326" s="630">
        <f t="shared" si="107"/>
        <v>0</v>
      </c>
    </row>
    <row r="2327" spans="3:12" x14ac:dyDescent="0.2">
      <c r="C2327" s="683"/>
      <c r="D2327" s="590" t="s">
        <v>72</v>
      </c>
      <c r="E2327" s="591">
        <f>(F2327+G2327+H2327+I2327)*112.7+(J2327*119.6)</f>
        <v>0</v>
      </c>
      <c r="F2327" s="3"/>
      <c r="G2327" s="3"/>
      <c r="H2327" s="3"/>
      <c r="I2327" s="3"/>
      <c r="J2327" s="3"/>
      <c r="K2327" s="628">
        <f t="shared" si="106"/>
        <v>0</v>
      </c>
      <c r="L2327" s="630">
        <f t="shared" si="107"/>
        <v>0</v>
      </c>
    </row>
    <row r="2328" spans="3:12" x14ac:dyDescent="0.2">
      <c r="C2328" s="683"/>
      <c r="D2328" s="590" t="s">
        <v>187</v>
      </c>
      <c r="E2328" s="591"/>
      <c r="F2328" s="3"/>
      <c r="G2328" s="3"/>
      <c r="H2328" s="3"/>
      <c r="I2328" s="3"/>
      <c r="J2328" s="3"/>
      <c r="K2328" s="628">
        <f>SUM(F2328:J2328)</f>
        <v>0</v>
      </c>
      <c r="L2328" s="3"/>
    </row>
    <row r="2329" spans="3:12" ht="16" x14ac:dyDescent="0.2">
      <c r="C2329" s="683"/>
      <c r="D2329" s="590" t="s">
        <v>811</v>
      </c>
      <c r="E2329" s="592"/>
      <c r="F2329" s="3"/>
      <c r="G2329" s="3"/>
      <c r="H2329" s="3"/>
      <c r="I2329" s="3"/>
      <c r="J2329" s="3"/>
      <c r="K2329" s="628">
        <f>SUM(F2329:J2329)</f>
        <v>0</v>
      </c>
      <c r="L2329" s="3"/>
    </row>
    <row r="2330" spans="3:12" ht="17" thickBot="1" x14ac:dyDescent="0.25">
      <c r="C2330" s="683"/>
      <c r="D2330" s="590"/>
      <c r="E2330" s="624"/>
      <c r="F2330" s="69"/>
      <c r="G2330" s="69"/>
      <c r="H2330" s="69"/>
      <c r="I2330" s="69"/>
      <c r="J2330" s="69"/>
      <c r="K2330" s="629"/>
      <c r="L2330" s="3"/>
    </row>
    <row r="2331" spans="3:12" ht="16" thickBot="1" x14ac:dyDescent="0.25">
      <c r="C2331" s="596"/>
      <c r="D2331" s="623" t="s">
        <v>19</v>
      </c>
      <c r="E2331" s="625">
        <f>SUM(E2305:E2328)</f>
        <v>8197.2000000000007</v>
      </c>
      <c r="F2331" s="614">
        <f>SUM(F2305:F2330)</f>
        <v>24</v>
      </c>
      <c r="G2331" s="614">
        <f>SUM(G2305:G2330)</f>
        <v>12</v>
      </c>
      <c r="H2331" s="614">
        <f>SUM(H2305:H2330)</f>
        <v>0</v>
      </c>
      <c r="I2331" s="614">
        <f>SUM(I2305:I2330)</f>
        <v>12</v>
      </c>
      <c r="J2331" s="614">
        <f>SUM(J2305:J2330)</f>
        <v>24</v>
      </c>
      <c r="K2331" s="626">
        <f>SUM(F2331:J2331)</f>
        <v>72</v>
      </c>
      <c r="L2331" s="631">
        <f>SUM(L2305:L2330)</f>
        <v>18</v>
      </c>
    </row>
    <row r="2332" spans="3:12" x14ac:dyDescent="0.2">
      <c r="C2332" s="596"/>
      <c r="D2332" s="593" t="s">
        <v>113</v>
      </c>
      <c r="E2332" s="620"/>
      <c r="F2332" s="610">
        <f>F2302-F2331</f>
        <v>2</v>
      </c>
      <c r="G2332" s="610">
        <f>G2302-G2331</f>
        <v>2</v>
      </c>
      <c r="H2332" s="610">
        <f>H2302-H2331</f>
        <v>0</v>
      </c>
      <c r="I2332" s="610">
        <f>I2302-I2331</f>
        <v>15</v>
      </c>
      <c r="J2332" s="610">
        <f>J2302-J2331</f>
        <v>11</v>
      </c>
      <c r="K2332" s="636">
        <f>SUM(F2332:J2332)</f>
        <v>30</v>
      </c>
      <c r="L2332" s="3"/>
    </row>
    <row r="2333" spans="3:12" x14ac:dyDescent="0.2">
      <c r="C2333" s="683"/>
      <c r="D2333" s="593" t="s">
        <v>436</v>
      </c>
      <c r="E2333" s="594"/>
      <c r="F2333" s="581"/>
      <c r="G2333" s="581"/>
      <c r="H2333" s="581"/>
      <c r="I2333" s="581"/>
      <c r="J2333" s="581"/>
      <c r="K2333" s="637">
        <f>K2331+K2332</f>
        <v>102</v>
      </c>
      <c r="L2333" s="3"/>
    </row>
    <row r="2335" spans="3:12" ht="18" x14ac:dyDescent="0.2">
      <c r="C2335" s="685" t="s">
        <v>412</v>
      </c>
      <c r="D2335" s="582">
        <v>45726</v>
      </c>
      <c r="E2335" s="800"/>
      <c r="F2335" s="685" t="s">
        <v>83</v>
      </c>
      <c r="G2335" s="801" t="s">
        <v>823</v>
      </c>
      <c r="H2335" s="802"/>
      <c r="I2335" s="802"/>
      <c r="J2335" s="802"/>
      <c r="K2335" s="803"/>
    </row>
    <row r="2336" spans="3:12" x14ac:dyDescent="0.2">
      <c r="C2336" s="804"/>
      <c r="D2336" s="805"/>
      <c r="E2336" s="800"/>
      <c r="F2336" s="683" t="s">
        <v>93</v>
      </c>
      <c r="G2336" s="683" t="s">
        <v>93</v>
      </c>
      <c r="H2336" s="683"/>
      <c r="I2336" s="806"/>
      <c r="J2336" s="806"/>
      <c r="K2336" s="806"/>
    </row>
    <row r="2337" spans="3:12" x14ac:dyDescent="0.2">
      <c r="C2337" s="804"/>
      <c r="D2337" s="805"/>
      <c r="E2337" s="800"/>
      <c r="F2337" s="683" t="s">
        <v>94</v>
      </c>
      <c r="G2337" s="683" t="s">
        <v>95</v>
      </c>
      <c r="H2337" s="683" t="s">
        <v>96</v>
      </c>
      <c r="I2337" s="806"/>
      <c r="J2337" s="806"/>
      <c r="K2337" s="806"/>
    </row>
    <row r="2338" spans="3:12" x14ac:dyDescent="0.2">
      <c r="C2338" s="804"/>
      <c r="D2338" s="805"/>
      <c r="E2338" s="800"/>
      <c r="F2338" s="683"/>
      <c r="G2338" s="683"/>
      <c r="H2338" s="683"/>
      <c r="I2338" s="806"/>
      <c r="J2338" s="806"/>
      <c r="K2338" s="806"/>
    </row>
    <row r="2339" spans="3:12" ht="16" x14ac:dyDescent="0.2">
      <c r="C2339" s="683"/>
      <c r="D2339" s="583" t="s">
        <v>97</v>
      </c>
      <c r="E2339" s="584"/>
      <c r="F2339" s="581"/>
      <c r="G2339" s="585"/>
      <c r="H2339" s="585"/>
      <c r="I2339" s="586"/>
      <c r="J2339" s="586"/>
      <c r="K2339" s="586"/>
    </row>
    <row r="2340" spans="3:12" ht="26" x14ac:dyDescent="0.2">
      <c r="C2340" s="804"/>
      <c r="D2340" s="587"/>
      <c r="E2340" s="588"/>
      <c r="F2340" s="585" t="s">
        <v>383</v>
      </c>
      <c r="G2340" s="585" t="s">
        <v>384</v>
      </c>
      <c r="H2340" s="585" t="s">
        <v>385</v>
      </c>
      <c r="I2340" s="585" t="s">
        <v>386</v>
      </c>
      <c r="J2340" s="585" t="s">
        <v>387</v>
      </c>
      <c r="K2340" s="585" t="s">
        <v>84</v>
      </c>
    </row>
    <row r="2341" spans="3:12" x14ac:dyDescent="0.2">
      <c r="C2341" s="804"/>
      <c r="D2341" s="684" t="s">
        <v>167</v>
      </c>
      <c r="E2341" s="588"/>
      <c r="F2341" s="580">
        <v>14</v>
      </c>
      <c r="G2341" s="579">
        <v>9</v>
      </c>
      <c r="H2341" s="580">
        <v>4</v>
      </c>
      <c r="I2341" s="580">
        <v>5</v>
      </c>
      <c r="J2341" s="580">
        <v>10</v>
      </c>
      <c r="K2341" s="580">
        <f>SUM(F2341:J2341)</f>
        <v>42</v>
      </c>
    </row>
    <row r="2342" spans="3:12" x14ac:dyDescent="0.2">
      <c r="C2342" s="804"/>
      <c r="D2342" s="684" t="s">
        <v>207</v>
      </c>
      <c r="E2342" s="588"/>
      <c r="F2342" s="618">
        <v>98</v>
      </c>
      <c r="G2342" s="619">
        <v>63</v>
      </c>
      <c r="H2342" s="618">
        <v>28</v>
      </c>
      <c r="I2342" s="618">
        <v>55</v>
      </c>
      <c r="J2342" s="618">
        <v>87</v>
      </c>
      <c r="K2342" s="618">
        <f>SUM(F2342:J2342)</f>
        <v>331</v>
      </c>
    </row>
    <row r="2343" spans="3:12" x14ac:dyDescent="0.2">
      <c r="C2343" s="683"/>
      <c r="D2343" s="684" t="s">
        <v>100</v>
      </c>
      <c r="E2343" s="588"/>
      <c r="F2343" s="581"/>
      <c r="G2343" s="581"/>
      <c r="H2343" s="581"/>
      <c r="I2343" s="581">
        <v>1</v>
      </c>
      <c r="J2343" s="581"/>
      <c r="K2343" s="581">
        <f>SUM(F2343:J2343)</f>
        <v>1</v>
      </c>
    </row>
    <row r="2344" spans="3:12" x14ac:dyDescent="0.2">
      <c r="C2344" s="683"/>
      <c r="D2344" s="684" t="s">
        <v>101</v>
      </c>
      <c r="E2344" s="588"/>
      <c r="F2344" s="581">
        <v>1</v>
      </c>
      <c r="G2344" s="581"/>
      <c r="H2344" s="581"/>
      <c r="I2344" s="581"/>
      <c r="J2344" s="581">
        <v>1</v>
      </c>
      <c r="K2344" s="581">
        <f>SUM(F2344:J2344)</f>
        <v>2</v>
      </c>
    </row>
    <row r="2345" spans="3:12" ht="16" thickBot="1" x14ac:dyDescent="0.25">
      <c r="C2345" s="683"/>
      <c r="D2345" s="597" t="s">
        <v>102</v>
      </c>
      <c r="E2345" s="598"/>
      <c r="F2345" s="599">
        <v>2</v>
      </c>
      <c r="G2345" s="600">
        <v>3</v>
      </c>
      <c r="H2345" s="600">
        <v>1</v>
      </c>
      <c r="I2345" s="600">
        <v>15</v>
      </c>
      <c r="J2345" s="600">
        <v>11</v>
      </c>
      <c r="K2345" s="600">
        <f>SUM(F2345:J2345)</f>
        <v>32</v>
      </c>
    </row>
    <row r="2346" spans="3:12" ht="17" thickBot="1" x14ac:dyDescent="0.25">
      <c r="C2346" s="605"/>
      <c r="D2346" s="612" t="s">
        <v>84</v>
      </c>
      <c r="E2346" s="613"/>
      <c r="F2346" s="614">
        <f>(F2342+F2345)-F2344-F2343</f>
        <v>99</v>
      </c>
      <c r="G2346" s="615">
        <f>(G2342+G2345)-G2344-G2343</f>
        <v>66</v>
      </c>
      <c r="H2346" s="616">
        <f>(H2342+H2345)-H2344</f>
        <v>29</v>
      </c>
      <c r="I2346" s="615">
        <f>(I2342+I2345)-I2344-I2343</f>
        <v>69</v>
      </c>
      <c r="J2346" s="622">
        <f>(J2342+J2345)-J2344-J2343</f>
        <v>97</v>
      </c>
      <c r="K2346" s="617">
        <f>(K2342+K2345)-K2344-K2343</f>
        <v>360</v>
      </c>
    </row>
    <row r="2347" spans="3:12" ht="16" x14ac:dyDescent="0.2">
      <c r="C2347" s="683"/>
      <c r="D2347" s="608"/>
      <c r="E2347" s="609"/>
      <c r="F2347" s="610"/>
      <c r="G2347" s="595"/>
      <c r="H2347" s="611"/>
      <c r="I2347" s="595"/>
      <c r="J2347" s="595"/>
      <c r="K2347" s="595"/>
    </row>
    <row r="2348" spans="3:12" ht="16" thickBot="1" x14ac:dyDescent="0.25">
      <c r="C2348" s="606" t="s">
        <v>388</v>
      </c>
      <c r="D2348" s="607" t="s">
        <v>103</v>
      </c>
      <c r="E2348" s="603" t="s">
        <v>84</v>
      </c>
      <c r="F2348" s="602" t="s">
        <v>78</v>
      </c>
      <c r="G2348" s="602" t="s">
        <v>79</v>
      </c>
      <c r="H2348" s="602" t="s">
        <v>81</v>
      </c>
      <c r="I2348" s="601" t="s">
        <v>316</v>
      </c>
      <c r="J2348" s="601" t="s">
        <v>85</v>
      </c>
      <c r="K2348" s="601" t="s">
        <v>84</v>
      </c>
      <c r="L2348" s="174" t="s">
        <v>389</v>
      </c>
    </row>
    <row r="2349" spans="3:12" x14ac:dyDescent="0.2">
      <c r="C2349" s="589" t="s">
        <v>641</v>
      </c>
      <c r="D2349" s="604" t="s">
        <v>105</v>
      </c>
      <c r="E2349" s="591">
        <f>(F2349+G2349+H2349+I2349+J2349)*100+(0*230)</f>
        <v>8100</v>
      </c>
      <c r="F2349" s="3">
        <v>24</v>
      </c>
      <c r="G2349" s="3">
        <v>16</v>
      </c>
      <c r="H2349" s="3">
        <v>5</v>
      </c>
      <c r="I2349" s="3">
        <v>12</v>
      </c>
      <c r="J2349" s="3">
        <v>24</v>
      </c>
      <c r="K2349" s="628">
        <f t="shared" ref="K2349:K2371" si="108">SUM(F2349:J2349)</f>
        <v>81</v>
      </c>
      <c r="L2349" s="630">
        <f>K2349/4</f>
        <v>20.25</v>
      </c>
    </row>
    <row r="2350" spans="3:12" x14ac:dyDescent="0.2">
      <c r="C2350" s="589"/>
      <c r="D2350" s="590" t="s">
        <v>390</v>
      </c>
      <c r="E2350" s="591">
        <f>(F2350+G2350+H2350+I2350+J2350)*120</f>
        <v>0</v>
      </c>
      <c r="F2350" s="3"/>
      <c r="G2350" s="3"/>
      <c r="H2350" s="3"/>
      <c r="I2350" s="3"/>
      <c r="J2350" s="3"/>
      <c r="K2350" s="628">
        <f t="shared" si="108"/>
        <v>0</v>
      </c>
      <c r="L2350" s="630">
        <f t="shared" ref="L2350:L2371" si="109">K2350/4</f>
        <v>0</v>
      </c>
    </row>
    <row r="2351" spans="3:12" x14ac:dyDescent="0.2">
      <c r="C2351" s="589" t="s">
        <v>828</v>
      </c>
      <c r="D2351" s="590" t="s">
        <v>391</v>
      </c>
      <c r="E2351" s="591">
        <f>(F2351+G2351+H2351+I2351+J2351)*120</f>
        <v>3000</v>
      </c>
      <c r="F2351" s="3">
        <v>5</v>
      </c>
      <c r="G2351" s="3">
        <v>5</v>
      </c>
      <c r="H2351" s="3">
        <v>5</v>
      </c>
      <c r="I2351" s="3">
        <v>5</v>
      </c>
      <c r="J2351" s="3">
        <v>5</v>
      </c>
      <c r="K2351" s="628">
        <f t="shared" si="108"/>
        <v>25</v>
      </c>
      <c r="L2351" s="630">
        <f t="shared" si="109"/>
        <v>6.25</v>
      </c>
    </row>
    <row r="2352" spans="3:12" x14ac:dyDescent="0.2">
      <c r="C2352" s="589" t="s">
        <v>654</v>
      </c>
      <c r="D2352" s="590" t="s">
        <v>392</v>
      </c>
      <c r="E2352" s="591">
        <f>(F2352+G2352+H2352+I2352+J2352)*120</f>
        <v>2400</v>
      </c>
      <c r="F2352" s="3">
        <v>6</v>
      </c>
      <c r="G2352" s="3">
        <v>2</v>
      </c>
      <c r="H2352" s="3">
        <v>6</v>
      </c>
      <c r="I2352" s="3"/>
      <c r="J2352" s="3">
        <v>6</v>
      </c>
      <c r="K2352" s="628">
        <f t="shared" si="108"/>
        <v>20</v>
      </c>
      <c r="L2352" s="630">
        <f t="shared" si="109"/>
        <v>5</v>
      </c>
    </row>
    <row r="2353" spans="3:12" x14ac:dyDescent="0.2">
      <c r="C2353" s="589"/>
      <c r="D2353" s="590" t="s">
        <v>425</v>
      </c>
      <c r="E2353" s="591">
        <f>(F2353+G2353+H2353+I2353+J2353)*120</f>
        <v>0</v>
      </c>
      <c r="F2353" s="3"/>
      <c r="G2353" s="3"/>
      <c r="H2353" s="3"/>
      <c r="I2353" s="3"/>
      <c r="J2353" s="3"/>
      <c r="K2353" s="628">
        <f t="shared" si="108"/>
        <v>0</v>
      </c>
      <c r="L2353" s="630">
        <f t="shared" si="109"/>
        <v>0</v>
      </c>
    </row>
    <row r="2354" spans="3:12" x14ac:dyDescent="0.2">
      <c r="C2354" s="589"/>
      <c r="D2354" s="590"/>
      <c r="E2354" s="591"/>
      <c r="F2354" s="3"/>
      <c r="G2354" s="3"/>
      <c r="H2354" s="3"/>
      <c r="I2354" s="3"/>
      <c r="J2354" s="3"/>
      <c r="K2354" s="628">
        <f t="shared" si="108"/>
        <v>0</v>
      </c>
      <c r="L2354" s="630">
        <f t="shared" si="109"/>
        <v>0</v>
      </c>
    </row>
    <row r="2355" spans="3:12" x14ac:dyDescent="0.2">
      <c r="C2355" s="589" t="s">
        <v>826</v>
      </c>
      <c r="D2355" s="590" t="s">
        <v>108</v>
      </c>
      <c r="E2355" s="591">
        <f>(F2355+G2355+H2355+J2355)*112.7+(I2355*119.6)</f>
        <v>4112.3999999999996</v>
      </c>
      <c r="F2355" s="3">
        <v>10</v>
      </c>
      <c r="G2355" s="3">
        <v>4</v>
      </c>
      <c r="H2355" s="3">
        <v>4</v>
      </c>
      <c r="I2355" s="3">
        <v>8</v>
      </c>
      <c r="J2355" s="3">
        <v>10</v>
      </c>
      <c r="K2355" s="628">
        <f t="shared" si="108"/>
        <v>36</v>
      </c>
      <c r="L2355" s="630">
        <f t="shared" si="109"/>
        <v>9</v>
      </c>
    </row>
    <row r="2356" spans="3:12" x14ac:dyDescent="0.2">
      <c r="C2356" s="589" t="s">
        <v>825</v>
      </c>
      <c r="D2356" s="590" t="s">
        <v>393</v>
      </c>
      <c r="E2356" s="591">
        <f>(F2356+G2356+H2356+J2356)*112.7+(I2356*119.6)</f>
        <v>2732.4</v>
      </c>
      <c r="F2356" s="3">
        <v>6</v>
      </c>
      <c r="G2356" s="3">
        <v>4</v>
      </c>
      <c r="H2356" s="3">
        <v>4</v>
      </c>
      <c r="I2356" s="3">
        <v>4</v>
      </c>
      <c r="J2356" s="3">
        <v>6</v>
      </c>
      <c r="K2356" s="628">
        <f t="shared" si="108"/>
        <v>24</v>
      </c>
      <c r="L2356" s="630">
        <f t="shared" si="109"/>
        <v>6</v>
      </c>
    </row>
    <row r="2357" spans="3:12" x14ac:dyDescent="0.2">
      <c r="C2357" s="589" t="s">
        <v>824</v>
      </c>
      <c r="D2357" s="590" t="s">
        <v>216</v>
      </c>
      <c r="E2357" s="591">
        <f>(F2357+G2357+H2357+J2357)*112.7+(I2357*119.6)</f>
        <v>2281.6</v>
      </c>
      <c r="F2357" s="3">
        <v>6</v>
      </c>
      <c r="G2357" s="3">
        <v>4</v>
      </c>
      <c r="H2357" s="3"/>
      <c r="I2357" s="3">
        <v>4</v>
      </c>
      <c r="J2357" s="3">
        <v>6</v>
      </c>
      <c r="K2357" s="628">
        <f t="shared" si="108"/>
        <v>20</v>
      </c>
      <c r="L2357" s="630">
        <f t="shared" si="109"/>
        <v>5</v>
      </c>
    </row>
    <row r="2358" spans="3:12" x14ac:dyDescent="0.2">
      <c r="C2358" s="589"/>
      <c r="D2358" s="590"/>
      <c r="E2358" s="591"/>
      <c r="F2358" s="3"/>
      <c r="G2358" s="3"/>
      <c r="H2358" s="3"/>
      <c r="I2358" s="3"/>
      <c r="J2358" s="3"/>
      <c r="K2358" s="628">
        <f t="shared" si="108"/>
        <v>0</v>
      </c>
      <c r="L2358" s="630">
        <f t="shared" si="109"/>
        <v>0</v>
      </c>
    </row>
    <row r="2359" spans="3:12" x14ac:dyDescent="0.2">
      <c r="C2359" s="589" t="s">
        <v>593</v>
      </c>
      <c r="D2359" s="590" t="s">
        <v>394</v>
      </c>
      <c r="E2359" s="591">
        <f>(F2359+G2359+H2359+I2359+J2359)*120</f>
        <v>4200</v>
      </c>
      <c r="F2359" s="3">
        <v>10</v>
      </c>
      <c r="G2359" s="3">
        <v>5</v>
      </c>
      <c r="H2359" s="3">
        <v>5</v>
      </c>
      <c r="I2359" s="3">
        <v>5</v>
      </c>
      <c r="J2359" s="3">
        <v>10</v>
      </c>
      <c r="K2359" s="628">
        <f t="shared" si="108"/>
        <v>35</v>
      </c>
      <c r="L2359" s="630">
        <f t="shared" si="109"/>
        <v>8.75</v>
      </c>
    </row>
    <row r="2360" spans="3:12" x14ac:dyDescent="0.2">
      <c r="C2360" s="589" t="s">
        <v>827</v>
      </c>
      <c r="D2360" s="590" t="s">
        <v>110</v>
      </c>
      <c r="E2360" s="591">
        <f>(F2360+G2360+H2360+J2360)*112.7+(I2360*119.6)</f>
        <v>9126.4</v>
      </c>
      <c r="F2360" s="3">
        <v>30</v>
      </c>
      <c r="G2360" s="3">
        <v>16</v>
      </c>
      <c r="H2360" s="3"/>
      <c r="I2360" s="3">
        <v>16</v>
      </c>
      <c r="J2360" s="3">
        <v>18</v>
      </c>
      <c r="K2360" s="628">
        <f t="shared" si="108"/>
        <v>80</v>
      </c>
      <c r="L2360" s="630">
        <f t="shared" si="109"/>
        <v>20</v>
      </c>
    </row>
    <row r="2361" spans="3:12" x14ac:dyDescent="0.2">
      <c r="C2361" s="589"/>
      <c r="D2361" s="590"/>
      <c r="E2361" s="591"/>
      <c r="F2361" s="3"/>
      <c r="G2361" s="3"/>
      <c r="H2361" s="3"/>
      <c r="I2361" s="3"/>
      <c r="J2361" s="3"/>
      <c r="K2361" s="628">
        <f t="shared" si="108"/>
        <v>0</v>
      </c>
      <c r="L2361" s="630">
        <f t="shared" si="109"/>
        <v>0</v>
      </c>
    </row>
    <row r="2362" spans="3:12" x14ac:dyDescent="0.2">
      <c r="C2362" s="589"/>
      <c r="D2362" s="590" t="s">
        <v>381</v>
      </c>
      <c r="E2362" s="591">
        <f>(F2362+G2362+H2362+I2362+J2362)*120+(240*0)+(0*45)</f>
        <v>0</v>
      </c>
      <c r="F2362" s="3"/>
      <c r="G2362" s="3"/>
      <c r="H2362" s="3"/>
      <c r="I2362" s="3"/>
      <c r="J2362" s="3"/>
      <c r="K2362" s="628">
        <f t="shared" si="108"/>
        <v>0</v>
      </c>
      <c r="L2362" s="630">
        <f t="shared" si="109"/>
        <v>0</v>
      </c>
    </row>
    <row r="2363" spans="3:12" x14ac:dyDescent="0.2">
      <c r="C2363" s="589"/>
      <c r="D2363" s="590" t="s">
        <v>276</v>
      </c>
      <c r="E2363" s="591">
        <f>(F2363+G2363+H2363+J2363)*112.7+(I2363*119.6)</f>
        <v>0</v>
      </c>
      <c r="F2363" s="3"/>
      <c r="G2363" s="3"/>
      <c r="H2363" s="3"/>
      <c r="I2363" s="3"/>
      <c r="J2363" s="3"/>
      <c r="K2363" s="628">
        <f t="shared" si="108"/>
        <v>0</v>
      </c>
      <c r="L2363" s="630">
        <f t="shared" si="109"/>
        <v>0</v>
      </c>
    </row>
    <row r="2364" spans="3:12" x14ac:dyDescent="0.2">
      <c r="C2364" s="589"/>
      <c r="D2364" s="590"/>
      <c r="E2364" s="591"/>
      <c r="F2364" s="3"/>
      <c r="G2364" s="3"/>
      <c r="H2364" s="3"/>
      <c r="I2364" s="3"/>
      <c r="J2364" s="3"/>
      <c r="K2364" s="628">
        <f t="shared" si="108"/>
        <v>0</v>
      </c>
      <c r="L2364" s="630">
        <f t="shared" si="109"/>
        <v>0</v>
      </c>
    </row>
    <row r="2365" spans="3:12" x14ac:dyDescent="0.2">
      <c r="C2365" s="589"/>
      <c r="D2365" s="590" t="s">
        <v>75</v>
      </c>
      <c r="E2365" s="591">
        <f>(F2365+G2365+H2365+I2365+J2365)*120</f>
        <v>0</v>
      </c>
      <c r="F2365" s="3"/>
      <c r="G2365" s="3"/>
      <c r="H2365" s="3"/>
      <c r="I2365" s="3"/>
      <c r="J2365" s="3"/>
      <c r="K2365" s="628">
        <f t="shared" si="108"/>
        <v>0</v>
      </c>
      <c r="L2365" s="630">
        <f t="shared" si="109"/>
        <v>0</v>
      </c>
    </row>
    <row r="2366" spans="3:12" x14ac:dyDescent="0.2">
      <c r="C2366" s="589"/>
      <c r="D2366" s="590" t="s">
        <v>278</v>
      </c>
      <c r="E2366" s="591">
        <f>(F2366+G2366+H2366+I2366+J2366)*120</f>
        <v>0</v>
      </c>
      <c r="F2366" s="3"/>
      <c r="G2366" s="3"/>
      <c r="H2366" s="3"/>
      <c r="I2366" s="3"/>
      <c r="J2366" s="3"/>
      <c r="K2366" s="628">
        <f t="shared" si="108"/>
        <v>0</v>
      </c>
      <c r="L2366" s="630">
        <f t="shared" si="109"/>
        <v>0</v>
      </c>
    </row>
    <row r="2367" spans="3:12" x14ac:dyDescent="0.2">
      <c r="C2367" s="589"/>
      <c r="D2367" s="590" t="s">
        <v>270</v>
      </c>
      <c r="E2367" s="591">
        <f>(F2367+G2367+H2367+I2367)*112.7+(J2367*119.6)</f>
        <v>0</v>
      </c>
      <c r="F2367" s="3"/>
      <c r="G2367" s="3"/>
      <c r="H2367" s="3"/>
      <c r="I2367" s="3"/>
      <c r="J2367" s="3"/>
      <c r="K2367" s="628">
        <f t="shared" si="108"/>
        <v>0</v>
      </c>
      <c r="L2367" s="630">
        <f t="shared" si="109"/>
        <v>0</v>
      </c>
    </row>
    <row r="2368" spans="3:12" x14ac:dyDescent="0.2">
      <c r="C2368" s="589"/>
      <c r="D2368" s="590" t="s">
        <v>274</v>
      </c>
      <c r="E2368" s="591">
        <f>(F2368+G2368+H2368+I2368)*112.7+(J2368*119.6)</f>
        <v>0</v>
      </c>
      <c r="F2368" s="3"/>
      <c r="G2368" s="3"/>
      <c r="H2368" s="3"/>
      <c r="I2368" s="3"/>
      <c r="J2368" s="3"/>
      <c r="K2368" s="628">
        <f t="shared" si="108"/>
        <v>0</v>
      </c>
      <c r="L2368" s="630">
        <f t="shared" si="109"/>
        <v>0</v>
      </c>
    </row>
    <row r="2369" spans="3:12" x14ac:dyDescent="0.2">
      <c r="C2369" s="589"/>
      <c r="D2369" s="590" t="s">
        <v>395</v>
      </c>
      <c r="E2369" s="591">
        <f>(F2369+G2369+H2369+I2369)*112.7+(J2369*119.6)</f>
        <v>0</v>
      </c>
      <c r="F2369" s="3"/>
      <c r="G2369" s="3"/>
      <c r="H2369" s="3"/>
      <c r="I2369" s="3"/>
      <c r="J2369" s="3"/>
      <c r="K2369" s="628">
        <f t="shared" si="108"/>
        <v>0</v>
      </c>
      <c r="L2369" s="630">
        <f t="shared" si="109"/>
        <v>0</v>
      </c>
    </row>
    <row r="2370" spans="3:12" x14ac:dyDescent="0.2">
      <c r="C2370" s="683"/>
      <c r="D2370" s="590" t="s">
        <v>112</v>
      </c>
      <c r="E2370" s="591">
        <f>(F2370+G2370+H2370+I2370)*112.7+(J2370*119.6)</f>
        <v>0</v>
      </c>
      <c r="F2370" s="3"/>
      <c r="G2370" s="3"/>
      <c r="H2370" s="3"/>
      <c r="I2370" s="3"/>
      <c r="J2370" s="3"/>
      <c r="K2370" s="628">
        <f t="shared" si="108"/>
        <v>0</v>
      </c>
      <c r="L2370" s="630">
        <f t="shared" si="109"/>
        <v>0</v>
      </c>
    </row>
    <row r="2371" spans="3:12" x14ac:dyDescent="0.2">
      <c r="C2371" s="683"/>
      <c r="D2371" s="590" t="s">
        <v>72</v>
      </c>
      <c r="E2371" s="591">
        <f>(F2371+G2371+H2371+I2371)*112.7+(J2371*119.6)</f>
        <v>0</v>
      </c>
      <c r="F2371" s="3"/>
      <c r="G2371" s="3"/>
      <c r="H2371" s="3"/>
      <c r="I2371" s="3"/>
      <c r="J2371" s="3"/>
      <c r="K2371" s="628">
        <f t="shared" si="108"/>
        <v>0</v>
      </c>
      <c r="L2371" s="630">
        <f t="shared" si="109"/>
        <v>0</v>
      </c>
    </row>
    <row r="2372" spans="3:12" x14ac:dyDescent="0.2">
      <c r="C2372" s="683"/>
      <c r="D2372" s="590" t="s">
        <v>187</v>
      </c>
      <c r="E2372" s="591"/>
      <c r="F2372" s="3"/>
      <c r="G2372" s="3"/>
      <c r="H2372" s="3"/>
      <c r="I2372" s="3"/>
      <c r="J2372" s="3">
        <v>8</v>
      </c>
      <c r="K2372" s="628">
        <f>SUM(F2372:J2372)</f>
        <v>8</v>
      </c>
      <c r="L2372" s="3"/>
    </row>
    <row r="2373" spans="3:12" ht="16" x14ac:dyDescent="0.2">
      <c r="C2373" s="683"/>
      <c r="D2373" s="590" t="s">
        <v>811</v>
      </c>
      <c r="E2373" s="592"/>
      <c r="F2373" s="3"/>
      <c r="G2373" s="3"/>
      <c r="H2373" s="3"/>
      <c r="I2373" s="3"/>
      <c r="J2373" s="3"/>
      <c r="K2373" s="628">
        <f>SUM(F2373:J2373)</f>
        <v>0</v>
      </c>
      <c r="L2373" s="3"/>
    </row>
    <row r="2374" spans="3:12" ht="17" thickBot="1" x14ac:dyDescent="0.25">
      <c r="C2374" s="683"/>
      <c r="D2374" s="590"/>
      <c r="E2374" s="624"/>
      <c r="F2374" s="69"/>
      <c r="G2374" s="69"/>
      <c r="H2374" s="69"/>
      <c r="I2374" s="69"/>
      <c r="J2374" s="69"/>
      <c r="K2374" s="629"/>
      <c r="L2374" s="3"/>
    </row>
    <row r="2375" spans="3:12" ht="16" thickBot="1" x14ac:dyDescent="0.25">
      <c r="C2375" s="596"/>
      <c r="D2375" s="623" t="s">
        <v>19</v>
      </c>
      <c r="E2375" s="625">
        <f>SUM(E2349:E2372)</f>
        <v>35952.800000000003</v>
      </c>
      <c r="F2375" s="614">
        <f>SUM(F2349:F2374)</f>
        <v>97</v>
      </c>
      <c r="G2375" s="614">
        <f>SUM(G2349:G2374)</f>
        <v>56</v>
      </c>
      <c r="H2375" s="614">
        <f>SUM(H2349:H2374)</f>
        <v>29</v>
      </c>
      <c r="I2375" s="614">
        <f>SUM(I2349:I2374)</f>
        <v>54</v>
      </c>
      <c r="J2375" s="614">
        <f>SUM(J2349:J2374)</f>
        <v>93</v>
      </c>
      <c r="K2375" s="626">
        <f>SUM(F2375:J2375)</f>
        <v>329</v>
      </c>
      <c r="L2375" s="631">
        <f>SUM(L2349:L2374)</f>
        <v>80.25</v>
      </c>
    </row>
    <row r="2376" spans="3:12" x14ac:dyDescent="0.2">
      <c r="C2376" s="596"/>
      <c r="D2376" s="593" t="s">
        <v>113</v>
      </c>
      <c r="E2376" s="620"/>
      <c r="F2376" s="610">
        <f>F2346-F2375</f>
        <v>2</v>
      </c>
      <c r="G2376" s="610">
        <f>G2346-G2375</f>
        <v>10</v>
      </c>
      <c r="H2376" s="610">
        <f>H2346-H2375</f>
        <v>0</v>
      </c>
      <c r="I2376" s="610">
        <f>I2346-I2375</f>
        <v>15</v>
      </c>
      <c r="J2376" s="610">
        <f>J2346-J2375</f>
        <v>4</v>
      </c>
      <c r="K2376" s="636">
        <f>SUM(F2376:J2376)</f>
        <v>31</v>
      </c>
      <c r="L2376" s="3"/>
    </row>
    <row r="2377" spans="3:12" x14ac:dyDescent="0.2">
      <c r="C2377" s="683"/>
      <c r="D2377" s="593" t="s">
        <v>436</v>
      </c>
      <c r="E2377" s="594"/>
      <c r="F2377" s="581"/>
      <c r="G2377" s="581"/>
      <c r="H2377" s="581"/>
      <c r="I2377" s="581"/>
      <c r="J2377" s="581"/>
      <c r="K2377" s="637">
        <f>K2375+K2376</f>
        <v>360</v>
      </c>
      <c r="L2377" s="3"/>
    </row>
    <row r="2379" spans="3:12" ht="18" x14ac:dyDescent="0.2">
      <c r="C2379" s="685" t="s">
        <v>412</v>
      </c>
      <c r="D2379" s="582">
        <v>45727</v>
      </c>
      <c r="E2379" s="800"/>
      <c r="F2379" s="685" t="s">
        <v>83</v>
      </c>
      <c r="G2379" s="801" t="s">
        <v>64</v>
      </c>
      <c r="H2379" s="802"/>
      <c r="I2379" s="802"/>
      <c r="J2379" s="802"/>
      <c r="K2379" s="803"/>
    </row>
    <row r="2380" spans="3:12" x14ac:dyDescent="0.2">
      <c r="C2380" s="804"/>
      <c r="D2380" s="805"/>
      <c r="E2380" s="800"/>
      <c r="F2380" s="683" t="s">
        <v>93</v>
      </c>
      <c r="G2380" s="683" t="s">
        <v>93</v>
      </c>
      <c r="H2380" s="683"/>
      <c r="I2380" s="806"/>
      <c r="J2380" s="806"/>
      <c r="K2380" s="806"/>
    </row>
    <row r="2381" spans="3:12" x14ac:dyDescent="0.2">
      <c r="C2381" s="804"/>
      <c r="D2381" s="805"/>
      <c r="E2381" s="800"/>
      <c r="F2381" s="683" t="s">
        <v>94</v>
      </c>
      <c r="G2381" s="683" t="s">
        <v>95</v>
      </c>
      <c r="H2381" s="683" t="s">
        <v>96</v>
      </c>
      <c r="I2381" s="806"/>
      <c r="J2381" s="806"/>
      <c r="K2381" s="806"/>
    </row>
    <row r="2382" spans="3:12" x14ac:dyDescent="0.2">
      <c r="C2382" s="804"/>
      <c r="D2382" s="805"/>
      <c r="E2382" s="800"/>
      <c r="F2382" s="683"/>
      <c r="G2382" s="683"/>
      <c r="H2382" s="683"/>
      <c r="I2382" s="806"/>
      <c r="J2382" s="806"/>
      <c r="K2382" s="806"/>
    </row>
    <row r="2383" spans="3:12" ht="16" x14ac:dyDescent="0.2">
      <c r="C2383" s="683"/>
      <c r="D2383" s="583" t="s">
        <v>97</v>
      </c>
      <c r="E2383" s="584"/>
      <c r="F2383" s="581"/>
      <c r="G2383" s="585"/>
      <c r="H2383" s="585"/>
      <c r="I2383" s="586"/>
      <c r="J2383" s="586"/>
      <c r="K2383" s="586"/>
    </row>
    <row r="2384" spans="3:12" ht="26" x14ac:dyDescent="0.2">
      <c r="C2384" s="804"/>
      <c r="D2384" s="587"/>
      <c r="E2384" s="588"/>
      <c r="F2384" s="585" t="s">
        <v>383</v>
      </c>
      <c r="G2384" s="585" t="s">
        <v>384</v>
      </c>
      <c r="H2384" s="585" t="s">
        <v>385</v>
      </c>
      <c r="I2384" s="585" t="s">
        <v>386</v>
      </c>
      <c r="J2384" s="585" t="s">
        <v>387</v>
      </c>
      <c r="K2384" s="585" t="s">
        <v>84</v>
      </c>
    </row>
    <row r="2385" spans="3:12" x14ac:dyDescent="0.2">
      <c r="C2385" s="804"/>
      <c r="D2385" s="684" t="s">
        <v>167</v>
      </c>
      <c r="E2385" s="588"/>
      <c r="F2385" s="580">
        <v>11</v>
      </c>
      <c r="G2385" s="579">
        <v>7</v>
      </c>
      <c r="H2385" s="580"/>
      <c r="I2385" s="580">
        <v>4</v>
      </c>
      <c r="J2385" s="580">
        <v>9</v>
      </c>
      <c r="K2385" s="580">
        <f>SUM(F2385:J2385)</f>
        <v>31</v>
      </c>
    </row>
    <row r="2386" spans="3:12" x14ac:dyDescent="0.2">
      <c r="C2386" s="804"/>
      <c r="D2386" s="684" t="s">
        <v>207</v>
      </c>
      <c r="E2386" s="588"/>
      <c r="F2386" s="618">
        <v>77</v>
      </c>
      <c r="G2386" s="619">
        <v>49</v>
      </c>
      <c r="H2386" s="618"/>
      <c r="I2386" s="618">
        <v>44</v>
      </c>
      <c r="J2386" s="618">
        <v>78</v>
      </c>
      <c r="K2386" s="618">
        <f>SUM(F2386:J2386)</f>
        <v>248</v>
      </c>
    </row>
    <row r="2387" spans="3:12" x14ac:dyDescent="0.2">
      <c r="C2387" s="683"/>
      <c r="D2387" s="684" t="s">
        <v>100</v>
      </c>
      <c r="E2387" s="588"/>
      <c r="F2387" s="581"/>
      <c r="G2387" s="581"/>
      <c r="H2387" s="581"/>
      <c r="I2387" s="581"/>
      <c r="J2387" s="581"/>
      <c r="K2387" s="581">
        <f>SUM(F2387:J2387)</f>
        <v>0</v>
      </c>
    </row>
    <row r="2388" spans="3:12" x14ac:dyDescent="0.2">
      <c r="C2388" s="683"/>
      <c r="D2388" s="684" t="s">
        <v>101</v>
      </c>
      <c r="E2388" s="588"/>
      <c r="F2388" s="581">
        <v>1</v>
      </c>
      <c r="G2388" s="581">
        <v>1</v>
      </c>
      <c r="H2388" s="581"/>
      <c r="I2388" s="581"/>
      <c r="J2388" s="581">
        <v>1</v>
      </c>
      <c r="K2388" s="581">
        <f>SUM(F2388:J2388)</f>
        <v>3</v>
      </c>
    </row>
    <row r="2389" spans="3:12" ht="16" thickBot="1" x14ac:dyDescent="0.25">
      <c r="C2389" s="683"/>
      <c r="D2389" s="597" t="s">
        <v>102</v>
      </c>
      <c r="E2389" s="598"/>
      <c r="F2389" s="599">
        <v>2</v>
      </c>
      <c r="G2389" s="600">
        <v>9</v>
      </c>
      <c r="H2389" s="600"/>
      <c r="I2389" s="600">
        <v>15</v>
      </c>
      <c r="J2389" s="600">
        <v>4</v>
      </c>
      <c r="K2389" s="600">
        <f>SUM(F2389:J2389)</f>
        <v>30</v>
      </c>
    </row>
    <row r="2390" spans="3:12" ht="17" thickBot="1" x14ac:dyDescent="0.25">
      <c r="C2390" s="605"/>
      <c r="D2390" s="612" t="s">
        <v>84</v>
      </c>
      <c r="E2390" s="613"/>
      <c r="F2390" s="614">
        <f>(F2386+F2389)-F2388-F2387</f>
        <v>78</v>
      </c>
      <c r="G2390" s="615">
        <f>(G2386+G2389)-G2388-G2387</f>
        <v>57</v>
      </c>
      <c r="H2390" s="616">
        <f>(H2386+H2389)-H2388</f>
        <v>0</v>
      </c>
      <c r="I2390" s="615">
        <f>(I2386+I2389)-I2388-I2387</f>
        <v>59</v>
      </c>
      <c r="J2390" s="622">
        <f>(J2386+J2389)-J2388-J2387</f>
        <v>81</v>
      </c>
      <c r="K2390" s="617">
        <f>(K2386+K2389)-K2388-K2387</f>
        <v>275</v>
      </c>
    </row>
    <row r="2391" spans="3:12" ht="16" x14ac:dyDescent="0.2">
      <c r="C2391" s="683"/>
      <c r="D2391" s="608"/>
      <c r="E2391" s="609"/>
      <c r="F2391" s="610"/>
      <c r="G2391" s="595"/>
      <c r="H2391" s="611"/>
      <c r="I2391" s="595"/>
      <c r="J2391" s="595"/>
      <c r="K2391" s="595"/>
    </row>
    <row r="2392" spans="3:12" ht="16" thickBot="1" x14ac:dyDescent="0.25">
      <c r="C2392" s="606" t="s">
        <v>388</v>
      </c>
      <c r="D2392" s="607" t="s">
        <v>103</v>
      </c>
      <c r="E2392" s="603" t="s">
        <v>84</v>
      </c>
      <c r="F2392" s="602" t="s">
        <v>78</v>
      </c>
      <c r="G2392" s="602" t="s">
        <v>79</v>
      </c>
      <c r="H2392" s="602" t="s">
        <v>81</v>
      </c>
      <c r="I2392" s="601" t="s">
        <v>316</v>
      </c>
      <c r="J2392" s="601" t="s">
        <v>85</v>
      </c>
      <c r="K2392" s="601" t="s">
        <v>84</v>
      </c>
      <c r="L2392" s="174" t="s">
        <v>389</v>
      </c>
    </row>
    <row r="2393" spans="3:12" x14ac:dyDescent="0.2">
      <c r="C2393" s="589"/>
      <c r="D2393" s="604" t="s">
        <v>105</v>
      </c>
      <c r="E2393" s="591">
        <f>(F2393+G2393+H2393+I2393+J2393)*100+(0*230)</f>
        <v>0</v>
      </c>
      <c r="F2393" s="3"/>
      <c r="G2393" s="3"/>
      <c r="H2393" s="3"/>
      <c r="I2393" s="3"/>
      <c r="J2393" s="3"/>
      <c r="K2393" s="628">
        <f t="shared" ref="K2393:K2415" si="110">SUM(F2393:J2393)</f>
        <v>0</v>
      </c>
      <c r="L2393" s="630">
        <f>K2393/4</f>
        <v>0</v>
      </c>
    </row>
    <row r="2394" spans="3:12" x14ac:dyDescent="0.2">
      <c r="C2394" s="589"/>
      <c r="D2394" s="590" t="s">
        <v>390</v>
      </c>
      <c r="E2394" s="591">
        <f>(F2394+G2394+H2394+I2394+J2394)*120</f>
        <v>0</v>
      </c>
      <c r="F2394" s="3"/>
      <c r="G2394" s="3"/>
      <c r="H2394" s="3"/>
      <c r="I2394" s="3"/>
      <c r="J2394" s="3"/>
      <c r="K2394" s="628">
        <f t="shared" si="110"/>
        <v>0</v>
      </c>
      <c r="L2394" s="630">
        <f t="shared" ref="L2394:L2415" si="111">K2394/4</f>
        <v>0</v>
      </c>
    </row>
    <row r="2395" spans="3:12" x14ac:dyDescent="0.2">
      <c r="C2395" s="589"/>
      <c r="D2395" s="590" t="s">
        <v>391</v>
      </c>
      <c r="E2395" s="591">
        <f>(F2395+G2395+H2395+I2395+J2395)*120</f>
        <v>0</v>
      </c>
      <c r="F2395" s="3"/>
      <c r="G2395" s="3"/>
      <c r="H2395" s="3"/>
      <c r="I2395" s="3"/>
      <c r="J2395" s="3"/>
      <c r="K2395" s="628">
        <f t="shared" si="110"/>
        <v>0</v>
      </c>
      <c r="L2395" s="630">
        <f t="shared" si="111"/>
        <v>0</v>
      </c>
    </row>
    <row r="2396" spans="3:12" x14ac:dyDescent="0.2">
      <c r="C2396" s="589"/>
      <c r="D2396" s="590" t="s">
        <v>392</v>
      </c>
      <c r="E2396" s="591">
        <f>(F2396+G2396+H2396+I2396+J2396)*120</f>
        <v>0</v>
      </c>
      <c r="F2396" s="3"/>
      <c r="G2396" s="3"/>
      <c r="H2396" s="3"/>
      <c r="I2396" s="3"/>
      <c r="J2396" s="3"/>
      <c r="K2396" s="628">
        <f t="shared" si="110"/>
        <v>0</v>
      </c>
      <c r="L2396" s="630">
        <f t="shared" si="111"/>
        <v>0</v>
      </c>
    </row>
    <row r="2397" spans="3:12" x14ac:dyDescent="0.2">
      <c r="C2397" s="589"/>
      <c r="D2397" s="590" t="s">
        <v>425</v>
      </c>
      <c r="E2397" s="591">
        <f>(F2397+G2397+H2397+I2397+J2397)*120</f>
        <v>0</v>
      </c>
      <c r="F2397" s="3"/>
      <c r="G2397" s="3"/>
      <c r="H2397" s="3"/>
      <c r="I2397" s="3"/>
      <c r="J2397" s="3"/>
      <c r="K2397" s="628">
        <f t="shared" si="110"/>
        <v>0</v>
      </c>
      <c r="L2397" s="630">
        <f t="shared" si="111"/>
        <v>0</v>
      </c>
    </row>
    <row r="2398" spans="3:12" x14ac:dyDescent="0.2">
      <c r="C2398" s="589"/>
      <c r="D2398" s="590"/>
      <c r="E2398" s="591"/>
      <c r="F2398" s="3"/>
      <c r="G2398" s="3"/>
      <c r="H2398" s="3"/>
      <c r="I2398" s="3"/>
      <c r="J2398" s="3"/>
      <c r="K2398" s="628">
        <f t="shared" si="110"/>
        <v>0</v>
      </c>
      <c r="L2398" s="630">
        <f t="shared" si="111"/>
        <v>0</v>
      </c>
    </row>
    <row r="2399" spans="3:12" x14ac:dyDescent="0.2">
      <c r="C2399" s="589"/>
      <c r="D2399" s="590" t="s">
        <v>108</v>
      </c>
      <c r="E2399" s="591">
        <f>(F2399+G2399+H2399+J2399)*112.7+(I2399*119.6)</f>
        <v>0</v>
      </c>
      <c r="F2399" s="3"/>
      <c r="G2399" s="3"/>
      <c r="H2399" s="3"/>
      <c r="I2399" s="3"/>
      <c r="J2399" s="3"/>
      <c r="K2399" s="628">
        <f t="shared" si="110"/>
        <v>0</v>
      </c>
      <c r="L2399" s="630">
        <f t="shared" si="111"/>
        <v>0</v>
      </c>
    </row>
    <row r="2400" spans="3:12" x14ac:dyDescent="0.2">
      <c r="C2400" s="589"/>
      <c r="D2400" s="590" t="s">
        <v>393</v>
      </c>
      <c r="E2400" s="591">
        <f>(F2400+G2400+H2400+J2400)*112.7+(I2400*119.6)</f>
        <v>0</v>
      </c>
      <c r="F2400" s="3"/>
      <c r="G2400" s="3"/>
      <c r="H2400" s="3"/>
      <c r="I2400" s="3"/>
      <c r="J2400" s="3"/>
      <c r="K2400" s="628">
        <f t="shared" si="110"/>
        <v>0</v>
      </c>
      <c r="L2400" s="630">
        <f t="shared" si="111"/>
        <v>0</v>
      </c>
    </row>
    <row r="2401" spans="3:12" x14ac:dyDescent="0.2">
      <c r="C2401" s="589"/>
      <c r="D2401" s="590" t="s">
        <v>216</v>
      </c>
      <c r="E2401" s="591">
        <f>(F2401+G2401+H2401+J2401)*112.7+(I2401*119.6)</f>
        <v>0</v>
      </c>
      <c r="F2401" s="3"/>
      <c r="G2401" s="3"/>
      <c r="H2401" s="3"/>
      <c r="I2401" s="3"/>
      <c r="J2401" s="3"/>
      <c r="K2401" s="628">
        <f t="shared" si="110"/>
        <v>0</v>
      </c>
      <c r="L2401" s="630">
        <f t="shared" si="111"/>
        <v>0</v>
      </c>
    </row>
    <row r="2402" spans="3:12" x14ac:dyDescent="0.2">
      <c r="C2402" s="589"/>
      <c r="D2402" s="590"/>
      <c r="E2402" s="591"/>
      <c r="F2402" s="3"/>
      <c r="G2402" s="3"/>
      <c r="H2402" s="3"/>
      <c r="I2402" s="3"/>
      <c r="J2402" s="3"/>
      <c r="K2402" s="628">
        <f t="shared" si="110"/>
        <v>0</v>
      </c>
      <c r="L2402" s="630">
        <f t="shared" si="111"/>
        <v>0</v>
      </c>
    </row>
    <row r="2403" spans="3:12" x14ac:dyDescent="0.2">
      <c r="C2403" s="589"/>
      <c r="D2403" s="590" t="s">
        <v>394</v>
      </c>
      <c r="E2403" s="591">
        <f>(F2403+G2403+H2403+I2403+J2403)*120</f>
        <v>0</v>
      </c>
      <c r="F2403" s="3"/>
      <c r="G2403" s="3"/>
      <c r="H2403" s="3"/>
      <c r="I2403" s="3"/>
      <c r="J2403" s="3"/>
      <c r="K2403" s="628">
        <f t="shared" si="110"/>
        <v>0</v>
      </c>
      <c r="L2403" s="630">
        <f t="shared" si="111"/>
        <v>0</v>
      </c>
    </row>
    <row r="2404" spans="3:12" x14ac:dyDescent="0.2">
      <c r="C2404" s="589"/>
      <c r="D2404" s="590" t="s">
        <v>110</v>
      </c>
      <c r="E2404" s="591">
        <f>(F2404+G2404+H2404+J2404)*112.7+(I2404*119.6)</f>
        <v>0</v>
      </c>
      <c r="F2404" s="3"/>
      <c r="G2404" s="3"/>
      <c r="H2404" s="3"/>
      <c r="I2404" s="3"/>
      <c r="J2404" s="3"/>
      <c r="K2404" s="628">
        <f t="shared" si="110"/>
        <v>0</v>
      </c>
      <c r="L2404" s="630">
        <f t="shared" si="111"/>
        <v>0</v>
      </c>
    </row>
    <row r="2405" spans="3:12" x14ac:dyDescent="0.2">
      <c r="C2405" s="589"/>
      <c r="D2405" s="590"/>
      <c r="E2405" s="591"/>
      <c r="F2405" s="3"/>
      <c r="G2405" s="3"/>
      <c r="H2405" s="3"/>
      <c r="I2405" s="3"/>
      <c r="J2405" s="3"/>
      <c r="K2405" s="628">
        <f t="shared" si="110"/>
        <v>0</v>
      </c>
      <c r="L2405" s="630">
        <f t="shared" si="111"/>
        <v>0</v>
      </c>
    </row>
    <row r="2406" spans="3:12" x14ac:dyDescent="0.2">
      <c r="C2406" s="589"/>
      <c r="D2406" s="590" t="s">
        <v>381</v>
      </c>
      <c r="E2406" s="591">
        <f>(F2406+G2406+H2406+I2406+J2406)*120+(240*0)+(0*45)</f>
        <v>0</v>
      </c>
      <c r="F2406" s="3"/>
      <c r="G2406" s="3"/>
      <c r="H2406" s="3"/>
      <c r="I2406" s="3"/>
      <c r="J2406" s="3"/>
      <c r="K2406" s="628">
        <f t="shared" si="110"/>
        <v>0</v>
      </c>
      <c r="L2406" s="630">
        <f t="shared" si="111"/>
        <v>0</v>
      </c>
    </row>
    <row r="2407" spans="3:12" x14ac:dyDescent="0.2">
      <c r="C2407" s="589"/>
      <c r="D2407" s="590" t="s">
        <v>276</v>
      </c>
      <c r="E2407" s="591">
        <f>(F2407+G2407+H2407+J2407)*112.7+(I2407*119.6)</f>
        <v>0</v>
      </c>
      <c r="F2407" s="3"/>
      <c r="G2407" s="3"/>
      <c r="H2407" s="3"/>
      <c r="I2407" s="3"/>
      <c r="J2407" s="3"/>
      <c r="K2407" s="628">
        <f t="shared" si="110"/>
        <v>0</v>
      </c>
      <c r="L2407" s="630">
        <f t="shared" si="111"/>
        <v>0</v>
      </c>
    </row>
    <row r="2408" spans="3:12" x14ac:dyDescent="0.2">
      <c r="C2408" s="589"/>
      <c r="D2408" s="590"/>
      <c r="E2408" s="591"/>
      <c r="F2408" s="3"/>
      <c r="G2408" s="3"/>
      <c r="H2408" s="3"/>
      <c r="I2408" s="3"/>
      <c r="J2408" s="3"/>
      <c r="K2408" s="628">
        <f t="shared" si="110"/>
        <v>0</v>
      </c>
      <c r="L2408" s="630">
        <f t="shared" si="111"/>
        <v>0</v>
      </c>
    </row>
    <row r="2409" spans="3:12" x14ac:dyDescent="0.2">
      <c r="C2409" s="589"/>
      <c r="D2409" s="590" t="s">
        <v>75</v>
      </c>
      <c r="E2409" s="591">
        <f>(F2409+G2409+H2409+I2409+J2409)*120</f>
        <v>0</v>
      </c>
      <c r="F2409" s="3"/>
      <c r="G2409" s="3"/>
      <c r="H2409" s="3"/>
      <c r="I2409" s="3"/>
      <c r="J2409" s="3"/>
      <c r="K2409" s="628">
        <f t="shared" si="110"/>
        <v>0</v>
      </c>
      <c r="L2409" s="630">
        <f t="shared" si="111"/>
        <v>0</v>
      </c>
    </row>
    <row r="2410" spans="3:12" x14ac:dyDescent="0.2">
      <c r="C2410" s="589"/>
      <c r="D2410" s="590" t="s">
        <v>278</v>
      </c>
      <c r="E2410" s="591">
        <f>(F2410+G2410+H2410+I2410+J2410)*120</f>
        <v>0</v>
      </c>
      <c r="F2410" s="3"/>
      <c r="G2410" s="3"/>
      <c r="H2410" s="3"/>
      <c r="I2410" s="3"/>
      <c r="J2410" s="3"/>
      <c r="K2410" s="628">
        <f t="shared" si="110"/>
        <v>0</v>
      </c>
      <c r="L2410" s="630">
        <f t="shared" si="111"/>
        <v>0</v>
      </c>
    </row>
    <row r="2411" spans="3:12" x14ac:dyDescent="0.2">
      <c r="C2411" s="589" t="s">
        <v>832</v>
      </c>
      <c r="D2411" s="590" t="s">
        <v>270</v>
      </c>
      <c r="E2411" s="591">
        <f>(F2411+G2411+H2411+I2411)*112.7+(J2411*119.6)</f>
        <v>7350.8</v>
      </c>
      <c r="F2411" s="3">
        <v>20</v>
      </c>
      <c r="G2411" s="3">
        <v>10</v>
      </c>
      <c r="H2411" s="3"/>
      <c r="I2411" s="3">
        <v>14</v>
      </c>
      <c r="J2411" s="3">
        <v>20</v>
      </c>
      <c r="K2411" s="628">
        <f t="shared" si="110"/>
        <v>64</v>
      </c>
      <c r="L2411" s="630">
        <f t="shared" si="111"/>
        <v>16</v>
      </c>
    </row>
    <row r="2412" spans="3:12" x14ac:dyDescent="0.2">
      <c r="C2412" s="589" t="s">
        <v>831</v>
      </c>
      <c r="D2412" s="590" t="s">
        <v>274</v>
      </c>
      <c r="E2412" s="591">
        <f>(F2412+G2412+H2412+I2412)*112.7+(J2412*119.6)</f>
        <v>5506.2</v>
      </c>
      <c r="F2412" s="3">
        <v>14</v>
      </c>
      <c r="G2412" s="3">
        <v>10</v>
      </c>
      <c r="H2412" s="3"/>
      <c r="I2412" s="3">
        <v>10</v>
      </c>
      <c r="J2412" s="3">
        <v>14</v>
      </c>
      <c r="K2412" s="628">
        <f t="shared" si="110"/>
        <v>48</v>
      </c>
      <c r="L2412" s="630">
        <f t="shared" si="111"/>
        <v>12</v>
      </c>
    </row>
    <row r="2413" spans="3:12" x14ac:dyDescent="0.2">
      <c r="C2413" s="589" t="s">
        <v>830</v>
      </c>
      <c r="D2413" s="590" t="s">
        <v>395</v>
      </c>
      <c r="E2413" s="591">
        <f>(F2413+G2413+H2413+I2413)*112.7+(J2413*119.6)</f>
        <v>5506.2</v>
      </c>
      <c r="F2413" s="3">
        <v>14</v>
      </c>
      <c r="G2413" s="3">
        <v>10</v>
      </c>
      <c r="H2413" s="3"/>
      <c r="I2413" s="3">
        <v>10</v>
      </c>
      <c r="J2413" s="3">
        <v>14</v>
      </c>
      <c r="K2413" s="628">
        <f t="shared" si="110"/>
        <v>48</v>
      </c>
      <c r="L2413" s="630">
        <f t="shared" si="111"/>
        <v>12</v>
      </c>
    </row>
    <row r="2414" spans="3:12" x14ac:dyDescent="0.2">
      <c r="C2414" s="683">
        <v>1174486788</v>
      </c>
      <c r="D2414" s="590" t="s">
        <v>112</v>
      </c>
      <c r="E2414" s="591">
        <f>(F2414+G2414+H2414+I2414)*112.7+(J2414*119.6)</f>
        <v>5506.2</v>
      </c>
      <c r="F2414" s="3">
        <v>14</v>
      </c>
      <c r="G2414" s="3">
        <v>10</v>
      </c>
      <c r="H2414" s="3"/>
      <c r="I2414" s="3">
        <v>10</v>
      </c>
      <c r="J2414" s="3">
        <v>14</v>
      </c>
      <c r="K2414" s="628">
        <f t="shared" si="110"/>
        <v>48</v>
      </c>
      <c r="L2414" s="630">
        <f t="shared" si="111"/>
        <v>12</v>
      </c>
    </row>
    <row r="2415" spans="3:12" x14ac:dyDescent="0.2">
      <c r="C2415" s="683">
        <v>1174486786</v>
      </c>
      <c r="D2415" s="590" t="s">
        <v>72</v>
      </c>
      <c r="E2415" s="591">
        <f>(F2415+G2415+H2415+I2415)*112.7+(J2415*119.6)</f>
        <v>5704</v>
      </c>
      <c r="F2415" s="3">
        <v>15</v>
      </c>
      <c r="G2415" s="3">
        <v>15</v>
      </c>
      <c r="H2415" s="3"/>
      <c r="I2415" s="3">
        <v>10</v>
      </c>
      <c r="J2415" s="3">
        <v>10</v>
      </c>
      <c r="K2415" s="628">
        <f t="shared" si="110"/>
        <v>50</v>
      </c>
      <c r="L2415" s="630">
        <f t="shared" si="111"/>
        <v>12.5</v>
      </c>
    </row>
    <row r="2416" spans="3:12" x14ac:dyDescent="0.2">
      <c r="C2416" s="683"/>
      <c r="D2416" s="590" t="s">
        <v>187</v>
      </c>
      <c r="E2416" s="591"/>
      <c r="F2416" s="3">
        <v>1</v>
      </c>
      <c r="G2416" s="3">
        <v>1</v>
      </c>
      <c r="H2416" s="3"/>
      <c r="I2416" s="3"/>
      <c r="J2416" s="3">
        <v>8</v>
      </c>
      <c r="K2416" s="628">
        <f>SUM(F2416:J2416)</f>
        <v>10</v>
      </c>
      <c r="L2416" s="3"/>
    </row>
    <row r="2417" spans="3:12" ht="16" x14ac:dyDescent="0.2">
      <c r="C2417" s="683"/>
      <c r="D2417" s="590" t="s">
        <v>811</v>
      </c>
      <c r="E2417" s="592"/>
      <c r="F2417" s="3"/>
      <c r="G2417" s="3"/>
      <c r="H2417" s="3"/>
      <c r="I2417" s="3"/>
      <c r="J2417" s="3"/>
      <c r="K2417" s="628">
        <f>SUM(F2417:J2417)</f>
        <v>0</v>
      </c>
      <c r="L2417" s="3"/>
    </row>
    <row r="2418" spans="3:12" ht="17" thickBot="1" x14ac:dyDescent="0.25">
      <c r="C2418" s="683"/>
      <c r="D2418" s="590"/>
      <c r="E2418" s="624"/>
      <c r="F2418" s="69"/>
      <c r="G2418" s="69"/>
      <c r="H2418" s="69"/>
      <c r="I2418" s="69"/>
      <c r="J2418" s="69"/>
      <c r="K2418" s="629"/>
      <c r="L2418" s="3"/>
    </row>
    <row r="2419" spans="3:12" ht="16" thickBot="1" x14ac:dyDescent="0.25">
      <c r="C2419" s="596"/>
      <c r="D2419" s="623" t="s">
        <v>19</v>
      </c>
      <c r="E2419" s="625">
        <f>SUM(E2393:E2416)</f>
        <v>29573.4</v>
      </c>
      <c r="F2419" s="614">
        <f>SUM(F2393:F2418)</f>
        <v>78</v>
      </c>
      <c r="G2419" s="614">
        <f>SUM(G2393:G2418)</f>
        <v>56</v>
      </c>
      <c r="H2419" s="614">
        <f>SUM(H2393:H2418)</f>
        <v>0</v>
      </c>
      <c r="I2419" s="614">
        <f>SUM(I2393:I2418)</f>
        <v>54</v>
      </c>
      <c r="J2419" s="614">
        <f>SUM(J2393:J2418)</f>
        <v>80</v>
      </c>
      <c r="K2419" s="626">
        <f>SUM(F2419:J2419)</f>
        <v>268</v>
      </c>
      <c r="L2419" s="631">
        <f>SUM(L2393:L2418)</f>
        <v>64.5</v>
      </c>
    </row>
    <row r="2420" spans="3:12" x14ac:dyDescent="0.2">
      <c r="C2420" s="596"/>
      <c r="D2420" s="593" t="s">
        <v>113</v>
      </c>
      <c r="E2420" s="620"/>
      <c r="F2420" s="610">
        <f>F2390-F2419</f>
        <v>0</v>
      </c>
      <c r="G2420" s="610">
        <f>G2390-G2419</f>
        <v>1</v>
      </c>
      <c r="H2420" s="610">
        <f>H2390-H2419</f>
        <v>0</v>
      </c>
      <c r="I2420" s="610">
        <f>I2390-I2419</f>
        <v>5</v>
      </c>
      <c r="J2420" s="610">
        <f>J2390-J2419</f>
        <v>1</v>
      </c>
      <c r="K2420" s="636">
        <f>SUM(F2420:J2420)</f>
        <v>7</v>
      </c>
      <c r="L2420" s="3"/>
    </row>
    <row r="2421" spans="3:12" x14ac:dyDescent="0.2">
      <c r="C2421" s="683"/>
      <c r="D2421" s="593" t="s">
        <v>436</v>
      </c>
      <c r="E2421" s="594"/>
      <c r="F2421" s="581"/>
      <c r="G2421" s="581"/>
      <c r="H2421" s="581"/>
      <c r="I2421" s="581"/>
      <c r="J2421" s="581"/>
      <c r="K2421" s="637">
        <f>K2419+K2420</f>
        <v>275</v>
      </c>
      <c r="L2421" s="3"/>
    </row>
    <row r="2423" spans="3:12" ht="18" x14ac:dyDescent="0.2">
      <c r="C2423" s="685" t="s">
        <v>412</v>
      </c>
      <c r="D2423" s="582">
        <v>45728</v>
      </c>
      <c r="E2423" s="800"/>
      <c r="F2423" s="685" t="s">
        <v>83</v>
      </c>
      <c r="G2423" s="801" t="s">
        <v>65</v>
      </c>
      <c r="H2423" s="802"/>
      <c r="I2423" s="802"/>
      <c r="J2423" s="802"/>
      <c r="K2423" s="803"/>
    </row>
    <row r="2424" spans="3:12" x14ac:dyDescent="0.2">
      <c r="C2424" s="804"/>
      <c r="D2424" s="805"/>
      <c r="E2424" s="800"/>
      <c r="F2424" s="683" t="s">
        <v>93</v>
      </c>
      <c r="G2424" s="683" t="s">
        <v>93</v>
      </c>
      <c r="H2424" s="683"/>
      <c r="I2424" s="806"/>
      <c r="J2424" s="806"/>
      <c r="K2424" s="806"/>
    </row>
    <row r="2425" spans="3:12" x14ac:dyDescent="0.2">
      <c r="C2425" s="804"/>
      <c r="D2425" s="805"/>
      <c r="E2425" s="800"/>
      <c r="F2425" s="683" t="s">
        <v>94</v>
      </c>
      <c r="G2425" s="683" t="s">
        <v>95</v>
      </c>
      <c r="H2425" s="683" t="s">
        <v>96</v>
      </c>
      <c r="I2425" s="806"/>
      <c r="J2425" s="806"/>
      <c r="K2425" s="806"/>
    </row>
    <row r="2426" spans="3:12" x14ac:dyDescent="0.2">
      <c r="C2426" s="804"/>
      <c r="D2426" s="805"/>
      <c r="E2426" s="800"/>
      <c r="F2426" s="683"/>
      <c r="G2426" s="683"/>
      <c r="H2426" s="683"/>
      <c r="I2426" s="806"/>
      <c r="J2426" s="806"/>
      <c r="K2426" s="806"/>
    </row>
    <row r="2427" spans="3:12" ht="16" x14ac:dyDescent="0.2">
      <c r="C2427" s="683"/>
      <c r="D2427" s="583" t="s">
        <v>97</v>
      </c>
      <c r="E2427" s="584"/>
      <c r="F2427" s="581"/>
      <c r="G2427" s="585"/>
      <c r="H2427" s="585"/>
      <c r="I2427" s="586"/>
      <c r="J2427" s="586"/>
      <c r="K2427" s="586"/>
    </row>
    <row r="2428" spans="3:12" ht="26" x14ac:dyDescent="0.2">
      <c r="C2428" s="804"/>
      <c r="D2428" s="587"/>
      <c r="E2428" s="588"/>
      <c r="F2428" s="585" t="s">
        <v>383</v>
      </c>
      <c r="G2428" s="585" t="s">
        <v>384</v>
      </c>
      <c r="H2428" s="585" t="s">
        <v>385</v>
      </c>
      <c r="I2428" s="585" t="s">
        <v>386</v>
      </c>
      <c r="J2428" s="585" t="s">
        <v>387</v>
      </c>
      <c r="K2428" s="585" t="s">
        <v>84</v>
      </c>
    </row>
    <row r="2429" spans="3:12" x14ac:dyDescent="0.2">
      <c r="C2429" s="804"/>
      <c r="D2429" s="684" t="s">
        <v>167</v>
      </c>
      <c r="E2429" s="588"/>
      <c r="F2429" s="580">
        <v>12</v>
      </c>
      <c r="G2429" s="579">
        <v>7</v>
      </c>
      <c r="H2429" s="580">
        <v>2</v>
      </c>
      <c r="I2429" s="580">
        <v>5</v>
      </c>
      <c r="J2429" s="580">
        <v>9</v>
      </c>
      <c r="K2429" s="580">
        <f>SUM(F2429:J2429)</f>
        <v>35</v>
      </c>
    </row>
    <row r="2430" spans="3:12" x14ac:dyDescent="0.2">
      <c r="C2430" s="804"/>
      <c r="D2430" s="684" t="s">
        <v>207</v>
      </c>
      <c r="E2430" s="588"/>
      <c r="F2430" s="618">
        <v>84</v>
      </c>
      <c r="G2430" s="619">
        <v>49</v>
      </c>
      <c r="H2430" s="618">
        <v>14</v>
      </c>
      <c r="I2430" s="618">
        <v>55</v>
      </c>
      <c r="J2430" s="618">
        <v>77</v>
      </c>
      <c r="K2430" s="618">
        <f>SUM(F2430:J2430)</f>
        <v>279</v>
      </c>
    </row>
    <row r="2431" spans="3:12" x14ac:dyDescent="0.2">
      <c r="C2431" s="683"/>
      <c r="D2431" s="684" t="s">
        <v>100</v>
      </c>
      <c r="E2431" s="588"/>
      <c r="F2431" s="581"/>
      <c r="G2431" s="581"/>
      <c r="H2431" s="581"/>
      <c r="I2431" s="581"/>
      <c r="J2431" s="581"/>
      <c r="K2431" s="581">
        <f>SUM(F2431:J2431)</f>
        <v>0</v>
      </c>
    </row>
    <row r="2432" spans="3:12" x14ac:dyDescent="0.2">
      <c r="C2432" s="683"/>
      <c r="D2432" s="684" t="s">
        <v>101</v>
      </c>
      <c r="E2432" s="588"/>
      <c r="F2432" s="581"/>
      <c r="G2432" s="581">
        <v>3</v>
      </c>
      <c r="H2432" s="581"/>
      <c r="I2432" s="581">
        <v>1</v>
      </c>
      <c r="J2432" s="581">
        <v>1</v>
      </c>
      <c r="K2432" s="581">
        <f>SUM(F2432:J2432)</f>
        <v>5</v>
      </c>
    </row>
    <row r="2433" spans="3:12" ht="16" thickBot="1" x14ac:dyDescent="0.25">
      <c r="C2433" s="683"/>
      <c r="D2433" s="597" t="s">
        <v>102</v>
      </c>
      <c r="E2433" s="598"/>
      <c r="F2433" s="599"/>
      <c r="G2433" s="600">
        <v>2</v>
      </c>
      <c r="H2433" s="600"/>
      <c r="I2433" s="600">
        <v>5</v>
      </c>
      <c r="J2433" s="600">
        <v>4</v>
      </c>
      <c r="K2433" s="600">
        <f>SUM(F2433:J2433)</f>
        <v>11</v>
      </c>
    </row>
    <row r="2434" spans="3:12" ht="17" thickBot="1" x14ac:dyDescent="0.25">
      <c r="C2434" s="605"/>
      <c r="D2434" s="612" t="s">
        <v>84</v>
      </c>
      <c r="E2434" s="613"/>
      <c r="F2434" s="614">
        <f>(F2430+F2433)-F2432-F2431</f>
        <v>84</v>
      </c>
      <c r="G2434" s="615">
        <f>(G2430+G2433)-G2432-G2431</f>
        <v>48</v>
      </c>
      <c r="H2434" s="616">
        <f>(H2430+H2433)-H2432</f>
        <v>14</v>
      </c>
      <c r="I2434" s="615">
        <f>(I2430+I2433)-I2432-I2431</f>
        <v>59</v>
      </c>
      <c r="J2434" s="622">
        <f>(J2430+J2433)-J2432-J2431</f>
        <v>80</v>
      </c>
      <c r="K2434" s="617">
        <f>(K2430+K2433)-K2432-K2431</f>
        <v>285</v>
      </c>
    </row>
    <row r="2435" spans="3:12" ht="16" x14ac:dyDescent="0.2">
      <c r="C2435" s="683"/>
      <c r="D2435" s="608"/>
      <c r="E2435" s="609"/>
      <c r="F2435" s="610"/>
      <c r="G2435" s="595"/>
      <c r="H2435" s="611"/>
      <c r="I2435" s="595"/>
      <c r="J2435" s="595"/>
      <c r="K2435" s="595"/>
    </row>
    <row r="2436" spans="3:12" ht="16" thickBot="1" x14ac:dyDescent="0.25">
      <c r="C2436" s="606" t="s">
        <v>388</v>
      </c>
      <c r="D2436" s="607" t="s">
        <v>103</v>
      </c>
      <c r="E2436" s="603" t="s">
        <v>84</v>
      </c>
      <c r="F2436" s="602" t="s">
        <v>78</v>
      </c>
      <c r="G2436" s="602" t="s">
        <v>79</v>
      </c>
      <c r="H2436" s="602" t="s">
        <v>81</v>
      </c>
      <c r="I2436" s="601" t="s">
        <v>316</v>
      </c>
      <c r="J2436" s="601" t="s">
        <v>85</v>
      </c>
      <c r="K2436" s="601" t="s">
        <v>84</v>
      </c>
      <c r="L2436" s="174" t="s">
        <v>389</v>
      </c>
    </row>
    <row r="2437" spans="3:12" x14ac:dyDescent="0.2">
      <c r="C2437" s="589" t="s">
        <v>650</v>
      </c>
      <c r="D2437" s="604" t="s">
        <v>105</v>
      </c>
      <c r="E2437" s="591">
        <f>(F2437+G2437+H2437+I2437+J2437)*100+(0*230)</f>
        <v>5600</v>
      </c>
      <c r="F2437" s="3">
        <v>16</v>
      </c>
      <c r="G2437" s="3">
        <v>12</v>
      </c>
      <c r="H2437" s="3">
        <v>4</v>
      </c>
      <c r="I2437" s="3">
        <v>8</v>
      </c>
      <c r="J2437" s="3">
        <v>16</v>
      </c>
      <c r="K2437" s="628">
        <f t="shared" ref="K2437:K2459" si="112">SUM(F2437:J2437)</f>
        <v>56</v>
      </c>
      <c r="L2437" s="630">
        <f>K2437/4</f>
        <v>14</v>
      </c>
    </row>
    <row r="2438" spans="3:12" x14ac:dyDescent="0.2">
      <c r="C2438" s="589" t="s">
        <v>652</v>
      </c>
      <c r="D2438" s="590" t="s">
        <v>390</v>
      </c>
      <c r="E2438" s="591">
        <f>(F2438+G2438+H2438+I2438+J2438)*120</f>
        <v>1200</v>
      </c>
      <c r="F2438" s="3">
        <v>2</v>
      </c>
      <c r="G2438" s="3">
        <v>2</v>
      </c>
      <c r="H2438" s="3">
        <v>2</v>
      </c>
      <c r="I2438" s="3">
        <v>2</v>
      </c>
      <c r="J2438" s="3">
        <v>2</v>
      </c>
      <c r="K2438" s="628">
        <f t="shared" si="112"/>
        <v>10</v>
      </c>
      <c r="L2438" s="630">
        <f t="shared" ref="L2438:L2459" si="113">K2438/4</f>
        <v>2.5</v>
      </c>
    </row>
    <row r="2439" spans="3:12" x14ac:dyDescent="0.2">
      <c r="C2439" s="589"/>
      <c r="D2439" s="590" t="s">
        <v>391</v>
      </c>
      <c r="E2439" s="591">
        <f>(F2439+G2439+H2439+I2439+J2439)*120</f>
        <v>0</v>
      </c>
      <c r="F2439" s="3"/>
      <c r="G2439" s="3"/>
      <c r="H2439" s="3"/>
      <c r="I2439" s="3"/>
      <c r="J2439" s="3"/>
      <c r="K2439" s="628">
        <f t="shared" si="112"/>
        <v>0</v>
      </c>
      <c r="L2439" s="630">
        <f t="shared" si="113"/>
        <v>0</v>
      </c>
    </row>
    <row r="2440" spans="3:12" x14ac:dyDescent="0.2">
      <c r="C2440" s="589"/>
      <c r="D2440" s="590" t="s">
        <v>392</v>
      </c>
      <c r="E2440" s="591">
        <f>(F2440+G2440+H2440+I2440+J2440)*120</f>
        <v>0</v>
      </c>
      <c r="F2440" s="3"/>
      <c r="G2440" s="3"/>
      <c r="H2440" s="3"/>
      <c r="I2440" s="3"/>
      <c r="J2440" s="3"/>
      <c r="K2440" s="628">
        <f t="shared" si="112"/>
        <v>0</v>
      </c>
      <c r="L2440" s="630">
        <f t="shared" si="113"/>
        <v>0</v>
      </c>
    </row>
    <row r="2441" spans="3:12" x14ac:dyDescent="0.2">
      <c r="C2441" s="589"/>
      <c r="D2441" s="590" t="s">
        <v>425</v>
      </c>
      <c r="E2441" s="591">
        <f>(F2441+G2441+H2441+I2441+J2441)*120</f>
        <v>0</v>
      </c>
      <c r="F2441" s="3"/>
      <c r="G2441" s="3"/>
      <c r="H2441" s="3"/>
      <c r="I2441" s="3"/>
      <c r="J2441" s="3"/>
      <c r="K2441" s="628">
        <f t="shared" si="112"/>
        <v>0</v>
      </c>
      <c r="L2441" s="630">
        <f t="shared" si="113"/>
        <v>0</v>
      </c>
    </row>
    <row r="2442" spans="3:12" x14ac:dyDescent="0.2">
      <c r="C2442" s="589"/>
      <c r="D2442" s="590"/>
      <c r="E2442" s="591"/>
      <c r="F2442" s="3"/>
      <c r="G2442" s="3"/>
      <c r="H2442" s="3"/>
      <c r="I2442" s="3"/>
      <c r="J2442" s="3"/>
      <c r="K2442" s="628">
        <f t="shared" si="112"/>
        <v>0</v>
      </c>
      <c r="L2442" s="630">
        <f t="shared" si="113"/>
        <v>0</v>
      </c>
    </row>
    <row r="2443" spans="3:12" x14ac:dyDescent="0.2">
      <c r="C2443" s="589" t="s">
        <v>838</v>
      </c>
      <c r="D2443" s="590" t="s">
        <v>108</v>
      </c>
      <c r="E2443" s="591">
        <f>(F2443+G2443+H2443+J2443)*112.7+(I2443*119.6)</f>
        <v>4112.3999999999996</v>
      </c>
      <c r="F2443" s="3">
        <v>10</v>
      </c>
      <c r="G2443" s="3">
        <v>4</v>
      </c>
      <c r="H2443" s="3">
        <v>4</v>
      </c>
      <c r="I2443" s="3">
        <v>8</v>
      </c>
      <c r="J2443" s="3">
        <v>10</v>
      </c>
      <c r="K2443" s="628">
        <f t="shared" si="112"/>
        <v>36</v>
      </c>
      <c r="L2443" s="630">
        <f t="shared" si="113"/>
        <v>9</v>
      </c>
    </row>
    <row r="2444" spans="3:12" x14ac:dyDescent="0.2">
      <c r="C2444" s="589" t="s">
        <v>837</v>
      </c>
      <c r="D2444" s="590" t="s">
        <v>393</v>
      </c>
      <c r="E2444" s="591">
        <f>(F2444+G2444+H2444+J2444)*112.7+(I2444*119.6)</f>
        <v>2732.4</v>
      </c>
      <c r="F2444" s="3">
        <v>6</v>
      </c>
      <c r="G2444" s="3">
        <v>4</v>
      </c>
      <c r="H2444" s="3">
        <v>4</v>
      </c>
      <c r="I2444" s="3">
        <v>4</v>
      </c>
      <c r="J2444" s="3">
        <v>6</v>
      </c>
      <c r="K2444" s="628">
        <f t="shared" si="112"/>
        <v>24</v>
      </c>
      <c r="L2444" s="630">
        <f t="shared" si="113"/>
        <v>6</v>
      </c>
    </row>
    <row r="2445" spans="3:12" x14ac:dyDescent="0.2">
      <c r="C2445" s="589" t="s">
        <v>836</v>
      </c>
      <c r="D2445" s="590" t="s">
        <v>216</v>
      </c>
      <c r="E2445" s="591">
        <f>(F2445+G2445+H2445+J2445)*112.7+(I2445*119.6)</f>
        <v>2281.6</v>
      </c>
      <c r="F2445" s="3">
        <v>6</v>
      </c>
      <c r="G2445" s="3">
        <v>4</v>
      </c>
      <c r="H2445" s="3"/>
      <c r="I2445" s="3">
        <v>4</v>
      </c>
      <c r="J2445" s="3">
        <v>6</v>
      </c>
      <c r="K2445" s="628">
        <f t="shared" si="112"/>
        <v>20</v>
      </c>
      <c r="L2445" s="630">
        <f t="shared" si="113"/>
        <v>5</v>
      </c>
    </row>
    <row r="2446" spans="3:12" x14ac:dyDescent="0.2">
      <c r="C2446" s="589"/>
      <c r="D2446" s="590"/>
      <c r="E2446" s="591"/>
      <c r="F2446" s="3"/>
      <c r="G2446" s="3"/>
      <c r="H2446" s="3"/>
      <c r="I2446" s="3"/>
      <c r="J2446" s="3"/>
      <c r="K2446" s="628">
        <f t="shared" si="112"/>
        <v>0</v>
      </c>
      <c r="L2446" s="630">
        <f t="shared" si="113"/>
        <v>0</v>
      </c>
    </row>
    <row r="2447" spans="3:12" x14ac:dyDescent="0.2">
      <c r="C2447" s="589"/>
      <c r="D2447" s="590" t="s">
        <v>394</v>
      </c>
      <c r="E2447" s="591">
        <f>(F2447+G2447+H2447+I2447+J2447)*120</f>
        <v>0</v>
      </c>
      <c r="F2447" s="3"/>
      <c r="G2447" s="3"/>
      <c r="H2447" s="3"/>
      <c r="I2447" s="3"/>
      <c r="J2447" s="3"/>
      <c r="K2447" s="628">
        <f t="shared" si="112"/>
        <v>0</v>
      </c>
      <c r="L2447" s="630">
        <f t="shared" si="113"/>
        <v>0</v>
      </c>
    </row>
    <row r="2448" spans="3:12" x14ac:dyDescent="0.2">
      <c r="C2448" s="589" t="s">
        <v>839</v>
      </c>
      <c r="D2448" s="590" t="s">
        <v>110</v>
      </c>
      <c r="E2448" s="591">
        <f>(F2448+G2448+H2448+J2448)*112.7+(I2448*119.6)</f>
        <v>9126.4</v>
      </c>
      <c r="F2448" s="3">
        <v>30</v>
      </c>
      <c r="G2448" s="3">
        <v>16</v>
      </c>
      <c r="H2448" s="3"/>
      <c r="I2448" s="3">
        <v>16</v>
      </c>
      <c r="J2448" s="3">
        <v>18</v>
      </c>
      <c r="K2448" s="628">
        <f t="shared" si="112"/>
        <v>80</v>
      </c>
      <c r="L2448" s="630">
        <f t="shared" si="113"/>
        <v>20</v>
      </c>
    </row>
    <row r="2449" spans="3:12" x14ac:dyDescent="0.2">
      <c r="C2449" s="589"/>
      <c r="D2449" s="590"/>
      <c r="E2449" s="591"/>
      <c r="F2449" s="3"/>
      <c r="G2449" s="3"/>
      <c r="H2449" s="3"/>
      <c r="I2449" s="3"/>
      <c r="J2449" s="3"/>
      <c r="K2449" s="628">
        <f t="shared" si="112"/>
        <v>0</v>
      </c>
      <c r="L2449" s="630">
        <f t="shared" si="113"/>
        <v>0</v>
      </c>
    </row>
    <row r="2450" spans="3:12" x14ac:dyDescent="0.2">
      <c r="C2450" s="589"/>
      <c r="D2450" s="590" t="s">
        <v>381</v>
      </c>
      <c r="E2450" s="591">
        <f>(F2450+G2450+H2450+I2450+J2450)*120+(240*0)+(0*45)</f>
        <v>0</v>
      </c>
      <c r="F2450" s="3"/>
      <c r="G2450" s="3"/>
      <c r="H2450" s="3"/>
      <c r="I2450" s="3"/>
      <c r="J2450" s="3"/>
      <c r="K2450" s="628">
        <f t="shared" si="112"/>
        <v>0</v>
      </c>
      <c r="L2450" s="630">
        <f t="shared" si="113"/>
        <v>0</v>
      </c>
    </row>
    <row r="2451" spans="3:12" x14ac:dyDescent="0.2">
      <c r="C2451" s="589"/>
      <c r="D2451" s="590" t="s">
        <v>276</v>
      </c>
      <c r="E2451" s="591">
        <f>(F2451+G2451+H2451+J2451)*112.7+(I2451*119.6)</f>
        <v>0</v>
      </c>
      <c r="F2451" s="3"/>
      <c r="G2451" s="3"/>
      <c r="H2451" s="3"/>
      <c r="I2451" s="3"/>
      <c r="J2451" s="3"/>
      <c r="K2451" s="628">
        <f t="shared" si="112"/>
        <v>0</v>
      </c>
      <c r="L2451" s="630">
        <f t="shared" si="113"/>
        <v>0</v>
      </c>
    </row>
    <row r="2452" spans="3:12" x14ac:dyDescent="0.2">
      <c r="C2452" s="589"/>
      <c r="D2452" s="590"/>
      <c r="E2452" s="591"/>
      <c r="F2452" s="3"/>
      <c r="G2452" s="3"/>
      <c r="H2452" s="3"/>
      <c r="I2452" s="3"/>
      <c r="J2452" s="3"/>
      <c r="K2452" s="628">
        <f t="shared" si="112"/>
        <v>0</v>
      </c>
      <c r="L2452" s="630">
        <f t="shared" si="113"/>
        <v>0</v>
      </c>
    </row>
    <row r="2453" spans="3:12" x14ac:dyDescent="0.2">
      <c r="C2453" s="589"/>
      <c r="D2453" s="590" t="s">
        <v>75</v>
      </c>
      <c r="E2453" s="591">
        <f>(F2453+G2453+H2453+I2453+J2453)*120</f>
        <v>0</v>
      </c>
      <c r="F2453" s="3"/>
      <c r="G2453" s="3"/>
      <c r="H2453" s="3"/>
      <c r="I2453" s="3"/>
      <c r="J2453" s="3"/>
      <c r="K2453" s="628">
        <f t="shared" si="112"/>
        <v>0</v>
      </c>
      <c r="L2453" s="630">
        <f t="shared" si="113"/>
        <v>0</v>
      </c>
    </row>
    <row r="2454" spans="3:12" x14ac:dyDescent="0.2">
      <c r="C2454" s="589"/>
      <c r="D2454" s="590" t="s">
        <v>278</v>
      </c>
      <c r="E2454" s="591">
        <f>(F2454+G2454+H2454+I2454+J2454)*120</f>
        <v>0</v>
      </c>
      <c r="F2454" s="3"/>
      <c r="G2454" s="3"/>
      <c r="H2454" s="3"/>
      <c r="I2454" s="3"/>
      <c r="J2454" s="3"/>
      <c r="K2454" s="628">
        <f t="shared" si="112"/>
        <v>0</v>
      </c>
      <c r="L2454" s="630">
        <f t="shared" si="113"/>
        <v>0</v>
      </c>
    </row>
    <row r="2455" spans="3:12" x14ac:dyDescent="0.2">
      <c r="C2455" s="589"/>
      <c r="D2455" s="590" t="s">
        <v>270</v>
      </c>
      <c r="E2455" s="591">
        <f>(F2455+G2455+H2455+I2455)*112.7+(J2455*119.6)</f>
        <v>0</v>
      </c>
      <c r="F2455" s="3"/>
      <c r="G2455" s="3"/>
      <c r="H2455" s="3"/>
      <c r="I2455" s="3"/>
      <c r="J2455" s="3"/>
      <c r="K2455" s="628">
        <f t="shared" si="112"/>
        <v>0</v>
      </c>
      <c r="L2455" s="630">
        <f t="shared" si="113"/>
        <v>0</v>
      </c>
    </row>
    <row r="2456" spans="3:12" x14ac:dyDescent="0.2">
      <c r="C2456" s="589"/>
      <c r="D2456" s="590" t="s">
        <v>274</v>
      </c>
      <c r="E2456" s="591">
        <f>(F2456+G2456+H2456+I2456)*112.7+(J2456*119.6)</f>
        <v>0</v>
      </c>
      <c r="F2456" s="3"/>
      <c r="G2456" s="3"/>
      <c r="H2456" s="3"/>
      <c r="I2456" s="3"/>
      <c r="J2456" s="3"/>
      <c r="K2456" s="628">
        <f t="shared" si="112"/>
        <v>0</v>
      </c>
      <c r="L2456" s="630">
        <f t="shared" si="113"/>
        <v>0</v>
      </c>
    </row>
    <row r="2457" spans="3:12" x14ac:dyDescent="0.2">
      <c r="C2457" s="589"/>
      <c r="D2457" s="590" t="s">
        <v>395</v>
      </c>
      <c r="E2457" s="591">
        <f>(F2457+G2457+H2457+I2457)*112.7+(J2457*119.6)</f>
        <v>0</v>
      </c>
      <c r="F2457" s="3"/>
      <c r="G2457" s="3"/>
      <c r="H2457" s="3"/>
      <c r="I2457" s="3"/>
      <c r="J2457" s="3"/>
      <c r="K2457" s="628">
        <f t="shared" si="112"/>
        <v>0</v>
      </c>
      <c r="L2457" s="630">
        <f t="shared" si="113"/>
        <v>0</v>
      </c>
    </row>
    <row r="2458" spans="3:12" x14ac:dyDescent="0.2">
      <c r="C2458" s="683"/>
      <c r="D2458" s="590" t="s">
        <v>112</v>
      </c>
      <c r="E2458" s="591">
        <f>(F2458+G2458+H2458+I2458)*112.7+(J2458*119.6)</f>
        <v>0</v>
      </c>
      <c r="F2458" s="3"/>
      <c r="G2458" s="3"/>
      <c r="H2458" s="3"/>
      <c r="I2458" s="3"/>
      <c r="J2458" s="3"/>
      <c r="K2458" s="628">
        <f t="shared" si="112"/>
        <v>0</v>
      </c>
      <c r="L2458" s="630">
        <f t="shared" si="113"/>
        <v>0</v>
      </c>
    </row>
    <row r="2459" spans="3:12" x14ac:dyDescent="0.2">
      <c r="C2459" s="683"/>
      <c r="D2459" s="590" t="s">
        <v>72</v>
      </c>
      <c r="E2459" s="591">
        <f>(F2459+G2459+H2459+I2459)*112.7+(J2459*119.6)</f>
        <v>0</v>
      </c>
      <c r="F2459" s="3"/>
      <c r="G2459" s="3"/>
      <c r="H2459" s="3"/>
      <c r="I2459" s="3"/>
      <c r="J2459" s="3"/>
      <c r="K2459" s="628">
        <f t="shared" si="112"/>
        <v>0</v>
      </c>
      <c r="L2459" s="630">
        <f t="shared" si="113"/>
        <v>0</v>
      </c>
    </row>
    <row r="2460" spans="3:12" x14ac:dyDescent="0.2">
      <c r="C2460" s="683"/>
      <c r="D2460" s="590" t="s">
        <v>187</v>
      </c>
      <c r="E2460" s="591"/>
      <c r="F2460" s="3"/>
      <c r="G2460" s="3">
        <v>1</v>
      </c>
      <c r="H2460" s="3"/>
      <c r="I2460" s="3"/>
      <c r="J2460" s="3">
        <v>10</v>
      </c>
      <c r="K2460" s="628">
        <f>SUM(F2460:J2460)</f>
        <v>11</v>
      </c>
      <c r="L2460" s="3"/>
    </row>
    <row r="2461" spans="3:12" ht="16" x14ac:dyDescent="0.2">
      <c r="C2461" s="683"/>
      <c r="D2461" s="590" t="s">
        <v>811</v>
      </c>
      <c r="E2461" s="592"/>
      <c r="F2461" s="3"/>
      <c r="G2461" s="3"/>
      <c r="H2461" s="3"/>
      <c r="I2461" s="3"/>
      <c r="J2461" s="3"/>
      <c r="K2461" s="628">
        <f>SUM(F2461:J2461)</f>
        <v>0</v>
      </c>
      <c r="L2461" s="3"/>
    </row>
    <row r="2462" spans="3:12" ht="17" thickBot="1" x14ac:dyDescent="0.25">
      <c r="C2462" s="683"/>
      <c r="D2462" s="590"/>
      <c r="E2462" s="624"/>
      <c r="F2462" s="69"/>
      <c r="G2462" s="69"/>
      <c r="H2462" s="69"/>
      <c r="I2462" s="69"/>
      <c r="J2462" s="69"/>
      <c r="K2462" s="629"/>
      <c r="L2462" s="3"/>
    </row>
    <row r="2463" spans="3:12" ht="16" thickBot="1" x14ac:dyDescent="0.25">
      <c r="C2463" s="596"/>
      <c r="D2463" s="623" t="s">
        <v>19</v>
      </c>
      <c r="E2463" s="625">
        <f>SUM(E2437:E2460)</f>
        <v>25052.799999999999</v>
      </c>
      <c r="F2463" s="614">
        <f>SUM(F2437:F2462)</f>
        <v>70</v>
      </c>
      <c r="G2463" s="614">
        <f>SUM(G2437:G2462)</f>
        <v>43</v>
      </c>
      <c r="H2463" s="614">
        <f>SUM(H2437:H2462)</f>
        <v>14</v>
      </c>
      <c r="I2463" s="614">
        <f>SUM(I2437:I2462)</f>
        <v>42</v>
      </c>
      <c r="J2463" s="614">
        <f>SUM(J2437:J2462)</f>
        <v>68</v>
      </c>
      <c r="K2463" s="626">
        <f>SUM(F2463:J2463)</f>
        <v>237</v>
      </c>
      <c r="L2463" s="631">
        <f>SUM(L2437:L2462)</f>
        <v>56.5</v>
      </c>
    </row>
    <row r="2464" spans="3:12" x14ac:dyDescent="0.2">
      <c r="C2464" s="596"/>
      <c r="D2464" s="593" t="s">
        <v>113</v>
      </c>
      <c r="E2464" s="620"/>
      <c r="F2464" s="610">
        <f>F2434-F2463</f>
        <v>14</v>
      </c>
      <c r="G2464" s="610">
        <f>G2434-G2463</f>
        <v>5</v>
      </c>
      <c r="H2464" s="610">
        <f>H2434-H2463</f>
        <v>0</v>
      </c>
      <c r="I2464" s="610">
        <f>I2434-I2463</f>
        <v>17</v>
      </c>
      <c r="J2464" s="610">
        <f>J2434-J2463</f>
        <v>12</v>
      </c>
      <c r="K2464" s="636">
        <f>SUM(F2464:J2464)</f>
        <v>48</v>
      </c>
      <c r="L2464" s="3"/>
    </row>
    <row r="2465" spans="3:12" x14ac:dyDescent="0.2">
      <c r="C2465" s="683"/>
      <c r="D2465" s="593" t="s">
        <v>436</v>
      </c>
      <c r="E2465" s="594"/>
      <c r="F2465" s="581"/>
      <c r="G2465" s="581"/>
      <c r="H2465" s="581"/>
      <c r="I2465" s="581"/>
      <c r="J2465" s="581"/>
      <c r="K2465" s="637">
        <f>K2463+K2464</f>
        <v>285</v>
      </c>
      <c r="L2465" s="3"/>
    </row>
    <row r="2467" spans="3:12" ht="18" x14ac:dyDescent="0.2">
      <c r="C2467" s="685" t="s">
        <v>412</v>
      </c>
      <c r="D2467" s="582">
        <v>45730</v>
      </c>
      <c r="E2467" s="800"/>
      <c r="F2467" s="685" t="s">
        <v>83</v>
      </c>
      <c r="G2467" s="801" t="s">
        <v>67</v>
      </c>
      <c r="H2467" s="802"/>
      <c r="I2467" s="802"/>
      <c r="J2467" s="802"/>
      <c r="K2467" s="803"/>
    </row>
    <row r="2468" spans="3:12" x14ac:dyDescent="0.2">
      <c r="C2468" s="804"/>
      <c r="D2468" s="805"/>
      <c r="E2468" s="800"/>
      <c r="F2468" s="683" t="s">
        <v>93</v>
      </c>
      <c r="G2468" s="683" t="s">
        <v>93</v>
      </c>
      <c r="H2468" s="683"/>
      <c r="I2468" s="806"/>
      <c r="J2468" s="806"/>
      <c r="K2468" s="806"/>
    </row>
    <row r="2469" spans="3:12" x14ac:dyDescent="0.2">
      <c r="C2469" s="804"/>
      <c r="D2469" s="805"/>
      <c r="E2469" s="800"/>
      <c r="F2469" s="683" t="s">
        <v>94</v>
      </c>
      <c r="G2469" s="683" t="s">
        <v>95</v>
      </c>
      <c r="H2469" s="683" t="s">
        <v>96</v>
      </c>
      <c r="I2469" s="806"/>
      <c r="J2469" s="806"/>
      <c r="K2469" s="806"/>
    </row>
    <row r="2470" spans="3:12" x14ac:dyDescent="0.2">
      <c r="C2470" s="804"/>
      <c r="D2470" s="805"/>
      <c r="E2470" s="800"/>
      <c r="F2470" s="683"/>
      <c r="G2470" s="683"/>
      <c r="H2470" s="683"/>
      <c r="I2470" s="806"/>
      <c r="J2470" s="806"/>
      <c r="K2470" s="806"/>
    </row>
    <row r="2471" spans="3:12" ht="16" x14ac:dyDescent="0.2">
      <c r="C2471" s="683"/>
      <c r="D2471" s="583" t="s">
        <v>97</v>
      </c>
      <c r="E2471" s="584"/>
      <c r="F2471" s="581"/>
      <c r="G2471" s="585"/>
      <c r="H2471" s="585"/>
      <c r="I2471" s="586"/>
      <c r="J2471" s="586"/>
      <c r="K2471" s="586"/>
    </row>
    <row r="2472" spans="3:12" ht="26" x14ac:dyDescent="0.2">
      <c r="C2472" s="804"/>
      <c r="D2472" s="587"/>
      <c r="E2472" s="588"/>
      <c r="F2472" s="585" t="s">
        <v>383</v>
      </c>
      <c r="G2472" s="585" t="s">
        <v>384</v>
      </c>
      <c r="H2472" s="585" t="s">
        <v>385</v>
      </c>
      <c r="I2472" s="585" t="s">
        <v>386</v>
      </c>
      <c r="J2472" s="585" t="s">
        <v>387</v>
      </c>
      <c r="K2472" s="585" t="s">
        <v>84</v>
      </c>
    </row>
    <row r="2473" spans="3:12" x14ac:dyDescent="0.2">
      <c r="C2473" s="804"/>
      <c r="D2473" s="684" t="s">
        <v>167</v>
      </c>
      <c r="E2473" s="588"/>
      <c r="F2473" s="580">
        <v>10</v>
      </c>
      <c r="G2473" s="579">
        <v>7</v>
      </c>
      <c r="H2473" s="580">
        <v>3</v>
      </c>
      <c r="I2473" s="580">
        <v>3</v>
      </c>
      <c r="J2473" s="580">
        <v>8</v>
      </c>
      <c r="K2473" s="580">
        <f>SUM(F2473:J2473)</f>
        <v>31</v>
      </c>
    </row>
    <row r="2474" spans="3:12" x14ac:dyDescent="0.2">
      <c r="C2474" s="804"/>
      <c r="D2474" s="684" t="s">
        <v>207</v>
      </c>
      <c r="E2474" s="588"/>
      <c r="F2474" s="618">
        <v>67</v>
      </c>
      <c r="G2474" s="619">
        <v>45</v>
      </c>
      <c r="H2474" s="618">
        <v>21</v>
      </c>
      <c r="I2474" s="618">
        <v>33</v>
      </c>
      <c r="J2474" s="618">
        <v>72</v>
      </c>
      <c r="K2474" s="618">
        <f>SUM(F2474:J2474)</f>
        <v>238</v>
      </c>
    </row>
    <row r="2475" spans="3:12" x14ac:dyDescent="0.2">
      <c r="C2475" s="683"/>
      <c r="D2475" s="684" t="s">
        <v>100</v>
      </c>
      <c r="E2475" s="588"/>
      <c r="F2475" s="581"/>
      <c r="G2475" s="581"/>
      <c r="H2475" s="581"/>
      <c r="I2475" s="581"/>
      <c r="J2475" s="581"/>
      <c r="K2475" s="581">
        <f>SUM(F2475:J2475)</f>
        <v>0</v>
      </c>
    </row>
    <row r="2476" spans="3:12" x14ac:dyDescent="0.2">
      <c r="C2476" s="683"/>
      <c r="D2476" s="684" t="s">
        <v>101</v>
      </c>
      <c r="E2476" s="588"/>
      <c r="F2476" s="581">
        <v>2</v>
      </c>
      <c r="G2476" s="581">
        <v>2</v>
      </c>
      <c r="H2476" s="581"/>
      <c r="I2476" s="581"/>
      <c r="J2476" s="581"/>
      <c r="K2476" s="581">
        <f>SUM(F2476:J2476)</f>
        <v>4</v>
      </c>
    </row>
    <row r="2477" spans="3:12" ht="16" thickBot="1" x14ac:dyDescent="0.25">
      <c r="C2477" s="683"/>
      <c r="D2477" s="597" t="s">
        <v>102</v>
      </c>
      <c r="E2477" s="598"/>
      <c r="F2477" s="599">
        <v>14</v>
      </c>
      <c r="G2477" s="600">
        <v>5</v>
      </c>
      <c r="H2477" s="600"/>
      <c r="I2477" s="600">
        <v>17</v>
      </c>
      <c r="J2477" s="600">
        <v>12</v>
      </c>
      <c r="K2477" s="600">
        <f>SUM(F2477:J2477)</f>
        <v>48</v>
      </c>
    </row>
    <row r="2478" spans="3:12" ht="17" thickBot="1" x14ac:dyDescent="0.25">
      <c r="C2478" s="605"/>
      <c r="D2478" s="612" t="s">
        <v>84</v>
      </c>
      <c r="E2478" s="613"/>
      <c r="F2478" s="614">
        <f>(F2474+F2477)-F2476-F2475</f>
        <v>79</v>
      </c>
      <c r="G2478" s="615">
        <f>(G2474+G2477)-G2476-G2475</f>
        <v>48</v>
      </c>
      <c r="H2478" s="616">
        <f>(H2474+H2477)-H2476</f>
        <v>21</v>
      </c>
      <c r="I2478" s="615">
        <f>(I2474+I2477)-I2476-I2475</f>
        <v>50</v>
      </c>
      <c r="J2478" s="622">
        <f>(J2474+J2477)-J2476-J2475</f>
        <v>84</v>
      </c>
      <c r="K2478" s="617">
        <f>(K2474+K2477)-K2476-K2475</f>
        <v>282</v>
      </c>
    </row>
    <row r="2479" spans="3:12" ht="16" x14ac:dyDescent="0.2">
      <c r="C2479" s="683"/>
      <c r="D2479" s="608"/>
      <c r="E2479" s="609"/>
      <c r="F2479" s="610"/>
      <c r="G2479" s="595"/>
      <c r="H2479" s="611"/>
      <c r="I2479" s="595"/>
      <c r="J2479" s="595"/>
      <c r="K2479" s="595"/>
    </row>
    <row r="2480" spans="3:12" ht="16" thickBot="1" x14ac:dyDescent="0.25">
      <c r="C2480" s="606" t="s">
        <v>388</v>
      </c>
      <c r="D2480" s="607" t="s">
        <v>103</v>
      </c>
      <c r="E2480" s="603" t="s">
        <v>84</v>
      </c>
      <c r="F2480" s="602" t="s">
        <v>78</v>
      </c>
      <c r="G2480" s="602" t="s">
        <v>79</v>
      </c>
      <c r="H2480" s="602" t="s">
        <v>81</v>
      </c>
      <c r="I2480" s="601" t="s">
        <v>316</v>
      </c>
      <c r="J2480" s="601" t="s">
        <v>85</v>
      </c>
      <c r="K2480" s="601" t="s">
        <v>84</v>
      </c>
      <c r="L2480" s="174" t="s">
        <v>389</v>
      </c>
    </row>
    <row r="2481" spans="3:12" x14ac:dyDescent="0.2">
      <c r="C2481" s="589" t="s">
        <v>653</v>
      </c>
      <c r="D2481" s="604" t="s">
        <v>105</v>
      </c>
      <c r="E2481" s="591">
        <f>(F2481+G2481+H2481+I2481+J2481)*100+(0*230)</f>
        <v>6400</v>
      </c>
      <c r="F2481" s="3">
        <v>19</v>
      </c>
      <c r="G2481" s="3">
        <v>12</v>
      </c>
      <c r="H2481" s="3">
        <v>5</v>
      </c>
      <c r="I2481" s="3">
        <v>8</v>
      </c>
      <c r="J2481" s="3">
        <v>20</v>
      </c>
      <c r="K2481" s="628">
        <f t="shared" ref="K2481:K2503" si="114">SUM(F2481:J2481)</f>
        <v>64</v>
      </c>
      <c r="L2481" s="630">
        <f>K2481/4</f>
        <v>16</v>
      </c>
    </row>
    <row r="2482" spans="3:12" x14ac:dyDescent="0.2">
      <c r="C2482" s="589"/>
      <c r="D2482" s="590" t="s">
        <v>390</v>
      </c>
      <c r="E2482" s="591">
        <f>(F2482+G2482+H2482+I2482+J2482)*120</f>
        <v>0</v>
      </c>
      <c r="F2482" s="3"/>
      <c r="G2482" s="3"/>
      <c r="H2482" s="3"/>
      <c r="I2482" s="3"/>
      <c r="J2482" s="3"/>
      <c r="K2482" s="628">
        <f t="shared" si="114"/>
        <v>0</v>
      </c>
      <c r="L2482" s="630">
        <f t="shared" ref="L2482:L2503" si="115">K2482/4</f>
        <v>0</v>
      </c>
    </row>
    <row r="2483" spans="3:12" x14ac:dyDescent="0.2">
      <c r="C2483" s="589"/>
      <c r="D2483" s="590" t="s">
        <v>391</v>
      </c>
      <c r="E2483" s="591">
        <f>(F2483+G2483+H2483+I2483+J2483)*120</f>
        <v>0</v>
      </c>
      <c r="F2483" s="3"/>
      <c r="G2483" s="3"/>
      <c r="H2483" s="3"/>
      <c r="I2483" s="3"/>
      <c r="J2483" s="3"/>
      <c r="K2483" s="628">
        <f t="shared" si="114"/>
        <v>0</v>
      </c>
      <c r="L2483" s="630">
        <f t="shared" si="115"/>
        <v>0</v>
      </c>
    </row>
    <row r="2484" spans="3:12" x14ac:dyDescent="0.2">
      <c r="C2484" s="589" t="s">
        <v>416</v>
      </c>
      <c r="D2484" s="590" t="s">
        <v>392</v>
      </c>
      <c r="E2484" s="591">
        <f>(F2484+G2484+H2484+I2484+J2484)*120</f>
        <v>2400</v>
      </c>
      <c r="F2484" s="3">
        <v>6</v>
      </c>
      <c r="G2484" s="3">
        <v>2</v>
      </c>
      <c r="H2484" s="3">
        <v>6</v>
      </c>
      <c r="I2484" s="3"/>
      <c r="J2484" s="3">
        <v>6</v>
      </c>
      <c r="K2484" s="628">
        <f t="shared" si="114"/>
        <v>20</v>
      </c>
      <c r="L2484" s="630">
        <f t="shared" si="115"/>
        <v>5</v>
      </c>
    </row>
    <row r="2485" spans="3:12" x14ac:dyDescent="0.2">
      <c r="C2485" s="589"/>
      <c r="D2485" s="590" t="s">
        <v>425</v>
      </c>
      <c r="E2485" s="591">
        <f>(F2485+G2485+H2485+I2485+J2485)*120</f>
        <v>0</v>
      </c>
      <c r="F2485" s="3"/>
      <c r="G2485" s="3"/>
      <c r="H2485" s="3"/>
      <c r="I2485" s="3"/>
      <c r="J2485" s="3"/>
      <c r="K2485" s="628">
        <f t="shared" si="114"/>
        <v>0</v>
      </c>
      <c r="L2485" s="630">
        <f t="shared" si="115"/>
        <v>0</v>
      </c>
    </row>
    <row r="2486" spans="3:12" x14ac:dyDescent="0.2">
      <c r="C2486" s="589"/>
      <c r="D2486" s="590"/>
      <c r="E2486" s="591"/>
      <c r="F2486" s="3"/>
      <c r="G2486" s="3"/>
      <c r="H2486" s="3"/>
      <c r="I2486" s="3"/>
      <c r="J2486" s="3"/>
      <c r="K2486" s="628">
        <f t="shared" si="114"/>
        <v>0</v>
      </c>
      <c r="L2486" s="630">
        <f t="shared" si="115"/>
        <v>0</v>
      </c>
    </row>
    <row r="2487" spans="3:12" x14ac:dyDescent="0.2">
      <c r="C2487" s="589" t="s">
        <v>842</v>
      </c>
      <c r="D2487" s="590" t="s">
        <v>108</v>
      </c>
      <c r="E2487" s="591">
        <f>(F2487+G2487+H2487+J2487)*112.7+(I2487*119.6)</f>
        <v>5014</v>
      </c>
      <c r="F2487" s="3">
        <v>12</v>
      </c>
      <c r="G2487" s="3">
        <v>6</v>
      </c>
      <c r="H2487" s="3">
        <v>6</v>
      </c>
      <c r="I2487" s="3">
        <v>8</v>
      </c>
      <c r="J2487" s="3">
        <v>12</v>
      </c>
      <c r="K2487" s="628">
        <f t="shared" si="114"/>
        <v>44</v>
      </c>
      <c r="L2487" s="630">
        <f t="shared" si="115"/>
        <v>11</v>
      </c>
    </row>
    <row r="2488" spans="3:12" x14ac:dyDescent="0.2">
      <c r="C2488" s="589" t="s">
        <v>841</v>
      </c>
      <c r="D2488" s="590" t="s">
        <v>393</v>
      </c>
      <c r="E2488" s="591">
        <f>(F2488+G2488+H2488+J2488)*112.7+(I2488*119.6)</f>
        <v>2732.4</v>
      </c>
      <c r="F2488" s="3">
        <v>6</v>
      </c>
      <c r="G2488" s="3">
        <v>4</v>
      </c>
      <c r="H2488" s="3">
        <v>4</v>
      </c>
      <c r="I2488" s="3">
        <v>4</v>
      </c>
      <c r="J2488" s="3">
        <v>6</v>
      </c>
      <c r="K2488" s="628">
        <f t="shared" si="114"/>
        <v>24</v>
      </c>
      <c r="L2488" s="630">
        <f t="shared" si="115"/>
        <v>6</v>
      </c>
    </row>
    <row r="2489" spans="3:12" x14ac:dyDescent="0.2">
      <c r="C2489" s="589" t="s">
        <v>840</v>
      </c>
      <c r="D2489" s="590" t="s">
        <v>216</v>
      </c>
      <c r="E2489" s="591">
        <f>(F2489+G2489+H2489+J2489)*112.7+(I2489*119.6)</f>
        <v>3210.8</v>
      </c>
      <c r="F2489" s="3">
        <v>6</v>
      </c>
      <c r="G2489" s="3">
        <v>8</v>
      </c>
      <c r="H2489" s="3"/>
      <c r="I2489" s="3">
        <v>8</v>
      </c>
      <c r="J2489" s="3">
        <v>6</v>
      </c>
      <c r="K2489" s="628">
        <f t="shared" si="114"/>
        <v>28</v>
      </c>
      <c r="L2489" s="630">
        <f t="shared" si="115"/>
        <v>7</v>
      </c>
    </row>
    <row r="2490" spans="3:12" x14ac:dyDescent="0.2">
      <c r="C2490" s="589"/>
      <c r="D2490" s="590"/>
      <c r="E2490" s="591"/>
      <c r="F2490" s="3"/>
      <c r="G2490" s="3"/>
      <c r="H2490" s="3"/>
      <c r="I2490" s="3"/>
      <c r="J2490" s="3"/>
      <c r="K2490" s="628">
        <f t="shared" si="114"/>
        <v>0</v>
      </c>
      <c r="L2490" s="630">
        <f t="shared" si="115"/>
        <v>0</v>
      </c>
    </row>
    <row r="2491" spans="3:12" x14ac:dyDescent="0.2">
      <c r="C2491" s="589"/>
      <c r="D2491" s="590" t="s">
        <v>394</v>
      </c>
      <c r="E2491" s="591">
        <f>(F2491+G2491+H2491+I2491+J2491)*120</f>
        <v>0</v>
      </c>
      <c r="F2491" s="3"/>
      <c r="G2491" s="3"/>
      <c r="H2491" s="3"/>
      <c r="I2491" s="3"/>
      <c r="J2491" s="3"/>
      <c r="K2491" s="628">
        <f t="shared" si="114"/>
        <v>0</v>
      </c>
      <c r="L2491" s="630">
        <f t="shared" si="115"/>
        <v>0</v>
      </c>
    </row>
    <row r="2492" spans="3:12" x14ac:dyDescent="0.2">
      <c r="C2492" s="589" t="s">
        <v>843</v>
      </c>
      <c r="D2492" s="590" t="s">
        <v>110</v>
      </c>
      <c r="E2492" s="591">
        <f>(F2492+G2492+H2492+J2492)*112.7+(I2492*119.6)</f>
        <v>9098.7999999999993</v>
      </c>
      <c r="F2492" s="3">
        <v>30</v>
      </c>
      <c r="G2492" s="3">
        <v>16</v>
      </c>
      <c r="H2492" s="3"/>
      <c r="I2492" s="3">
        <v>12</v>
      </c>
      <c r="J2492" s="3">
        <v>22</v>
      </c>
      <c r="K2492" s="628">
        <f t="shared" si="114"/>
        <v>80</v>
      </c>
      <c r="L2492" s="630">
        <f t="shared" si="115"/>
        <v>20</v>
      </c>
    </row>
    <row r="2493" spans="3:12" x14ac:dyDescent="0.2">
      <c r="C2493" s="589"/>
      <c r="D2493" s="590"/>
      <c r="E2493" s="591"/>
      <c r="F2493" s="3"/>
      <c r="G2493" s="3"/>
      <c r="H2493" s="3"/>
      <c r="I2493" s="3"/>
      <c r="J2493" s="3"/>
      <c r="K2493" s="628">
        <f t="shared" si="114"/>
        <v>0</v>
      </c>
      <c r="L2493" s="630">
        <f t="shared" si="115"/>
        <v>0</v>
      </c>
    </row>
    <row r="2494" spans="3:12" x14ac:dyDescent="0.2">
      <c r="C2494" s="589"/>
      <c r="D2494" s="590" t="s">
        <v>381</v>
      </c>
      <c r="E2494" s="591">
        <f>(F2494+G2494+H2494+I2494+J2494)*120+(240*0)+(0*45)</f>
        <v>0</v>
      </c>
      <c r="F2494" s="3"/>
      <c r="G2494" s="3"/>
      <c r="H2494" s="3"/>
      <c r="I2494" s="3"/>
      <c r="J2494" s="3"/>
      <c r="K2494" s="628">
        <f t="shared" si="114"/>
        <v>0</v>
      </c>
      <c r="L2494" s="630">
        <f t="shared" si="115"/>
        <v>0</v>
      </c>
    </row>
    <row r="2495" spans="3:12" x14ac:dyDescent="0.2">
      <c r="C2495" s="589"/>
      <c r="D2495" s="590" t="s">
        <v>276</v>
      </c>
      <c r="E2495" s="591">
        <f>(F2495+G2495+H2495+J2495)*112.7+(I2495*119.6)</f>
        <v>0</v>
      </c>
      <c r="F2495" s="3"/>
      <c r="G2495" s="3"/>
      <c r="H2495" s="3"/>
      <c r="I2495" s="3"/>
      <c r="J2495" s="3"/>
      <c r="K2495" s="628">
        <f t="shared" si="114"/>
        <v>0</v>
      </c>
      <c r="L2495" s="630">
        <f t="shared" si="115"/>
        <v>0</v>
      </c>
    </row>
    <row r="2496" spans="3:12" x14ac:dyDescent="0.2">
      <c r="C2496" s="589"/>
      <c r="D2496" s="590"/>
      <c r="E2496" s="591"/>
      <c r="F2496" s="3"/>
      <c r="G2496" s="3"/>
      <c r="H2496" s="3"/>
      <c r="I2496" s="3"/>
      <c r="J2496" s="3"/>
      <c r="K2496" s="628">
        <f t="shared" si="114"/>
        <v>0</v>
      </c>
      <c r="L2496" s="630">
        <f t="shared" si="115"/>
        <v>0</v>
      </c>
    </row>
    <row r="2497" spans="3:12" x14ac:dyDescent="0.2">
      <c r="C2497" s="589"/>
      <c r="D2497" s="590" t="s">
        <v>75</v>
      </c>
      <c r="E2497" s="591">
        <f>(F2497+G2497+H2497+I2497+J2497)*120</f>
        <v>0</v>
      </c>
      <c r="F2497" s="3"/>
      <c r="G2497" s="3"/>
      <c r="H2497" s="3"/>
      <c r="I2497" s="3"/>
      <c r="J2497" s="3"/>
      <c r="K2497" s="628">
        <f t="shared" si="114"/>
        <v>0</v>
      </c>
      <c r="L2497" s="630">
        <f t="shared" si="115"/>
        <v>0</v>
      </c>
    </row>
    <row r="2498" spans="3:12" x14ac:dyDescent="0.2">
      <c r="C2498" s="589"/>
      <c r="D2498" s="590" t="s">
        <v>278</v>
      </c>
      <c r="E2498" s="591">
        <f>(F2498+G2498+H2498+I2498+J2498)*120</f>
        <v>0</v>
      </c>
      <c r="F2498" s="3"/>
      <c r="G2498" s="3"/>
      <c r="H2498" s="3"/>
      <c r="I2498" s="3"/>
      <c r="J2498" s="3"/>
      <c r="K2498" s="628">
        <f t="shared" si="114"/>
        <v>0</v>
      </c>
      <c r="L2498" s="630">
        <f t="shared" si="115"/>
        <v>0</v>
      </c>
    </row>
    <row r="2499" spans="3:12" x14ac:dyDescent="0.2">
      <c r="C2499" s="589"/>
      <c r="D2499" s="590" t="s">
        <v>270</v>
      </c>
      <c r="E2499" s="591">
        <f>(F2499+G2499+H2499+I2499)*112.7+(J2499*119.6)</f>
        <v>0</v>
      </c>
      <c r="F2499" s="3"/>
      <c r="G2499" s="3"/>
      <c r="H2499" s="3"/>
      <c r="I2499" s="3"/>
      <c r="J2499" s="3"/>
      <c r="K2499" s="628">
        <f t="shared" si="114"/>
        <v>0</v>
      </c>
      <c r="L2499" s="630">
        <f t="shared" si="115"/>
        <v>0</v>
      </c>
    </row>
    <row r="2500" spans="3:12" x14ac:dyDescent="0.2">
      <c r="C2500" s="589"/>
      <c r="D2500" s="590" t="s">
        <v>274</v>
      </c>
      <c r="E2500" s="591">
        <f>(F2500+G2500+H2500+I2500)*112.7+(J2500*119.6)</f>
        <v>0</v>
      </c>
      <c r="F2500" s="3"/>
      <c r="G2500" s="3"/>
      <c r="H2500" s="3"/>
      <c r="I2500" s="3"/>
      <c r="J2500" s="3"/>
      <c r="K2500" s="628">
        <f t="shared" si="114"/>
        <v>0</v>
      </c>
      <c r="L2500" s="630">
        <f t="shared" si="115"/>
        <v>0</v>
      </c>
    </row>
    <row r="2501" spans="3:12" x14ac:dyDescent="0.2">
      <c r="C2501" s="589"/>
      <c r="D2501" s="590" t="s">
        <v>395</v>
      </c>
      <c r="E2501" s="591">
        <f>(F2501+G2501+H2501+I2501)*112.7+(J2501*119.6)</f>
        <v>0</v>
      </c>
      <c r="F2501" s="3"/>
      <c r="G2501" s="3"/>
      <c r="H2501" s="3"/>
      <c r="I2501" s="3"/>
      <c r="J2501" s="3"/>
      <c r="K2501" s="628">
        <f t="shared" si="114"/>
        <v>0</v>
      </c>
      <c r="L2501" s="630">
        <f t="shared" si="115"/>
        <v>0</v>
      </c>
    </row>
    <row r="2502" spans="3:12" x14ac:dyDescent="0.2">
      <c r="C2502" s="683"/>
      <c r="D2502" s="590" t="s">
        <v>112</v>
      </c>
      <c r="E2502" s="591">
        <f>(F2502+G2502+H2502+I2502)*112.7+(J2502*119.6)</f>
        <v>0</v>
      </c>
      <c r="F2502" s="3"/>
      <c r="G2502" s="3"/>
      <c r="H2502" s="3"/>
      <c r="I2502" s="3"/>
      <c r="J2502" s="3"/>
      <c r="K2502" s="628">
        <f t="shared" si="114"/>
        <v>0</v>
      </c>
      <c r="L2502" s="630">
        <f t="shared" si="115"/>
        <v>0</v>
      </c>
    </row>
    <row r="2503" spans="3:12" x14ac:dyDescent="0.2">
      <c r="C2503" s="683"/>
      <c r="D2503" s="590" t="s">
        <v>72</v>
      </c>
      <c r="E2503" s="591">
        <f>(F2503+G2503+H2503+I2503)*112.7+(J2503*119.6)</f>
        <v>0</v>
      </c>
      <c r="F2503" s="3"/>
      <c r="G2503" s="3"/>
      <c r="H2503" s="3"/>
      <c r="I2503" s="3"/>
      <c r="J2503" s="3"/>
      <c r="K2503" s="628">
        <f t="shared" si="114"/>
        <v>0</v>
      </c>
      <c r="L2503" s="630">
        <f t="shared" si="115"/>
        <v>0</v>
      </c>
    </row>
    <row r="2504" spans="3:12" x14ac:dyDescent="0.2">
      <c r="C2504" s="683"/>
      <c r="D2504" s="590" t="s">
        <v>187</v>
      </c>
      <c r="E2504" s="591"/>
      <c r="F2504" s="3"/>
      <c r="G2504" s="3"/>
      <c r="H2504" s="3"/>
      <c r="I2504" s="3">
        <v>1</v>
      </c>
      <c r="J2504" s="3">
        <v>4</v>
      </c>
      <c r="K2504" s="628">
        <f>SUM(F2504:J2504)</f>
        <v>5</v>
      </c>
      <c r="L2504" s="3"/>
    </row>
    <row r="2505" spans="3:12" ht="16" x14ac:dyDescent="0.2">
      <c r="C2505" s="683"/>
      <c r="D2505" s="590"/>
      <c r="E2505" s="592"/>
      <c r="F2505" s="3"/>
      <c r="G2505" s="3"/>
      <c r="H2505" s="3"/>
      <c r="I2505" s="3"/>
      <c r="J2505" s="3"/>
      <c r="K2505" s="628">
        <f>SUM(F2505:J2505)</f>
        <v>0</v>
      </c>
      <c r="L2505" s="3"/>
    </row>
    <row r="2506" spans="3:12" ht="17" thickBot="1" x14ac:dyDescent="0.25">
      <c r="C2506" s="683"/>
      <c r="D2506" s="590"/>
      <c r="E2506" s="624"/>
      <c r="F2506" s="69"/>
      <c r="G2506" s="69"/>
      <c r="H2506" s="69"/>
      <c r="I2506" s="69"/>
      <c r="J2506" s="69"/>
      <c r="K2506" s="629"/>
      <c r="L2506" s="3"/>
    </row>
    <row r="2507" spans="3:12" ht="16" thickBot="1" x14ac:dyDescent="0.25">
      <c r="C2507" s="596"/>
      <c r="D2507" s="623" t="s">
        <v>19</v>
      </c>
      <c r="E2507" s="625">
        <f>SUM(E2481:E2504)</f>
        <v>28856</v>
      </c>
      <c r="F2507" s="614">
        <f>SUM(F2481:F2506)</f>
        <v>79</v>
      </c>
      <c r="G2507" s="614">
        <f>SUM(G2481:G2506)</f>
        <v>48</v>
      </c>
      <c r="H2507" s="614">
        <f>SUM(H2481:H2506)</f>
        <v>21</v>
      </c>
      <c r="I2507" s="614">
        <f>SUM(I2481:I2506)</f>
        <v>41</v>
      </c>
      <c r="J2507" s="614">
        <f>SUM(J2481:J2506)</f>
        <v>76</v>
      </c>
      <c r="K2507" s="626">
        <f>SUM(F2507:J2507)</f>
        <v>265</v>
      </c>
      <c r="L2507" s="631">
        <f>SUM(L2481:L2506)</f>
        <v>65</v>
      </c>
    </row>
    <row r="2508" spans="3:12" x14ac:dyDescent="0.2">
      <c r="C2508" s="596"/>
      <c r="D2508" s="593" t="s">
        <v>113</v>
      </c>
      <c r="E2508" s="620"/>
      <c r="F2508" s="610">
        <f>F2478-F2507</f>
        <v>0</v>
      </c>
      <c r="G2508" s="610">
        <f>G2478-G2507</f>
        <v>0</v>
      </c>
      <c r="H2508" s="610">
        <f>H2478-H2507</f>
        <v>0</v>
      </c>
      <c r="I2508" s="610">
        <f>I2478-I2507</f>
        <v>9</v>
      </c>
      <c r="J2508" s="610">
        <f>J2478-J2507</f>
        <v>8</v>
      </c>
      <c r="K2508" s="636">
        <f>SUM(F2508:J2508)</f>
        <v>17</v>
      </c>
      <c r="L2508" s="3"/>
    </row>
    <row r="2509" spans="3:12" x14ac:dyDescent="0.2">
      <c r="C2509" s="683"/>
      <c r="D2509" s="593" t="s">
        <v>436</v>
      </c>
      <c r="E2509" s="594"/>
      <c r="F2509" s="581"/>
      <c r="G2509" s="581"/>
      <c r="H2509" s="581"/>
      <c r="I2509" s="581"/>
      <c r="J2509" s="581"/>
      <c r="K2509" s="637">
        <f>K2507+K2508</f>
        <v>282</v>
      </c>
      <c r="L2509" s="3"/>
    </row>
    <row r="2511" spans="3:12" ht="18" x14ac:dyDescent="0.2">
      <c r="C2511" s="685" t="s">
        <v>412</v>
      </c>
      <c r="D2511" s="582">
        <v>45733</v>
      </c>
      <c r="E2511" s="800"/>
      <c r="F2511" s="685" t="s">
        <v>83</v>
      </c>
      <c r="G2511" s="801" t="s">
        <v>63</v>
      </c>
      <c r="H2511" s="802"/>
      <c r="I2511" s="802"/>
      <c r="J2511" s="802"/>
      <c r="K2511" s="803"/>
    </row>
    <row r="2512" spans="3:12" x14ac:dyDescent="0.2">
      <c r="C2512" s="804"/>
      <c r="D2512" s="805"/>
      <c r="E2512" s="800"/>
      <c r="F2512" s="683" t="s">
        <v>93</v>
      </c>
      <c r="G2512" s="683" t="s">
        <v>93</v>
      </c>
      <c r="H2512" s="683"/>
      <c r="I2512" s="806"/>
      <c r="J2512" s="806"/>
      <c r="K2512" s="806"/>
    </row>
    <row r="2513" spans="3:12" x14ac:dyDescent="0.2">
      <c r="C2513" s="804"/>
      <c r="D2513" s="805"/>
      <c r="E2513" s="800"/>
      <c r="F2513" s="683" t="s">
        <v>94</v>
      </c>
      <c r="G2513" s="683" t="s">
        <v>95</v>
      </c>
      <c r="H2513" s="683" t="s">
        <v>96</v>
      </c>
      <c r="I2513" s="806"/>
      <c r="J2513" s="806"/>
      <c r="K2513" s="806"/>
    </row>
    <row r="2514" spans="3:12" x14ac:dyDescent="0.2">
      <c r="C2514" s="804"/>
      <c r="D2514" s="805"/>
      <c r="E2514" s="800"/>
      <c r="F2514" s="683"/>
      <c r="G2514" s="683"/>
      <c r="H2514" s="683"/>
      <c r="I2514" s="806"/>
      <c r="J2514" s="806"/>
      <c r="K2514" s="806"/>
    </row>
    <row r="2515" spans="3:12" ht="16" x14ac:dyDescent="0.2">
      <c r="C2515" s="683"/>
      <c r="D2515" s="583" t="s">
        <v>97</v>
      </c>
      <c r="E2515" s="584"/>
      <c r="F2515" s="581"/>
      <c r="G2515" s="585"/>
      <c r="H2515" s="585"/>
      <c r="I2515" s="586"/>
      <c r="J2515" s="586"/>
      <c r="K2515" s="586"/>
    </row>
    <row r="2516" spans="3:12" ht="26" x14ac:dyDescent="0.2">
      <c r="C2516" s="804"/>
      <c r="D2516" s="587"/>
      <c r="E2516" s="588"/>
      <c r="F2516" s="585" t="s">
        <v>383</v>
      </c>
      <c r="G2516" s="585" t="s">
        <v>384</v>
      </c>
      <c r="H2516" s="585" t="s">
        <v>385</v>
      </c>
      <c r="I2516" s="585" t="s">
        <v>386</v>
      </c>
      <c r="J2516" s="585" t="s">
        <v>387</v>
      </c>
      <c r="K2516" s="585" t="s">
        <v>84</v>
      </c>
    </row>
    <row r="2517" spans="3:12" x14ac:dyDescent="0.2">
      <c r="C2517" s="804"/>
      <c r="D2517" s="684" t="s">
        <v>167</v>
      </c>
      <c r="E2517" s="588"/>
      <c r="F2517" s="580">
        <v>14</v>
      </c>
      <c r="G2517" s="579">
        <v>8</v>
      </c>
      <c r="H2517" s="580">
        <v>4</v>
      </c>
      <c r="I2517" s="580">
        <v>5</v>
      </c>
      <c r="J2517" s="580">
        <v>11</v>
      </c>
      <c r="K2517" s="580">
        <f>SUM(F2517:J2517)</f>
        <v>42</v>
      </c>
    </row>
    <row r="2518" spans="3:12" x14ac:dyDescent="0.2">
      <c r="C2518" s="804"/>
      <c r="D2518" s="684" t="s">
        <v>207</v>
      </c>
      <c r="E2518" s="588"/>
      <c r="F2518" s="618">
        <v>98</v>
      </c>
      <c r="G2518" s="619">
        <v>56</v>
      </c>
      <c r="H2518" s="618">
        <v>28</v>
      </c>
      <c r="I2518" s="618">
        <v>55</v>
      </c>
      <c r="J2518" s="618">
        <v>97</v>
      </c>
      <c r="K2518" s="618">
        <f>SUM(F2518:J2518)</f>
        <v>334</v>
      </c>
    </row>
    <row r="2519" spans="3:12" x14ac:dyDescent="0.2">
      <c r="C2519" s="683"/>
      <c r="D2519" s="684" t="s">
        <v>100</v>
      </c>
      <c r="E2519" s="588"/>
      <c r="F2519" s="581"/>
      <c r="G2519" s="581">
        <v>1</v>
      </c>
      <c r="H2519" s="581">
        <v>1</v>
      </c>
      <c r="I2519" s="581"/>
      <c r="J2519" s="581"/>
      <c r="K2519" s="581">
        <f>SUM(F2519:J2519)</f>
        <v>2</v>
      </c>
    </row>
    <row r="2520" spans="3:12" x14ac:dyDescent="0.2">
      <c r="C2520" s="683"/>
      <c r="D2520" s="684" t="s">
        <v>101</v>
      </c>
      <c r="E2520" s="588"/>
      <c r="F2520" s="581"/>
      <c r="G2520" s="581"/>
      <c r="H2520" s="581"/>
      <c r="I2520" s="581"/>
      <c r="J2520" s="581"/>
      <c r="K2520" s="581">
        <f>SUM(F2520:J2520)</f>
        <v>0</v>
      </c>
    </row>
    <row r="2521" spans="3:12" ht="16" thickBot="1" x14ac:dyDescent="0.25">
      <c r="C2521" s="683"/>
      <c r="D2521" s="597" t="s">
        <v>102</v>
      </c>
      <c r="E2521" s="598"/>
      <c r="F2521" s="599"/>
      <c r="G2521" s="600"/>
      <c r="H2521" s="600"/>
      <c r="I2521" s="600">
        <v>9</v>
      </c>
      <c r="J2521" s="600">
        <v>8</v>
      </c>
      <c r="K2521" s="600">
        <f>SUM(F2521:J2521)</f>
        <v>17</v>
      </c>
    </row>
    <row r="2522" spans="3:12" ht="17" thickBot="1" x14ac:dyDescent="0.25">
      <c r="C2522" s="605"/>
      <c r="D2522" s="612" t="s">
        <v>84</v>
      </c>
      <c r="E2522" s="613"/>
      <c r="F2522" s="614">
        <f>(F2518+F2521)-F2520-F2519</f>
        <v>98</v>
      </c>
      <c r="G2522" s="615">
        <f>(G2518+G2521)-G2520-G2519</f>
        <v>55</v>
      </c>
      <c r="H2522" s="616">
        <f>(H2518+H2521)-H2520</f>
        <v>28</v>
      </c>
      <c r="I2522" s="615">
        <f>(I2518+I2521)-I2520-I2519</f>
        <v>64</v>
      </c>
      <c r="J2522" s="622">
        <f>(J2518+J2521)-J2520-J2519</f>
        <v>105</v>
      </c>
      <c r="K2522" s="617">
        <f>(K2518+K2521)-K2520-K2519</f>
        <v>349</v>
      </c>
    </row>
    <row r="2523" spans="3:12" ht="16" x14ac:dyDescent="0.2">
      <c r="C2523" s="683"/>
      <c r="D2523" s="608"/>
      <c r="E2523" s="609"/>
      <c r="F2523" s="610"/>
      <c r="G2523" s="595"/>
      <c r="H2523" s="611"/>
      <c r="I2523" s="595"/>
      <c r="J2523" s="595"/>
      <c r="K2523" s="595"/>
    </row>
    <row r="2524" spans="3:12" ht="16" thickBot="1" x14ac:dyDescent="0.25">
      <c r="C2524" s="606" t="s">
        <v>388</v>
      </c>
      <c r="D2524" s="607" t="s">
        <v>103</v>
      </c>
      <c r="E2524" s="603" t="s">
        <v>84</v>
      </c>
      <c r="F2524" s="602" t="s">
        <v>78</v>
      </c>
      <c r="G2524" s="602" t="s">
        <v>79</v>
      </c>
      <c r="H2524" s="602" t="s">
        <v>81</v>
      </c>
      <c r="I2524" s="601" t="s">
        <v>316</v>
      </c>
      <c r="J2524" s="601" t="s">
        <v>85</v>
      </c>
      <c r="K2524" s="601" t="s">
        <v>84</v>
      </c>
      <c r="L2524" s="174" t="s">
        <v>389</v>
      </c>
    </row>
    <row r="2525" spans="3:12" x14ac:dyDescent="0.2">
      <c r="C2525" s="589" t="s">
        <v>671</v>
      </c>
      <c r="D2525" s="604" t="s">
        <v>105</v>
      </c>
      <c r="E2525" s="591">
        <f>(F2525+G2525+H2525+I2525+J2525)*100+(0*230)</f>
        <v>6700</v>
      </c>
      <c r="F2525" s="3">
        <v>20</v>
      </c>
      <c r="G2525" s="3">
        <v>12</v>
      </c>
      <c r="H2525" s="3">
        <v>7</v>
      </c>
      <c r="I2525" s="3">
        <v>8</v>
      </c>
      <c r="J2525" s="3">
        <v>20</v>
      </c>
      <c r="K2525" s="628">
        <f t="shared" ref="K2525:K2547" si="116">SUM(F2525:J2525)</f>
        <v>67</v>
      </c>
      <c r="L2525" s="630">
        <f>K2525/4</f>
        <v>16.75</v>
      </c>
    </row>
    <row r="2526" spans="3:12" x14ac:dyDescent="0.2">
      <c r="C2526" s="589" t="s">
        <v>680</v>
      </c>
      <c r="D2526" s="590" t="s">
        <v>390</v>
      </c>
      <c r="E2526" s="591">
        <f>(F2526+G2526+H2526+I2526+J2526)*120</f>
        <v>1440</v>
      </c>
      <c r="F2526" s="3">
        <v>2</v>
      </c>
      <c r="G2526" s="3">
        <v>2</v>
      </c>
      <c r="H2526" s="3">
        <v>2</v>
      </c>
      <c r="I2526" s="3">
        <v>3</v>
      </c>
      <c r="J2526" s="3">
        <v>3</v>
      </c>
      <c r="K2526" s="628">
        <f t="shared" si="116"/>
        <v>12</v>
      </c>
      <c r="L2526" s="630">
        <f t="shared" ref="L2526:L2547" si="117">K2526/4</f>
        <v>3</v>
      </c>
    </row>
    <row r="2527" spans="3:12" x14ac:dyDescent="0.2">
      <c r="C2527" s="589" t="s">
        <v>853</v>
      </c>
      <c r="D2527" s="590" t="s">
        <v>391</v>
      </c>
      <c r="E2527" s="591">
        <f>(F2527+G2527+H2527+I2527+J2527)*120</f>
        <v>3000</v>
      </c>
      <c r="F2527" s="3">
        <v>5</v>
      </c>
      <c r="G2527" s="3">
        <v>5</v>
      </c>
      <c r="H2527" s="3">
        <v>5</v>
      </c>
      <c r="I2527" s="3">
        <v>5</v>
      </c>
      <c r="J2527" s="3">
        <v>5</v>
      </c>
      <c r="K2527" s="628">
        <f t="shared" si="116"/>
        <v>25</v>
      </c>
      <c r="L2527" s="630">
        <f t="shared" si="117"/>
        <v>6.25</v>
      </c>
    </row>
    <row r="2528" spans="3:12" x14ac:dyDescent="0.2">
      <c r="C2528" s="589"/>
      <c r="D2528" s="590" t="s">
        <v>392</v>
      </c>
      <c r="E2528" s="591">
        <f>(F2528+G2528+H2528+I2528+J2528)*120</f>
        <v>0</v>
      </c>
      <c r="F2528" s="3"/>
      <c r="G2528" s="3"/>
      <c r="H2528" s="3"/>
      <c r="I2528" s="3"/>
      <c r="J2528" s="3"/>
      <c r="K2528" s="628">
        <f t="shared" si="116"/>
        <v>0</v>
      </c>
      <c r="L2528" s="630">
        <f t="shared" si="117"/>
        <v>0</v>
      </c>
    </row>
    <row r="2529" spans="3:12" x14ac:dyDescent="0.2">
      <c r="C2529" s="589"/>
      <c r="D2529" s="590" t="s">
        <v>425</v>
      </c>
      <c r="E2529" s="591">
        <f>(F2529+G2529+H2529+I2529+J2529)*120</f>
        <v>0</v>
      </c>
      <c r="F2529" s="3"/>
      <c r="G2529" s="3"/>
      <c r="H2529" s="3"/>
      <c r="I2529" s="3"/>
      <c r="J2529" s="3"/>
      <c r="K2529" s="628">
        <f t="shared" si="116"/>
        <v>0</v>
      </c>
      <c r="L2529" s="630">
        <f t="shared" si="117"/>
        <v>0</v>
      </c>
    </row>
    <row r="2530" spans="3:12" x14ac:dyDescent="0.2">
      <c r="C2530" s="589"/>
      <c r="D2530" s="590"/>
      <c r="E2530" s="591"/>
      <c r="F2530" s="3"/>
      <c r="G2530" s="3"/>
      <c r="H2530" s="3"/>
      <c r="I2530" s="3"/>
      <c r="J2530" s="3"/>
      <c r="K2530" s="628">
        <f t="shared" si="116"/>
        <v>0</v>
      </c>
      <c r="L2530" s="630">
        <f t="shared" si="117"/>
        <v>0</v>
      </c>
    </row>
    <row r="2531" spans="3:12" x14ac:dyDescent="0.2">
      <c r="C2531" s="589" t="s">
        <v>851</v>
      </c>
      <c r="D2531" s="590" t="s">
        <v>108</v>
      </c>
      <c r="E2531" s="591">
        <f>(F2531+G2531+H2531+J2531)*112.7+(I2531*119.6)</f>
        <v>4112.3999999999996</v>
      </c>
      <c r="F2531" s="3">
        <v>10</v>
      </c>
      <c r="G2531" s="3">
        <v>4</v>
      </c>
      <c r="H2531" s="3">
        <v>4</v>
      </c>
      <c r="I2531" s="3">
        <v>8</v>
      </c>
      <c r="J2531" s="3">
        <v>10</v>
      </c>
      <c r="K2531" s="628">
        <f t="shared" si="116"/>
        <v>36</v>
      </c>
      <c r="L2531" s="630">
        <f t="shared" si="117"/>
        <v>9</v>
      </c>
    </row>
    <row r="2532" spans="3:12" x14ac:dyDescent="0.2">
      <c r="C2532" s="589" t="s">
        <v>850</v>
      </c>
      <c r="D2532" s="590" t="s">
        <v>393</v>
      </c>
      <c r="E2532" s="591">
        <f>(F2532+G2532+H2532+J2532)*112.7+(I2532*119.6)</f>
        <v>2732.4</v>
      </c>
      <c r="F2532" s="3">
        <v>6</v>
      </c>
      <c r="G2532" s="3">
        <v>4</v>
      </c>
      <c r="H2532" s="3">
        <v>4</v>
      </c>
      <c r="I2532" s="3">
        <v>4</v>
      </c>
      <c r="J2532" s="3">
        <v>6</v>
      </c>
      <c r="K2532" s="628">
        <f t="shared" si="116"/>
        <v>24</v>
      </c>
      <c r="L2532" s="630">
        <f t="shared" si="117"/>
        <v>6</v>
      </c>
    </row>
    <row r="2533" spans="3:12" x14ac:dyDescent="0.2">
      <c r="C2533" s="589" t="s">
        <v>849</v>
      </c>
      <c r="D2533" s="590" t="s">
        <v>216</v>
      </c>
      <c r="E2533" s="591">
        <f>(F2533+G2533+H2533+J2533)*112.7+(I2533*119.6)</f>
        <v>2732.4</v>
      </c>
      <c r="F2533" s="3">
        <v>8</v>
      </c>
      <c r="G2533" s="3">
        <v>4</v>
      </c>
      <c r="H2533" s="3"/>
      <c r="I2533" s="3">
        <v>4</v>
      </c>
      <c r="J2533" s="3">
        <v>8</v>
      </c>
      <c r="K2533" s="628">
        <f t="shared" si="116"/>
        <v>24</v>
      </c>
      <c r="L2533" s="630">
        <f t="shared" si="117"/>
        <v>6</v>
      </c>
    </row>
    <row r="2534" spans="3:12" x14ac:dyDescent="0.2">
      <c r="C2534" s="589"/>
      <c r="D2534" s="590"/>
      <c r="E2534" s="591"/>
      <c r="F2534" s="3"/>
      <c r="G2534" s="3"/>
      <c r="H2534" s="3"/>
      <c r="I2534" s="3"/>
      <c r="J2534" s="3"/>
      <c r="K2534" s="628">
        <f t="shared" si="116"/>
        <v>0</v>
      </c>
      <c r="L2534" s="630">
        <f t="shared" si="117"/>
        <v>0</v>
      </c>
    </row>
    <row r="2535" spans="3:12" x14ac:dyDescent="0.2">
      <c r="C2535" s="589" t="s">
        <v>848</v>
      </c>
      <c r="D2535" s="590" t="s">
        <v>394</v>
      </c>
      <c r="E2535" s="591">
        <f>(F2535+G2535+H2535+I2535+J2535)*120</f>
        <v>4200</v>
      </c>
      <c r="F2535" s="3">
        <v>10</v>
      </c>
      <c r="G2535" s="3">
        <v>5</v>
      </c>
      <c r="H2535" s="3">
        <v>5</v>
      </c>
      <c r="I2535" s="3">
        <v>5</v>
      </c>
      <c r="J2535" s="3">
        <v>10</v>
      </c>
      <c r="K2535" s="628">
        <f t="shared" si="116"/>
        <v>35</v>
      </c>
      <c r="L2535" s="630">
        <f t="shared" si="117"/>
        <v>8.75</v>
      </c>
    </row>
    <row r="2536" spans="3:12" x14ac:dyDescent="0.2">
      <c r="C2536" s="589" t="s">
        <v>852</v>
      </c>
      <c r="D2536" s="590" t="s">
        <v>110</v>
      </c>
      <c r="E2536" s="591">
        <f>(F2536+G2536+H2536+J2536)*112.7+(I2536*119.6)</f>
        <v>9126.4</v>
      </c>
      <c r="F2536" s="3">
        <v>30</v>
      </c>
      <c r="G2536" s="3">
        <v>16</v>
      </c>
      <c r="H2536" s="3"/>
      <c r="I2536" s="3">
        <v>16</v>
      </c>
      <c r="J2536" s="3">
        <v>18</v>
      </c>
      <c r="K2536" s="628">
        <f t="shared" si="116"/>
        <v>80</v>
      </c>
      <c r="L2536" s="630">
        <f t="shared" si="117"/>
        <v>20</v>
      </c>
    </row>
    <row r="2537" spans="3:12" x14ac:dyDescent="0.2">
      <c r="C2537" s="589"/>
      <c r="D2537" s="590"/>
      <c r="E2537" s="591"/>
      <c r="F2537" s="3"/>
      <c r="G2537" s="3"/>
      <c r="H2537" s="3"/>
      <c r="I2537" s="3"/>
      <c r="J2537" s="3"/>
      <c r="K2537" s="628">
        <f t="shared" si="116"/>
        <v>0</v>
      </c>
      <c r="L2537" s="630">
        <f t="shared" si="117"/>
        <v>0</v>
      </c>
    </row>
    <row r="2538" spans="3:12" x14ac:dyDescent="0.2">
      <c r="C2538" s="589"/>
      <c r="D2538" s="590" t="s">
        <v>381</v>
      </c>
      <c r="E2538" s="591">
        <f>(F2538+G2538+H2538+I2538+J2538)*120+(240*0)+(0*45)</f>
        <v>0</v>
      </c>
      <c r="F2538" s="3"/>
      <c r="G2538" s="3"/>
      <c r="H2538" s="3"/>
      <c r="I2538" s="3"/>
      <c r="J2538" s="3"/>
      <c r="K2538" s="628">
        <f t="shared" si="116"/>
        <v>0</v>
      </c>
      <c r="L2538" s="630">
        <f t="shared" si="117"/>
        <v>0</v>
      </c>
    </row>
    <row r="2539" spans="3:12" x14ac:dyDescent="0.2">
      <c r="C2539" s="589"/>
      <c r="D2539" s="590" t="s">
        <v>276</v>
      </c>
      <c r="E2539" s="591">
        <f>(F2539+G2539+H2539+J2539)*112.7+(I2539*119.6)</f>
        <v>0</v>
      </c>
      <c r="F2539" s="3"/>
      <c r="G2539" s="3"/>
      <c r="H2539" s="3"/>
      <c r="I2539" s="3"/>
      <c r="J2539" s="3"/>
      <c r="K2539" s="628">
        <f t="shared" si="116"/>
        <v>0</v>
      </c>
      <c r="L2539" s="630">
        <f t="shared" si="117"/>
        <v>0</v>
      </c>
    </row>
    <row r="2540" spans="3:12" x14ac:dyDescent="0.2">
      <c r="C2540" s="589"/>
      <c r="D2540" s="590"/>
      <c r="E2540" s="591"/>
      <c r="F2540" s="3"/>
      <c r="G2540" s="3"/>
      <c r="H2540" s="3"/>
      <c r="I2540" s="3"/>
      <c r="J2540" s="3"/>
      <c r="K2540" s="628">
        <f t="shared" si="116"/>
        <v>0</v>
      </c>
      <c r="L2540" s="630">
        <f t="shared" si="117"/>
        <v>0</v>
      </c>
    </row>
    <row r="2541" spans="3:12" x14ac:dyDescent="0.2">
      <c r="C2541" s="589"/>
      <c r="D2541" s="590" t="s">
        <v>75</v>
      </c>
      <c r="E2541" s="591">
        <f>(F2541+G2541+H2541+I2541+J2541)*120</f>
        <v>0</v>
      </c>
      <c r="F2541" s="3"/>
      <c r="G2541" s="3"/>
      <c r="H2541" s="3"/>
      <c r="I2541" s="3"/>
      <c r="J2541" s="3"/>
      <c r="K2541" s="628">
        <f t="shared" si="116"/>
        <v>0</v>
      </c>
      <c r="L2541" s="630">
        <f t="shared" si="117"/>
        <v>0</v>
      </c>
    </row>
    <row r="2542" spans="3:12" x14ac:dyDescent="0.2">
      <c r="C2542" s="589"/>
      <c r="D2542" s="590" t="s">
        <v>278</v>
      </c>
      <c r="E2542" s="591">
        <f>(F2542+G2542+H2542+I2542+J2542)*120</f>
        <v>0</v>
      </c>
      <c r="F2542" s="3"/>
      <c r="G2542" s="3"/>
      <c r="H2542" s="3"/>
      <c r="I2542" s="3"/>
      <c r="J2542" s="3"/>
      <c r="K2542" s="628">
        <f t="shared" si="116"/>
        <v>0</v>
      </c>
      <c r="L2542" s="630">
        <f t="shared" si="117"/>
        <v>0</v>
      </c>
    </row>
    <row r="2543" spans="3:12" x14ac:dyDescent="0.2">
      <c r="C2543" s="589"/>
      <c r="D2543" s="590" t="s">
        <v>270</v>
      </c>
      <c r="E2543" s="591">
        <f>(F2543+G2543+H2543+I2543)*112.7+(J2543*119.6)</f>
        <v>0</v>
      </c>
      <c r="F2543" s="3"/>
      <c r="G2543" s="3"/>
      <c r="H2543" s="3"/>
      <c r="I2543" s="3"/>
      <c r="J2543" s="3"/>
      <c r="K2543" s="628">
        <f t="shared" si="116"/>
        <v>0</v>
      </c>
      <c r="L2543" s="630">
        <f t="shared" si="117"/>
        <v>0</v>
      </c>
    </row>
    <row r="2544" spans="3:12" x14ac:dyDescent="0.2">
      <c r="C2544" s="589"/>
      <c r="D2544" s="590" t="s">
        <v>274</v>
      </c>
      <c r="E2544" s="591">
        <f>(F2544+G2544+H2544+I2544)*112.7+(J2544*119.6)</f>
        <v>0</v>
      </c>
      <c r="F2544" s="3"/>
      <c r="G2544" s="3"/>
      <c r="H2544" s="3"/>
      <c r="I2544" s="3"/>
      <c r="J2544" s="3"/>
      <c r="K2544" s="628">
        <f t="shared" si="116"/>
        <v>0</v>
      </c>
      <c r="L2544" s="630">
        <f t="shared" si="117"/>
        <v>0</v>
      </c>
    </row>
    <row r="2545" spans="3:12" x14ac:dyDescent="0.2">
      <c r="C2545" s="589"/>
      <c r="D2545" s="590" t="s">
        <v>395</v>
      </c>
      <c r="E2545" s="591">
        <f>(F2545+G2545+H2545+I2545)*112.7+(J2545*119.6)</f>
        <v>0</v>
      </c>
      <c r="F2545" s="3"/>
      <c r="G2545" s="3"/>
      <c r="H2545" s="3"/>
      <c r="I2545" s="3"/>
      <c r="J2545" s="3"/>
      <c r="K2545" s="628">
        <f t="shared" si="116"/>
        <v>0</v>
      </c>
      <c r="L2545" s="630">
        <f t="shared" si="117"/>
        <v>0</v>
      </c>
    </row>
    <row r="2546" spans="3:12" x14ac:dyDescent="0.2">
      <c r="C2546" s="683"/>
      <c r="D2546" s="590" t="s">
        <v>112</v>
      </c>
      <c r="E2546" s="591">
        <f>(F2546+G2546+H2546+I2546)*112.7+(J2546*119.6)</f>
        <v>0</v>
      </c>
      <c r="F2546" s="3"/>
      <c r="G2546" s="3"/>
      <c r="H2546" s="3"/>
      <c r="I2546" s="3"/>
      <c r="J2546" s="3"/>
      <c r="K2546" s="628">
        <f t="shared" si="116"/>
        <v>0</v>
      </c>
      <c r="L2546" s="630">
        <f t="shared" si="117"/>
        <v>0</v>
      </c>
    </row>
    <row r="2547" spans="3:12" x14ac:dyDescent="0.2">
      <c r="C2547" s="683"/>
      <c r="D2547" s="590" t="s">
        <v>72</v>
      </c>
      <c r="E2547" s="591">
        <f>(F2547+G2547+H2547+I2547)*112.7+(J2547*119.6)</f>
        <v>0</v>
      </c>
      <c r="F2547" s="3"/>
      <c r="G2547" s="3"/>
      <c r="H2547" s="3"/>
      <c r="I2547" s="3"/>
      <c r="J2547" s="3"/>
      <c r="K2547" s="628">
        <f t="shared" si="116"/>
        <v>0</v>
      </c>
      <c r="L2547" s="630">
        <f t="shared" si="117"/>
        <v>0</v>
      </c>
    </row>
    <row r="2548" spans="3:12" x14ac:dyDescent="0.2">
      <c r="C2548" s="683"/>
      <c r="D2548" s="590" t="s">
        <v>187</v>
      </c>
      <c r="E2548" s="591"/>
      <c r="F2548" s="3"/>
      <c r="G2548" s="3"/>
      <c r="H2548" s="3">
        <v>1</v>
      </c>
      <c r="I2548" s="3">
        <v>3</v>
      </c>
      <c r="J2548" s="3">
        <v>2</v>
      </c>
      <c r="K2548" s="628">
        <f>SUM(F2548:J2548)</f>
        <v>6</v>
      </c>
      <c r="L2548" s="3"/>
    </row>
    <row r="2549" spans="3:12" ht="16" x14ac:dyDescent="0.2">
      <c r="C2549" s="683"/>
      <c r="D2549" s="590"/>
      <c r="E2549" s="592"/>
      <c r="F2549" s="3"/>
      <c r="G2549" s="3"/>
      <c r="H2549" s="3"/>
      <c r="I2549" s="3"/>
      <c r="J2549" s="3"/>
      <c r="K2549" s="628">
        <f>SUM(F2549:J2549)</f>
        <v>0</v>
      </c>
      <c r="L2549" s="3"/>
    </row>
    <row r="2550" spans="3:12" ht="17" thickBot="1" x14ac:dyDescent="0.25">
      <c r="C2550" s="683"/>
      <c r="D2550" s="590"/>
      <c r="E2550" s="624"/>
      <c r="F2550" s="69"/>
      <c r="G2550" s="69"/>
      <c r="H2550" s="69"/>
      <c r="I2550" s="69"/>
      <c r="J2550" s="69"/>
      <c r="K2550" s="629"/>
      <c r="L2550" s="3"/>
    </row>
    <row r="2551" spans="3:12" ht="16" thickBot="1" x14ac:dyDescent="0.25">
      <c r="C2551" s="596"/>
      <c r="D2551" s="623" t="s">
        <v>19</v>
      </c>
      <c r="E2551" s="625">
        <f>SUM(E2525:E2548)</f>
        <v>34043.599999999999</v>
      </c>
      <c r="F2551" s="614">
        <f>SUM(F2525:F2550)</f>
        <v>91</v>
      </c>
      <c r="G2551" s="614">
        <f>SUM(G2525:G2550)</f>
        <v>52</v>
      </c>
      <c r="H2551" s="614">
        <f>SUM(H2525:H2550)</f>
        <v>28</v>
      </c>
      <c r="I2551" s="614">
        <f>SUM(I2525:I2550)</f>
        <v>56</v>
      </c>
      <c r="J2551" s="614">
        <f>SUM(J2525:J2550)</f>
        <v>82</v>
      </c>
      <c r="K2551" s="626">
        <f>SUM(F2551:J2551)</f>
        <v>309</v>
      </c>
      <c r="L2551" s="631">
        <f>SUM(L2525:L2550)</f>
        <v>75.75</v>
      </c>
    </row>
    <row r="2552" spans="3:12" x14ac:dyDescent="0.2">
      <c r="C2552" s="596"/>
      <c r="D2552" s="593" t="s">
        <v>113</v>
      </c>
      <c r="E2552" s="620"/>
      <c r="F2552" s="610">
        <f>F2522-F2551</f>
        <v>7</v>
      </c>
      <c r="G2552" s="610">
        <f>G2522-G2551</f>
        <v>3</v>
      </c>
      <c r="H2552" s="610">
        <f>H2522-H2551</f>
        <v>0</v>
      </c>
      <c r="I2552" s="610">
        <f>I2522-I2551</f>
        <v>8</v>
      </c>
      <c r="J2552" s="610">
        <f>J2522-J2551</f>
        <v>23</v>
      </c>
      <c r="K2552" s="636">
        <f>SUM(F2552:J2552)</f>
        <v>41</v>
      </c>
      <c r="L2552" s="3"/>
    </row>
    <row r="2553" spans="3:12" x14ac:dyDescent="0.2">
      <c r="C2553" s="683"/>
      <c r="D2553" s="593" t="s">
        <v>436</v>
      </c>
      <c r="E2553" s="594"/>
      <c r="F2553" s="581"/>
      <c r="G2553" s="581"/>
      <c r="H2553" s="581"/>
      <c r="I2553" s="581"/>
      <c r="J2553" s="581"/>
      <c r="K2553" s="637">
        <f>K2551+K2552</f>
        <v>350</v>
      </c>
      <c r="L2553" s="3"/>
    </row>
    <row r="2555" spans="3:12" ht="18" x14ac:dyDescent="0.2">
      <c r="C2555" s="685" t="s">
        <v>412</v>
      </c>
      <c r="D2555" s="582">
        <v>45734</v>
      </c>
      <c r="E2555" s="800"/>
      <c r="F2555" s="685" t="s">
        <v>83</v>
      </c>
      <c r="G2555" s="801" t="s">
        <v>64</v>
      </c>
      <c r="H2555" s="802"/>
      <c r="I2555" s="802"/>
      <c r="J2555" s="802"/>
      <c r="K2555" s="803"/>
    </row>
    <row r="2556" spans="3:12" x14ac:dyDescent="0.2">
      <c r="C2556" s="804"/>
      <c r="D2556" s="805"/>
      <c r="E2556" s="800"/>
      <c r="F2556" s="683" t="s">
        <v>93</v>
      </c>
      <c r="G2556" s="683" t="s">
        <v>93</v>
      </c>
      <c r="H2556" s="683"/>
      <c r="I2556" s="806"/>
      <c r="J2556" s="806"/>
      <c r="K2556" s="806"/>
    </row>
    <row r="2557" spans="3:12" x14ac:dyDescent="0.2">
      <c r="C2557" s="804"/>
      <c r="D2557" s="805"/>
      <c r="E2557" s="800"/>
      <c r="F2557" s="683" t="s">
        <v>94</v>
      </c>
      <c r="G2557" s="683" t="s">
        <v>95</v>
      </c>
      <c r="H2557" s="683" t="s">
        <v>96</v>
      </c>
      <c r="I2557" s="806"/>
      <c r="J2557" s="806"/>
      <c r="K2557" s="806"/>
    </row>
    <row r="2558" spans="3:12" x14ac:dyDescent="0.2">
      <c r="C2558" s="804"/>
      <c r="D2558" s="805"/>
      <c r="E2558" s="800"/>
      <c r="F2558" s="683"/>
      <c r="G2558" s="683"/>
      <c r="H2558" s="683"/>
      <c r="I2558" s="806"/>
      <c r="J2558" s="806"/>
      <c r="K2558" s="806"/>
    </row>
    <row r="2559" spans="3:12" ht="16" x14ac:dyDescent="0.2">
      <c r="C2559" s="683"/>
      <c r="D2559" s="583" t="s">
        <v>97</v>
      </c>
      <c r="E2559" s="584"/>
      <c r="F2559" s="581"/>
      <c r="G2559" s="585"/>
      <c r="H2559" s="585"/>
      <c r="I2559" s="586"/>
      <c r="J2559" s="586"/>
      <c r="K2559" s="586"/>
    </row>
    <row r="2560" spans="3:12" ht="26" x14ac:dyDescent="0.2">
      <c r="C2560" s="804"/>
      <c r="D2560" s="587"/>
      <c r="E2560" s="588"/>
      <c r="F2560" s="585" t="s">
        <v>383</v>
      </c>
      <c r="G2560" s="585" t="s">
        <v>384</v>
      </c>
      <c r="H2560" s="585" t="s">
        <v>385</v>
      </c>
      <c r="I2560" s="585" t="s">
        <v>386</v>
      </c>
      <c r="J2560" s="585" t="s">
        <v>387</v>
      </c>
      <c r="K2560" s="585" t="s">
        <v>84</v>
      </c>
    </row>
    <row r="2561" spans="3:12" x14ac:dyDescent="0.2">
      <c r="C2561" s="804"/>
      <c r="D2561" s="684" t="s">
        <v>167</v>
      </c>
      <c r="E2561" s="588"/>
      <c r="F2561" s="580">
        <v>11</v>
      </c>
      <c r="G2561" s="579">
        <v>8</v>
      </c>
      <c r="H2561" s="580"/>
      <c r="I2561" s="580">
        <v>5</v>
      </c>
      <c r="J2561" s="580">
        <v>7</v>
      </c>
      <c r="K2561" s="580">
        <f>SUM(F2561:J2561)</f>
        <v>31</v>
      </c>
    </row>
    <row r="2562" spans="3:12" x14ac:dyDescent="0.2">
      <c r="C2562" s="804"/>
      <c r="D2562" s="684" t="s">
        <v>207</v>
      </c>
      <c r="E2562" s="588"/>
      <c r="F2562" s="618">
        <v>75</v>
      </c>
      <c r="G2562" s="619">
        <v>56</v>
      </c>
      <c r="H2562" s="618"/>
      <c r="I2562" s="618">
        <v>55</v>
      </c>
      <c r="J2562" s="618">
        <v>57</v>
      </c>
      <c r="K2562" s="618">
        <f>SUM(F2562:J2562)</f>
        <v>243</v>
      </c>
    </row>
    <row r="2563" spans="3:12" x14ac:dyDescent="0.2">
      <c r="C2563" s="683"/>
      <c r="D2563" s="684" t="s">
        <v>100</v>
      </c>
      <c r="E2563" s="588"/>
      <c r="F2563" s="581"/>
      <c r="G2563" s="581"/>
      <c r="H2563" s="581"/>
      <c r="I2563" s="581">
        <v>1</v>
      </c>
      <c r="J2563" s="581"/>
      <c r="K2563" s="581">
        <f>SUM(F2563:J2563)</f>
        <v>1</v>
      </c>
    </row>
    <row r="2564" spans="3:12" x14ac:dyDescent="0.2">
      <c r="C2564" s="683"/>
      <c r="D2564" s="684" t="s">
        <v>101</v>
      </c>
      <c r="E2564" s="588"/>
      <c r="F2564" s="581"/>
      <c r="G2564" s="581">
        <v>1</v>
      </c>
      <c r="H2564" s="581"/>
      <c r="I2564" s="581">
        <v>2</v>
      </c>
      <c r="J2564" s="581">
        <v>2</v>
      </c>
      <c r="K2564" s="581">
        <f>SUM(F2564:J2564)</f>
        <v>5</v>
      </c>
    </row>
    <row r="2565" spans="3:12" ht="16" thickBot="1" x14ac:dyDescent="0.25">
      <c r="C2565" s="683"/>
      <c r="D2565" s="597" t="s">
        <v>102</v>
      </c>
      <c r="E2565" s="598"/>
      <c r="F2565" s="599">
        <v>7</v>
      </c>
      <c r="G2565" s="600">
        <v>3</v>
      </c>
      <c r="H2565" s="600"/>
      <c r="I2565" s="600">
        <v>8</v>
      </c>
      <c r="J2565" s="600">
        <v>25</v>
      </c>
      <c r="K2565" s="600">
        <f>SUM(F2565:J2565)</f>
        <v>43</v>
      </c>
    </row>
    <row r="2566" spans="3:12" ht="17" thickBot="1" x14ac:dyDescent="0.25">
      <c r="C2566" s="605"/>
      <c r="D2566" s="612" t="s">
        <v>84</v>
      </c>
      <c r="E2566" s="613"/>
      <c r="F2566" s="614">
        <f>(F2562+F2565)-F2564-F2563</f>
        <v>82</v>
      </c>
      <c r="G2566" s="615">
        <f>(G2562+G2565)-G2564-G2563</f>
        <v>58</v>
      </c>
      <c r="H2566" s="616">
        <f>(H2562+H2565)-H2564</f>
        <v>0</v>
      </c>
      <c r="I2566" s="615">
        <f>(I2562+I2565)-I2564-I2563</f>
        <v>60</v>
      </c>
      <c r="J2566" s="622">
        <f>(J2562+J2565)-J2564-J2563</f>
        <v>80</v>
      </c>
      <c r="K2566" s="617">
        <f>(K2562+K2565)-K2564-K2563</f>
        <v>280</v>
      </c>
    </row>
    <row r="2567" spans="3:12" ht="16" x14ac:dyDescent="0.2">
      <c r="C2567" s="683"/>
      <c r="D2567" s="608"/>
      <c r="E2567" s="609"/>
      <c r="F2567" s="610"/>
      <c r="G2567" s="595"/>
      <c r="H2567" s="611"/>
      <c r="I2567" s="595"/>
      <c r="J2567" s="595"/>
      <c r="K2567" s="595"/>
    </row>
    <row r="2568" spans="3:12" ht="16" thickBot="1" x14ac:dyDescent="0.25">
      <c r="C2568" s="606" t="s">
        <v>388</v>
      </c>
      <c r="D2568" s="607" t="s">
        <v>103</v>
      </c>
      <c r="E2568" s="603" t="s">
        <v>84</v>
      </c>
      <c r="F2568" s="602" t="s">
        <v>78</v>
      </c>
      <c r="G2568" s="602" t="s">
        <v>79</v>
      </c>
      <c r="H2568" s="602" t="s">
        <v>81</v>
      </c>
      <c r="I2568" s="601" t="s">
        <v>316</v>
      </c>
      <c r="J2568" s="601" t="s">
        <v>85</v>
      </c>
      <c r="K2568" s="601" t="s">
        <v>84</v>
      </c>
      <c r="L2568" s="174" t="s">
        <v>389</v>
      </c>
    </row>
    <row r="2569" spans="3:12" x14ac:dyDescent="0.2">
      <c r="C2569" s="589"/>
      <c r="D2569" s="604" t="s">
        <v>105</v>
      </c>
      <c r="E2569" s="591">
        <f>(F2569+G2569+H2569+I2569+J2569)*100+(0*230)</f>
        <v>0</v>
      </c>
      <c r="F2569" s="3"/>
      <c r="G2569" s="3"/>
      <c r="H2569" s="3"/>
      <c r="I2569" s="3"/>
      <c r="J2569" s="3"/>
      <c r="K2569" s="628">
        <f t="shared" ref="K2569:K2591" si="118">SUM(F2569:J2569)</f>
        <v>0</v>
      </c>
      <c r="L2569" s="630">
        <f>K2569/4</f>
        <v>0</v>
      </c>
    </row>
    <row r="2570" spans="3:12" x14ac:dyDescent="0.2">
      <c r="C2570" s="589"/>
      <c r="D2570" s="590" t="s">
        <v>390</v>
      </c>
      <c r="E2570" s="591">
        <f>(F2570+G2570+H2570+I2570+J2570)*120</f>
        <v>0</v>
      </c>
      <c r="F2570" s="3"/>
      <c r="G2570" s="3"/>
      <c r="H2570" s="3"/>
      <c r="I2570" s="3"/>
      <c r="J2570" s="3"/>
      <c r="K2570" s="628">
        <f t="shared" si="118"/>
        <v>0</v>
      </c>
      <c r="L2570" s="630">
        <f t="shared" ref="L2570:L2591" si="119">K2570/4</f>
        <v>0</v>
      </c>
    </row>
    <row r="2571" spans="3:12" x14ac:dyDescent="0.2">
      <c r="C2571" s="589"/>
      <c r="D2571" s="590" t="s">
        <v>391</v>
      </c>
      <c r="E2571" s="591">
        <f>(F2571+G2571+H2571+I2571+J2571)*120</f>
        <v>0</v>
      </c>
      <c r="F2571" s="3"/>
      <c r="G2571" s="3"/>
      <c r="H2571" s="3"/>
      <c r="I2571" s="3"/>
      <c r="J2571" s="3"/>
      <c r="K2571" s="628">
        <f t="shared" si="118"/>
        <v>0</v>
      </c>
      <c r="L2571" s="630">
        <f t="shared" si="119"/>
        <v>0</v>
      </c>
    </row>
    <row r="2572" spans="3:12" x14ac:dyDescent="0.2">
      <c r="C2572" s="589"/>
      <c r="D2572" s="590" t="s">
        <v>392</v>
      </c>
      <c r="E2572" s="591">
        <f>(F2572+G2572+H2572+I2572+J2572)*120</f>
        <v>0</v>
      </c>
      <c r="F2572" s="3"/>
      <c r="G2572" s="3"/>
      <c r="H2572" s="3"/>
      <c r="I2572" s="3"/>
      <c r="J2572" s="3"/>
      <c r="K2572" s="628">
        <f t="shared" si="118"/>
        <v>0</v>
      </c>
      <c r="L2572" s="630">
        <f t="shared" si="119"/>
        <v>0</v>
      </c>
    </row>
    <row r="2573" spans="3:12" x14ac:dyDescent="0.2">
      <c r="C2573" s="589"/>
      <c r="D2573" s="590" t="s">
        <v>425</v>
      </c>
      <c r="E2573" s="591">
        <f>(F2573+G2573+H2573+I2573+J2573)*120</f>
        <v>0</v>
      </c>
      <c r="F2573" s="3"/>
      <c r="G2573" s="3"/>
      <c r="H2573" s="3"/>
      <c r="I2573" s="3"/>
      <c r="J2573" s="3"/>
      <c r="K2573" s="628">
        <f t="shared" si="118"/>
        <v>0</v>
      </c>
      <c r="L2573" s="630">
        <f t="shared" si="119"/>
        <v>0</v>
      </c>
    </row>
    <row r="2574" spans="3:12" x14ac:dyDescent="0.2">
      <c r="C2574" s="589"/>
      <c r="D2574" s="590"/>
      <c r="E2574" s="591"/>
      <c r="F2574" s="3"/>
      <c r="G2574" s="3"/>
      <c r="H2574" s="3"/>
      <c r="I2574" s="3"/>
      <c r="J2574" s="3"/>
      <c r="K2574" s="628">
        <f t="shared" si="118"/>
        <v>0</v>
      </c>
      <c r="L2574" s="630">
        <f t="shared" si="119"/>
        <v>0</v>
      </c>
    </row>
    <row r="2575" spans="3:12" x14ac:dyDescent="0.2">
      <c r="C2575" s="589"/>
      <c r="D2575" s="590" t="s">
        <v>108</v>
      </c>
      <c r="E2575" s="591">
        <f>(F2575+G2575+H2575+J2575)*112.7+(I2575*119.6)</f>
        <v>0</v>
      </c>
      <c r="F2575" s="3"/>
      <c r="G2575" s="3"/>
      <c r="H2575" s="3"/>
      <c r="I2575" s="3"/>
      <c r="J2575" s="3"/>
      <c r="K2575" s="628">
        <f t="shared" si="118"/>
        <v>0</v>
      </c>
      <c r="L2575" s="630">
        <f t="shared" si="119"/>
        <v>0</v>
      </c>
    </row>
    <row r="2576" spans="3:12" x14ac:dyDescent="0.2">
      <c r="C2576" s="589"/>
      <c r="D2576" s="590" t="s">
        <v>393</v>
      </c>
      <c r="E2576" s="591">
        <f>(F2576+G2576+H2576+J2576)*112.7+(I2576*119.6)</f>
        <v>0</v>
      </c>
      <c r="F2576" s="3"/>
      <c r="G2576" s="3"/>
      <c r="H2576" s="3"/>
      <c r="I2576" s="3"/>
      <c r="J2576" s="3"/>
      <c r="K2576" s="628">
        <f t="shared" si="118"/>
        <v>0</v>
      </c>
      <c r="L2576" s="630">
        <f t="shared" si="119"/>
        <v>0</v>
      </c>
    </row>
    <row r="2577" spans="3:12" x14ac:dyDescent="0.2">
      <c r="C2577" s="589"/>
      <c r="D2577" s="590" t="s">
        <v>216</v>
      </c>
      <c r="E2577" s="591">
        <f>(F2577+G2577+H2577+J2577)*112.7+(I2577*119.6)</f>
        <v>0</v>
      </c>
      <c r="F2577" s="3"/>
      <c r="G2577" s="3"/>
      <c r="H2577" s="3"/>
      <c r="I2577" s="3"/>
      <c r="J2577" s="3"/>
      <c r="K2577" s="628">
        <f t="shared" si="118"/>
        <v>0</v>
      </c>
      <c r="L2577" s="630">
        <f t="shared" si="119"/>
        <v>0</v>
      </c>
    </row>
    <row r="2578" spans="3:12" x14ac:dyDescent="0.2">
      <c r="C2578" s="589"/>
      <c r="D2578" s="590"/>
      <c r="E2578" s="591"/>
      <c r="F2578" s="3"/>
      <c r="G2578" s="3"/>
      <c r="H2578" s="3"/>
      <c r="I2578" s="3"/>
      <c r="J2578" s="3"/>
      <c r="K2578" s="628">
        <f t="shared" si="118"/>
        <v>0</v>
      </c>
      <c r="L2578" s="630">
        <f t="shared" si="119"/>
        <v>0</v>
      </c>
    </row>
    <row r="2579" spans="3:12" x14ac:dyDescent="0.2">
      <c r="C2579" s="589"/>
      <c r="D2579" s="590" t="s">
        <v>394</v>
      </c>
      <c r="E2579" s="591">
        <f>(F2579+G2579+H2579+I2579+J2579)*120</f>
        <v>0</v>
      </c>
      <c r="F2579" s="3"/>
      <c r="G2579" s="3"/>
      <c r="H2579" s="3"/>
      <c r="I2579" s="3"/>
      <c r="J2579" s="3"/>
      <c r="K2579" s="628">
        <f t="shared" si="118"/>
        <v>0</v>
      </c>
      <c r="L2579" s="630">
        <f t="shared" si="119"/>
        <v>0</v>
      </c>
    </row>
    <row r="2580" spans="3:12" x14ac:dyDescent="0.2">
      <c r="C2580" s="589"/>
      <c r="D2580" s="590" t="s">
        <v>110</v>
      </c>
      <c r="E2580" s="591">
        <f>(F2580+G2580+H2580+J2580)*112.7+(I2580*119.6)</f>
        <v>0</v>
      </c>
      <c r="F2580" s="3"/>
      <c r="G2580" s="3"/>
      <c r="H2580" s="3"/>
      <c r="I2580" s="3"/>
      <c r="J2580" s="3"/>
      <c r="K2580" s="628">
        <f t="shared" si="118"/>
        <v>0</v>
      </c>
      <c r="L2580" s="630">
        <f t="shared" si="119"/>
        <v>0</v>
      </c>
    </row>
    <row r="2581" spans="3:12" x14ac:dyDescent="0.2">
      <c r="C2581" s="589"/>
      <c r="D2581" s="590"/>
      <c r="E2581" s="591"/>
      <c r="F2581" s="3"/>
      <c r="G2581" s="3"/>
      <c r="H2581" s="3"/>
      <c r="I2581" s="3"/>
      <c r="J2581" s="3"/>
      <c r="K2581" s="628">
        <f t="shared" si="118"/>
        <v>0</v>
      </c>
      <c r="L2581" s="630">
        <f t="shared" si="119"/>
        <v>0</v>
      </c>
    </row>
    <row r="2582" spans="3:12" x14ac:dyDescent="0.2">
      <c r="C2582" s="589"/>
      <c r="D2582" s="590" t="s">
        <v>381</v>
      </c>
      <c r="E2582" s="591">
        <f>(F2582+G2582+H2582+I2582+J2582)*120+(240*0)+(0*45)</f>
        <v>0</v>
      </c>
      <c r="F2582" s="3"/>
      <c r="G2582" s="3"/>
      <c r="H2582" s="3"/>
      <c r="I2582" s="3"/>
      <c r="J2582" s="3"/>
      <c r="K2582" s="628">
        <f t="shared" si="118"/>
        <v>0</v>
      </c>
      <c r="L2582" s="630">
        <f t="shared" si="119"/>
        <v>0</v>
      </c>
    </row>
    <row r="2583" spans="3:12" x14ac:dyDescent="0.2">
      <c r="C2583" s="589"/>
      <c r="D2583" s="590" t="s">
        <v>276</v>
      </c>
      <c r="E2583" s="591">
        <f>(F2583+G2583+H2583+J2583)*112.7+(I2583*119.6)</f>
        <v>0</v>
      </c>
      <c r="F2583" s="3"/>
      <c r="G2583" s="3"/>
      <c r="H2583" s="3"/>
      <c r="I2583" s="3"/>
      <c r="J2583" s="3"/>
      <c r="K2583" s="628">
        <f t="shared" si="118"/>
        <v>0</v>
      </c>
      <c r="L2583" s="630">
        <f t="shared" si="119"/>
        <v>0</v>
      </c>
    </row>
    <row r="2584" spans="3:12" x14ac:dyDescent="0.2">
      <c r="C2584" s="589"/>
      <c r="D2584" s="590"/>
      <c r="E2584" s="591"/>
      <c r="F2584" s="3"/>
      <c r="G2584" s="3"/>
      <c r="H2584" s="3"/>
      <c r="I2584" s="3"/>
      <c r="J2584" s="3"/>
      <c r="K2584" s="628">
        <f t="shared" si="118"/>
        <v>0</v>
      </c>
      <c r="L2584" s="630">
        <f t="shared" si="119"/>
        <v>0</v>
      </c>
    </row>
    <row r="2585" spans="3:12" x14ac:dyDescent="0.2">
      <c r="C2585" s="589"/>
      <c r="D2585" s="590" t="s">
        <v>75</v>
      </c>
      <c r="E2585" s="591">
        <f>(F2585+G2585+H2585+I2585+J2585)*120</f>
        <v>0</v>
      </c>
      <c r="F2585" s="3"/>
      <c r="G2585" s="3"/>
      <c r="H2585" s="3"/>
      <c r="I2585" s="3"/>
      <c r="J2585" s="3"/>
      <c r="K2585" s="628">
        <f t="shared" si="118"/>
        <v>0</v>
      </c>
      <c r="L2585" s="630">
        <f t="shared" si="119"/>
        <v>0</v>
      </c>
    </row>
    <row r="2586" spans="3:12" x14ac:dyDescent="0.2">
      <c r="C2586" s="589"/>
      <c r="D2586" s="590" t="s">
        <v>278</v>
      </c>
      <c r="E2586" s="591">
        <f>(F2586+G2586+H2586+I2586+J2586)*120</f>
        <v>0</v>
      </c>
      <c r="F2586" s="3"/>
      <c r="G2586" s="3"/>
      <c r="H2586" s="3"/>
      <c r="I2586" s="3"/>
      <c r="J2586" s="3"/>
      <c r="K2586" s="628">
        <f t="shared" si="118"/>
        <v>0</v>
      </c>
      <c r="L2586" s="630">
        <f t="shared" si="119"/>
        <v>0</v>
      </c>
    </row>
    <row r="2587" spans="3:12" x14ac:dyDescent="0.2">
      <c r="C2587" s="589" t="s">
        <v>858</v>
      </c>
      <c r="D2587" s="590" t="s">
        <v>270</v>
      </c>
      <c r="E2587" s="591">
        <f>(F2587+G2587+H2587+I2587)*112.7+(J2587*119.6)</f>
        <v>6900</v>
      </c>
      <c r="F2587" s="3">
        <v>20</v>
      </c>
      <c r="G2587" s="3">
        <v>10</v>
      </c>
      <c r="H2587" s="3"/>
      <c r="I2587" s="3">
        <v>10</v>
      </c>
      <c r="J2587" s="3">
        <v>20</v>
      </c>
      <c r="K2587" s="628">
        <f t="shared" si="118"/>
        <v>60</v>
      </c>
      <c r="L2587" s="630">
        <f t="shared" si="119"/>
        <v>15</v>
      </c>
    </row>
    <row r="2588" spans="3:12" x14ac:dyDescent="0.2">
      <c r="C2588" s="589" t="s">
        <v>857</v>
      </c>
      <c r="D2588" s="590" t="s">
        <v>274</v>
      </c>
      <c r="E2588" s="591">
        <f>(F2588+G2588+H2588+I2588)*112.7+(J2588*119.6)</f>
        <v>5506.2</v>
      </c>
      <c r="F2588" s="3">
        <v>14</v>
      </c>
      <c r="G2588" s="3">
        <v>10</v>
      </c>
      <c r="H2588" s="3"/>
      <c r="I2588" s="3">
        <v>10</v>
      </c>
      <c r="J2588" s="3">
        <v>14</v>
      </c>
      <c r="K2588" s="628">
        <f t="shared" si="118"/>
        <v>48</v>
      </c>
      <c r="L2588" s="630">
        <f t="shared" si="119"/>
        <v>12</v>
      </c>
    </row>
    <row r="2589" spans="3:12" x14ac:dyDescent="0.2">
      <c r="C2589" s="589" t="s">
        <v>856</v>
      </c>
      <c r="D2589" s="590" t="s">
        <v>395</v>
      </c>
      <c r="E2589" s="591">
        <f>(F2589+G2589+H2589+I2589)*112.7+(J2589*119.6)</f>
        <v>5506.2</v>
      </c>
      <c r="F2589" s="3">
        <v>14</v>
      </c>
      <c r="G2589" s="3">
        <v>10</v>
      </c>
      <c r="H2589" s="3"/>
      <c r="I2589" s="3">
        <v>10</v>
      </c>
      <c r="J2589" s="3">
        <v>14</v>
      </c>
      <c r="K2589" s="628">
        <f t="shared" si="118"/>
        <v>48</v>
      </c>
      <c r="L2589" s="630">
        <f t="shared" si="119"/>
        <v>12</v>
      </c>
    </row>
    <row r="2590" spans="3:12" x14ac:dyDescent="0.2">
      <c r="C2590" s="683">
        <v>1175036360</v>
      </c>
      <c r="D2590" s="590" t="s">
        <v>112</v>
      </c>
      <c r="E2590" s="591">
        <f>(F2590+G2590+H2590+I2590)*112.7+(J2590*119.6)</f>
        <v>5506.2</v>
      </c>
      <c r="F2590" s="3">
        <v>14</v>
      </c>
      <c r="G2590" s="3">
        <v>10</v>
      </c>
      <c r="H2590" s="3"/>
      <c r="I2590" s="3">
        <v>10</v>
      </c>
      <c r="J2590" s="3">
        <v>14</v>
      </c>
      <c r="K2590" s="628">
        <f t="shared" si="118"/>
        <v>48</v>
      </c>
      <c r="L2590" s="630">
        <f t="shared" si="119"/>
        <v>12</v>
      </c>
    </row>
    <row r="2591" spans="3:12" x14ac:dyDescent="0.2">
      <c r="C2591" s="683">
        <v>1175036358</v>
      </c>
      <c r="D2591" s="590" t="s">
        <v>72</v>
      </c>
      <c r="E2591" s="591">
        <f>(F2591+G2591+H2591+I2591)*112.7+(J2591*119.6)</f>
        <v>5704</v>
      </c>
      <c r="F2591" s="3">
        <v>15</v>
      </c>
      <c r="G2591" s="3">
        <v>15</v>
      </c>
      <c r="H2591" s="3"/>
      <c r="I2591" s="3">
        <v>10</v>
      </c>
      <c r="J2591" s="3">
        <v>10</v>
      </c>
      <c r="K2591" s="628">
        <f t="shared" si="118"/>
        <v>50</v>
      </c>
      <c r="L2591" s="630">
        <f t="shared" si="119"/>
        <v>12.5</v>
      </c>
    </row>
    <row r="2592" spans="3:12" x14ac:dyDescent="0.2">
      <c r="C2592" s="683"/>
      <c r="D2592" s="590" t="s">
        <v>187</v>
      </c>
      <c r="E2592" s="591"/>
      <c r="F2592" s="3"/>
      <c r="G2592" s="3"/>
      <c r="H2592" s="3"/>
      <c r="I2592" s="3"/>
      <c r="J2592" s="3">
        <v>8</v>
      </c>
      <c r="K2592" s="628">
        <f>SUM(F2592:J2592)</f>
        <v>8</v>
      </c>
      <c r="L2592" s="3"/>
    </row>
    <row r="2593" spans="3:12" ht="16" x14ac:dyDescent="0.2">
      <c r="C2593" s="683"/>
      <c r="D2593" s="590"/>
      <c r="E2593" s="592"/>
      <c r="F2593" s="3"/>
      <c r="G2593" s="3"/>
      <c r="H2593" s="3"/>
      <c r="I2593" s="3"/>
      <c r="J2593" s="3"/>
      <c r="K2593" s="628">
        <f>SUM(F2593:J2593)</f>
        <v>0</v>
      </c>
      <c r="L2593" s="3"/>
    </row>
    <row r="2594" spans="3:12" ht="17" thickBot="1" x14ac:dyDescent="0.25">
      <c r="C2594" s="683"/>
      <c r="D2594" s="590"/>
      <c r="E2594" s="624"/>
      <c r="F2594" s="69"/>
      <c r="G2594" s="69"/>
      <c r="H2594" s="69"/>
      <c r="I2594" s="69"/>
      <c r="J2594" s="69"/>
      <c r="K2594" s="629"/>
      <c r="L2594" s="3"/>
    </row>
    <row r="2595" spans="3:12" ht="16" thickBot="1" x14ac:dyDescent="0.25">
      <c r="C2595" s="596"/>
      <c r="D2595" s="623" t="s">
        <v>19</v>
      </c>
      <c r="E2595" s="625">
        <f>SUM(E2569:E2592)</f>
        <v>29122.600000000002</v>
      </c>
      <c r="F2595" s="614">
        <f>SUM(F2569:F2594)</f>
        <v>77</v>
      </c>
      <c r="G2595" s="614">
        <f>SUM(G2569:G2594)</f>
        <v>55</v>
      </c>
      <c r="H2595" s="614">
        <f>SUM(H2569:H2594)</f>
        <v>0</v>
      </c>
      <c r="I2595" s="614">
        <f>SUM(I2569:I2594)</f>
        <v>50</v>
      </c>
      <c r="J2595" s="614">
        <f>SUM(J2569:J2594)</f>
        <v>80</v>
      </c>
      <c r="K2595" s="626">
        <f>SUM(F2595:J2595)</f>
        <v>262</v>
      </c>
      <c r="L2595" s="631">
        <f>SUM(L2569:L2594)</f>
        <v>63.5</v>
      </c>
    </row>
    <row r="2596" spans="3:12" x14ac:dyDescent="0.2">
      <c r="C2596" s="596"/>
      <c r="D2596" s="593" t="s">
        <v>113</v>
      </c>
      <c r="E2596" s="620"/>
      <c r="F2596" s="610">
        <f>F2566-F2595</f>
        <v>5</v>
      </c>
      <c r="G2596" s="610">
        <f>G2566-G2595</f>
        <v>3</v>
      </c>
      <c r="H2596" s="610">
        <f>H2566-H2595</f>
        <v>0</v>
      </c>
      <c r="I2596" s="610">
        <f>I2566-I2595</f>
        <v>10</v>
      </c>
      <c r="J2596" s="610">
        <f>J2566-J2595</f>
        <v>0</v>
      </c>
      <c r="K2596" s="636">
        <f>SUM(F2596:J2596)</f>
        <v>18</v>
      </c>
      <c r="L2596" s="3"/>
    </row>
    <row r="2597" spans="3:12" x14ac:dyDescent="0.2">
      <c r="C2597" s="683"/>
      <c r="D2597" s="593" t="s">
        <v>436</v>
      </c>
      <c r="E2597" s="594"/>
      <c r="F2597" s="581"/>
      <c r="G2597" s="581"/>
      <c r="H2597" s="581"/>
      <c r="I2597" s="581"/>
      <c r="J2597" s="581"/>
      <c r="K2597" s="637">
        <f>K2595+K2596</f>
        <v>280</v>
      </c>
      <c r="L2597" s="3"/>
    </row>
    <row r="2599" spans="3:12" ht="18" x14ac:dyDescent="0.2">
      <c r="C2599" s="685" t="s">
        <v>412</v>
      </c>
      <c r="D2599" s="582">
        <v>45735</v>
      </c>
      <c r="E2599" s="800"/>
      <c r="F2599" s="685" t="s">
        <v>83</v>
      </c>
      <c r="G2599" s="801" t="s">
        <v>65</v>
      </c>
      <c r="H2599" s="802"/>
      <c r="I2599" s="802"/>
      <c r="J2599" s="802"/>
      <c r="K2599" s="803"/>
    </row>
    <row r="2600" spans="3:12" x14ac:dyDescent="0.2">
      <c r="C2600" s="804"/>
      <c r="D2600" s="805"/>
      <c r="E2600" s="800"/>
      <c r="F2600" s="683" t="s">
        <v>93</v>
      </c>
      <c r="G2600" s="683" t="s">
        <v>93</v>
      </c>
      <c r="H2600" s="683"/>
      <c r="I2600" s="806"/>
      <c r="J2600" s="806"/>
      <c r="K2600" s="806"/>
    </row>
    <row r="2601" spans="3:12" x14ac:dyDescent="0.2">
      <c r="C2601" s="804"/>
      <c r="D2601" s="805"/>
      <c r="E2601" s="800"/>
      <c r="F2601" s="683" t="s">
        <v>94</v>
      </c>
      <c r="G2601" s="683" t="s">
        <v>95</v>
      </c>
      <c r="H2601" s="683" t="s">
        <v>96</v>
      </c>
      <c r="I2601" s="806"/>
      <c r="J2601" s="806"/>
      <c r="K2601" s="806"/>
    </row>
    <row r="2602" spans="3:12" x14ac:dyDescent="0.2">
      <c r="C2602" s="804"/>
      <c r="D2602" s="805"/>
      <c r="E2602" s="800"/>
      <c r="F2602" s="683"/>
      <c r="G2602" s="683"/>
      <c r="H2602" s="683"/>
      <c r="I2602" s="806"/>
      <c r="J2602" s="806"/>
      <c r="K2602" s="806"/>
    </row>
    <row r="2603" spans="3:12" ht="16" x14ac:dyDescent="0.2">
      <c r="C2603" s="683"/>
      <c r="D2603" s="583" t="s">
        <v>97</v>
      </c>
      <c r="E2603" s="584"/>
      <c r="F2603" s="581"/>
      <c r="G2603" s="585"/>
      <c r="H2603" s="585"/>
      <c r="I2603" s="586"/>
      <c r="J2603" s="586"/>
      <c r="K2603" s="586"/>
    </row>
    <row r="2604" spans="3:12" ht="26" x14ac:dyDescent="0.2">
      <c r="C2604" s="804"/>
      <c r="D2604" s="587"/>
      <c r="E2604" s="588"/>
      <c r="F2604" s="585" t="s">
        <v>383</v>
      </c>
      <c r="G2604" s="585" t="s">
        <v>384</v>
      </c>
      <c r="H2604" s="585" t="s">
        <v>385</v>
      </c>
      <c r="I2604" s="585" t="s">
        <v>386</v>
      </c>
      <c r="J2604" s="585" t="s">
        <v>387</v>
      </c>
      <c r="K2604" s="585" t="s">
        <v>84</v>
      </c>
    </row>
    <row r="2605" spans="3:12" x14ac:dyDescent="0.2">
      <c r="C2605" s="804"/>
      <c r="D2605" s="684" t="s">
        <v>167</v>
      </c>
      <c r="E2605" s="588"/>
      <c r="F2605" s="580">
        <v>11</v>
      </c>
      <c r="G2605" s="579">
        <v>6</v>
      </c>
      <c r="H2605" s="580">
        <v>2</v>
      </c>
      <c r="I2605" s="580">
        <v>3</v>
      </c>
      <c r="J2605" s="580">
        <v>8</v>
      </c>
      <c r="K2605" s="580">
        <f>SUM(F2605:J2605)</f>
        <v>30</v>
      </c>
    </row>
    <row r="2606" spans="3:12" x14ac:dyDescent="0.2">
      <c r="C2606" s="804"/>
      <c r="D2606" s="684" t="s">
        <v>207</v>
      </c>
      <c r="E2606" s="588"/>
      <c r="F2606" s="618">
        <v>75</v>
      </c>
      <c r="G2606" s="619">
        <v>40</v>
      </c>
      <c r="H2606" s="618">
        <v>14</v>
      </c>
      <c r="I2606" s="618">
        <v>33</v>
      </c>
      <c r="J2606" s="618">
        <v>70</v>
      </c>
      <c r="K2606" s="618">
        <f>SUM(F2606:J2606)</f>
        <v>232</v>
      </c>
    </row>
    <row r="2607" spans="3:12" x14ac:dyDescent="0.2">
      <c r="C2607" s="683"/>
      <c r="D2607" s="684" t="s">
        <v>100</v>
      </c>
      <c r="E2607" s="588"/>
      <c r="F2607" s="581"/>
      <c r="G2607" s="581"/>
      <c r="H2607" s="581"/>
      <c r="I2607" s="581"/>
      <c r="J2607" s="581"/>
      <c r="K2607" s="581">
        <f>SUM(F2607:J2607)</f>
        <v>0</v>
      </c>
    </row>
    <row r="2608" spans="3:12" x14ac:dyDescent="0.2">
      <c r="C2608" s="683"/>
      <c r="D2608" s="684" t="s">
        <v>101</v>
      </c>
      <c r="E2608" s="588"/>
      <c r="F2608" s="581">
        <v>1</v>
      </c>
      <c r="G2608" s="581"/>
      <c r="H2608" s="581">
        <v>2</v>
      </c>
      <c r="I2608" s="581"/>
      <c r="J2608" s="581">
        <v>1</v>
      </c>
      <c r="K2608" s="581">
        <f>SUM(F2608:J2608)</f>
        <v>4</v>
      </c>
    </row>
    <row r="2609" spans="3:12" ht="16" thickBot="1" x14ac:dyDescent="0.25">
      <c r="C2609" s="683"/>
      <c r="D2609" s="597" t="s">
        <v>102</v>
      </c>
      <c r="E2609" s="598"/>
      <c r="F2609" s="599">
        <v>5</v>
      </c>
      <c r="G2609" s="600">
        <v>3</v>
      </c>
      <c r="H2609" s="600"/>
      <c r="I2609" s="600">
        <v>10</v>
      </c>
      <c r="J2609" s="600"/>
      <c r="K2609" s="600">
        <f>SUM(F2609:J2609)</f>
        <v>18</v>
      </c>
    </row>
    <row r="2610" spans="3:12" ht="17" thickBot="1" x14ac:dyDescent="0.25">
      <c r="C2610" s="605"/>
      <c r="D2610" s="612" t="s">
        <v>84</v>
      </c>
      <c r="E2610" s="613"/>
      <c r="F2610" s="614">
        <f>(F2606+F2609)-F2608-F2607</f>
        <v>79</v>
      </c>
      <c r="G2610" s="615">
        <f>(G2606+G2609)-G2608-G2607</f>
        <v>43</v>
      </c>
      <c r="H2610" s="616">
        <f>(H2606+H2609)-H2608</f>
        <v>12</v>
      </c>
      <c r="I2610" s="615">
        <f>(I2606+I2609)-I2608-I2607</f>
        <v>43</v>
      </c>
      <c r="J2610" s="622">
        <f>(J2606+J2609)-J2608-J2607</f>
        <v>69</v>
      </c>
      <c r="K2610" s="617">
        <f>(K2606+K2609)-K2608-K2607</f>
        <v>246</v>
      </c>
    </row>
    <row r="2611" spans="3:12" ht="16" x14ac:dyDescent="0.2">
      <c r="C2611" s="683"/>
      <c r="D2611" s="608"/>
      <c r="E2611" s="609"/>
      <c r="F2611" s="610"/>
      <c r="G2611" s="595"/>
      <c r="H2611" s="611"/>
      <c r="I2611" s="595"/>
      <c r="J2611" s="595"/>
      <c r="K2611" s="595"/>
    </row>
    <row r="2612" spans="3:12" ht="16" thickBot="1" x14ac:dyDescent="0.25">
      <c r="C2612" s="606" t="s">
        <v>388</v>
      </c>
      <c r="D2612" s="607" t="s">
        <v>103</v>
      </c>
      <c r="E2612" s="603" t="s">
        <v>84</v>
      </c>
      <c r="F2612" s="602" t="s">
        <v>78</v>
      </c>
      <c r="G2612" s="602" t="s">
        <v>79</v>
      </c>
      <c r="H2612" s="602" t="s">
        <v>81</v>
      </c>
      <c r="I2612" s="601" t="s">
        <v>316</v>
      </c>
      <c r="J2612" s="601" t="s">
        <v>85</v>
      </c>
      <c r="K2612" s="601" t="s">
        <v>84</v>
      </c>
      <c r="L2612" s="174" t="s">
        <v>389</v>
      </c>
    </row>
    <row r="2613" spans="3:12" x14ac:dyDescent="0.2">
      <c r="C2613" s="589"/>
      <c r="D2613" s="604" t="s">
        <v>105</v>
      </c>
      <c r="E2613" s="591">
        <f>(F2613+G2613+H2613+I2613+J2613)*100+(0*230)</f>
        <v>5200</v>
      </c>
      <c r="F2613" s="3">
        <v>16</v>
      </c>
      <c r="G2613" s="3">
        <v>12</v>
      </c>
      <c r="H2613" s="3">
        <v>4</v>
      </c>
      <c r="I2613" s="3">
        <v>4</v>
      </c>
      <c r="J2613" s="3">
        <v>16</v>
      </c>
      <c r="K2613" s="628">
        <f t="shared" ref="K2613:K2635" si="120">SUM(F2613:J2613)</f>
        <v>52</v>
      </c>
      <c r="L2613" s="630">
        <f>K2613/4</f>
        <v>13</v>
      </c>
    </row>
    <row r="2614" spans="3:12" x14ac:dyDescent="0.2">
      <c r="C2614" s="589"/>
      <c r="D2614" s="590" t="s">
        <v>390</v>
      </c>
      <c r="E2614" s="591">
        <f>(F2614+G2614+H2614+I2614+J2614)*120</f>
        <v>0</v>
      </c>
      <c r="F2614" s="3"/>
      <c r="G2614" s="3"/>
      <c r="H2614" s="3"/>
      <c r="I2614" s="3"/>
      <c r="J2614" s="3"/>
      <c r="K2614" s="628">
        <f t="shared" si="120"/>
        <v>0</v>
      </c>
      <c r="L2614" s="630">
        <f t="shared" ref="L2614:L2635" si="121">K2614/4</f>
        <v>0</v>
      </c>
    </row>
    <row r="2615" spans="3:12" x14ac:dyDescent="0.2">
      <c r="C2615" s="589"/>
      <c r="D2615" s="590" t="s">
        <v>391</v>
      </c>
      <c r="E2615" s="591">
        <f>(F2615+G2615+H2615+I2615+J2615)*120</f>
        <v>0</v>
      </c>
      <c r="F2615" s="3"/>
      <c r="G2615" s="3"/>
      <c r="H2615" s="3"/>
      <c r="I2615" s="3"/>
      <c r="J2615" s="3"/>
      <c r="K2615" s="628">
        <f t="shared" si="120"/>
        <v>0</v>
      </c>
      <c r="L2615" s="630">
        <f t="shared" si="121"/>
        <v>0</v>
      </c>
    </row>
    <row r="2616" spans="3:12" x14ac:dyDescent="0.2">
      <c r="C2616" s="589"/>
      <c r="D2616" s="590" t="s">
        <v>392</v>
      </c>
      <c r="E2616" s="591">
        <f>(F2616+G2616+H2616+I2616+J2616)*120</f>
        <v>0</v>
      </c>
      <c r="F2616" s="3"/>
      <c r="G2616" s="3"/>
      <c r="H2616" s="3"/>
      <c r="I2616" s="3"/>
      <c r="J2616" s="3"/>
      <c r="K2616" s="628">
        <f t="shared" si="120"/>
        <v>0</v>
      </c>
      <c r="L2616" s="630">
        <f t="shared" si="121"/>
        <v>0</v>
      </c>
    </row>
    <row r="2617" spans="3:12" x14ac:dyDescent="0.2">
      <c r="C2617" s="589"/>
      <c r="D2617" s="590" t="s">
        <v>425</v>
      </c>
      <c r="E2617" s="591">
        <f>(F2617+G2617+H2617+I2617+J2617)*120</f>
        <v>0</v>
      </c>
      <c r="F2617" s="3"/>
      <c r="G2617" s="3"/>
      <c r="H2617" s="3"/>
      <c r="I2617" s="3"/>
      <c r="J2617" s="3"/>
      <c r="K2617" s="628">
        <f t="shared" si="120"/>
        <v>0</v>
      </c>
      <c r="L2617" s="630">
        <f t="shared" si="121"/>
        <v>0</v>
      </c>
    </row>
    <row r="2618" spans="3:12" x14ac:dyDescent="0.2">
      <c r="C2618" s="589"/>
      <c r="D2618" s="590"/>
      <c r="E2618" s="591"/>
      <c r="F2618" s="3"/>
      <c r="G2618" s="3"/>
      <c r="H2618" s="3"/>
      <c r="I2618" s="3"/>
      <c r="J2618" s="3"/>
      <c r="K2618" s="628">
        <f t="shared" si="120"/>
        <v>0</v>
      </c>
      <c r="L2618" s="630">
        <f t="shared" si="121"/>
        <v>0</v>
      </c>
    </row>
    <row r="2619" spans="3:12" x14ac:dyDescent="0.2">
      <c r="C2619" s="589" t="s">
        <v>871</v>
      </c>
      <c r="D2619" s="590" t="s">
        <v>108</v>
      </c>
      <c r="E2619" s="591">
        <f>(F2619+G2619+H2619+J2619)*112.7+(I2619*119.6)</f>
        <v>3661.6000000000004</v>
      </c>
      <c r="F2619" s="3">
        <v>8</v>
      </c>
      <c r="G2619" s="3">
        <v>4</v>
      </c>
      <c r="H2619" s="3">
        <v>4</v>
      </c>
      <c r="I2619" s="3">
        <v>8</v>
      </c>
      <c r="J2619" s="3">
        <v>8</v>
      </c>
      <c r="K2619" s="628">
        <f t="shared" si="120"/>
        <v>32</v>
      </c>
      <c r="L2619" s="630">
        <f t="shared" si="121"/>
        <v>8</v>
      </c>
    </row>
    <row r="2620" spans="3:12" x14ac:dyDescent="0.2">
      <c r="C2620" s="589" t="s">
        <v>870</v>
      </c>
      <c r="D2620" s="590" t="s">
        <v>393</v>
      </c>
      <c r="E2620" s="591">
        <f>(F2620+G2620+H2620+J2620)*112.7+(I2620*119.6)</f>
        <v>2732.4</v>
      </c>
      <c r="F2620" s="3">
        <v>6</v>
      </c>
      <c r="G2620" s="3">
        <v>4</v>
      </c>
      <c r="H2620" s="3">
        <v>4</v>
      </c>
      <c r="I2620" s="3">
        <v>4</v>
      </c>
      <c r="J2620" s="3">
        <v>6</v>
      </c>
      <c r="K2620" s="628">
        <f t="shared" si="120"/>
        <v>24</v>
      </c>
      <c r="L2620" s="630">
        <f t="shared" si="121"/>
        <v>6</v>
      </c>
    </row>
    <row r="2621" spans="3:12" x14ac:dyDescent="0.2">
      <c r="C2621" s="589" t="s">
        <v>869</v>
      </c>
      <c r="D2621" s="590" t="s">
        <v>216</v>
      </c>
      <c r="E2621" s="591">
        <f>(F2621+G2621+H2621+J2621)*112.7+(I2621*119.6)</f>
        <v>2281.6</v>
      </c>
      <c r="F2621" s="3">
        <v>6</v>
      </c>
      <c r="G2621" s="3">
        <v>4</v>
      </c>
      <c r="H2621" s="3"/>
      <c r="I2621" s="3">
        <v>4</v>
      </c>
      <c r="J2621" s="3">
        <v>6</v>
      </c>
      <c r="K2621" s="628">
        <f t="shared" si="120"/>
        <v>20</v>
      </c>
      <c r="L2621" s="630">
        <f t="shared" si="121"/>
        <v>5</v>
      </c>
    </row>
    <row r="2622" spans="3:12" x14ac:dyDescent="0.2">
      <c r="C2622" s="589"/>
      <c r="D2622" s="590"/>
      <c r="E2622" s="591"/>
      <c r="F2622" s="3"/>
      <c r="G2622" s="3"/>
      <c r="H2622" s="3"/>
      <c r="I2622" s="3"/>
      <c r="J2622" s="3"/>
      <c r="K2622" s="628">
        <f t="shared" si="120"/>
        <v>0</v>
      </c>
      <c r="L2622" s="630">
        <f t="shared" si="121"/>
        <v>0</v>
      </c>
    </row>
    <row r="2623" spans="3:12" x14ac:dyDescent="0.2">
      <c r="C2623" s="589"/>
      <c r="D2623" s="590" t="s">
        <v>394</v>
      </c>
      <c r="E2623" s="591">
        <f>(F2623+G2623+H2623+I2623+J2623)*120</f>
        <v>0</v>
      </c>
      <c r="F2623" s="3"/>
      <c r="G2623" s="3"/>
      <c r="H2623" s="3"/>
      <c r="I2623" s="3"/>
      <c r="J2623" s="3"/>
      <c r="K2623" s="628">
        <f t="shared" si="120"/>
        <v>0</v>
      </c>
      <c r="L2623" s="630">
        <f t="shared" si="121"/>
        <v>0</v>
      </c>
    </row>
    <row r="2624" spans="3:12" x14ac:dyDescent="0.2">
      <c r="C2624" s="589" t="s">
        <v>872</v>
      </c>
      <c r="D2624" s="590" t="s">
        <v>110</v>
      </c>
      <c r="E2624" s="591">
        <f>(F2624+G2624+H2624+J2624)*112.7+(I2624*119.6)</f>
        <v>7295.6</v>
      </c>
      <c r="F2624" s="3">
        <v>30</v>
      </c>
      <c r="G2624" s="3">
        <v>12</v>
      </c>
      <c r="H2624" s="3"/>
      <c r="I2624" s="3">
        <v>12</v>
      </c>
      <c r="J2624" s="3">
        <v>10</v>
      </c>
      <c r="K2624" s="628">
        <f t="shared" si="120"/>
        <v>64</v>
      </c>
      <c r="L2624" s="630">
        <f t="shared" si="121"/>
        <v>16</v>
      </c>
    </row>
    <row r="2625" spans="3:12" x14ac:dyDescent="0.2">
      <c r="C2625" s="589"/>
      <c r="D2625" s="590"/>
      <c r="E2625" s="591"/>
      <c r="F2625" s="3"/>
      <c r="G2625" s="3"/>
      <c r="H2625" s="3"/>
      <c r="I2625" s="3"/>
      <c r="J2625" s="3"/>
      <c r="K2625" s="628">
        <f t="shared" si="120"/>
        <v>0</v>
      </c>
      <c r="L2625" s="630">
        <f t="shared" si="121"/>
        <v>0</v>
      </c>
    </row>
    <row r="2626" spans="3:12" x14ac:dyDescent="0.2">
      <c r="C2626" s="589"/>
      <c r="D2626" s="590" t="s">
        <v>381</v>
      </c>
      <c r="E2626" s="591">
        <f>(F2626+G2626+H2626+I2626+J2626)*120+(240*0)+(0*45)</f>
        <v>0</v>
      </c>
      <c r="F2626" s="3"/>
      <c r="G2626" s="3"/>
      <c r="H2626" s="3"/>
      <c r="I2626" s="3"/>
      <c r="J2626" s="3"/>
      <c r="K2626" s="628">
        <f t="shared" si="120"/>
        <v>0</v>
      </c>
      <c r="L2626" s="630">
        <f t="shared" si="121"/>
        <v>0</v>
      </c>
    </row>
    <row r="2627" spans="3:12" x14ac:dyDescent="0.2">
      <c r="C2627" s="589"/>
      <c r="D2627" s="590" t="s">
        <v>276</v>
      </c>
      <c r="E2627" s="591">
        <f>(F2627+G2627+H2627+J2627)*112.7+(I2627*119.6)</f>
        <v>0</v>
      </c>
      <c r="F2627" s="3"/>
      <c r="G2627" s="3"/>
      <c r="H2627" s="3"/>
      <c r="I2627" s="3"/>
      <c r="J2627" s="3"/>
      <c r="K2627" s="628">
        <f t="shared" si="120"/>
        <v>0</v>
      </c>
      <c r="L2627" s="630">
        <f t="shared" si="121"/>
        <v>0</v>
      </c>
    </row>
    <row r="2628" spans="3:12" x14ac:dyDescent="0.2">
      <c r="C2628" s="589"/>
      <c r="D2628" s="590"/>
      <c r="E2628" s="591"/>
      <c r="F2628" s="3"/>
      <c r="G2628" s="3"/>
      <c r="H2628" s="3"/>
      <c r="I2628" s="3"/>
      <c r="J2628" s="3"/>
      <c r="K2628" s="628">
        <f t="shared" si="120"/>
        <v>0</v>
      </c>
      <c r="L2628" s="630">
        <f t="shared" si="121"/>
        <v>0</v>
      </c>
    </row>
    <row r="2629" spans="3:12" x14ac:dyDescent="0.2">
      <c r="C2629" s="589"/>
      <c r="D2629" s="590" t="s">
        <v>75</v>
      </c>
      <c r="E2629" s="591">
        <f>(F2629+G2629+H2629+I2629+J2629)*120</f>
        <v>0</v>
      </c>
      <c r="F2629" s="3"/>
      <c r="G2629" s="3"/>
      <c r="H2629" s="3"/>
      <c r="I2629" s="3"/>
      <c r="J2629" s="3"/>
      <c r="K2629" s="628">
        <f t="shared" si="120"/>
        <v>0</v>
      </c>
      <c r="L2629" s="630">
        <f t="shared" si="121"/>
        <v>0</v>
      </c>
    </row>
    <row r="2630" spans="3:12" x14ac:dyDescent="0.2">
      <c r="C2630" s="589"/>
      <c r="D2630" s="590" t="s">
        <v>278</v>
      </c>
      <c r="E2630" s="591">
        <f>(F2630+G2630+H2630+I2630+J2630)*120</f>
        <v>0</v>
      </c>
      <c r="F2630" s="3"/>
      <c r="G2630" s="3"/>
      <c r="H2630" s="3"/>
      <c r="I2630" s="3"/>
      <c r="J2630" s="3"/>
      <c r="K2630" s="628">
        <f t="shared" si="120"/>
        <v>0</v>
      </c>
      <c r="L2630" s="630">
        <f t="shared" si="121"/>
        <v>0</v>
      </c>
    </row>
    <row r="2631" spans="3:12" x14ac:dyDescent="0.2">
      <c r="C2631" s="589"/>
      <c r="D2631" s="590" t="s">
        <v>270</v>
      </c>
      <c r="E2631" s="591">
        <f>(F2631+G2631+H2631+I2631)*112.7+(J2631*119.6)</f>
        <v>0</v>
      </c>
      <c r="F2631" s="3"/>
      <c r="G2631" s="3"/>
      <c r="H2631" s="3"/>
      <c r="I2631" s="3"/>
      <c r="J2631" s="3"/>
      <c r="K2631" s="628">
        <f t="shared" si="120"/>
        <v>0</v>
      </c>
      <c r="L2631" s="630">
        <f t="shared" si="121"/>
        <v>0</v>
      </c>
    </row>
    <row r="2632" spans="3:12" x14ac:dyDescent="0.2">
      <c r="C2632" s="589"/>
      <c r="D2632" s="590" t="s">
        <v>274</v>
      </c>
      <c r="E2632" s="591">
        <f>(F2632+G2632+H2632+I2632)*112.7+(J2632*119.6)</f>
        <v>0</v>
      </c>
      <c r="F2632" s="3"/>
      <c r="G2632" s="3"/>
      <c r="H2632" s="3"/>
      <c r="I2632" s="3"/>
      <c r="J2632" s="3"/>
      <c r="K2632" s="628">
        <f t="shared" si="120"/>
        <v>0</v>
      </c>
      <c r="L2632" s="630">
        <f t="shared" si="121"/>
        <v>0</v>
      </c>
    </row>
    <row r="2633" spans="3:12" x14ac:dyDescent="0.2">
      <c r="C2633" s="589"/>
      <c r="D2633" s="590" t="s">
        <v>395</v>
      </c>
      <c r="E2633" s="591">
        <f>(F2633+G2633+H2633+I2633)*112.7+(J2633*119.6)</f>
        <v>0</v>
      </c>
      <c r="F2633" s="3"/>
      <c r="G2633" s="3"/>
      <c r="H2633" s="3"/>
      <c r="I2633" s="3"/>
      <c r="J2633" s="3"/>
      <c r="K2633" s="628">
        <f t="shared" si="120"/>
        <v>0</v>
      </c>
      <c r="L2633" s="630">
        <f t="shared" si="121"/>
        <v>0</v>
      </c>
    </row>
    <row r="2634" spans="3:12" x14ac:dyDescent="0.2">
      <c r="C2634" s="683"/>
      <c r="D2634" s="590" t="s">
        <v>112</v>
      </c>
      <c r="E2634" s="591">
        <f>(F2634+G2634+H2634+I2634)*112.7+(J2634*119.6)</f>
        <v>0</v>
      </c>
      <c r="F2634" s="3"/>
      <c r="G2634" s="3"/>
      <c r="H2634" s="3"/>
      <c r="I2634" s="3"/>
      <c r="J2634" s="3"/>
      <c r="K2634" s="628">
        <f t="shared" si="120"/>
        <v>0</v>
      </c>
      <c r="L2634" s="630">
        <f t="shared" si="121"/>
        <v>0</v>
      </c>
    </row>
    <row r="2635" spans="3:12" x14ac:dyDescent="0.2">
      <c r="C2635" s="683"/>
      <c r="D2635" s="590" t="s">
        <v>72</v>
      </c>
      <c r="E2635" s="591">
        <f>(F2635+G2635+H2635+I2635)*112.7+(J2635*119.6)</f>
        <v>0</v>
      </c>
      <c r="F2635" s="3"/>
      <c r="G2635" s="3"/>
      <c r="H2635" s="3"/>
      <c r="I2635" s="3"/>
      <c r="J2635" s="3"/>
      <c r="K2635" s="628">
        <f t="shared" si="120"/>
        <v>0</v>
      </c>
      <c r="L2635" s="630">
        <f t="shared" si="121"/>
        <v>0</v>
      </c>
    </row>
    <row r="2636" spans="3:12" x14ac:dyDescent="0.2">
      <c r="C2636" s="683"/>
      <c r="D2636" s="590" t="s">
        <v>187</v>
      </c>
      <c r="E2636" s="591"/>
      <c r="F2636" s="3"/>
      <c r="G2636" s="3"/>
      <c r="H2636" s="3"/>
      <c r="I2636" s="3">
        <v>2</v>
      </c>
      <c r="J2636" s="3">
        <v>8</v>
      </c>
      <c r="K2636" s="628">
        <f>SUM(F2636:J2636)</f>
        <v>10</v>
      </c>
      <c r="L2636" s="3"/>
    </row>
    <row r="2637" spans="3:12" ht="16" x14ac:dyDescent="0.2">
      <c r="C2637" s="683"/>
      <c r="D2637" s="590"/>
      <c r="E2637" s="592"/>
      <c r="F2637" s="3"/>
      <c r="G2637" s="3"/>
      <c r="H2637" s="3"/>
      <c r="I2637" s="3"/>
      <c r="J2637" s="3"/>
      <c r="K2637" s="628">
        <f>SUM(F2637:J2637)</f>
        <v>0</v>
      </c>
      <c r="L2637" s="3"/>
    </row>
    <row r="2638" spans="3:12" ht="17" thickBot="1" x14ac:dyDescent="0.25">
      <c r="C2638" s="683"/>
      <c r="D2638" s="590"/>
      <c r="E2638" s="624"/>
      <c r="F2638" s="69"/>
      <c r="G2638" s="69"/>
      <c r="H2638" s="69"/>
      <c r="I2638" s="69"/>
      <c r="J2638" s="69"/>
      <c r="K2638" s="629"/>
      <c r="L2638" s="3"/>
    </row>
    <row r="2639" spans="3:12" ht="16" thickBot="1" x14ac:dyDescent="0.25">
      <c r="C2639" s="596"/>
      <c r="D2639" s="623" t="s">
        <v>19</v>
      </c>
      <c r="E2639" s="625">
        <f>SUM(E2613:E2636)</f>
        <v>21171.200000000001</v>
      </c>
      <c r="F2639" s="614">
        <f>SUM(F2613:F2638)</f>
        <v>66</v>
      </c>
      <c r="G2639" s="614">
        <f>SUM(G2613:G2638)</f>
        <v>36</v>
      </c>
      <c r="H2639" s="614">
        <f>SUM(H2613:H2638)</f>
        <v>12</v>
      </c>
      <c r="I2639" s="614">
        <f>SUM(I2613:I2638)</f>
        <v>34</v>
      </c>
      <c r="J2639" s="614">
        <f>SUM(J2613:J2638)</f>
        <v>54</v>
      </c>
      <c r="K2639" s="626">
        <f>SUM(F2639:J2639)</f>
        <v>202</v>
      </c>
      <c r="L2639" s="631">
        <f>SUM(L2613:L2638)</f>
        <v>48</v>
      </c>
    </row>
    <row r="2640" spans="3:12" x14ac:dyDescent="0.2">
      <c r="C2640" s="596"/>
      <c r="D2640" s="593" t="s">
        <v>113</v>
      </c>
      <c r="E2640" s="620"/>
      <c r="F2640" s="610">
        <f>F2610-F2639</f>
        <v>13</v>
      </c>
      <c r="G2640" s="610">
        <f>G2610-G2639</f>
        <v>7</v>
      </c>
      <c r="H2640" s="610">
        <f>H2610-H2639</f>
        <v>0</v>
      </c>
      <c r="I2640" s="610">
        <f>I2610-I2639</f>
        <v>9</v>
      </c>
      <c r="J2640" s="610">
        <f>J2610-J2639</f>
        <v>15</v>
      </c>
      <c r="K2640" s="636">
        <f>SUM(F2640:J2640)</f>
        <v>44</v>
      </c>
      <c r="L2640" s="3"/>
    </row>
    <row r="2641" spans="3:12" x14ac:dyDescent="0.2">
      <c r="C2641" s="683"/>
      <c r="D2641" s="593" t="s">
        <v>436</v>
      </c>
      <c r="E2641" s="594"/>
      <c r="F2641" s="581"/>
      <c r="G2641" s="581"/>
      <c r="H2641" s="581"/>
      <c r="I2641" s="581"/>
      <c r="J2641" s="581"/>
      <c r="K2641" s="637">
        <f>K2639+K2640</f>
        <v>246</v>
      </c>
      <c r="L2641" s="3"/>
    </row>
    <row r="2643" spans="3:12" ht="18" x14ac:dyDescent="0.2">
      <c r="C2643" s="685" t="s">
        <v>412</v>
      </c>
      <c r="D2643" s="582">
        <v>45736</v>
      </c>
      <c r="E2643" s="800"/>
      <c r="F2643" s="685" t="s">
        <v>83</v>
      </c>
      <c r="G2643" s="801" t="s">
        <v>66</v>
      </c>
      <c r="H2643" s="802"/>
      <c r="I2643" s="802"/>
      <c r="J2643" s="802"/>
      <c r="K2643" s="803"/>
    </row>
    <row r="2644" spans="3:12" x14ac:dyDescent="0.2">
      <c r="C2644" s="804"/>
      <c r="D2644" s="805"/>
      <c r="E2644" s="800"/>
      <c r="F2644" s="683" t="s">
        <v>93</v>
      </c>
      <c r="G2644" s="683" t="s">
        <v>93</v>
      </c>
      <c r="H2644" s="683"/>
      <c r="I2644" s="806"/>
      <c r="J2644" s="806"/>
      <c r="K2644" s="806"/>
    </row>
    <row r="2645" spans="3:12" x14ac:dyDescent="0.2">
      <c r="C2645" s="804"/>
      <c r="D2645" s="805"/>
      <c r="E2645" s="800"/>
      <c r="F2645" s="683" t="s">
        <v>94</v>
      </c>
      <c r="G2645" s="683" t="s">
        <v>95</v>
      </c>
      <c r="H2645" s="683" t="s">
        <v>96</v>
      </c>
      <c r="I2645" s="806"/>
      <c r="J2645" s="806"/>
      <c r="K2645" s="806"/>
    </row>
    <row r="2646" spans="3:12" x14ac:dyDescent="0.2">
      <c r="C2646" s="804"/>
      <c r="D2646" s="805"/>
      <c r="E2646" s="800"/>
      <c r="F2646" s="683"/>
      <c r="G2646" s="683"/>
      <c r="H2646" s="683"/>
      <c r="I2646" s="806"/>
      <c r="J2646" s="806"/>
      <c r="K2646" s="806"/>
    </row>
    <row r="2647" spans="3:12" ht="16" x14ac:dyDescent="0.2">
      <c r="C2647" s="683"/>
      <c r="D2647" s="583" t="s">
        <v>97</v>
      </c>
      <c r="E2647" s="584"/>
      <c r="F2647" s="581"/>
      <c r="G2647" s="585"/>
      <c r="H2647" s="585"/>
      <c r="I2647" s="586"/>
      <c r="J2647" s="586"/>
      <c r="K2647" s="586"/>
    </row>
    <row r="2648" spans="3:12" ht="26" x14ac:dyDescent="0.2">
      <c r="C2648" s="804"/>
      <c r="D2648" s="587"/>
      <c r="E2648" s="588"/>
      <c r="F2648" s="585" t="s">
        <v>383</v>
      </c>
      <c r="G2648" s="585" t="s">
        <v>384</v>
      </c>
      <c r="H2648" s="585" t="s">
        <v>385</v>
      </c>
      <c r="I2648" s="585" t="s">
        <v>386</v>
      </c>
      <c r="J2648" s="585" t="s">
        <v>387</v>
      </c>
      <c r="K2648" s="585" t="s">
        <v>84</v>
      </c>
    </row>
    <row r="2649" spans="3:12" x14ac:dyDescent="0.2">
      <c r="C2649" s="804"/>
      <c r="D2649" s="684" t="s">
        <v>167</v>
      </c>
      <c r="E2649" s="588"/>
      <c r="F2649" s="580"/>
      <c r="G2649" s="579"/>
      <c r="H2649" s="580"/>
      <c r="I2649" s="580"/>
      <c r="J2649" s="580"/>
      <c r="K2649" s="580">
        <f>SUM(F2649:J2649)</f>
        <v>0</v>
      </c>
    </row>
    <row r="2650" spans="3:12" x14ac:dyDescent="0.2">
      <c r="C2650" s="804"/>
      <c r="D2650" s="684" t="s">
        <v>207</v>
      </c>
      <c r="E2650" s="588"/>
      <c r="F2650" s="618"/>
      <c r="G2650" s="619"/>
      <c r="H2650" s="618"/>
      <c r="I2650" s="618"/>
      <c r="J2650" s="618"/>
      <c r="K2650" s="618">
        <f>SUM(F2650:J2650)</f>
        <v>0</v>
      </c>
    </row>
    <row r="2651" spans="3:12" x14ac:dyDescent="0.2">
      <c r="C2651" s="683"/>
      <c r="D2651" s="684" t="s">
        <v>100</v>
      </c>
      <c r="E2651" s="588"/>
      <c r="F2651" s="581"/>
      <c r="G2651" s="581"/>
      <c r="H2651" s="581"/>
      <c r="I2651" s="581"/>
      <c r="J2651" s="581"/>
      <c r="K2651" s="581">
        <f>SUM(F2651:J2651)</f>
        <v>0</v>
      </c>
    </row>
    <row r="2652" spans="3:12" x14ac:dyDescent="0.2">
      <c r="C2652" s="683"/>
      <c r="D2652" s="684" t="s">
        <v>101</v>
      </c>
      <c r="E2652" s="588"/>
      <c r="F2652" s="581"/>
      <c r="G2652" s="581"/>
      <c r="H2652" s="581"/>
      <c r="I2652" s="581"/>
      <c r="J2652" s="581"/>
      <c r="K2652" s="581">
        <f>SUM(F2652:J2652)</f>
        <v>0</v>
      </c>
    </row>
    <row r="2653" spans="3:12" ht="16" thickBot="1" x14ac:dyDescent="0.25">
      <c r="C2653" s="683"/>
      <c r="D2653" s="597" t="s">
        <v>102</v>
      </c>
      <c r="E2653" s="598"/>
      <c r="F2653" s="599">
        <v>13</v>
      </c>
      <c r="G2653" s="600">
        <v>3</v>
      </c>
      <c r="H2653" s="600"/>
      <c r="I2653" s="600">
        <v>9</v>
      </c>
      <c r="J2653" s="600">
        <v>15</v>
      </c>
      <c r="K2653" s="600">
        <f>SUM(F2653:J2653)</f>
        <v>40</v>
      </c>
    </row>
    <row r="2654" spans="3:12" ht="17" thickBot="1" x14ac:dyDescent="0.25">
      <c r="C2654" s="605"/>
      <c r="D2654" s="612" t="s">
        <v>84</v>
      </c>
      <c r="E2654" s="613"/>
      <c r="F2654" s="614">
        <f>(F2650+F2653)-F2652-F2651</f>
        <v>13</v>
      </c>
      <c r="G2654" s="615">
        <f>(G2650+G2653)-G2652-G2651</f>
        <v>3</v>
      </c>
      <c r="H2654" s="616">
        <f>(H2650+H2653)-H2652</f>
        <v>0</v>
      </c>
      <c r="I2654" s="615">
        <f>(I2650+I2653)-I2652-I2651</f>
        <v>9</v>
      </c>
      <c r="J2654" s="622">
        <f>(J2650+J2653)-J2652-J2651</f>
        <v>15</v>
      </c>
      <c r="K2654" s="617">
        <f>(K2650+K2653)-K2652-K2651</f>
        <v>40</v>
      </c>
    </row>
    <row r="2655" spans="3:12" ht="16" x14ac:dyDescent="0.2">
      <c r="C2655" s="683"/>
      <c r="D2655" s="608"/>
      <c r="E2655" s="609"/>
      <c r="F2655" s="610"/>
      <c r="G2655" s="595"/>
      <c r="H2655" s="611"/>
      <c r="I2655" s="595"/>
      <c r="J2655" s="595"/>
      <c r="K2655" s="595"/>
    </row>
    <row r="2656" spans="3:12" ht="16" thickBot="1" x14ac:dyDescent="0.25">
      <c r="C2656" s="606" t="s">
        <v>388</v>
      </c>
      <c r="D2656" s="607" t="s">
        <v>103</v>
      </c>
      <c r="E2656" s="603" t="s">
        <v>84</v>
      </c>
      <c r="F2656" s="602" t="s">
        <v>78</v>
      </c>
      <c r="G2656" s="602" t="s">
        <v>79</v>
      </c>
      <c r="H2656" s="602" t="s">
        <v>81</v>
      </c>
      <c r="I2656" s="601" t="s">
        <v>316</v>
      </c>
      <c r="J2656" s="601" t="s">
        <v>85</v>
      </c>
      <c r="K2656" s="601" t="s">
        <v>84</v>
      </c>
      <c r="L2656" s="174" t="s">
        <v>389</v>
      </c>
    </row>
    <row r="2657" spans="3:12" x14ac:dyDescent="0.2">
      <c r="C2657" s="589"/>
      <c r="D2657" s="604" t="s">
        <v>105</v>
      </c>
      <c r="E2657" s="591">
        <f>(F2657+G2657+H2657+I2657+J2657)*100+(0*230)</f>
        <v>0</v>
      </c>
      <c r="F2657" s="3"/>
      <c r="G2657" s="3"/>
      <c r="H2657" s="3"/>
      <c r="I2657" s="3"/>
      <c r="J2657" s="3"/>
      <c r="K2657" s="628">
        <f t="shared" ref="K2657:K2679" si="122">SUM(F2657:J2657)</f>
        <v>0</v>
      </c>
      <c r="L2657" s="630">
        <f>K2657/4</f>
        <v>0</v>
      </c>
    </row>
    <row r="2658" spans="3:12" x14ac:dyDescent="0.2">
      <c r="C2658" s="589"/>
      <c r="D2658" s="590" t="s">
        <v>390</v>
      </c>
      <c r="E2658" s="591">
        <f>(F2658+G2658+H2658+I2658+J2658)*120</f>
        <v>0</v>
      </c>
      <c r="F2658" s="3"/>
      <c r="G2658" s="3"/>
      <c r="H2658" s="3"/>
      <c r="I2658" s="3"/>
      <c r="J2658" s="3"/>
      <c r="K2658" s="628">
        <f t="shared" si="122"/>
        <v>0</v>
      </c>
      <c r="L2658" s="630">
        <f t="shared" ref="L2658:L2679" si="123">K2658/4</f>
        <v>0</v>
      </c>
    </row>
    <row r="2659" spans="3:12" x14ac:dyDescent="0.2">
      <c r="C2659" s="589"/>
      <c r="D2659" s="590" t="s">
        <v>391</v>
      </c>
      <c r="E2659" s="591">
        <f>(F2659+G2659+H2659+I2659+J2659)*120</f>
        <v>0</v>
      </c>
      <c r="F2659" s="3"/>
      <c r="G2659" s="3"/>
      <c r="H2659" s="3"/>
      <c r="I2659" s="3"/>
      <c r="J2659" s="3"/>
      <c r="K2659" s="628">
        <f t="shared" si="122"/>
        <v>0</v>
      </c>
      <c r="L2659" s="630">
        <f t="shared" si="123"/>
        <v>0</v>
      </c>
    </row>
    <row r="2660" spans="3:12" x14ac:dyDescent="0.2">
      <c r="C2660" s="589"/>
      <c r="D2660" s="590" t="s">
        <v>392</v>
      </c>
      <c r="E2660" s="591">
        <f>(F2660+G2660+H2660+I2660+J2660)*120</f>
        <v>0</v>
      </c>
      <c r="F2660" s="3"/>
      <c r="G2660" s="3"/>
      <c r="H2660" s="3"/>
      <c r="I2660" s="3"/>
      <c r="J2660" s="3"/>
      <c r="K2660" s="628">
        <f t="shared" si="122"/>
        <v>0</v>
      </c>
      <c r="L2660" s="630">
        <f t="shared" si="123"/>
        <v>0</v>
      </c>
    </row>
    <row r="2661" spans="3:12" x14ac:dyDescent="0.2">
      <c r="C2661" s="589"/>
      <c r="D2661" s="590" t="s">
        <v>425</v>
      </c>
      <c r="E2661" s="591">
        <f>(F2661+G2661+H2661+I2661+J2661)*120</f>
        <v>0</v>
      </c>
      <c r="F2661" s="3"/>
      <c r="G2661" s="3"/>
      <c r="H2661" s="3"/>
      <c r="I2661" s="3"/>
      <c r="J2661" s="3"/>
      <c r="K2661" s="628">
        <f t="shared" si="122"/>
        <v>0</v>
      </c>
      <c r="L2661" s="630">
        <f t="shared" si="123"/>
        <v>0</v>
      </c>
    </row>
    <row r="2662" spans="3:12" x14ac:dyDescent="0.2">
      <c r="C2662" s="589"/>
      <c r="D2662" s="590"/>
      <c r="E2662" s="591"/>
      <c r="F2662" s="3"/>
      <c r="G2662" s="3"/>
      <c r="H2662" s="3"/>
      <c r="I2662" s="3"/>
      <c r="J2662" s="3"/>
      <c r="K2662" s="628">
        <f t="shared" si="122"/>
        <v>0</v>
      </c>
      <c r="L2662" s="630">
        <f t="shared" si="123"/>
        <v>0</v>
      </c>
    </row>
    <row r="2663" spans="3:12" x14ac:dyDescent="0.2">
      <c r="C2663" s="589"/>
      <c r="D2663" s="590" t="s">
        <v>108</v>
      </c>
      <c r="E2663" s="591">
        <f>(F2663+G2663+H2663+J2663)*112.7+(I2663*119.6)</f>
        <v>0</v>
      </c>
      <c r="F2663" s="3"/>
      <c r="G2663" s="3"/>
      <c r="H2663" s="3"/>
      <c r="I2663" s="3"/>
      <c r="J2663" s="3"/>
      <c r="K2663" s="628">
        <f t="shared" si="122"/>
        <v>0</v>
      </c>
      <c r="L2663" s="630">
        <f t="shared" si="123"/>
        <v>0</v>
      </c>
    </row>
    <row r="2664" spans="3:12" x14ac:dyDescent="0.2">
      <c r="C2664" s="589"/>
      <c r="D2664" s="590" t="s">
        <v>393</v>
      </c>
      <c r="E2664" s="591">
        <f>(F2664+G2664+H2664+J2664)*112.7+(I2664*119.6)</f>
        <v>0</v>
      </c>
      <c r="F2664" s="3"/>
      <c r="G2664" s="3"/>
      <c r="H2664" s="3"/>
      <c r="I2664" s="3"/>
      <c r="J2664" s="3"/>
      <c r="K2664" s="628">
        <f t="shared" si="122"/>
        <v>0</v>
      </c>
      <c r="L2664" s="630">
        <f t="shared" si="123"/>
        <v>0</v>
      </c>
    </row>
    <row r="2665" spans="3:12" x14ac:dyDescent="0.2">
      <c r="C2665" s="589"/>
      <c r="D2665" s="590" t="s">
        <v>216</v>
      </c>
      <c r="E2665" s="591">
        <f>(F2665+G2665+H2665+J2665)*112.7+(I2665*119.6)</f>
        <v>0</v>
      </c>
      <c r="F2665" s="3"/>
      <c r="G2665" s="3"/>
      <c r="H2665" s="3"/>
      <c r="I2665" s="3"/>
      <c r="J2665" s="3"/>
      <c r="K2665" s="628">
        <f t="shared" si="122"/>
        <v>0</v>
      </c>
      <c r="L2665" s="630">
        <f t="shared" si="123"/>
        <v>0</v>
      </c>
    </row>
    <row r="2666" spans="3:12" x14ac:dyDescent="0.2">
      <c r="C2666" s="589"/>
      <c r="D2666" s="590"/>
      <c r="E2666" s="591"/>
      <c r="F2666" s="3"/>
      <c r="G2666" s="3"/>
      <c r="H2666" s="3"/>
      <c r="I2666" s="3"/>
      <c r="J2666" s="3"/>
      <c r="K2666" s="628">
        <f t="shared" si="122"/>
        <v>0</v>
      </c>
      <c r="L2666" s="630">
        <f t="shared" si="123"/>
        <v>0</v>
      </c>
    </row>
    <row r="2667" spans="3:12" x14ac:dyDescent="0.2">
      <c r="C2667" s="589"/>
      <c r="D2667" s="590" t="s">
        <v>394</v>
      </c>
      <c r="E2667" s="591">
        <f>(F2667+G2667+H2667+I2667+J2667)*120</f>
        <v>0</v>
      </c>
      <c r="F2667" s="3"/>
      <c r="G2667" s="3"/>
      <c r="H2667" s="3"/>
      <c r="I2667" s="3"/>
      <c r="J2667" s="3"/>
      <c r="K2667" s="628">
        <f t="shared" si="122"/>
        <v>0</v>
      </c>
      <c r="L2667" s="630">
        <f t="shared" si="123"/>
        <v>0</v>
      </c>
    </row>
    <row r="2668" spans="3:12" x14ac:dyDescent="0.2">
      <c r="C2668" s="589"/>
      <c r="D2668" s="590" t="s">
        <v>110</v>
      </c>
      <c r="E2668" s="591">
        <f>(F2668+G2668+H2668+J2668)*112.7+(I2668*119.6)</f>
        <v>0</v>
      </c>
      <c r="F2668" s="3"/>
      <c r="G2668" s="3"/>
      <c r="H2668" s="3"/>
      <c r="I2668" s="3"/>
      <c r="J2668" s="3"/>
      <c r="K2668" s="628">
        <f t="shared" si="122"/>
        <v>0</v>
      </c>
      <c r="L2668" s="630">
        <f t="shared" si="123"/>
        <v>0</v>
      </c>
    </row>
    <row r="2669" spans="3:12" x14ac:dyDescent="0.2">
      <c r="C2669" s="589"/>
      <c r="D2669" s="590"/>
      <c r="E2669" s="591"/>
      <c r="F2669" s="3"/>
      <c r="G2669" s="3"/>
      <c r="H2669" s="3"/>
      <c r="I2669" s="3"/>
      <c r="J2669" s="3"/>
      <c r="K2669" s="628">
        <f t="shared" si="122"/>
        <v>0</v>
      </c>
      <c r="L2669" s="630">
        <f t="shared" si="123"/>
        <v>0</v>
      </c>
    </row>
    <row r="2670" spans="3:12" x14ac:dyDescent="0.2">
      <c r="C2670" s="589"/>
      <c r="D2670" s="590" t="s">
        <v>381</v>
      </c>
      <c r="E2670" s="591">
        <f>(F2670+G2670+H2670+I2670+J2670)*120+(240*0)+(0*45)</f>
        <v>0</v>
      </c>
      <c r="F2670" s="3"/>
      <c r="G2670" s="3"/>
      <c r="H2670" s="3"/>
      <c r="I2670" s="3"/>
      <c r="J2670" s="3"/>
      <c r="K2670" s="628">
        <f t="shared" si="122"/>
        <v>0</v>
      </c>
      <c r="L2670" s="630">
        <f t="shared" si="123"/>
        <v>0</v>
      </c>
    </row>
    <row r="2671" spans="3:12" x14ac:dyDescent="0.2">
      <c r="C2671" s="589" t="s">
        <v>873</v>
      </c>
      <c r="D2671" s="590" t="s">
        <v>276</v>
      </c>
      <c r="E2671" s="591">
        <f>(F2671+G2671+H2671+J2671)*112.7+(I2671*119.6)</f>
        <v>3668.5</v>
      </c>
      <c r="F2671" s="3">
        <v>10</v>
      </c>
      <c r="G2671" s="3">
        <v>3</v>
      </c>
      <c r="H2671" s="3"/>
      <c r="I2671" s="3">
        <v>9</v>
      </c>
      <c r="J2671" s="3">
        <v>10</v>
      </c>
      <c r="K2671" s="628">
        <f t="shared" si="122"/>
        <v>32</v>
      </c>
      <c r="L2671" s="630">
        <f t="shared" si="123"/>
        <v>8</v>
      </c>
    </row>
    <row r="2672" spans="3:12" x14ac:dyDescent="0.2">
      <c r="C2672" s="589"/>
      <c r="D2672" s="590"/>
      <c r="E2672" s="591"/>
      <c r="F2672" s="3"/>
      <c r="G2672" s="3"/>
      <c r="H2672" s="3"/>
      <c r="I2672" s="3"/>
      <c r="J2672" s="3"/>
      <c r="K2672" s="628">
        <f t="shared" si="122"/>
        <v>0</v>
      </c>
      <c r="L2672" s="630">
        <f t="shared" si="123"/>
        <v>0</v>
      </c>
    </row>
    <row r="2673" spans="3:12" x14ac:dyDescent="0.2">
      <c r="C2673" s="589"/>
      <c r="D2673" s="590" t="s">
        <v>75</v>
      </c>
      <c r="E2673" s="591">
        <f>(F2673+G2673+H2673+I2673+J2673)*120</f>
        <v>0</v>
      </c>
      <c r="F2673" s="3"/>
      <c r="G2673" s="3"/>
      <c r="H2673" s="3"/>
      <c r="I2673" s="3"/>
      <c r="J2673" s="3"/>
      <c r="K2673" s="628">
        <f t="shared" si="122"/>
        <v>0</v>
      </c>
      <c r="L2673" s="630">
        <f t="shared" si="123"/>
        <v>0</v>
      </c>
    </row>
    <row r="2674" spans="3:12" x14ac:dyDescent="0.2">
      <c r="C2674" s="589"/>
      <c r="D2674" s="590" t="s">
        <v>278</v>
      </c>
      <c r="E2674" s="591">
        <f>(F2674+G2674+H2674+I2674+J2674)*120</f>
        <v>0</v>
      </c>
      <c r="F2674" s="3"/>
      <c r="G2674" s="3"/>
      <c r="H2674" s="3"/>
      <c r="I2674" s="3"/>
      <c r="J2674" s="3"/>
      <c r="K2674" s="628">
        <f t="shared" si="122"/>
        <v>0</v>
      </c>
      <c r="L2674" s="630">
        <f t="shared" si="123"/>
        <v>0</v>
      </c>
    </row>
    <row r="2675" spans="3:12" x14ac:dyDescent="0.2">
      <c r="C2675" s="589"/>
      <c r="D2675" s="590" t="s">
        <v>270</v>
      </c>
      <c r="E2675" s="591">
        <f>(F2675+G2675+H2675+I2675)*112.7+(J2675*119.6)</f>
        <v>0</v>
      </c>
      <c r="F2675" s="3"/>
      <c r="G2675" s="3"/>
      <c r="H2675" s="3"/>
      <c r="I2675" s="3"/>
      <c r="J2675" s="3"/>
      <c r="K2675" s="628">
        <f t="shared" si="122"/>
        <v>0</v>
      </c>
      <c r="L2675" s="630">
        <f t="shared" si="123"/>
        <v>0</v>
      </c>
    </row>
    <row r="2676" spans="3:12" x14ac:dyDescent="0.2">
      <c r="C2676" s="589"/>
      <c r="D2676" s="590" t="s">
        <v>274</v>
      </c>
      <c r="E2676" s="591">
        <f>(F2676+G2676+H2676+I2676)*112.7+(J2676*119.6)</f>
        <v>0</v>
      </c>
      <c r="F2676" s="3"/>
      <c r="G2676" s="3"/>
      <c r="H2676" s="3"/>
      <c r="I2676" s="3"/>
      <c r="J2676" s="3"/>
      <c r="K2676" s="628">
        <f t="shared" si="122"/>
        <v>0</v>
      </c>
      <c r="L2676" s="630">
        <f t="shared" si="123"/>
        <v>0</v>
      </c>
    </row>
    <row r="2677" spans="3:12" x14ac:dyDescent="0.2">
      <c r="C2677" s="589"/>
      <c r="D2677" s="590" t="s">
        <v>395</v>
      </c>
      <c r="E2677" s="591">
        <f>(F2677+G2677+H2677+I2677)*112.7+(J2677*119.6)</f>
        <v>0</v>
      </c>
      <c r="F2677" s="3"/>
      <c r="G2677" s="3"/>
      <c r="H2677" s="3"/>
      <c r="I2677" s="3"/>
      <c r="J2677" s="3"/>
      <c r="K2677" s="628">
        <f t="shared" si="122"/>
        <v>0</v>
      </c>
      <c r="L2677" s="630">
        <f t="shared" si="123"/>
        <v>0</v>
      </c>
    </row>
    <row r="2678" spans="3:12" x14ac:dyDescent="0.2">
      <c r="C2678" s="683"/>
      <c r="D2678" s="590" t="s">
        <v>112</v>
      </c>
      <c r="E2678" s="591">
        <f>(F2678+G2678+H2678+I2678)*112.7+(J2678*119.6)</f>
        <v>0</v>
      </c>
      <c r="F2678" s="3"/>
      <c r="G2678" s="3"/>
      <c r="H2678" s="3"/>
      <c r="I2678" s="3"/>
      <c r="J2678" s="3"/>
      <c r="K2678" s="628">
        <f t="shared" si="122"/>
        <v>0</v>
      </c>
      <c r="L2678" s="630">
        <f t="shared" si="123"/>
        <v>0</v>
      </c>
    </row>
    <row r="2679" spans="3:12" x14ac:dyDescent="0.2">
      <c r="C2679" s="683"/>
      <c r="D2679" s="590" t="s">
        <v>72</v>
      </c>
      <c r="E2679" s="591">
        <f>(F2679+G2679+H2679+I2679)*112.7+(J2679*119.6)</f>
        <v>0</v>
      </c>
      <c r="F2679" s="3"/>
      <c r="G2679" s="3"/>
      <c r="H2679" s="3"/>
      <c r="I2679" s="3"/>
      <c r="J2679" s="3"/>
      <c r="K2679" s="628">
        <f t="shared" si="122"/>
        <v>0</v>
      </c>
      <c r="L2679" s="630">
        <f t="shared" si="123"/>
        <v>0</v>
      </c>
    </row>
    <row r="2680" spans="3:12" x14ac:dyDescent="0.2">
      <c r="C2680" s="683"/>
      <c r="D2680" s="590" t="s">
        <v>187</v>
      </c>
      <c r="E2680" s="591"/>
      <c r="F2680" s="3"/>
      <c r="G2680" s="3"/>
      <c r="H2680" s="3"/>
      <c r="I2680" s="3"/>
      <c r="J2680" s="3">
        <v>2</v>
      </c>
      <c r="K2680" s="628">
        <f>SUM(F2680:J2680)</f>
        <v>2</v>
      </c>
      <c r="L2680" s="3"/>
    </row>
    <row r="2681" spans="3:12" ht="16" x14ac:dyDescent="0.2">
      <c r="C2681" s="683"/>
      <c r="D2681" s="590"/>
      <c r="E2681" s="592"/>
      <c r="F2681" s="3"/>
      <c r="G2681" s="3"/>
      <c r="H2681" s="3"/>
      <c r="I2681" s="3"/>
      <c r="J2681" s="3"/>
      <c r="K2681" s="628">
        <f>SUM(F2681:J2681)</f>
        <v>0</v>
      </c>
      <c r="L2681" s="3"/>
    </row>
    <row r="2682" spans="3:12" ht="17" thickBot="1" x14ac:dyDescent="0.25">
      <c r="C2682" s="683"/>
      <c r="D2682" s="590"/>
      <c r="E2682" s="624"/>
      <c r="F2682" s="69"/>
      <c r="G2682" s="69"/>
      <c r="H2682" s="69"/>
      <c r="I2682" s="69"/>
      <c r="J2682" s="69"/>
      <c r="K2682" s="629"/>
      <c r="L2682" s="3"/>
    </row>
    <row r="2683" spans="3:12" ht="16" thickBot="1" x14ac:dyDescent="0.25">
      <c r="C2683" s="596"/>
      <c r="D2683" s="623" t="s">
        <v>19</v>
      </c>
      <c r="E2683" s="625">
        <f>SUM(E2657:E2680)</f>
        <v>3668.5</v>
      </c>
      <c r="F2683" s="614">
        <f>SUM(F2657:F2682)</f>
        <v>10</v>
      </c>
      <c r="G2683" s="614">
        <f>SUM(G2657:G2682)</f>
        <v>3</v>
      </c>
      <c r="H2683" s="614">
        <f>SUM(H2657:H2682)</f>
        <v>0</v>
      </c>
      <c r="I2683" s="614">
        <f>SUM(I2657:I2682)</f>
        <v>9</v>
      </c>
      <c r="J2683" s="614">
        <f>SUM(J2657:J2682)</f>
        <v>12</v>
      </c>
      <c r="K2683" s="626">
        <f>SUM(F2683:J2683)</f>
        <v>34</v>
      </c>
      <c r="L2683" s="631">
        <f>SUM(L2657:L2682)</f>
        <v>8</v>
      </c>
    </row>
    <row r="2684" spans="3:12" x14ac:dyDescent="0.2">
      <c r="C2684" s="596"/>
      <c r="D2684" s="593" t="s">
        <v>113</v>
      </c>
      <c r="E2684" s="620"/>
      <c r="F2684" s="610">
        <f>F2654-F2683</f>
        <v>3</v>
      </c>
      <c r="G2684" s="610">
        <f>G2654-G2683</f>
        <v>0</v>
      </c>
      <c r="H2684" s="610">
        <f>H2654-H2683</f>
        <v>0</v>
      </c>
      <c r="I2684" s="610">
        <f>I2654-I2683</f>
        <v>0</v>
      </c>
      <c r="J2684" s="610">
        <f>J2654-J2683</f>
        <v>3</v>
      </c>
      <c r="K2684" s="636">
        <f>SUM(F2684:J2684)</f>
        <v>6</v>
      </c>
      <c r="L2684" s="3"/>
    </row>
    <row r="2685" spans="3:12" x14ac:dyDescent="0.2">
      <c r="C2685" s="683"/>
      <c r="D2685" s="593" t="s">
        <v>436</v>
      </c>
      <c r="E2685" s="594"/>
      <c r="F2685" s="581"/>
      <c r="G2685" s="581"/>
      <c r="H2685" s="581"/>
      <c r="I2685" s="581"/>
      <c r="J2685" s="581"/>
      <c r="K2685" s="637">
        <f>K2683+K2684</f>
        <v>40</v>
      </c>
      <c r="L2685" s="3"/>
    </row>
    <row r="2687" spans="3:12" ht="18" x14ac:dyDescent="0.2">
      <c r="C2687" s="685" t="s">
        <v>412</v>
      </c>
      <c r="D2687" s="582">
        <v>45737</v>
      </c>
      <c r="E2687" s="800"/>
      <c r="F2687" s="685" t="s">
        <v>83</v>
      </c>
      <c r="G2687" s="801" t="s">
        <v>67</v>
      </c>
      <c r="H2687" s="802"/>
      <c r="I2687" s="802"/>
      <c r="J2687" s="802"/>
      <c r="K2687" s="803"/>
    </row>
    <row r="2688" spans="3:12" x14ac:dyDescent="0.2">
      <c r="C2688" s="804"/>
      <c r="D2688" s="805"/>
      <c r="E2688" s="800"/>
      <c r="F2688" s="683" t="s">
        <v>93</v>
      </c>
      <c r="G2688" s="683" t="s">
        <v>93</v>
      </c>
      <c r="H2688" s="683"/>
      <c r="I2688" s="806"/>
      <c r="J2688" s="806"/>
      <c r="K2688" s="806"/>
    </row>
    <row r="2689" spans="3:12" x14ac:dyDescent="0.2">
      <c r="C2689" s="804"/>
      <c r="D2689" s="805"/>
      <c r="E2689" s="800"/>
      <c r="F2689" s="683" t="s">
        <v>94</v>
      </c>
      <c r="G2689" s="683" t="s">
        <v>95</v>
      </c>
      <c r="H2689" s="683" t="s">
        <v>96</v>
      </c>
      <c r="I2689" s="806"/>
      <c r="J2689" s="806"/>
      <c r="K2689" s="806"/>
    </row>
    <row r="2690" spans="3:12" x14ac:dyDescent="0.2">
      <c r="C2690" s="804"/>
      <c r="D2690" s="805"/>
      <c r="E2690" s="800"/>
      <c r="F2690" s="683"/>
      <c r="G2690" s="683"/>
      <c r="H2690" s="683"/>
      <c r="I2690" s="806"/>
      <c r="J2690" s="806"/>
      <c r="K2690" s="806"/>
    </row>
    <row r="2691" spans="3:12" ht="16" x14ac:dyDescent="0.2">
      <c r="C2691" s="683"/>
      <c r="D2691" s="583" t="s">
        <v>97</v>
      </c>
      <c r="E2691" s="584"/>
      <c r="F2691" s="581"/>
      <c r="G2691" s="585"/>
      <c r="H2691" s="585"/>
      <c r="I2691" s="586"/>
      <c r="J2691" s="586"/>
      <c r="K2691" s="586"/>
    </row>
    <row r="2692" spans="3:12" ht="26" x14ac:dyDescent="0.2">
      <c r="C2692" s="804"/>
      <c r="D2692" s="587"/>
      <c r="E2692" s="588"/>
      <c r="F2692" s="585" t="s">
        <v>383</v>
      </c>
      <c r="G2692" s="585" t="s">
        <v>384</v>
      </c>
      <c r="H2692" s="585" t="s">
        <v>385</v>
      </c>
      <c r="I2692" s="585" t="s">
        <v>386</v>
      </c>
      <c r="J2692" s="585" t="s">
        <v>387</v>
      </c>
      <c r="K2692" s="585" t="s">
        <v>84</v>
      </c>
    </row>
    <row r="2693" spans="3:12" x14ac:dyDescent="0.2">
      <c r="C2693" s="804"/>
      <c r="D2693" s="684" t="s">
        <v>167</v>
      </c>
      <c r="E2693" s="588"/>
      <c r="F2693" s="580">
        <v>15</v>
      </c>
      <c r="G2693" s="579">
        <v>8</v>
      </c>
      <c r="H2693" s="580">
        <v>4</v>
      </c>
      <c r="I2693" s="580">
        <v>5</v>
      </c>
      <c r="J2693" s="580">
        <v>10</v>
      </c>
      <c r="K2693" s="580">
        <f>SUM(F2693:J2693)</f>
        <v>42</v>
      </c>
    </row>
    <row r="2694" spans="3:12" x14ac:dyDescent="0.2">
      <c r="C2694" s="804"/>
      <c r="D2694" s="684" t="s">
        <v>207</v>
      </c>
      <c r="E2694" s="588"/>
      <c r="F2694" s="618">
        <v>105</v>
      </c>
      <c r="G2694" s="619">
        <v>54</v>
      </c>
      <c r="H2694" s="618">
        <v>28</v>
      </c>
      <c r="I2694" s="618">
        <v>55</v>
      </c>
      <c r="J2694" s="618">
        <v>86</v>
      </c>
      <c r="K2694" s="618">
        <f>SUM(F2694:J2694)</f>
        <v>328</v>
      </c>
    </row>
    <row r="2695" spans="3:12" x14ac:dyDescent="0.2">
      <c r="C2695" s="683"/>
      <c r="D2695" s="684" t="s">
        <v>100</v>
      </c>
      <c r="E2695" s="588"/>
      <c r="F2695" s="581"/>
      <c r="G2695" s="581"/>
      <c r="H2695" s="581"/>
      <c r="I2695" s="581"/>
      <c r="J2695" s="581"/>
      <c r="K2695" s="581">
        <f>SUM(F2695:J2695)</f>
        <v>0</v>
      </c>
    </row>
    <row r="2696" spans="3:12" x14ac:dyDescent="0.2">
      <c r="C2696" s="683"/>
      <c r="D2696" s="684" t="s">
        <v>101</v>
      </c>
      <c r="E2696" s="588"/>
      <c r="F2696" s="581">
        <v>2</v>
      </c>
      <c r="G2696" s="581">
        <v>1</v>
      </c>
      <c r="H2696" s="581"/>
      <c r="I2696" s="581"/>
      <c r="J2696" s="581">
        <v>1</v>
      </c>
      <c r="K2696" s="581">
        <f>SUM(F2696:J2696)</f>
        <v>4</v>
      </c>
    </row>
    <row r="2697" spans="3:12" ht="16" thickBot="1" x14ac:dyDescent="0.25">
      <c r="C2697" s="683"/>
      <c r="D2697" s="597" t="s">
        <v>102</v>
      </c>
      <c r="E2697" s="598"/>
      <c r="F2697" s="599">
        <v>3</v>
      </c>
      <c r="G2697" s="600"/>
      <c r="H2697" s="600"/>
      <c r="I2697" s="600"/>
      <c r="J2697" s="600">
        <v>3</v>
      </c>
      <c r="K2697" s="600">
        <f>SUM(F2697:J2697)</f>
        <v>6</v>
      </c>
    </row>
    <row r="2698" spans="3:12" ht="17" thickBot="1" x14ac:dyDescent="0.25">
      <c r="C2698" s="605"/>
      <c r="D2698" s="612" t="s">
        <v>84</v>
      </c>
      <c r="E2698" s="613"/>
      <c r="F2698" s="614">
        <f>(F2694+F2697)-F2696-F2695</f>
        <v>106</v>
      </c>
      <c r="G2698" s="615">
        <f>(G2694+G2697)-G2696-G2695</f>
        <v>53</v>
      </c>
      <c r="H2698" s="616">
        <f>(H2694+H2697)-H2696</f>
        <v>28</v>
      </c>
      <c r="I2698" s="615">
        <f>(I2694+I2697)-I2696-I2695</f>
        <v>55</v>
      </c>
      <c r="J2698" s="622">
        <f>(J2694+J2697)-J2696-J2695</f>
        <v>88</v>
      </c>
      <c r="K2698" s="617">
        <f>(K2694+K2697)-K2696-K2695</f>
        <v>330</v>
      </c>
    </row>
    <row r="2699" spans="3:12" ht="16" x14ac:dyDescent="0.2">
      <c r="C2699" s="683"/>
      <c r="D2699" s="608"/>
      <c r="E2699" s="609"/>
      <c r="F2699" s="610"/>
      <c r="G2699" s="595"/>
      <c r="H2699" s="611"/>
      <c r="I2699" s="595"/>
      <c r="J2699" s="595"/>
      <c r="K2699" s="595"/>
    </row>
    <row r="2700" spans="3:12" ht="16" thickBot="1" x14ac:dyDescent="0.25">
      <c r="C2700" s="606" t="s">
        <v>388</v>
      </c>
      <c r="D2700" s="607" t="s">
        <v>103</v>
      </c>
      <c r="E2700" s="603" t="s">
        <v>84</v>
      </c>
      <c r="F2700" s="602" t="s">
        <v>78</v>
      </c>
      <c r="G2700" s="602" t="s">
        <v>79</v>
      </c>
      <c r="H2700" s="602" t="s">
        <v>81</v>
      </c>
      <c r="I2700" s="601" t="s">
        <v>316</v>
      </c>
      <c r="J2700" s="601" t="s">
        <v>85</v>
      </c>
      <c r="K2700" s="601" t="s">
        <v>84</v>
      </c>
      <c r="L2700" s="174" t="s">
        <v>389</v>
      </c>
    </row>
    <row r="2701" spans="3:12" x14ac:dyDescent="0.2">
      <c r="C2701" s="589" t="s">
        <v>406</v>
      </c>
      <c r="D2701" s="604" t="s">
        <v>105</v>
      </c>
      <c r="E2701" s="591">
        <f>(F2701+G2701+H2701+I2701+J2701)*100+(5*230)</f>
        <v>8050</v>
      </c>
      <c r="F2701" s="3">
        <v>20</v>
      </c>
      <c r="G2701" s="3">
        <v>12</v>
      </c>
      <c r="H2701" s="3">
        <v>8</v>
      </c>
      <c r="I2701" s="3">
        <v>9</v>
      </c>
      <c r="J2701" s="3">
        <v>20</v>
      </c>
      <c r="K2701" s="628">
        <f t="shared" ref="K2701:K2723" si="124">SUM(F2701:J2701)</f>
        <v>69</v>
      </c>
      <c r="L2701" s="630">
        <f>K2701/4</f>
        <v>17.25</v>
      </c>
    </row>
    <row r="2702" spans="3:12" x14ac:dyDescent="0.2">
      <c r="C2702" s="589"/>
      <c r="D2702" s="590" t="s">
        <v>390</v>
      </c>
      <c r="E2702" s="591">
        <f>(F2702+G2702+H2702+I2702+J2702)*120</f>
        <v>0</v>
      </c>
      <c r="F2702" s="3"/>
      <c r="G2702" s="3"/>
      <c r="H2702" s="3"/>
      <c r="I2702" s="3"/>
      <c r="J2702" s="3"/>
      <c r="K2702" s="628">
        <f t="shared" si="124"/>
        <v>0</v>
      </c>
      <c r="L2702" s="630">
        <f t="shared" ref="L2702:L2723" si="125">K2702/4</f>
        <v>0</v>
      </c>
    </row>
    <row r="2703" spans="3:12" x14ac:dyDescent="0.2">
      <c r="C2703" s="589"/>
      <c r="D2703" s="590" t="s">
        <v>391</v>
      </c>
      <c r="E2703" s="591">
        <f>(F2703+G2703+H2703+I2703+J2703)*120</f>
        <v>0</v>
      </c>
      <c r="F2703" s="3"/>
      <c r="G2703" s="3"/>
      <c r="H2703" s="3"/>
      <c r="I2703" s="3"/>
      <c r="J2703" s="3"/>
      <c r="K2703" s="628">
        <f t="shared" si="124"/>
        <v>0</v>
      </c>
      <c r="L2703" s="630">
        <f t="shared" si="125"/>
        <v>0</v>
      </c>
    </row>
    <row r="2704" spans="3:12" x14ac:dyDescent="0.2">
      <c r="C2704" s="589" t="s">
        <v>878</v>
      </c>
      <c r="D2704" s="590" t="s">
        <v>392</v>
      </c>
      <c r="E2704" s="591">
        <f>(F2704+G2704+H2704+I2704+J2704)*120</f>
        <v>2400</v>
      </c>
      <c r="F2704" s="3">
        <v>6</v>
      </c>
      <c r="G2704" s="3">
        <v>2</v>
      </c>
      <c r="H2704" s="3">
        <v>6</v>
      </c>
      <c r="I2704" s="3"/>
      <c r="J2704" s="3">
        <v>6</v>
      </c>
      <c r="K2704" s="628">
        <f t="shared" si="124"/>
        <v>20</v>
      </c>
      <c r="L2704" s="630">
        <f t="shared" si="125"/>
        <v>5</v>
      </c>
    </row>
    <row r="2705" spans="3:12" x14ac:dyDescent="0.2">
      <c r="C2705" s="589"/>
      <c r="D2705" s="590" t="s">
        <v>425</v>
      </c>
      <c r="E2705" s="591">
        <f>(F2705+G2705+H2705+I2705+J2705)*120</f>
        <v>0</v>
      </c>
      <c r="F2705" s="3"/>
      <c r="G2705" s="3"/>
      <c r="H2705" s="3"/>
      <c r="I2705" s="3"/>
      <c r="J2705" s="3"/>
      <c r="K2705" s="628">
        <f t="shared" si="124"/>
        <v>0</v>
      </c>
      <c r="L2705" s="630">
        <f t="shared" si="125"/>
        <v>0</v>
      </c>
    </row>
    <row r="2706" spans="3:12" x14ac:dyDescent="0.2">
      <c r="C2706" s="589"/>
      <c r="D2706" s="590"/>
      <c r="E2706" s="591"/>
      <c r="F2706" s="3"/>
      <c r="G2706" s="3"/>
      <c r="H2706" s="3"/>
      <c r="I2706" s="3"/>
      <c r="J2706" s="3"/>
      <c r="K2706" s="628">
        <f t="shared" si="124"/>
        <v>0</v>
      </c>
      <c r="L2706" s="630">
        <f t="shared" si="125"/>
        <v>0</v>
      </c>
    </row>
    <row r="2707" spans="3:12" x14ac:dyDescent="0.2">
      <c r="C2707" s="589" t="s">
        <v>881</v>
      </c>
      <c r="D2707" s="590" t="s">
        <v>108</v>
      </c>
      <c r="E2707" s="591">
        <f>(F2707+G2707+H2707+J2707)*112.7+(I2707*119.6)</f>
        <v>5943.2</v>
      </c>
      <c r="F2707" s="3">
        <v>14</v>
      </c>
      <c r="G2707" s="3">
        <v>6</v>
      </c>
      <c r="H2707" s="3">
        <v>6</v>
      </c>
      <c r="I2707" s="3">
        <v>12</v>
      </c>
      <c r="J2707" s="3">
        <v>14</v>
      </c>
      <c r="K2707" s="628">
        <f t="shared" si="124"/>
        <v>52</v>
      </c>
      <c r="L2707" s="630">
        <f t="shared" si="125"/>
        <v>13</v>
      </c>
    </row>
    <row r="2708" spans="3:12" x14ac:dyDescent="0.2">
      <c r="C2708" s="589" t="s">
        <v>880</v>
      </c>
      <c r="D2708" s="590" t="s">
        <v>393</v>
      </c>
      <c r="E2708" s="591">
        <f>(F2708+G2708+H2708+J2708)*112.7+(I2708*119.6)</f>
        <v>3183.2000000000003</v>
      </c>
      <c r="F2708" s="3">
        <v>8</v>
      </c>
      <c r="G2708" s="3">
        <v>4</v>
      </c>
      <c r="H2708" s="3">
        <v>4</v>
      </c>
      <c r="I2708" s="3">
        <v>4</v>
      </c>
      <c r="J2708" s="3">
        <v>8</v>
      </c>
      <c r="K2708" s="628">
        <f t="shared" si="124"/>
        <v>28</v>
      </c>
      <c r="L2708" s="630">
        <f t="shared" si="125"/>
        <v>7</v>
      </c>
    </row>
    <row r="2709" spans="3:12" x14ac:dyDescent="0.2">
      <c r="C2709" s="589" t="s">
        <v>879</v>
      </c>
      <c r="D2709" s="590" t="s">
        <v>216</v>
      </c>
      <c r="E2709" s="591">
        <f>(F2709+G2709+H2709+J2709)*112.7+(I2709*119.6)</f>
        <v>3661.6000000000004</v>
      </c>
      <c r="F2709" s="3">
        <v>8</v>
      </c>
      <c r="G2709" s="3">
        <v>8</v>
      </c>
      <c r="H2709" s="3"/>
      <c r="I2709" s="3">
        <v>8</v>
      </c>
      <c r="J2709" s="3">
        <v>8</v>
      </c>
      <c r="K2709" s="628">
        <f t="shared" si="124"/>
        <v>32</v>
      </c>
      <c r="L2709" s="630">
        <f t="shared" si="125"/>
        <v>8</v>
      </c>
    </row>
    <row r="2710" spans="3:12" x14ac:dyDescent="0.2">
      <c r="C2710" s="589"/>
      <c r="D2710" s="590"/>
      <c r="E2710" s="591"/>
      <c r="F2710" s="3"/>
      <c r="G2710" s="3"/>
      <c r="H2710" s="3"/>
      <c r="I2710" s="3"/>
      <c r="J2710" s="3"/>
      <c r="K2710" s="628">
        <f t="shared" si="124"/>
        <v>0</v>
      </c>
      <c r="L2710" s="630">
        <f t="shared" si="125"/>
        <v>0</v>
      </c>
    </row>
    <row r="2711" spans="3:12" x14ac:dyDescent="0.2">
      <c r="C2711" s="589"/>
      <c r="D2711" s="590" t="s">
        <v>394</v>
      </c>
      <c r="E2711" s="591">
        <f>(F2711+G2711+H2711+I2711+J2711)*120</f>
        <v>0</v>
      </c>
      <c r="F2711" s="3"/>
      <c r="G2711" s="3"/>
      <c r="H2711" s="3"/>
      <c r="I2711" s="3"/>
      <c r="J2711" s="3"/>
      <c r="K2711" s="628">
        <f t="shared" si="124"/>
        <v>0</v>
      </c>
      <c r="L2711" s="630">
        <f t="shared" si="125"/>
        <v>0</v>
      </c>
    </row>
    <row r="2712" spans="3:12" x14ac:dyDescent="0.2">
      <c r="C2712" s="589" t="s">
        <v>882</v>
      </c>
      <c r="D2712" s="590" t="s">
        <v>110</v>
      </c>
      <c r="E2712" s="591">
        <f>(F2712+G2712+H2712+J2712)*112.7+(I2712*119.6)</f>
        <v>11408</v>
      </c>
      <c r="F2712" s="3">
        <v>40</v>
      </c>
      <c r="G2712" s="3">
        <v>20</v>
      </c>
      <c r="H2712" s="3"/>
      <c r="I2712" s="3">
        <v>20</v>
      </c>
      <c r="J2712" s="3">
        <v>20</v>
      </c>
      <c r="K2712" s="628">
        <f t="shared" si="124"/>
        <v>100</v>
      </c>
      <c r="L2712" s="630">
        <f t="shared" si="125"/>
        <v>25</v>
      </c>
    </row>
    <row r="2713" spans="3:12" x14ac:dyDescent="0.2">
      <c r="C2713" s="589"/>
      <c r="D2713" s="590"/>
      <c r="E2713" s="591"/>
      <c r="F2713" s="3"/>
      <c r="G2713" s="3"/>
      <c r="H2713" s="3"/>
      <c r="I2713" s="3"/>
      <c r="J2713" s="3"/>
      <c r="K2713" s="628">
        <f t="shared" si="124"/>
        <v>0</v>
      </c>
      <c r="L2713" s="630">
        <f t="shared" si="125"/>
        <v>0</v>
      </c>
    </row>
    <row r="2714" spans="3:12" x14ac:dyDescent="0.2">
      <c r="C2714" s="589"/>
      <c r="D2714" s="590" t="s">
        <v>381</v>
      </c>
      <c r="E2714" s="591">
        <f>(F2714+G2714+H2714+I2714+J2714)*120+(240*0)+(0*45)</f>
        <v>0</v>
      </c>
      <c r="F2714" s="3"/>
      <c r="G2714" s="3"/>
      <c r="H2714" s="3"/>
      <c r="I2714" s="3"/>
      <c r="J2714" s="3"/>
      <c r="K2714" s="628">
        <f t="shared" si="124"/>
        <v>0</v>
      </c>
      <c r="L2714" s="630">
        <f t="shared" si="125"/>
        <v>0</v>
      </c>
    </row>
    <row r="2715" spans="3:12" x14ac:dyDescent="0.2">
      <c r="C2715" s="589"/>
      <c r="D2715" s="590" t="s">
        <v>276</v>
      </c>
      <c r="E2715" s="591">
        <f>(F2715+G2715+H2715+J2715)*112.7+(I2715*119.6)</f>
        <v>0</v>
      </c>
      <c r="F2715" s="3"/>
      <c r="G2715" s="3"/>
      <c r="H2715" s="3"/>
      <c r="I2715" s="3"/>
      <c r="J2715" s="3"/>
      <c r="K2715" s="628">
        <f t="shared" si="124"/>
        <v>0</v>
      </c>
      <c r="L2715" s="630">
        <f t="shared" si="125"/>
        <v>0</v>
      </c>
    </row>
    <row r="2716" spans="3:12" x14ac:dyDescent="0.2">
      <c r="C2716" s="589"/>
      <c r="D2716" s="590"/>
      <c r="E2716" s="591"/>
      <c r="F2716" s="3"/>
      <c r="G2716" s="3"/>
      <c r="H2716" s="3"/>
      <c r="I2716" s="3"/>
      <c r="J2716" s="3"/>
      <c r="K2716" s="628">
        <f t="shared" si="124"/>
        <v>0</v>
      </c>
      <c r="L2716" s="630">
        <f t="shared" si="125"/>
        <v>0</v>
      </c>
    </row>
    <row r="2717" spans="3:12" x14ac:dyDescent="0.2">
      <c r="C2717" s="589"/>
      <c r="D2717" s="590" t="s">
        <v>75</v>
      </c>
      <c r="E2717" s="591">
        <f>(F2717+G2717+H2717+I2717+J2717)*120</f>
        <v>0</v>
      </c>
      <c r="F2717" s="3"/>
      <c r="G2717" s="3"/>
      <c r="H2717" s="3"/>
      <c r="I2717" s="3"/>
      <c r="J2717" s="3"/>
      <c r="K2717" s="628">
        <f t="shared" si="124"/>
        <v>0</v>
      </c>
      <c r="L2717" s="630">
        <f t="shared" si="125"/>
        <v>0</v>
      </c>
    </row>
    <row r="2718" spans="3:12" x14ac:dyDescent="0.2">
      <c r="C2718" s="589"/>
      <c r="D2718" s="590" t="s">
        <v>278</v>
      </c>
      <c r="E2718" s="591">
        <f>(F2718+G2718+H2718+I2718+J2718)*120</f>
        <v>0</v>
      </c>
      <c r="F2718" s="3"/>
      <c r="G2718" s="3"/>
      <c r="H2718" s="3"/>
      <c r="I2718" s="3"/>
      <c r="J2718" s="3"/>
      <c r="K2718" s="628">
        <f t="shared" si="124"/>
        <v>0</v>
      </c>
      <c r="L2718" s="630">
        <f t="shared" si="125"/>
        <v>0</v>
      </c>
    </row>
    <row r="2719" spans="3:12" x14ac:dyDescent="0.2">
      <c r="C2719" s="589"/>
      <c r="D2719" s="590" t="s">
        <v>270</v>
      </c>
      <c r="E2719" s="591">
        <f>(F2719+G2719+H2719+I2719)*112.7+(J2719*119.6)</f>
        <v>0</v>
      </c>
      <c r="F2719" s="3"/>
      <c r="G2719" s="3"/>
      <c r="H2719" s="3"/>
      <c r="I2719" s="3"/>
      <c r="J2719" s="3"/>
      <c r="K2719" s="628">
        <f t="shared" si="124"/>
        <v>0</v>
      </c>
      <c r="L2719" s="630">
        <f t="shared" si="125"/>
        <v>0</v>
      </c>
    </row>
    <row r="2720" spans="3:12" x14ac:dyDescent="0.2">
      <c r="C2720" s="589"/>
      <c r="D2720" s="590" t="s">
        <v>274</v>
      </c>
      <c r="E2720" s="591">
        <f>(F2720+G2720+H2720+I2720)*112.7+(J2720*119.6)</f>
        <v>0</v>
      </c>
      <c r="F2720" s="3"/>
      <c r="G2720" s="3"/>
      <c r="H2720" s="3"/>
      <c r="I2720" s="3"/>
      <c r="J2720" s="3"/>
      <c r="K2720" s="628">
        <f t="shared" si="124"/>
        <v>0</v>
      </c>
      <c r="L2720" s="630">
        <f t="shared" si="125"/>
        <v>0</v>
      </c>
    </row>
    <row r="2721" spans="3:12" x14ac:dyDescent="0.2">
      <c r="C2721" s="589"/>
      <c r="D2721" s="590" t="s">
        <v>395</v>
      </c>
      <c r="E2721" s="591">
        <f>(F2721+G2721+H2721+I2721)*112.7+(J2721*119.6)</f>
        <v>0</v>
      </c>
      <c r="F2721" s="3"/>
      <c r="G2721" s="3"/>
      <c r="H2721" s="3"/>
      <c r="I2721" s="3"/>
      <c r="J2721" s="3"/>
      <c r="K2721" s="628">
        <f t="shared" si="124"/>
        <v>0</v>
      </c>
      <c r="L2721" s="630">
        <f t="shared" si="125"/>
        <v>0</v>
      </c>
    </row>
    <row r="2722" spans="3:12" x14ac:dyDescent="0.2">
      <c r="C2722" s="683"/>
      <c r="D2722" s="590" t="s">
        <v>112</v>
      </c>
      <c r="E2722" s="591">
        <f>(F2722+G2722+H2722+I2722)*112.7+(J2722*119.6)</f>
        <v>0</v>
      </c>
      <c r="F2722" s="3"/>
      <c r="G2722" s="3"/>
      <c r="H2722" s="3"/>
      <c r="I2722" s="3"/>
      <c r="J2722" s="3"/>
      <c r="K2722" s="628">
        <f t="shared" si="124"/>
        <v>0</v>
      </c>
      <c r="L2722" s="630">
        <f t="shared" si="125"/>
        <v>0</v>
      </c>
    </row>
    <row r="2723" spans="3:12" x14ac:dyDescent="0.2">
      <c r="C2723" s="683"/>
      <c r="D2723" s="590" t="s">
        <v>72</v>
      </c>
      <c r="E2723" s="591">
        <f>(F2723+G2723+H2723+I2723)*112.7+(J2723*119.6)</f>
        <v>0</v>
      </c>
      <c r="F2723" s="3"/>
      <c r="G2723" s="3"/>
      <c r="H2723" s="3"/>
      <c r="I2723" s="3"/>
      <c r="J2723" s="3"/>
      <c r="K2723" s="628">
        <f t="shared" si="124"/>
        <v>0</v>
      </c>
      <c r="L2723" s="630">
        <f t="shared" si="125"/>
        <v>0</v>
      </c>
    </row>
    <row r="2724" spans="3:12" x14ac:dyDescent="0.2">
      <c r="C2724" s="683"/>
      <c r="D2724" s="590" t="s">
        <v>187</v>
      </c>
      <c r="E2724" s="591"/>
      <c r="F2724" s="3"/>
      <c r="G2724" s="3"/>
      <c r="H2724" s="3"/>
      <c r="I2724" s="3">
        <v>1</v>
      </c>
      <c r="J2724" s="3">
        <v>8</v>
      </c>
      <c r="K2724" s="628">
        <f>SUM(F2724:J2724)</f>
        <v>9</v>
      </c>
      <c r="L2724" s="3"/>
    </row>
    <row r="2725" spans="3:12" ht="16" x14ac:dyDescent="0.2">
      <c r="C2725" s="683"/>
      <c r="D2725" s="590" t="s">
        <v>647</v>
      </c>
      <c r="E2725" s="592"/>
      <c r="F2725" s="3">
        <v>1</v>
      </c>
      <c r="G2725" s="3">
        <v>1</v>
      </c>
      <c r="H2725" s="3">
        <v>2</v>
      </c>
      <c r="I2725" s="3"/>
      <c r="J2725" s="3"/>
      <c r="K2725" s="628">
        <f>SUM(F2725:J2725)</f>
        <v>4</v>
      </c>
      <c r="L2725" s="3"/>
    </row>
    <row r="2726" spans="3:12" ht="17" thickBot="1" x14ac:dyDescent="0.25">
      <c r="C2726" s="683"/>
      <c r="D2726" s="590"/>
      <c r="E2726" s="624"/>
      <c r="F2726" s="69"/>
      <c r="G2726" s="69"/>
      <c r="H2726" s="69"/>
      <c r="I2726" s="69"/>
      <c r="J2726" s="69"/>
      <c r="K2726" s="629"/>
      <c r="L2726" s="3"/>
    </row>
    <row r="2727" spans="3:12" ht="16" thickBot="1" x14ac:dyDescent="0.25">
      <c r="C2727" s="596"/>
      <c r="D2727" s="623" t="s">
        <v>19</v>
      </c>
      <c r="E2727" s="625">
        <f>SUM(E2701:E2724)</f>
        <v>34646</v>
      </c>
      <c r="F2727" s="614">
        <f>SUM(F2701:F2726)</f>
        <v>97</v>
      </c>
      <c r="G2727" s="614">
        <f>SUM(G2701:G2726)</f>
        <v>53</v>
      </c>
      <c r="H2727" s="614">
        <f>SUM(H2701:H2726)</f>
        <v>26</v>
      </c>
      <c r="I2727" s="614">
        <f>SUM(I2701:I2726)</f>
        <v>54</v>
      </c>
      <c r="J2727" s="614">
        <f>SUM(J2701:J2726)</f>
        <v>84</v>
      </c>
      <c r="K2727" s="626">
        <f>SUM(F2727:J2727)</f>
        <v>314</v>
      </c>
      <c r="L2727" s="631">
        <f>SUM(L2701:L2726)</f>
        <v>75.25</v>
      </c>
    </row>
    <row r="2728" spans="3:12" x14ac:dyDescent="0.2">
      <c r="C2728" s="596"/>
      <c r="D2728" s="593" t="s">
        <v>113</v>
      </c>
      <c r="E2728" s="620"/>
      <c r="F2728" s="610">
        <f>F2698-F2727</f>
        <v>9</v>
      </c>
      <c r="G2728" s="610">
        <f>G2698-G2727</f>
        <v>0</v>
      </c>
      <c r="H2728" s="610">
        <f>H2698-H2727</f>
        <v>2</v>
      </c>
      <c r="I2728" s="610">
        <f>I2698-I2727</f>
        <v>1</v>
      </c>
      <c r="J2728" s="610">
        <f>J2698-J2727</f>
        <v>4</v>
      </c>
      <c r="K2728" s="636">
        <f>SUM(F2728:J2728)</f>
        <v>16</v>
      </c>
      <c r="L2728" s="3"/>
    </row>
    <row r="2729" spans="3:12" x14ac:dyDescent="0.2">
      <c r="C2729" s="683"/>
      <c r="D2729" s="593" t="s">
        <v>436</v>
      </c>
      <c r="E2729" s="594"/>
      <c r="F2729" s="581"/>
      <c r="G2729" s="581"/>
      <c r="H2729" s="581"/>
      <c r="I2729" s="581"/>
      <c r="J2729" s="581"/>
      <c r="K2729" s="637">
        <f>K2727+K2728</f>
        <v>330</v>
      </c>
      <c r="L2729" s="3"/>
    </row>
    <row r="2731" spans="3:12" ht="18" x14ac:dyDescent="0.2">
      <c r="C2731" s="685" t="s">
        <v>412</v>
      </c>
      <c r="D2731" s="582">
        <v>45740</v>
      </c>
      <c r="E2731" s="800"/>
      <c r="F2731" s="685" t="s">
        <v>83</v>
      </c>
      <c r="G2731" s="801" t="s">
        <v>63</v>
      </c>
      <c r="H2731" s="802"/>
      <c r="I2731" s="802"/>
      <c r="J2731" s="802"/>
      <c r="K2731" s="803"/>
    </row>
    <row r="2732" spans="3:12" x14ac:dyDescent="0.2">
      <c r="C2732" s="804"/>
      <c r="D2732" s="805"/>
      <c r="E2732" s="800"/>
      <c r="F2732" s="683" t="s">
        <v>93</v>
      </c>
      <c r="G2732" s="683" t="s">
        <v>93</v>
      </c>
      <c r="H2732" s="683"/>
      <c r="I2732" s="806"/>
      <c r="J2732" s="806"/>
      <c r="K2732" s="806"/>
    </row>
    <row r="2733" spans="3:12" x14ac:dyDescent="0.2">
      <c r="C2733" s="804"/>
      <c r="D2733" s="805"/>
      <c r="E2733" s="800"/>
      <c r="F2733" s="683" t="s">
        <v>94</v>
      </c>
      <c r="G2733" s="683" t="s">
        <v>95</v>
      </c>
      <c r="H2733" s="683" t="s">
        <v>96</v>
      </c>
      <c r="I2733" s="806"/>
      <c r="J2733" s="806"/>
      <c r="K2733" s="806"/>
    </row>
    <row r="2734" spans="3:12" x14ac:dyDescent="0.2">
      <c r="C2734" s="804"/>
      <c r="D2734" s="805"/>
      <c r="E2734" s="800"/>
      <c r="F2734" s="683"/>
      <c r="G2734" s="683"/>
      <c r="H2734" s="683"/>
      <c r="I2734" s="806"/>
      <c r="J2734" s="806"/>
      <c r="K2734" s="806"/>
    </row>
    <row r="2735" spans="3:12" ht="16" x14ac:dyDescent="0.2">
      <c r="C2735" s="683"/>
      <c r="D2735" s="583" t="s">
        <v>97</v>
      </c>
      <c r="E2735" s="584"/>
      <c r="F2735" s="581"/>
      <c r="G2735" s="585"/>
      <c r="H2735" s="585"/>
      <c r="I2735" s="586"/>
      <c r="J2735" s="586"/>
      <c r="K2735" s="586"/>
    </row>
    <row r="2736" spans="3:12" ht="26" x14ac:dyDescent="0.2">
      <c r="C2736" s="804"/>
      <c r="D2736" s="587"/>
      <c r="E2736" s="588"/>
      <c r="F2736" s="585" t="s">
        <v>383</v>
      </c>
      <c r="G2736" s="585" t="s">
        <v>384</v>
      </c>
      <c r="H2736" s="585" t="s">
        <v>385</v>
      </c>
      <c r="I2736" s="585" t="s">
        <v>386</v>
      </c>
      <c r="J2736" s="585" t="s">
        <v>387</v>
      </c>
      <c r="K2736" s="585" t="s">
        <v>84</v>
      </c>
    </row>
    <row r="2737" spans="3:12" x14ac:dyDescent="0.2">
      <c r="C2737" s="804"/>
      <c r="D2737" s="684" t="s">
        <v>167</v>
      </c>
      <c r="E2737" s="588"/>
      <c r="F2737" s="580">
        <v>14</v>
      </c>
      <c r="G2737" s="579">
        <v>8</v>
      </c>
      <c r="H2737" s="580">
        <v>4</v>
      </c>
      <c r="I2737" s="580">
        <v>5</v>
      </c>
      <c r="J2737" s="580">
        <v>11</v>
      </c>
      <c r="K2737" s="580">
        <f>SUM(F2737:J2737)</f>
        <v>42</v>
      </c>
    </row>
    <row r="2738" spans="3:12" x14ac:dyDescent="0.2">
      <c r="C2738" s="804"/>
      <c r="D2738" s="684" t="s">
        <v>207</v>
      </c>
      <c r="E2738" s="588"/>
      <c r="F2738" s="618">
        <v>98</v>
      </c>
      <c r="G2738" s="619">
        <v>56</v>
      </c>
      <c r="H2738" s="618">
        <v>28</v>
      </c>
      <c r="I2738" s="618">
        <v>55</v>
      </c>
      <c r="J2738" s="618">
        <v>97</v>
      </c>
      <c r="K2738" s="618">
        <f>SUM(F2738:J2738)</f>
        <v>334</v>
      </c>
    </row>
    <row r="2739" spans="3:12" x14ac:dyDescent="0.2">
      <c r="C2739" s="683"/>
      <c r="D2739" s="684" t="s">
        <v>100</v>
      </c>
      <c r="E2739" s="588"/>
      <c r="F2739" s="581"/>
      <c r="G2739" s="581"/>
      <c r="H2739" s="581"/>
      <c r="I2739" s="581"/>
      <c r="J2739" s="581"/>
      <c r="K2739" s="581">
        <f>SUM(F2739:J2739)</f>
        <v>0</v>
      </c>
    </row>
    <row r="2740" spans="3:12" x14ac:dyDescent="0.2">
      <c r="C2740" s="683"/>
      <c r="D2740" s="684" t="s">
        <v>101</v>
      </c>
      <c r="E2740" s="588"/>
      <c r="F2740" s="581"/>
      <c r="G2740" s="581">
        <v>3</v>
      </c>
      <c r="H2740" s="581">
        <v>1</v>
      </c>
      <c r="I2740" s="581"/>
      <c r="J2740" s="581"/>
      <c r="K2740" s="581">
        <f>SUM(F2740:J2740)</f>
        <v>4</v>
      </c>
    </row>
    <row r="2741" spans="3:12" ht="16" thickBot="1" x14ac:dyDescent="0.25">
      <c r="C2741" s="683"/>
      <c r="D2741" s="597" t="s">
        <v>102</v>
      </c>
      <c r="E2741" s="598"/>
      <c r="F2741" s="599">
        <v>9</v>
      </c>
      <c r="G2741" s="600"/>
      <c r="H2741" s="600">
        <v>2</v>
      </c>
      <c r="I2741" s="600">
        <v>1</v>
      </c>
      <c r="J2741" s="600">
        <v>4</v>
      </c>
      <c r="K2741" s="600">
        <f>SUM(F2741:J2741)</f>
        <v>16</v>
      </c>
    </row>
    <row r="2742" spans="3:12" ht="17" thickBot="1" x14ac:dyDescent="0.25">
      <c r="C2742" s="605"/>
      <c r="D2742" s="612" t="s">
        <v>84</v>
      </c>
      <c r="E2742" s="613"/>
      <c r="F2742" s="614">
        <f>(F2738+F2741)-F2740-F2739</f>
        <v>107</v>
      </c>
      <c r="G2742" s="615">
        <f>(G2738+G2741)-G2740-G2739</f>
        <v>53</v>
      </c>
      <c r="H2742" s="616">
        <f>(H2738+H2741)-H2740</f>
        <v>29</v>
      </c>
      <c r="I2742" s="615">
        <f>(I2738+I2741)-I2740-I2739</f>
        <v>56</v>
      </c>
      <c r="J2742" s="622">
        <f>(J2738+J2741)-J2740-J2739</f>
        <v>101</v>
      </c>
      <c r="K2742" s="617">
        <f>(K2738+K2741)-K2740-K2739</f>
        <v>346</v>
      </c>
    </row>
    <row r="2743" spans="3:12" ht="16" x14ac:dyDescent="0.2">
      <c r="C2743" s="683"/>
      <c r="D2743" s="608"/>
      <c r="E2743" s="609"/>
      <c r="F2743" s="610"/>
      <c r="G2743" s="595"/>
      <c r="H2743" s="611"/>
      <c r="I2743" s="595"/>
      <c r="J2743" s="595"/>
      <c r="K2743" s="595"/>
    </row>
    <row r="2744" spans="3:12" ht="16" thickBot="1" x14ac:dyDescent="0.25">
      <c r="C2744" s="606" t="s">
        <v>388</v>
      </c>
      <c r="D2744" s="607" t="s">
        <v>103</v>
      </c>
      <c r="E2744" s="603" t="s">
        <v>84</v>
      </c>
      <c r="F2744" s="602" t="s">
        <v>78</v>
      </c>
      <c r="G2744" s="602" t="s">
        <v>79</v>
      </c>
      <c r="H2744" s="602" t="s">
        <v>81</v>
      </c>
      <c r="I2744" s="601" t="s">
        <v>316</v>
      </c>
      <c r="J2744" s="601" t="s">
        <v>85</v>
      </c>
      <c r="K2744" s="601" t="s">
        <v>84</v>
      </c>
      <c r="L2744" s="174" t="s">
        <v>389</v>
      </c>
    </row>
    <row r="2745" spans="3:12" x14ac:dyDescent="0.2">
      <c r="C2745" s="589" t="s">
        <v>572</v>
      </c>
      <c r="D2745" s="604" t="s">
        <v>105</v>
      </c>
      <c r="E2745" s="591">
        <f>(F2745+G2745+H2745+I2745+J2745)*100+(0*230)</f>
        <v>6000</v>
      </c>
      <c r="F2745" s="3">
        <v>20</v>
      </c>
      <c r="G2745" s="3">
        <v>12</v>
      </c>
      <c r="H2745" s="3">
        <v>8</v>
      </c>
      <c r="I2745" s="3"/>
      <c r="J2745" s="3">
        <v>20</v>
      </c>
      <c r="K2745" s="628">
        <f t="shared" ref="K2745:K2767" si="126">SUM(F2745:J2745)</f>
        <v>60</v>
      </c>
      <c r="L2745" s="630">
        <f>K2745/4</f>
        <v>15</v>
      </c>
    </row>
    <row r="2746" spans="3:12" x14ac:dyDescent="0.2">
      <c r="C2746" s="589"/>
      <c r="D2746" s="590" t="s">
        <v>390</v>
      </c>
      <c r="E2746" s="591">
        <f>(F2746+G2746+H2746+I2746+J2746)*120</f>
        <v>0</v>
      </c>
      <c r="F2746" s="3"/>
      <c r="G2746" s="3"/>
      <c r="H2746" s="3"/>
      <c r="I2746" s="3"/>
      <c r="J2746" s="3"/>
      <c r="K2746" s="628">
        <f t="shared" si="126"/>
        <v>0</v>
      </c>
      <c r="L2746" s="630">
        <f t="shared" ref="L2746:L2767" si="127">K2746/4</f>
        <v>0</v>
      </c>
    </row>
    <row r="2747" spans="3:12" x14ac:dyDescent="0.2">
      <c r="C2747" s="589"/>
      <c r="D2747" s="590" t="s">
        <v>391</v>
      </c>
      <c r="E2747" s="591">
        <f>(F2747+G2747+H2747+I2747+J2747)*120</f>
        <v>0</v>
      </c>
      <c r="F2747" s="3"/>
      <c r="G2747" s="3"/>
      <c r="H2747" s="3"/>
      <c r="I2747" s="3"/>
      <c r="J2747" s="3"/>
      <c r="K2747" s="628">
        <f t="shared" si="126"/>
        <v>0</v>
      </c>
      <c r="L2747" s="630">
        <f t="shared" si="127"/>
        <v>0</v>
      </c>
    </row>
    <row r="2748" spans="3:12" x14ac:dyDescent="0.2">
      <c r="C2748" s="589"/>
      <c r="D2748" s="590" t="s">
        <v>392</v>
      </c>
      <c r="E2748" s="591">
        <f>(F2748+G2748+H2748+I2748+J2748)*120</f>
        <v>0</v>
      </c>
      <c r="F2748" s="3"/>
      <c r="G2748" s="3"/>
      <c r="H2748" s="3"/>
      <c r="I2748" s="3"/>
      <c r="J2748" s="3"/>
      <c r="K2748" s="628">
        <f t="shared" si="126"/>
        <v>0</v>
      </c>
      <c r="L2748" s="630">
        <f t="shared" si="127"/>
        <v>0</v>
      </c>
    </row>
    <row r="2749" spans="3:12" x14ac:dyDescent="0.2">
      <c r="C2749" s="589"/>
      <c r="D2749" s="590" t="s">
        <v>425</v>
      </c>
      <c r="E2749" s="591">
        <f>(F2749+G2749+H2749+I2749+J2749)*120</f>
        <v>0</v>
      </c>
      <c r="F2749" s="3"/>
      <c r="G2749" s="3"/>
      <c r="H2749" s="3"/>
      <c r="I2749" s="3"/>
      <c r="J2749" s="3"/>
      <c r="K2749" s="628">
        <f t="shared" si="126"/>
        <v>0</v>
      </c>
      <c r="L2749" s="630">
        <f t="shared" si="127"/>
        <v>0</v>
      </c>
    </row>
    <row r="2750" spans="3:12" x14ac:dyDescent="0.2">
      <c r="C2750" s="589"/>
      <c r="D2750" s="590"/>
      <c r="E2750" s="591"/>
      <c r="F2750" s="3"/>
      <c r="G2750" s="3"/>
      <c r="H2750" s="3"/>
      <c r="I2750" s="3"/>
      <c r="J2750" s="3"/>
      <c r="K2750" s="628">
        <f t="shared" si="126"/>
        <v>0</v>
      </c>
      <c r="L2750" s="630">
        <f t="shared" si="127"/>
        <v>0</v>
      </c>
    </row>
    <row r="2751" spans="3:12" x14ac:dyDescent="0.2">
      <c r="C2751" s="589" t="s">
        <v>887</v>
      </c>
      <c r="D2751" s="590" t="s">
        <v>108</v>
      </c>
      <c r="E2751" s="591">
        <f>(F2751+G2751+H2751+J2751)*112.7+(I2751*119.6)</f>
        <v>3661.6000000000004</v>
      </c>
      <c r="F2751" s="3">
        <v>8</v>
      </c>
      <c r="G2751" s="3">
        <v>4</v>
      </c>
      <c r="H2751" s="3">
        <v>4</v>
      </c>
      <c r="I2751" s="3">
        <v>8</v>
      </c>
      <c r="J2751" s="3">
        <v>8</v>
      </c>
      <c r="K2751" s="628">
        <f t="shared" si="126"/>
        <v>32</v>
      </c>
      <c r="L2751" s="630">
        <f t="shared" si="127"/>
        <v>8</v>
      </c>
    </row>
    <row r="2752" spans="3:12" x14ac:dyDescent="0.2">
      <c r="C2752" s="589" t="s">
        <v>886</v>
      </c>
      <c r="D2752" s="590" t="s">
        <v>393</v>
      </c>
      <c r="E2752" s="591">
        <f>(F2752+G2752+H2752+J2752)*112.7+(I2752*119.6)</f>
        <v>2732.4</v>
      </c>
      <c r="F2752" s="3">
        <v>6</v>
      </c>
      <c r="G2752" s="3">
        <v>4</v>
      </c>
      <c r="H2752" s="3">
        <v>4</v>
      </c>
      <c r="I2752" s="3">
        <v>4</v>
      </c>
      <c r="J2752" s="3">
        <v>6</v>
      </c>
      <c r="K2752" s="628">
        <f t="shared" si="126"/>
        <v>24</v>
      </c>
      <c r="L2752" s="630">
        <f t="shared" si="127"/>
        <v>6</v>
      </c>
    </row>
    <row r="2753" spans="3:12" x14ac:dyDescent="0.2">
      <c r="C2753" s="589" t="s">
        <v>885</v>
      </c>
      <c r="D2753" s="590" t="s">
        <v>216</v>
      </c>
      <c r="E2753" s="591">
        <f>(F2753+G2753+H2753+J2753)*112.7+(I2753*119.6)</f>
        <v>2281.6</v>
      </c>
      <c r="F2753" s="3">
        <v>6</v>
      </c>
      <c r="G2753" s="3">
        <v>4</v>
      </c>
      <c r="H2753" s="3"/>
      <c r="I2753" s="3">
        <v>4</v>
      </c>
      <c r="J2753" s="3">
        <v>6</v>
      </c>
      <c r="K2753" s="628">
        <f t="shared" si="126"/>
        <v>20</v>
      </c>
      <c r="L2753" s="630">
        <f t="shared" si="127"/>
        <v>5</v>
      </c>
    </row>
    <row r="2754" spans="3:12" x14ac:dyDescent="0.2">
      <c r="C2754" s="589"/>
      <c r="D2754" s="590"/>
      <c r="E2754" s="591"/>
      <c r="F2754" s="3"/>
      <c r="G2754" s="3"/>
      <c r="H2754" s="3"/>
      <c r="I2754" s="3"/>
      <c r="J2754" s="3"/>
      <c r="K2754" s="628">
        <f t="shared" si="126"/>
        <v>0</v>
      </c>
      <c r="L2754" s="630">
        <f t="shared" si="127"/>
        <v>0</v>
      </c>
    </row>
    <row r="2755" spans="3:12" x14ac:dyDescent="0.2">
      <c r="C2755" s="589" t="s">
        <v>610</v>
      </c>
      <c r="D2755" s="590" t="s">
        <v>394</v>
      </c>
      <c r="E2755" s="591">
        <f>(F2755+G2755+H2755+I2755+J2755)*120</f>
        <v>4200</v>
      </c>
      <c r="F2755" s="3">
        <v>10</v>
      </c>
      <c r="G2755" s="3">
        <v>5</v>
      </c>
      <c r="H2755" s="3">
        <v>5</v>
      </c>
      <c r="I2755" s="3">
        <v>5</v>
      </c>
      <c r="J2755" s="3">
        <v>10</v>
      </c>
      <c r="K2755" s="628">
        <f t="shared" si="126"/>
        <v>35</v>
      </c>
      <c r="L2755" s="630">
        <f t="shared" si="127"/>
        <v>8.75</v>
      </c>
    </row>
    <row r="2756" spans="3:12" x14ac:dyDescent="0.2">
      <c r="C2756" s="589" t="s">
        <v>888</v>
      </c>
      <c r="D2756" s="590" t="s">
        <v>110</v>
      </c>
      <c r="E2756" s="591">
        <f>(F2756+G2756+H2756+J2756)*112.7+(I2756*119.6)</f>
        <v>11049.2</v>
      </c>
      <c r="F2756" s="3">
        <v>40</v>
      </c>
      <c r="G2756" s="3">
        <v>20</v>
      </c>
      <c r="H2756" s="3"/>
      <c r="I2756" s="3">
        <v>17</v>
      </c>
      <c r="J2756" s="3">
        <v>20</v>
      </c>
      <c r="K2756" s="628">
        <f t="shared" si="126"/>
        <v>97</v>
      </c>
      <c r="L2756" s="630">
        <f t="shared" si="127"/>
        <v>24.25</v>
      </c>
    </row>
    <row r="2757" spans="3:12" x14ac:dyDescent="0.2">
      <c r="C2757" s="589"/>
      <c r="D2757" s="590"/>
      <c r="E2757" s="591"/>
      <c r="F2757" s="3"/>
      <c r="G2757" s="3"/>
      <c r="H2757" s="3"/>
      <c r="I2757" s="3"/>
      <c r="J2757" s="3"/>
      <c r="K2757" s="628">
        <f t="shared" si="126"/>
        <v>0</v>
      </c>
      <c r="L2757" s="630">
        <f t="shared" si="127"/>
        <v>0</v>
      </c>
    </row>
    <row r="2758" spans="3:12" x14ac:dyDescent="0.2">
      <c r="C2758" s="589"/>
      <c r="D2758" s="590" t="s">
        <v>381</v>
      </c>
      <c r="E2758" s="591">
        <f>(F2758+G2758+H2758+I2758+J2758)*120+(240*0)+(0*45)</f>
        <v>0</v>
      </c>
      <c r="F2758" s="3"/>
      <c r="G2758" s="3"/>
      <c r="H2758" s="3"/>
      <c r="I2758" s="3"/>
      <c r="J2758" s="3"/>
      <c r="K2758" s="628">
        <f t="shared" si="126"/>
        <v>0</v>
      </c>
      <c r="L2758" s="630">
        <f t="shared" si="127"/>
        <v>0</v>
      </c>
    </row>
    <row r="2759" spans="3:12" x14ac:dyDescent="0.2">
      <c r="C2759" s="589"/>
      <c r="D2759" s="590" t="s">
        <v>276</v>
      </c>
      <c r="E2759" s="591">
        <f>(F2759+G2759+H2759+J2759)*112.7+(I2759*119.6)</f>
        <v>0</v>
      </c>
      <c r="F2759" s="3"/>
      <c r="G2759" s="3"/>
      <c r="H2759" s="3"/>
      <c r="I2759" s="3"/>
      <c r="J2759" s="3"/>
      <c r="K2759" s="628">
        <f t="shared" si="126"/>
        <v>0</v>
      </c>
      <c r="L2759" s="630">
        <f t="shared" si="127"/>
        <v>0</v>
      </c>
    </row>
    <row r="2760" spans="3:12" x14ac:dyDescent="0.2">
      <c r="C2760" s="589"/>
      <c r="D2760" s="590"/>
      <c r="E2760" s="591"/>
      <c r="F2760" s="3"/>
      <c r="G2760" s="3"/>
      <c r="H2760" s="3"/>
      <c r="I2760" s="3"/>
      <c r="J2760" s="3"/>
      <c r="K2760" s="628">
        <f t="shared" si="126"/>
        <v>0</v>
      </c>
      <c r="L2760" s="630">
        <f t="shared" si="127"/>
        <v>0</v>
      </c>
    </row>
    <row r="2761" spans="3:12" x14ac:dyDescent="0.2">
      <c r="C2761" s="589"/>
      <c r="D2761" s="590" t="s">
        <v>75</v>
      </c>
      <c r="E2761" s="591">
        <f>(F2761+G2761+H2761+I2761+J2761)*120</f>
        <v>0</v>
      </c>
      <c r="F2761" s="3"/>
      <c r="G2761" s="3"/>
      <c r="H2761" s="3"/>
      <c r="I2761" s="3"/>
      <c r="J2761" s="3"/>
      <c r="K2761" s="628">
        <f t="shared" si="126"/>
        <v>0</v>
      </c>
      <c r="L2761" s="630">
        <f t="shared" si="127"/>
        <v>0</v>
      </c>
    </row>
    <row r="2762" spans="3:12" x14ac:dyDescent="0.2">
      <c r="C2762" s="589"/>
      <c r="D2762" s="590" t="s">
        <v>278</v>
      </c>
      <c r="E2762" s="591">
        <f>(F2762+G2762+H2762+I2762+J2762)*120</f>
        <v>0</v>
      </c>
      <c r="F2762" s="3"/>
      <c r="G2762" s="3"/>
      <c r="H2762" s="3"/>
      <c r="I2762" s="3"/>
      <c r="J2762" s="3"/>
      <c r="K2762" s="628">
        <f t="shared" si="126"/>
        <v>0</v>
      </c>
      <c r="L2762" s="630">
        <f t="shared" si="127"/>
        <v>0</v>
      </c>
    </row>
    <row r="2763" spans="3:12" x14ac:dyDescent="0.2">
      <c r="C2763" s="589"/>
      <c r="D2763" s="590" t="s">
        <v>270</v>
      </c>
      <c r="E2763" s="591">
        <f>(F2763+G2763+H2763+I2763)*112.7+(J2763*119.6)</f>
        <v>0</v>
      </c>
      <c r="F2763" s="3"/>
      <c r="G2763" s="3"/>
      <c r="H2763" s="3"/>
      <c r="I2763" s="3"/>
      <c r="J2763" s="3"/>
      <c r="K2763" s="628">
        <f t="shared" si="126"/>
        <v>0</v>
      </c>
      <c r="L2763" s="630">
        <f t="shared" si="127"/>
        <v>0</v>
      </c>
    </row>
    <row r="2764" spans="3:12" x14ac:dyDescent="0.2">
      <c r="C2764" s="589"/>
      <c r="D2764" s="590" t="s">
        <v>274</v>
      </c>
      <c r="E2764" s="591">
        <f>(F2764+G2764+H2764+I2764)*112.7+(J2764*119.6)</f>
        <v>0</v>
      </c>
      <c r="F2764" s="3"/>
      <c r="G2764" s="3"/>
      <c r="H2764" s="3"/>
      <c r="I2764" s="3"/>
      <c r="J2764" s="3"/>
      <c r="K2764" s="628">
        <f t="shared" si="126"/>
        <v>0</v>
      </c>
      <c r="L2764" s="630">
        <f t="shared" si="127"/>
        <v>0</v>
      </c>
    </row>
    <row r="2765" spans="3:12" x14ac:dyDescent="0.2">
      <c r="C2765" s="589"/>
      <c r="D2765" s="590" t="s">
        <v>395</v>
      </c>
      <c r="E2765" s="591">
        <f>(F2765+G2765+H2765+I2765)*112.7+(J2765*119.6)</f>
        <v>0</v>
      </c>
      <c r="F2765" s="3"/>
      <c r="G2765" s="3"/>
      <c r="H2765" s="3"/>
      <c r="I2765" s="3"/>
      <c r="J2765" s="3"/>
      <c r="K2765" s="628">
        <f t="shared" si="126"/>
        <v>0</v>
      </c>
      <c r="L2765" s="630">
        <f t="shared" si="127"/>
        <v>0</v>
      </c>
    </row>
    <row r="2766" spans="3:12" x14ac:dyDescent="0.2">
      <c r="C2766" s="683"/>
      <c r="D2766" s="590" t="s">
        <v>112</v>
      </c>
      <c r="E2766" s="591">
        <f>(F2766+G2766+H2766+I2766)*112.7+(J2766*119.6)</f>
        <v>0</v>
      </c>
      <c r="F2766" s="3"/>
      <c r="G2766" s="3"/>
      <c r="H2766" s="3"/>
      <c r="I2766" s="3"/>
      <c r="J2766" s="3"/>
      <c r="K2766" s="628">
        <f t="shared" si="126"/>
        <v>0</v>
      </c>
      <c r="L2766" s="630">
        <f t="shared" si="127"/>
        <v>0</v>
      </c>
    </row>
    <row r="2767" spans="3:12" x14ac:dyDescent="0.2">
      <c r="C2767" s="683"/>
      <c r="D2767" s="590" t="s">
        <v>72</v>
      </c>
      <c r="E2767" s="591">
        <f>(F2767+G2767+H2767+I2767)*112.7+(J2767*119.6)</f>
        <v>0</v>
      </c>
      <c r="F2767" s="3"/>
      <c r="G2767" s="3"/>
      <c r="H2767" s="3"/>
      <c r="I2767" s="3"/>
      <c r="J2767" s="3"/>
      <c r="K2767" s="628">
        <f t="shared" si="126"/>
        <v>0</v>
      </c>
      <c r="L2767" s="630">
        <f t="shared" si="127"/>
        <v>0</v>
      </c>
    </row>
    <row r="2768" spans="3:12" x14ac:dyDescent="0.2">
      <c r="C2768" s="683"/>
      <c r="D2768" s="590" t="s">
        <v>187</v>
      </c>
      <c r="E2768" s="591"/>
      <c r="F2768" s="3"/>
      <c r="G2768" s="3"/>
      <c r="H2768" s="3">
        <v>1</v>
      </c>
      <c r="I2768" s="3"/>
      <c r="J2768" s="3">
        <v>9</v>
      </c>
      <c r="K2768" s="628">
        <f>SUM(F2768:J2768)</f>
        <v>10</v>
      </c>
      <c r="L2768" s="3"/>
    </row>
    <row r="2769" spans="3:12" ht="16" x14ac:dyDescent="0.2">
      <c r="C2769" s="683"/>
      <c r="D2769" s="590"/>
      <c r="E2769" s="592"/>
      <c r="F2769" s="3"/>
      <c r="G2769" s="3"/>
      <c r="H2769" s="3"/>
      <c r="I2769" s="3"/>
      <c r="J2769" s="3"/>
      <c r="K2769" s="628">
        <f>SUM(F2769:J2769)</f>
        <v>0</v>
      </c>
      <c r="L2769" s="3"/>
    </row>
    <row r="2770" spans="3:12" ht="17" thickBot="1" x14ac:dyDescent="0.25">
      <c r="C2770" s="683"/>
      <c r="D2770" s="590"/>
      <c r="E2770" s="624"/>
      <c r="F2770" s="69"/>
      <c r="G2770" s="69"/>
      <c r="H2770" s="69"/>
      <c r="I2770" s="69"/>
      <c r="J2770" s="69"/>
      <c r="K2770" s="629"/>
      <c r="L2770" s="3"/>
    </row>
    <row r="2771" spans="3:12" ht="16" thickBot="1" x14ac:dyDescent="0.25">
      <c r="C2771" s="596"/>
      <c r="D2771" s="623" t="s">
        <v>19</v>
      </c>
      <c r="E2771" s="625">
        <f>SUM(E2745:E2768)</f>
        <v>29924.799999999999</v>
      </c>
      <c r="F2771" s="614">
        <f>SUM(F2745:F2770)</f>
        <v>90</v>
      </c>
      <c r="G2771" s="614">
        <f>SUM(G2745:G2770)</f>
        <v>49</v>
      </c>
      <c r="H2771" s="614">
        <f>SUM(H2745:H2770)</f>
        <v>22</v>
      </c>
      <c r="I2771" s="614">
        <f>SUM(I2745:I2770)</f>
        <v>38</v>
      </c>
      <c r="J2771" s="614">
        <f>SUM(J2745:J2770)</f>
        <v>79</v>
      </c>
      <c r="K2771" s="626">
        <f>SUM(F2771:J2771)</f>
        <v>278</v>
      </c>
      <c r="L2771" s="631">
        <f>SUM(L2745:L2770)</f>
        <v>67</v>
      </c>
    </row>
    <row r="2772" spans="3:12" x14ac:dyDescent="0.2">
      <c r="C2772" s="596"/>
      <c r="D2772" s="593" t="s">
        <v>113</v>
      </c>
      <c r="E2772" s="620"/>
      <c r="F2772" s="610">
        <f>F2742-F2771</f>
        <v>17</v>
      </c>
      <c r="G2772" s="610">
        <f>G2742-G2771</f>
        <v>4</v>
      </c>
      <c r="H2772" s="610">
        <f>H2742-H2771</f>
        <v>7</v>
      </c>
      <c r="I2772" s="610">
        <f>I2742-I2771</f>
        <v>18</v>
      </c>
      <c r="J2772" s="610">
        <f>J2742-J2771</f>
        <v>22</v>
      </c>
      <c r="K2772" s="636">
        <f>SUM(F2772:J2772)</f>
        <v>68</v>
      </c>
      <c r="L2772" s="3"/>
    </row>
    <row r="2773" spans="3:12" x14ac:dyDescent="0.2">
      <c r="C2773" s="683"/>
      <c r="D2773" s="593" t="s">
        <v>436</v>
      </c>
      <c r="E2773" s="594"/>
      <c r="F2773" s="581"/>
      <c r="G2773" s="581"/>
      <c r="H2773" s="581"/>
      <c r="I2773" s="581"/>
      <c r="J2773" s="581"/>
      <c r="K2773" s="637">
        <f>K2771+K2772</f>
        <v>346</v>
      </c>
      <c r="L2773" s="3"/>
    </row>
    <row r="2775" spans="3:12" ht="18" x14ac:dyDescent="0.2">
      <c r="C2775" s="685" t="s">
        <v>412</v>
      </c>
      <c r="D2775" s="582">
        <v>45741</v>
      </c>
      <c r="E2775" s="800"/>
      <c r="F2775" s="685" t="s">
        <v>83</v>
      </c>
      <c r="G2775" s="801" t="s">
        <v>64</v>
      </c>
      <c r="H2775" s="802"/>
      <c r="I2775" s="802"/>
      <c r="J2775" s="802"/>
      <c r="K2775" s="803"/>
    </row>
    <row r="2776" spans="3:12" x14ac:dyDescent="0.2">
      <c r="C2776" s="804"/>
      <c r="D2776" s="805"/>
      <c r="E2776" s="800"/>
      <c r="F2776" s="683" t="s">
        <v>93</v>
      </c>
      <c r="G2776" s="683" t="s">
        <v>93</v>
      </c>
      <c r="H2776" s="683"/>
      <c r="I2776" s="806"/>
      <c r="J2776" s="806"/>
      <c r="K2776" s="806"/>
    </row>
    <row r="2777" spans="3:12" x14ac:dyDescent="0.2">
      <c r="C2777" s="804"/>
      <c r="D2777" s="805"/>
      <c r="E2777" s="800"/>
      <c r="F2777" s="683" t="s">
        <v>94</v>
      </c>
      <c r="G2777" s="683" t="s">
        <v>95</v>
      </c>
      <c r="H2777" s="683" t="s">
        <v>96</v>
      </c>
      <c r="I2777" s="806"/>
      <c r="J2777" s="806"/>
      <c r="K2777" s="806"/>
    </row>
    <row r="2778" spans="3:12" x14ac:dyDescent="0.2">
      <c r="C2778" s="804"/>
      <c r="D2778" s="805"/>
      <c r="E2778" s="800"/>
      <c r="F2778" s="683"/>
      <c r="G2778" s="683"/>
      <c r="H2778" s="683"/>
      <c r="I2778" s="806"/>
      <c r="J2778" s="806"/>
      <c r="K2778" s="806"/>
    </row>
    <row r="2779" spans="3:12" ht="16" x14ac:dyDescent="0.2">
      <c r="C2779" s="683"/>
      <c r="D2779" s="583" t="s">
        <v>97</v>
      </c>
      <c r="E2779" s="584"/>
      <c r="F2779" s="581"/>
      <c r="G2779" s="585"/>
      <c r="H2779" s="585"/>
      <c r="I2779" s="586"/>
      <c r="J2779" s="586"/>
      <c r="K2779" s="586"/>
    </row>
    <row r="2780" spans="3:12" ht="26" x14ac:dyDescent="0.2">
      <c r="C2780" s="804"/>
      <c r="D2780" s="587"/>
      <c r="E2780" s="588"/>
      <c r="F2780" s="585" t="s">
        <v>383</v>
      </c>
      <c r="G2780" s="585" t="s">
        <v>384</v>
      </c>
      <c r="H2780" s="585" t="s">
        <v>385</v>
      </c>
      <c r="I2780" s="585" t="s">
        <v>386</v>
      </c>
      <c r="J2780" s="585" t="s">
        <v>387</v>
      </c>
      <c r="K2780" s="585" t="s">
        <v>84</v>
      </c>
    </row>
    <row r="2781" spans="3:12" x14ac:dyDescent="0.2">
      <c r="C2781" s="804"/>
      <c r="D2781" s="684" t="s">
        <v>167</v>
      </c>
      <c r="E2781" s="588"/>
      <c r="F2781" s="580">
        <v>11</v>
      </c>
      <c r="G2781" s="579">
        <v>9</v>
      </c>
      <c r="H2781" s="580"/>
      <c r="I2781" s="580">
        <v>5</v>
      </c>
      <c r="J2781" s="580">
        <v>9</v>
      </c>
      <c r="K2781" s="580">
        <f>SUM(F2781:J2781)</f>
        <v>34</v>
      </c>
    </row>
    <row r="2782" spans="3:12" x14ac:dyDescent="0.2">
      <c r="C2782" s="804"/>
      <c r="D2782" s="684" t="s">
        <v>207</v>
      </c>
      <c r="E2782" s="588"/>
      <c r="F2782" s="618">
        <v>77</v>
      </c>
      <c r="G2782" s="619">
        <v>63</v>
      </c>
      <c r="H2782" s="618"/>
      <c r="I2782" s="618">
        <v>55</v>
      </c>
      <c r="J2782" s="618">
        <v>79</v>
      </c>
      <c r="K2782" s="618">
        <f>SUM(F2782:J2782)</f>
        <v>274</v>
      </c>
    </row>
    <row r="2783" spans="3:12" x14ac:dyDescent="0.2">
      <c r="C2783" s="683"/>
      <c r="D2783" s="684" t="s">
        <v>100</v>
      </c>
      <c r="E2783" s="588"/>
      <c r="F2783" s="581"/>
      <c r="G2783" s="581"/>
      <c r="H2783" s="581"/>
      <c r="I2783" s="581"/>
      <c r="J2783" s="581"/>
      <c r="K2783" s="581">
        <f>SUM(F2783:J2783)</f>
        <v>0</v>
      </c>
    </row>
    <row r="2784" spans="3:12" x14ac:dyDescent="0.2">
      <c r="C2784" s="683"/>
      <c r="D2784" s="684" t="s">
        <v>101</v>
      </c>
      <c r="E2784" s="588"/>
      <c r="F2784" s="581"/>
      <c r="G2784" s="581"/>
      <c r="H2784" s="581">
        <v>1</v>
      </c>
      <c r="I2784" s="581"/>
      <c r="J2784" s="581"/>
      <c r="K2784" s="581">
        <f>SUM(F2784:J2784)</f>
        <v>1</v>
      </c>
    </row>
    <row r="2785" spans="3:12" ht="16" thickBot="1" x14ac:dyDescent="0.25">
      <c r="C2785" s="683"/>
      <c r="D2785" s="597" t="s">
        <v>102</v>
      </c>
      <c r="E2785" s="598"/>
      <c r="F2785" s="599">
        <v>14</v>
      </c>
      <c r="G2785" s="600">
        <v>3</v>
      </c>
      <c r="H2785" s="600">
        <v>7</v>
      </c>
      <c r="I2785" s="600"/>
      <c r="J2785" s="600">
        <v>16</v>
      </c>
      <c r="K2785" s="600">
        <f>SUM(F2785:J2785)</f>
        <v>40</v>
      </c>
    </row>
    <row r="2786" spans="3:12" ht="17" thickBot="1" x14ac:dyDescent="0.25">
      <c r="C2786" s="605"/>
      <c r="D2786" s="612" t="s">
        <v>84</v>
      </c>
      <c r="E2786" s="613"/>
      <c r="F2786" s="614">
        <f>(F2782+F2785)-F2784-F2783</f>
        <v>91</v>
      </c>
      <c r="G2786" s="615">
        <f>(G2782+G2785)-G2784-G2783</f>
        <v>66</v>
      </c>
      <c r="H2786" s="616">
        <f>(H2782+H2785)-H2784</f>
        <v>6</v>
      </c>
      <c r="I2786" s="615">
        <f>(I2782+I2785)-I2784-I2783</f>
        <v>55</v>
      </c>
      <c r="J2786" s="622">
        <f>(J2782+J2785)-J2784-J2783</f>
        <v>95</v>
      </c>
      <c r="K2786" s="617">
        <f>(K2782+K2785)-K2784-K2783</f>
        <v>313</v>
      </c>
    </row>
    <row r="2787" spans="3:12" ht="16" x14ac:dyDescent="0.2">
      <c r="C2787" s="683"/>
      <c r="D2787" s="608"/>
      <c r="E2787" s="609"/>
      <c r="F2787" s="610"/>
      <c r="G2787" s="595"/>
      <c r="H2787" s="611"/>
      <c r="I2787" s="595"/>
      <c r="J2787" s="595"/>
      <c r="K2787" s="595"/>
    </row>
    <row r="2788" spans="3:12" ht="16" thickBot="1" x14ac:dyDescent="0.25">
      <c r="C2788" s="606" t="s">
        <v>388</v>
      </c>
      <c r="D2788" s="607" t="s">
        <v>103</v>
      </c>
      <c r="E2788" s="603" t="s">
        <v>84</v>
      </c>
      <c r="F2788" s="602" t="s">
        <v>78</v>
      </c>
      <c r="G2788" s="602" t="s">
        <v>79</v>
      </c>
      <c r="H2788" s="602" t="s">
        <v>81</v>
      </c>
      <c r="I2788" s="601" t="s">
        <v>316</v>
      </c>
      <c r="J2788" s="601" t="s">
        <v>85</v>
      </c>
      <c r="K2788" s="601" t="s">
        <v>84</v>
      </c>
      <c r="L2788" s="174" t="s">
        <v>389</v>
      </c>
    </row>
    <row r="2789" spans="3:12" x14ac:dyDescent="0.2">
      <c r="C2789" s="589"/>
      <c r="D2789" s="604" t="s">
        <v>105</v>
      </c>
      <c r="E2789" s="591">
        <f>(F2789+G2789+H2789+I2789+J2789)*100+(0*230)</f>
        <v>0</v>
      </c>
      <c r="F2789" s="3"/>
      <c r="G2789" s="3"/>
      <c r="H2789" s="3"/>
      <c r="I2789" s="3"/>
      <c r="J2789" s="3"/>
      <c r="K2789" s="628">
        <f t="shared" ref="K2789:K2811" si="128">SUM(F2789:J2789)</f>
        <v>0</v>
      </c>
      <c r="L2789" s="630">
        <f>K2789/4</f>
        <v>0</v>
      </c>
    </row>
    <row r="2790" spans="3:12" x14ac:dyDescent="0.2">
      <c r="C2790" s="589"/>
      <c r="D2790" s="590" t="s">
        <v>390</v>
      </c>
      <c r="E2790" s="591">
        <f>(F2790+G2790+H2790+I2790+J2790)*120</f>
        <v>0</v>
      </c>
      <c r="F2790" s="3"/>
      <c r="G2790" s="3"/>
      <c r="H2790" s="3"/>
      <c r="I2790" s="3"/>
      <c r="J2790" s="3"/>
      <c r="K2790" s="628">
        <f t="shared" si="128"/>
        <v>0</v>
      </c>
      <c r="L2790" s="630">
        <f t="shared" ref="L2790:L2811" si="129">K2790/4</f>
        <v>0</v>
      </c>
    </row>
    <row r="2791" spans="3:12" x14ac:dyDescent="0.2">
      <c r="C2791" s="589"/>
      <c r="D2791" s="590" t="s">
        <v>391</v>
      </c>
      <c r="E2791" s="591">
        <f>(F2791+G2791+H2791+I2791+J2791)*120</f>
        <v>0</v>
      </c>
      <c r="F2791" s="3"/>
      <c r="G2791" s="3"/>
      <c r="H2791" s="3"/>
      <c r="I2791" s="3"/>
      <c r="J2791" s="3"/>
      <c r="K2791" s="628">
        <f t="shared" si="128"/>
        <v>0</v>
      </c>
      <c r="L2791" s="630">
        <f t="shared" si="129"/>
        <v>0</v>
      </c>
    </row>
    <row r="2792" spans="3:12" x14ac:dyDescent="0.2">
      <c r="C2792" s="589"/>
      <c r="D2792" s="590" t="s">
        <v>392</v>
      </c>
      <c r="E2792" s="591">
        <f>(F2792+G2792+H2792+I2792+J2792)*120</f>
        <v>0</v>
      </c>
      <c r="F2792" s="3"/>
      <c r="G2792" s="3"/>
      <c r="H2792" s="3"/>
      <c r="I2792" s="3"/>
      <c r="J2792" s="3"/>
      <c r="K2792" s="628">
        <f t="shared" si="128"/>
        <v>0</v>
      </c>
      <c r="L2792" s="630">
        <f t="shared" si="129"/>
        <v>0</v>
      </c>
    </row>
    <row r="2793" spans="3:12" x14ac:dyDescent="0.2">
      <c r="C2793" s="589"/>
      <c r="D2793" s="590" t="s">
        <v>425</v>
      </c>
      <c r="E2793" s="591">
        <f>(F2793+G2793+H2793+I2793+J2793)*120</f>
        <v>0</v>
      </c>
      <c r="F2793" s="3"/>
      <c r="G2793" s="3"/>
      <c r="H2793" s="3"/>
      <c r="I2793" s="3"/>
      <c r="J2793" s="3"/>
      <c r="K2793" s="628">
        <f t="shared" si="128"/>
        <v>0</v>
      </c>
      <c r="L2793" s="630">
        <f t="shared" si="129"/>
        <v>0</v>
      </c>
    </row>
    <row r="2794" spans="3:12" x14ac:dyDescent="0.2">
      <c r="C2794" s="589"/>
      <c r="D2794" s="590"/>
      <c r="E2794" s="591"/>
      <c r="F2794" s="3"/>
      <c r="G2794" s="3"/>
      <c r="H2794" s="3"/>
      <c r="I2794" s="3"/>
      <c r="J2794" s="3"/>
      <c r="K2794" s="628">
        <f t="shared" si="128"/>
        <v>0</v>
      </c>
      <c r="L2794" s="630">
        <f t="shared" si="129"/>
        <v>0</v>
      </c>
    </row>
    <row r="2795" spans="3:12" x14ac:dyDescent="0.2">
      <c r="C2795" s="589"/>
      <c r="D2795" s="590" t="s">
        <v>108</v>
      </c>
      <c r="E2795" s="591">
        <f>(F2795+G2795+H2795+J2795)*112.7+(I2795*119.6)</f>
        <v>0</v>
      </c>
      <c r="F2795" s="3"/>
      <c r="G2795" s="3"/>
      <c r="H2795" s="3"/>
      <c r="I2795" s="3"/>
      <c r="J2795" s="3"/>
      <c r="K2795" s="628">
        <f t="shared" si="128"/>
        <v>0</v>
      </c>
      <c r="L2795" s="630">
        <f t="shared" si="129"/>
        <v>0</v>
      </c>
    </row>
    <row r="2796" spans="3:12" x14ac:dyDescent="0.2">
      <c r="C2796" s="589"/>
      <c r="D2796" s="590" t="s">
        <v>393</v>
      </c>
      <c r="E2796" s="591">
        <f>(F2796+G2796+H2796+J2796)*112.7+(I2796*119.6)</f>
        <v>0</v>
      </c>
      <c r="F2796" s="3"/>
      <c r="G2796" s="3"/>
      <c r="H2796" s="3"/>
      <c r="I2796" s="3"/>
      <c r="J2796" s="3"/>
      <c r="K2796" s="628">
        <f t="shared" si="128"/>
        <v>0</v>
      </c>
      <c r="L2796" s="630">
        <f t="shared" si="129"/>
        <v>0</v>
      </c>
    </row>
    <row r="2797" spans="3:12" x14ac:dyDescent="0.2">
      <c r="C2797" s="589"/>
      <c r="D2797" s="590" t="s">
        <v>216</v>
      </c>
      <c r="E2797" s="591">
        <f>(F2797+G2797+H2797+J2797)*112.7+(I2797*119.6)</f>
        <v>0</v>
      </c>
      <c r="F2797" s="3"/>
      <c r="G2797" s="3"/>
      <c r="H2797" s="3"/>
      <c r="I2797" s="3"/>
      <c r="J2797" s="3"/>
      <c r="K2797" s="628">
        <f t="shared" si="128"/>
        <v>0</v>
      </c>
      <c r="L2797" s="630">
        <f t="shared" si="129"/>
        <v>0</v>
      </c>
    </row>
    <row r="2798" spans="3:12" x14ac:dyDescent="0.2">
      <c r="C2798" s="589"/>
      <c r="D2798" s="590"/>
      <c r="E2798" s="591"/>
      <c r="F2798" s="3"/>
      <c r="G2798" s="3"/>
      <c r="H2798" s="3"/>
      <c r="I2798" s="3"/>
      <c r="J2798" s="3"/>
      <c r="K2798" s="628">
        <f t="shared" si="128"/>
        <v>0</v>
      </c>
      <c r="L2798" s="630">
        <f t="shared" si="129"/>
        <v>0</v>
      </c>
    </row>
    <row r="2799" spans="3:12" x14ac:dyDescent="0.2">
      <c r="C2799" s="589"/>
      <c r="D2799" s="590" t="s">
        <v>394</v>
      </c>
      <c r="E2799" s="591">
        <f>(F2799+G2799+H2799+I2799+J2799)*120</f>
        <v>0</v>
      </c>
      <c r="F2799" s="3"/>
      <c r="G2799" s="3"/>
      <c r="H2799" s="3"/>
      <c r="I2799" s="3"/>
      <c r="J2799" s="3"/>
      <c r="K2799" s="628">
        <f t="shared" si="128"/>
        <v>0</v>
      </c>
      <c r="L2799" s="630">
        <f t="shared" si="129"/>
        <v>0</v>
      </c>
    </row>
    <row r="2800" spans="3:12" x14ac:dyDescent="0.2">
      <c r="C2800" s="589"/>
      <c r="D2800" s="590" t="s">
        <v>110</v>
      </c>
      <c r="E2800" s="591">
        <f>(F2800+G2800+H2800+J2800)*112.7+(I2800*119.6)</f>
        <v>0</v>
      </c>
      <c r="F2800" s="3"/>
      <c r="G2800" s="3"/>
      <c r="H2800" s="3"/>
      <c r="I2800" s="3"/>
      <c r="J2800" s="3"/>
      <c r="K2800" s="628">
        <f t="shared" si="128"/>
        <v>0</v>
      </c>
      <c r="L2800" s="630">
        <f t="shared" si="129"/>
        <v>0</v>
      </c>
    </row>
    <row r="2801" spans="3:12" x14ac:dyDescent="0.2">
      <c r="C2801" s="589"/>
      <c r="D2801" s="590"/>
      <c r="E2801" s="591"/>
      <c r="F2801" s="3"/>
      <c r="G2801" s="3"/>
      <c r="H2801" s="3"/>
      <c r="I2801" s="3"/>
      <c r="J2801" s="3"/>
      <c r="K2801" s="628">
        <f t="shared" si="128"/>
        <v>0</v>
      </c>
      <c r="L2801" s="630">
        <f t="shared" si="129"/>
        <v>0</v>
      </c>
    </row>
    <row r="2802" spans="3:12" x14ac:dyDescent="0.2">
      <c r="C2802" s="589"/>
      <c r="D2802" s="590" t="s">
        <v>381</v>
      </c>
      <c r="E2802" s="591">
        <f>(F2802+G2802+H2802+I2802+J2802)*120+(240*0)+(0*45)</f>
        <v>0</v>
      </c>
      <c r="F2802" s="3"/>
      <c r="G2802" s="3"/>
      <c r="H2802" s="3"/>
      <c r="I2802" s="3"/>
      <c r="J2802" s="3"/>
      <c r="K2802" s="628">
        <f t="shared" si="128"/>
        <v>0</v>
      </c>
      <c r="L2802" s="630">
        <f t="shared" si="129"/>
        <v>0</v>
      </c>
    </row>
    <row r="2803" spans="3:12" x14ac:dyDescent="0.2">
      <c r="C2803" s="589"/>
      <c r="D2803" s="590" t="s">
        <v>276</v>
      </c>
      <c r="E2803" s="591">
        <f>(F2803+G2803+H2803+J2803)*112.7+(I2803*119.6)</f>
        <v>0</v>
      </c>
      <c r="F2803" s="3"/>
      <c r="G2803" s="3"/>
      <c r="H2803" s="3"/>
      <c r="I2803" s="3"/>
      <c r="J2803" s="3"/>
      <c r="K2803" s="628">
        <f t="shared" si="128"/>
        <v>0</v>
      </c>
      <c r="L2803" s="630">
        <f t="shared" si="129"/>
        <v>0</v>
      </c>
    </row>
    <row r="2804" spans="3:12" x14ac:dyDescent="0.2">
      <c r="C2804" s="589"/>
      <c r="D2804" s="590"/>
      <c r="E2804" s="591"/>
      <c r="F2804" s="3"/>
      <c r="G2804" s="3"/>
      <c r="H2804" s="3"/>
      <c r="I2804" s="3"/>
      <c r="J2804" s="3"/>
      <c r="K2804" s="628">
        <f t="shared" si="128"/>
        <v>0</v>
      </c>
      <c r="L2804" s="630">
        <f t="shared" si="129"/>
        <v>0</v>
      </c>
    </row>
    <row r="2805" spans="3:12" x14ac:dyDescent="0.2">
      <c r="C2805" s="589"/>
      <c r="D2805" s="590" t="s">
        <v>75</v>
      </c>
      <c r="E2805" s="591">
        <f>(F2805+G2805+H2805+I2805+J2805)*120</f>
        <v>0</v>
      </c>
      <c r="F2805" s="3"/>
      <c r="G2805" s="3"/>
      <c r="H2805" s="3"/>
      <c r="I2805" s="3"/>
      <c r="J2805" s="3"/>
      <c r="K2805" s="628">
        <f t="shared" si="128"/>
        <v>0</v>
      </c>
      <c r="L2805" s="630">
        <f t="shared" si="129"/>
        <v>0</v>
      </c>
    </row>
    <row r="2806" spans="3:12" x14ac:dyDescent="0.2">
      <c r="C2806" s="589"/>
      <c r="D2806" s="590" t="s">
        <v>278</v>
      </c>
      <c r="E2806" s="591">
        <f>(F2806+G2806+H2806+I2806+J2806)*120</f>
        <v>0</v>
      </c>
      <c r="F2806" s="3"/>
      <c r="G2806" s="3"/>
      <c r="H2806" s="3"/>
      <c r="I2806" s="3"/>
      <c r="J2806" s="3"/>
      <c r="K2806" s="628">
        <f t="shared" si="128"/>
        <v>0</v>
      </c>
      <c r="L2806" s="630">
        <f t="shared" si="129"/>
        <v>0</v>
      </c>
    </row>
    <row r="2807" spans="3:12" x14ac:dyDescent="0.2">
      <c r="C2807" s="589" t="s">
        <v>894</v>
      </c>
      <c r="D2807" s="590" t="s">
        <v>270</v>
      </c>
      <c r="E2807" s="591">
        <f>(F2807+G2807+H2807+I2807)*112.7+(J2807*119.6)</f>
        <v>8730.7999999999993</v>
      </c>
      <c r="F2807" s="3">
        <v>28</v>
      </c>
      <c r="G2807" s="3">
        <v>12</v>
      </c>
      <c r="H2807" s="3"/>
      <c r="I2807" s="3">
        <v>12</v>
      </c>
      <c r="J2807" s="3">
        <v>24</v>
      </c>
      <c r="K2807" s="628">
        <f t="shared" si="128"/>
        <v>76</v>
      </c>
      <c r="L2807" s="630">
        <f t="shared" si="129"/>
        <v>19</v>
      </c>
    </row>
    <row r="2808" spans="3:12" x14ac:dyDescent="0.2">
      <c r="C2808" s="589" t="s">
        <v>893</v>
      </c>
      <c r="D2808" s="590" t="s">
        <v>274</v>
      </c>
      <c r="E2808" s="591">
        <f>(F2808+G2808+H2808+I2808)*112.7+(J2808*119.6)</f>
        <v>5970.8</v>
      </c>
      <c r="F2808" s="3">
        <v>16</v>
      </c>
      <c r="G2808" s="3">
        <v>10</v>
      </c>
      <c r="H2808" s="3"/>
      <c r="I2808" s="3">
        <v>10</v>
      </c>
      <c r="J2808" s="3">
        <v>16</v>
      </c>
      <c r="K2808" s="628">
        <f t="shared" si="128"/>
        <v>52</v>
      </c>
      <c r="L2808" s="630">
        <f t="shared" si="129"/>
        <v>13</v>
      </c>
    </row>
    <row r="2809" spans="3:12" x14ac:dyDescent="0.2">
      <c r="C2809" s="589" t="s">
        <v>892</v>
      </c>
      <c r="D2809" s="590" t="s">
        <v>395</v>
      </c>
      <c r="E2809" s="591">
        <f>(F2809+G2809+H2809+I2809)*112.7+(J2809*119.6)</f>
        <v>5970.8</v>
      </c>
      <c r="F2809" s="3">
        <v>16</v>
      </c>
      <c r="G2809" s="3">
        <v>10</v>
      </c>
      <c r="H2809" s="3"/>
      <c r="I2809" s="3">
        <v>10</v>
      </c>
      <c r="J2809" s="3">
        <v>16</v>
      </c>
      <c r="K2809" s="628">
        <f t="shared" si="128"/>
        <v>52</v>
      </c>
      <c r="L2809" s="630">
        <f t="shared" si="129"/>
        <v>13</v>
      </c>
    </row>
    <row r="2810" spans="3:12" x14ac:dyDescent="0.2">
      <c r="C2810" s="683">
        <v>1175582337</v>
      </c>
      <c r="D2810" s="590" t="s">
        <v>112</v>
      </c>
      <c r="E2810" s="591">
        <f>(F2810+G2810+H2810+I2810)*112.7+(J2810*119.6)</f>
        <v>5970.8</v>
      </c>
      <c r="F2810" s="3">
        <v>16</v>
      </c>
      <c r="G2810" s="3">
        <v>10</v>
      </c>
      <c r="H2810" s="3"/>
      <c r="I2810" s="3">
        <v>10</v>
      </c>
      <c r="J2810" s="3">
        <v>16</v>
      </c>
      <c r="K2810" s="628">
        <f t="shared" si="128"/>
        <v>52</v>
      </c>
      <c r="L2810" s="630">
        <f t="shared" si="129"/>
        <v>13</v>
      </c>
    </row>
    <row r="2811" spans="3:12" x14ac:dyDescent="0.2">
      <c r="C2811" s="683">
        <v>1175582335</v>
      </c>
      <c r="D2811" s="590" t="s">
        <v>72</v>
      </c>
      <c r="E2811" s="591">
        <f>(F2811+G2811+H2811+I2811)*112.7+(J2811*119.6)</f>
        <v>6302</v>
      </c>
      <c r="F2811" s="3">
        <v>15</v>
      </c>
      <c r="G2811" s="3">
        <v>15</v>
      </c>
      <c r="H2811" s="3"/>
      <c r="I2811" s="3">
        <v>10</v>
      </c>
      <c r="J2811" s="3">
        <v>15</v>
      </c>
      <c r="K2811" s="628">
        <f t="shared" si="128"/>
        <v>55</v>
      </c>
      <c r="L2811" s="630">
        <f t="shared" si="129"/>
        <v>13.75</v>
      </c>
    </row>
    <row r="2812" spans="3:12" x14ac:dyDescent="0.2">
      <c r="C2812" s="683"/>
      <c r="D2812" s="590" t="s">
        <v>187</v>
      </c>
      <c r="E2812" s="591"/>
      <c r="F2812" s="3"/>
      <c r="G2812" s="3"/>
      <c r="H2812" s="3"/>
      <c r="I2812" s="3"/>
      <c r="J2812" s="3">
        <v>8</v>
      </c>
      <c r="K2812" s="628">
        <f>SUM(F2812:J2812)</f>
        <v>8</v>
      </c>
      <c r="L2812" s="3"/>
    </row>
    <row r="2813" spans="3:12" ht="16" x14ac:dyDescent="0.2">
      <c r="C2813" s="683"/>
      <c r="D2813" s="590"/>
      <c r="E2813" s="592"/>
      <c r="F2813" s="3"/>
      <c r="G2813" s="3"/>
      <c r="H2813" s="3"/>
      <c r="I2813" s="3"/>
      <c r="J2813" s="3"/>
      <c r="K2813" s="628">
        <f>SUM(F2813:J2813)</f>
        <v>0</v>
      </c>
      <c r="L2813" s="3"/>
    </row>
    <row r="2814" spans="3:12" ht="17" thickBot="1" x14ac:dyDescent="0.25">
      <c r="C2814" s="683"/>
      <c r="D2814" s="590"/>
      <c r="E2814" s="624"/>
      <c r="F2814" s="69"/>
      <c r="G2814" s="69"/>
      <c r="H2814" s="69"/>
      <c r="I2814" s="69"/>
      <c r="J2814" s="69"/>
      <c r="K2814" s="629"/>
      <c r="L2814" s="3"/>
    </row>
    <row r="2815" spans="3:12" ht="16" thickBot="1" x14ac:dyDescent="0.25">
      <c r="C2815" s="596"/>
      <c r="D2815" s="623" t="s">
        <v>19</v>
      </c>
      <c r="E2815" s="625">
        <f>SUM(E2789:E2812)</f>
        <v>32945.199999999997</v>
      </c>
      <c r="F2815" s="614">
        <f>SUM(F2789:F2814)</f>
        <v>91</v>
      </c>
      <c r="G2815" s="614">
        <f>SUM(G2789:G2814)</f>
        <v>57</v>
      </c>
      <c r="H2815" s="614">
        <f>SUM(H2789:H2814)</f>
        <v>0</v>
      </c>
      <c r="I2815" s="614">
        <f>SUM(I2789:I2814)</f>
        <v>52</v>
      </c>
      <c r="J2815" s="614">
        <f>SUM(J2789:J2814)</f>
        <v>95</v>
      </c>
      <c r="K2815" s="626">
        <f>SUM(F2815:J2815)</f>
        <v>295</v>
      </c>
      <c r="L2815" s="631">
        <f>SUM(L2789:L2814)</f>
        <v>71.75</v>
      </c>
    </row>
    <row r="2816" spans="3:12" x14ac:dyDescent="0.2">
      <c r="C2816" s="596"/>
      <c r="D2816" s="593" t="s">
        <v>113</v>
      </c>
      <c r="E2816" s="620"/>
      <c r="F2816" s="610">
        <f>F2786-F2815</f>
        <v>0</v>
      </c>
      <c r="G2816" s="610">
        <f>G2786-G2815</f>
        <v>9</v>
      </c>
      <c r="H2816" s="610">
        <f>H2786-H2815</f>
        <v>6</v>
      </c>
      <c r="I2816" s="610">
        <f>I2786-I2815</f>
        <v>3</v>
      </c>
      <c r="J2816" s="610">
        <f>J2786-J2815</f>
        <v>0</v>
      </c>
      <c r="K2816" s="636">
        <f>SUM(F2816:J2816)</f>
        <v>18</v>
      </c>
      <c r="L2816" s="3"/>
    </row>
    <row r="2817" spans="3:12" x14ac:dyDescent="0.2">
      <c r="C2817" s="683"/>
      <c r="D2817" s="593" t="s">
        <v>436</v>
      </c>
      <c r="E2817" s="594"/>
      <c r="F2817" s="581"/>
      <c r="G2817" s="581"/>
      <c r="H2817" s="581"/>
      <c r="I2817" s="581"/>
      <c r="J2817" s="581"/>
      <c r="K2817" s="637">
        <f>K2815+K2816</f>
        <v>313</v>
      </c>
      <c r="L2817" s="3"/>
    </row>
    <row r="2819" spans="3:12" ht="18" x14ac:dyDescent="0.2">
      <c r="C2819" s="685" t="s">
        <v>412</v>
      </c>
      <c r="D2819" s="582">
        <v>45742</v>
      </c>
      <c r="E2819" s="800"/>
      <c r="F2819" s="685" t="s">
        <v>83</v>
      </c>
      <c r="G2819" s="801" t="s">
        <v>65</v>
      </c>
      <c r="H2819" s="802"/>
      <c r="I2819" s="802"/>
      <c r="J2819" s="802"/>
      <c r="K2819" s="803"/>
    </row>
    <row r="2820" spans="3:12" x14ac:dyDescent="0.2">
      <c r="C2820" s="804"/>
      <c r="D2820" s="805"/>
      <c r="E2820" s="800"/>
      <c r="F2820" s="683" t="s">
        <v>93</v>
      </c>
      <c r="G2820" s="683" t="s">
        <v>93</v>
      </c>
      <c r="H2820" s="683"/>
      <c r="I2820" s="806"/>
      <c r="J2820" s="806"/>
      <c r="K2820" s="806"/>
    </row>
    <row r="2821" spans="3:12" x14ac:dyDescent="0.2">
      <c r="C2821" s="804"/>
      <c r="D2821" s="805"/>
      <c r="E2821" s="800"/>
      <c r="F2821" s="683" t="s">
        <v>94</v>
      </c>
      <c r="G2821" s="683" t="s">
        <v>95</v>
      </c>
      <c r="H2821" s="683" t="s">
        <v>96</v>
      </c>
      <c r="I2821" s="806"/>
      <c r="J2821" s="806"/>
      <c r="K2821" s="806"/>
    </row>
    <row r="2822" spans="3:12" x14ac:dyDescent="0.2">
      <c r="C2822" s="804"/>
      <c r="D2822" s="805"/>
      <c r="E2822" s="800"/>
      <c r="F2822" s="683"/>
      <c r="G2822" s="683"/>
      <c r="H2822" s="683"/>
      <c r="I2822" s="806"/>
      <c r="J2822" s="806"/>
      <c r="K2822" s="806"/>
    </row>
    <row r="2823" spans="3:12" ht="16" x14ac:dyDescent="0.2">
      <c r="C2823" s="683"/>
      <c r="D2823" s="583" t="s">
        <v>97</v>
      </c>
      <c r="E2823" s="584"/>
      <c r="F2823" s="581"/>
      <c r="G2823" s="585"/>
      <c r="H2823" s="585"/>
      <c r="I2823" s="586"/>
      <c r="J2823" s="586"/>
      <c r="K2823" s="586"/>
    </row>
    <row r="2824" spans="3:12" ht="26" x14ac:dyDescent="0.2">
      <c r="C2824" s="804"/>
      <c r="D2824" s="587"/>
      <c r="E2824" s="588"/>
      <c r="F2824" s="585" t="s">
        <v>383</v>
      </c>
      <c r="G2824" s="585" t="s">
        <v>384</v>
      </c>
      <c r="H2824" s="585" t="s">
        <v>385</v>
      </c>
      <c r="I2824" s="585" t="s">
        <v>386</v>
      </c>
      <c r="J2824" s="585" t="s">
        <v>387</v>
      </c>
      <c r="K2824" s="585" t="s">
        <v>84</v>
      </c>
    </row>
    <row r="2825" spans="3:12" x14ac:dyDescent="0.2">
      <c r="C2825" s="804"/>
      <c r="D2825" s="684" t="s">
        <v>167</v>
      </c>
      <c r="E2825" s="588"/>
      <c r="F2825" s="580">
        <v>14</v>
      </c>
      <c r="G2825" s="579">
        <v>6</v>
      </c>
      <c r="H2825" s="580">
        <v>2</v>
      </c>
      <c r="I2825" s="580">
        <v>5</v>
      </c>
      <c r="J2825" s="580">
        <v>8</v>
      </c>
      <c r="K2825" s="580">
        <f>SUM(F2825:J2825)</f>
        <v>35</v>
      </c>
    </row>
    <row r="2826" spans="3:12" x14ac:dyDescent="0.2">
      <c r="C2826" s="804"/>
      <c r="D2826" s="684" t="s">
        <v>207</v>
      </c>
      <c r="E2826" s="588"/>
      <c r="F2826" s="618">
        <v>98</v>
      </c>
      <c r="G2826" s="619">
        <v>42</v>
      </c>
      <c r="H2826" s="618">
        <v>14</v>
      </c>
      <c r="I2826" s="618">
        <v>55</v>
      </c>
      <c r="J2826" s="618">
        <v>70</v>
      </c>
      <c r="K2826" s="618">
        <f>SUM(F2826:J2826)</f>
        <v>279</v>
      </c>
    </row>
    <row r="2827" spans="3:12" x14ac:dyDescent="0.2">
      <c r="C2827" s="683"/>
      <c r="D2827" s="684" t="s">
        <v>100</v>
      </c>
      <c r="E2827" s="588"/>
      <c r="F2827" s="581"/>
      <c r="G2827" s="581"/>
      <c r="H2827" s="581"/>
      <c r="I2827" s="581"/>
      <c r="J2827" s="581"/>
      <c r="K2827" s="581">
        <f>SUM(F2827:J2827)</f>
        <v>0</v>
      </c>
    </row>
    <row r="2828" spans="3:12" x14ac:dyDescent="0.2">
      <c r="C2828" s="683"/>
      <c r="D2828" s="684" t="s">
        <v>101</v>
      </c>
      <c r="E2828" s="588"/>
      <c r="F2828" s="581"/>
      <c r="G2828" s="581">
        <v>1</v>
      </c>
      <c r="H2828" s="581"/>
      <c r="I2828" s="581"/>
      <c r="J2828" s="581"/>
      <c r="K2828" s="581">
        <f>SUM(F2828:J2828)</f>
        <v>1</v>
      </c>
    </row>
    <row r="2829" spans="3:12" ht="16" thickBot="1" x14ac:dyDescent="0.25">
      <c r="C2829" s="683"/>
      <c r="D2829" s="597" t="s">
        <v>102</v>
      </c>
      <c r="E2829" s="598"/>
      <c r="F2829" s="599"/>
      <c r="G2829" s="600">
        <v>9</v>
      </c>
      <c r="H2829" s="600">
        <v>6</v>
      </c>
      <c r="I2829" s="600">
        <v>3</v>
      </c>
      <c r="J2829" s="600"/>
      <c r="K2829" s="600">
        <f>SUM(F2829:J2829)</f>
        <v>18</v>
      </c>
    </row>
    <row r="2830" spans="3:12" ht="17" thickBot="1" x14ac:dyDescent="0.25">
      <c r="C2830" s="605"/>
      <c r="D2830" s="612" t="s">
        <v>84</v>
      </c>
      <c r="E2830" s="613"/>
      <c r="F2830" s="614">
        <f>(F2826+F2829)-F2828-F2827</f>
        <v>98</v>
      </c>
      <c r="G2830" s="615">
        <f>(G2826+G2829)-G2828-G2827</f>
        <v>50</v>
      </c>
      <c r="H2830" s="616">
        <f>(H2826+H2829)-H2828</f>
        <v>20</v>
      </c>
      <c r="I2830" s="615">
        <f>(I2826+I2829)-I2828-I2827</f>
        <v>58</v>
      </c>
      <c r="J2830" s="622">
        <f>(J2826+J2829)-J2828-J2827</f>
        <v>70</v>
      </c>
      <c r="K2830" s="617">
        <f>(K2826+K2829)-K2828-K2827</f>
        <v>296</v>
      </c>
    </row>
    <row r="2831" spans="3:12" ht="16" x14ac:dyDescent="0.2">
      <c r="C2831" s="683"/>
      <c r="D2831" s="608"/>
      <c r="E2831" s="609"/>
      <c r="F2831" s="610"/>
      <c r="G2831" s="595"/>
      <c r="H2831" s="611"/>
      <c r="I2831" s="595"/>
      <c r="J2831" s="595"/>
      <c r="K2831" s="595"/>
    </row>
    <row r="2832" spans="3:12" ht="16" thickBot="1" x14ac:dyDescent="0.25">
      <c r="C2832" s="606" t="s">
        <v>388</v>
      </c>
      <c r="D2832" s="607" t="s">
        <v>103</v>
      </c>
      <c r="E2832" s="603" t="s">
        <v>84</v>
      </c>
      <c r="F2832" s="602" t="s">
        <v>78</v>
      </c>
      <c r="G2832" s="602" t="s">
        <v>79</v>
      </c>
      <c r="H2832" s="602" t="s">
        <v>81</v>
      </c>
      <c r="I2832" s="601" t="s">
        <v>316</v>
      </c>
      <c r="J2832" s="601" t="s">
        <v>85</v>
      </c>
      <c r="K2832" s="601" t="s">
        <v>84</v>
      </c>
      <c r="L2832" s="174" t="s">
        <v>389</v>
      </c>
    </row>
    <row r="2833" spans="3:12" x14ac:dyDescent="0.2">
      <c r="C2833" s="589" t="s">
        <v>705</v>
      </c>
      <c r="D2833" s="604" t="s">
        <v>105</v>
      </c>
      <c r="E2833" s="591">
        <f>(F2833+G2833+H2833+I2833+J2833)*100+(0*230)</f>
        <v>7100</v>
      </c>
      <c r="F2833" s="3">
        <v>23</v>
      </c>
      <c r="G2833" s="3">
        <v>9</v>
      </c>
      <c r="H2833" s="3">
        <v>9</v>
      </c>
      <c r="I2833" s="3">
        <v>10</v>
      </c>
      <c r="J2833" s="3">
        <v>20</v>
      </c>
      <c r="K2833" s="628">
        <f t="shared" ref="K2833:K2855" si="130">SUM(F2833:J2833)</f>
        <v>71</v>
      </c>
      <c r="L2833" s="630">
        <f>K2833/4</f>
        <v>17.75</v>
      </c>
    </row>
    <row r="2834" spans="3:12" x14ac:dyDescent="0.2">
      <c r="C2834" s="589" t="s">
        <v>684</v>
      </c>
      <c r="D2834" s="590" t="s">
        <v>390</v>
      </c>
      <c r="E2834" s="591">
        <f>(F2834+G2834+H2834+I2834+J2834)*120</f>
        <v>1200</v>
      </c>
      <c r="F2834" s="3">
        <v>2</v>
      </c>
      <c r="G2834" s="3">
        <v>2</v>
      </c>
      <c r="H2834" s="3">
        <v>2</v>
      </c>
      <c r="I2834" s="3">
        <v>2</v>
      </c>
      <c r="J2834" s="3">
        <v>2</v>
      </c>
      <c r="K2834" s="628">
        <f t="shared" si="130"/>
        <v>10</v>
      </c>
      <c r="L2834" s="630">
        <f t="shared" ref="L2834:L2855" si="131">K2834/4</f>
        <v>2.5</v>
      </c>
    </row>
    <row r="2835" spans="3:12" x14ac:dyDescent="0.2">
      <c r="C2835" s="589"/>
      <c r="D2835" s="590" t="s">
        <v>391</v>
      </c>
      <c r="E2835" s="591">
        <f>(F2835+G2835+H2835+I2835+J2835)*120</f>
        <v>0</v>
      </c>
      <c r="F2835" s="3"/>
      <c r="G2835" s="3"/>
      <c r="H2835" s="3"/>
      <c r="I2835" s="3"/>
      <c r="J2835" s="3"/>
      <c r="K2835" s="628">
        <f t="shared" si="130"/>
        <v>0</v>
      </c>
      <c r="L2835" s="630">
        <f t="shared" si="131"/>
        <v>0</v>
      </c>
    </row>
    <row r="2836" spans="3:12" x14ac:dyDescent="0.2">
      <c r="C2836" s="589"/>
      <c r="D2836" s="590" t="s">
        <v>392</v>
      </c>
      <c r="E2836" s="591">
        <f>(F2836+G2836+H2836+I2836+J2836)*120</f>
        <v>0</v>
      </c>
      <c r="F2836" s="3"/>
      <c r="G2836" s="3"/>
      <c r="H2836" s="3"/>
      <c r="I2836" s="3"/>
      <c r="J2836" s="3"/>
      <c r="K2836" s="628">
        <f t="shared" si="130"/>
        <v>0</v>
      </c>
      <c r="L2836" s="630">
        <f t="shared" si="131"/>
        <v>0</v>
      </c>
    </row>
    <row r="2837" spans="3:12" x14ac:dyDescent="0.2">
      <c r="C2837" s="589"/>
      <c r="D2837" s="590" t="s">
        <v>425</v>
      </c>
      <c r="E2837" s="591">
        <f>(F2837+G2837+H2837+I2837+J2837)*120</f>
        <v>0</v>
      </c>
      <c r="F2837" s="3"/>
      <c r="G2837" s="3"/>
      <c r="H2837" s="3"/>
      <c r="I2837" s="3"/>
      <c r="J2837" s="3"/>
      <c r="K2837" s="628">
        <f t="shared" si="130"/>
        <v>0</v>
      </c>
      <c r="L2837" s="630">
        <f t="shared" si="131"/>
        <v>0</v>
      </c>
    </row>
    <row r="2838" spans="3:12" x14ac:dyDescent="0.2">
      <c r="C2838" s="589"/>
      <c r="D2838" s="590"/>
      <c r="E2838" s="591"/>
      <c r="F2838" s="3"/>
      <c r="G2838" s="3"/>
      <c r="H2838" s="3"/>
      <c r="I2838" s="3"/>
      <c r="J2838" s="3"/>
      <c r="K2838" s="628">
        <f t="shared" si="130"/>
        <v>0</v>
      </c>
      <c r="L2838" s="630">
        <f t="shared" si="131"/>
        <v>0</v>
      </c>
    </row>
    <row r="2839" spans="3:12" x14ac:dyDescent="0.2">
      <c r="C2839" s="589" t="s">
        <v>897</v>
      </c>
      <c r="D2839" s="590" t="s">
        <v>108</v>
      </c>
      <c r="E2839" s="591">
        <f>(F2839+G2839+H2839+J2839)*112.7+(I2839*119.6)</f>
        <v>4112.3999999999996</v>
      </c>
      <c r="F2839" s="3">
        <v>10</v>
      </c>
      <c r="G2839" s="3">
        <v>4</v>
      </c>
      <c r="H2839" s="3">
        <v>4</v>
      </c>
      <c r="I2839" s="3">
        <v>8</v>
      </c>
      <c r="J2839" s="3">
        <v>10</v>
      </c>
      <c r="K2839" s="628">
        <f t="shared" si="130"/>
        <v>36</v>
      </c>
      <c r="L2839" s="630">
        <f t="shared" si="131"/>
        <v>9</v>
      </c>
    </row>
    <row r="2840" spans="3:12" x14ac:dyDescent="0.2">
      <c r="C2840" s="589" t="s">
        <v>896</v>
      </c>
      <c r="D2840" s="590" t="s">
        <v>393</v>
      </c>
      <c r="E2840" s="591">
        <f>(F2840+G2840+H2840+J2840)*112.7+(I2840*119.6)</f>
        <v>2732.4</v>
      </c>
      <c r="F2840" s="3">
        <v>6</v>
      </c>
      <c r="G2840" s="3">
        <v>4</v>
      </c>
      <c r="H2840" s="3">
        <v>4</v>
      </c>
      <c r="I2840" s="3">
        <v>4</v>
      </c>
      <c r="J2840" s="3">
        <v>6</v>
      </c>
      <c r="K2840" s="628">
        <f t="shared" si="130"/>
        <v>24</v>
      </c>
      <c r="L2840" s="630">
        <f t="shared" si="131"/>
        <v>6</v>
      </c>
    </row>
    <row r="2841" spans="3:12" x14ac:dyDescent="0.2">
      <c r="C2841" s="589" t="s">
        <v>895</v>
      </c>
      <c r="D2841" s="590" t="s">
        <v>216</v>
      </c>
      <c r="E2841" s="591">
        <f>(F2841+G2841+H2841+J2841)*112.7+(I2841*119.6)</f>
        <v>2281.6</v>
      </c>
      <c r="F2841" s="3">
        <v>6</v>
      </c>
      <c r="G2841" s="3">
        <v>4</v>
      </c>
      <c r="H2841" s="3"/>
      <c r="I2841" s="3">
        <v>4</v>
      </c>
      <c r="J2841" s="3">
        <v>6</v>
      </c>
      <c r="K2841" s="628">
        <f t="shared" si="130"/>
        <v>20</v>
      </c>
      <c r="L2841" s="630">
        <f t="shared" si="131"/>
        <v>5</v>
      </c>
    </row>
    <row r="2842" spans="3:12" x14ac:dyDescent="0.2">
      <c r="C2842" s="589"/>
      <c r="D2842" s="590"/>
      <c r="E2842" s="591"/>
      <c r="F2842" s="3"/>
      <c r="G2842" s="3"/>
      <c r="H2842" s="3"/>
      <c r="I2842" s="3"/>
      <c r="J2842" s="3"/>
      <c r="K2842" s="628">
        <f t="shared" si="130"/>
        <v>0</v>
      </c>
      <c r="L2842" s="630">
        <f t="shared" si="131"/>
        <v>0</v>
      </c>
    </row>
    <row r="2843" spans="3:12" x14ac:dyDescent="0.2">
      <c r="C2843" s="589"/>
      <c r="D2843" s="590" t="s">
        <v>394</v>
      </c>
      <c r="E2843" s="591">
        <f>(F2843+G2843+H2843+I2843+J2843)*120</f>
        <v>0</v>
      </c>
      <c r="F2843" s="3"/>
      <c r="G2843" s="3"/>
      <c r="H2843" s="3"/>
      <c r="I2843" s="3"/>
      <c r="J2843" s="3"/>
      <c r="K2843" s="628">
        <f t="shared" si="130"/>
        <v>0</v>
      </c>
      <c r="L2843" s="630">
        <f t="shared" si="131"/>
        <v>0</v>
      </c>
    </row>
    <row r="2844" spans="3:12" x14ac:dyDescent="0.2">
      <c r="C2844" s="589" t="s">
        <v>898</v>
      </c>
      <c r="D2844" s="590" t="s">
        <v>110</v>
      </c>
      <c r="E2844" s="591">
        <f>(F2844+G2844+H2844+J2844)*112.7+(I2844*119.6)</f>
        <v>9577.2000000000007</v>
      </c>
      <c r="F2844" s="3">
        <v>40</v>
      </c>
      <c r="G2844" s="3">
        <v>16</v>
      </c>
      <c r="H2844" s="3"/>
      <c r="I2844" s="3">
        <v>16</v>
      </c>
      <c r="J2844" s="3">
        <v>12</v>
      </c>
      <c r="K2844" s="628">
        <f t="shared" si="130"/>
        <v>84</v>
      </c>
      <c r="L2844" s="630">
        <f t="shared" si="131"/>
        <v>21</v>
      </c>
    </row>
    <row r="2845" spans="3:12" x14ac:dyDescent="0.2">
      <c r="C2845" s="589"/>
      <c r="D2845" s="590"/>
      <c r="E2845" s="591"/>
      <c r="F2845" s="3"/>
      <c r="G2845" s="3"/>
      <c r="H2845" s="3"/>
      <c r="I2845" s="3"/>
      <c r="J2845" s="3"/>
      <c r="K2845" s="628">
        <f t="shared" si="130"/>
        <v>0</v>
      </c>
      <c r="L2845" s="630">
        <f t="shared" si="131"/>
        <v>0</v>
      </c>
    </row>
    <row r="2846" spans="3:12" x14ac:dyDescent="0.2">
      <c r="C2846" s="589"/>
      <c r="D2846" s="590" t="s">
        <v>381</v>
      </c>
      <c r="E2846" s="591">
        <f>(F2846+G2846+H2846+I2846+J2846)*120+(240*0)+(0*45)</f>
        <v>0</v>
      </c>
      <c r="F2846" s="3"/>
      <c r="G2846" s="3"/>
      <c r="H2846" s="3"/>
      <c r="I2846" s="3"/>
      <c r="J2846" s="3"/>
      <c r="K2846" s="628">
        <f t="shared" si="130"/>
        <v>0</v>
      </c>
      <c r="L2846" s="630">
        <f t="shared" si="131"/>
        <v>0</v>
      </c>
    </row>
    <row r="2847" spans="3:12" x14ac:dyDescent="0.2">
      <c r="C2847" s="589"/>
      <c r="D2847" s="590" t="s">
        <v>276</v>
      </c>
      <c r="E2847" s="591">
        <f>(F2847+G2847+H2847+J2847)*112.7+(I2847*119.6)</f>
        <v>0</v>
      </c>
      <c r="F2847" s="3"/>
      <c r="G2847" s="3"/>
      <c r="H2847" s="3"/>
      <c r="I2847" s="3"/>
      <c r="J2847" s="3"/>
      <c r="K2847" s="628">
        <f t="shared" si="130"/>
        <v>0</v>
      </c>
      <c r="L2847" s="630">
        <f t="shared" si="131"/>
        <v>0</v>
      </c>
    </row>
    <row r="2848" spans="3:12" x14ac:dyDescent="0.2">
      <c r="C2848" s="589"/>
      <c r="D2848" s="590"/>
      <c r="E2848" s="591"/>
      <c r="F2848" s="3"/>
      <c r="G2848" s="3"/>
      <c r="H2848" s="3"/>
      <c r="I2848" s="3"/>
      <c r="J2848" s="3"/>
      <c r="K2848" s="628">
        <f t="shared" si="130"/>
        <v>0</v>
      </c>
      <c r="L2848" s="630">
        <f t="shared" si="131"/>
        <v>0</v>
      </c>
    </row>
    <row r="2849" spans="3:12" x14ac:dyDescent="0.2">
      <c r="C2849" s="589"/>
      <c r="D2849" s="590" t="s">
        <v>75</v>
      </c>
      <c r="E2849" s="591">
        <f>(F2849+G2849+H2849+I2849+J2849)*120</f>
        <v>0</v>
      </c>
      <c r="F2849" s="3"/>
      <c r="G2849" s="3"/>
      <c r="H2849" s="3"/>
      <c r="I2849" s="3"/>
      <c r="J2849" s="3"/>
      <c r="K2849" s="628">
        <f t="shared" si="130"/>
        <v>0</v>
      </c>
      <c r="L2849" s="630">
        <f t="shared" si="131"/>
        <v>0</v>
      </c>
    </row>
    <row r="2850" spans="3:12" x14ac:dyDescent="0.2">
      <c r="C2850" s="589"/>
      <c r="D2850" s="590" t="s">
        <v>278</v>
      </c>
      <c r="E2850" s="591">
        <f>(F2850+G2850+H2850+I2850+J2850)*120</f>
        <v>0</v>
      </c>
      <c r="F2850" s="3"/>
      <c r="G2850" s="3"/>
      <c r="H2850" s="3"/>
      <c r="I2850" s="3"/>
      <c r="J2850" s="3"/>
      <c r="K2850" s="628">
        <f t="shared" si="130"/>
        <v>0</v>
      </c>
      <c r="L2850" s="630">
        <f t="shared" si="131"/>
        <v>0</v>
      </c>
    </row>
    <row r="2851" spans="3:12" x14ac:dyDescent="0.2">
      <c r="C2851" s="589"/>
      <c r="D2851" s="590" t="s">
        <v>270</v>
      </c>
      <c r="E2851" s="591">
        <f>(F2851+G2851+H2851+I2851)*112.7+(J2851*119.6)</f>
        <v>0</v>
      </c>
      <c r="F2851" s="3"/>
      <c r="G2851" s="3"/>
      <c r="H2851" s="3"/>
      <c r="I2851" s="3"/>
      <c r="J2851" s="3"/>
      <c r="K2851" s="628">
        <f t="shared" si="130"/>
        <v>0</v>
      </c>
      <c r="L2851" s="630">
        <f t="shared" si="131"/>
        <v>0</v>
      </c>
    </row>
    <row r="2852" spans="3:12" x14ac:dyDescent="0.2">
      <c r="C2852" s="589"/>
      <c r="D2852" s="590" t="s">
        <v>274</v>
      </c>
      <c r="E2852" s="591">
        <f>(F2852+G2852+H2852+I2852)*112.7+(J2852*119.6)</f>
        <v>0</v>
      </c>
      <c r="F2852" s="3"/>
      <c r="G2852" s="3"/>
      <c r="H2852" s="3"/>
      <c r="I2852" s="3"/>
      <c r="J2852" s="3"/>
      <c r="K2852" s="628">
        <f t="shared" si="130"/>
        <v>0</v>
      </c>
      <c r="L2852" s="630">
        <f t="shared" si="131"/>
        <v>0</v>
      </c>
    </row>
    <row r="2853" spans="3:12" x14ac:dyDescent="0.2">
      <c r="C2853" s="589"/>
      <c r="D2853" s="590" t="s">
        <v>395</v>
      </c>
      <c r="E2853" s="591">
        <f>(F2853+G2853+H2853+I2853)*112.7+(J2853*119.6)</f>
        <v>0</v>
      </c>
      <c r="F2853" s="3"/>
      <c r="G2853" s="3"/>
      <c r="H2853" s="3"/>
      <c r="I2853" s="3"/>
      <c r="J2853" s="3"/>
      <c r="K2853" s="628">
        <f t="shared" si="130"/>
        <v>0</v>
      </c>
      <c r="L2853" s="630">
        <f t="shared" si="131"/>
        <v>0</v>
      </c>
    </row>
    <row r="2854" spans="3:12" x14ac:dyDescent="0.2">
      <c r="C2854" s="683"/>
      <c r="D2854" s="590" t="s">
        <v>112</v>
      </c>
      <c r="E2854" s="591">
        <f>(F2854+G2854+H2854+I2854)*112.7+(J2854*119.6)</f>
        <v>0</v>
      </c>
      <c r="F2854" s="3"/>
      <c r="G2854" s="3"/>
      <c r="H2854" s="3"/>
      <c r="I2854" s="3"/>
      <c r="J2854" s="3"/>
      <c r="K2854" s="628">
        <f t="shared" si="130"/>
        <v>0</v>
      </c>
      <c r="L2854" s="630">
        <f t="shared" si="131"/>
        <v>0</v>
      </c>
    </row>
    <row r="2855" spans="3:12" x14ac:dyDescent="0.2">
      <c r="C2855" s="683"/>
      <c r="D2855" s="590" t="s">
        <v>72</v>
      </c>
      <c r="E2855" s="591">
        <f>(F2855+G2855+H2855+I2855)*112.7+(J2855*119.6)</f>
        <v>0</v>
      </c>
      <c r="F2855" s="3"/>
      <c r="G2855" s="3"/>
      <c r="H2855" s="3"/>
      <c r="I2855" s="3"/>
      <c r="J2855" s="3"/>
      <c r="K2855" s="628">
        <f t="shared" si="130"/>
        <v>0</v>
      </c>
      <c r="L2855" s="630">
        <f t="shared" si="131"/>
        <v>0</v>
      </c>
    </row>
    <row r="2856" spans="3:12" x14ac:dyDescent="0.2">
      <c r="C2856" s="683"/>
      <c r="D2856" s="590" t="s">
        <v>187</v>
      </c>
      <c r="E2856" s="591"/>
      <c r="F2856" s="3"/>
      <c r="G2856" s="3">
        <v>1</v>
      </c>
      <c r="H2856" s="3">
        <v>1</v>
      </c>
      <c r="I2856" s="3">
        <v>4</v>
      </c>
      <c r="J2856" s="3">
        <v>4</v>
      </c>
      <c r="K2856" s="628">
        <f>SUM(F2856:J2856)</f>
        <v>10</v>
      </c>
      <c r="L2856" s="3"/>
    </row>
    <row r="2857" spans="3:12" ht="16" x14ac:dyDescent="0.2">
      <c r="C2857" s="683"/>
      <c r="D2857" s="590"/>
      <c r="E2857" s="592"/>
      <c r="F2857" s="3"/>
      <c r="G2857" s="3"/>
      <c r="H2857" s="3"/>
      <c r="I2857" s="3"/>
      <c r="J2857" s="3"/>
      <c r="K2857" s="628">
        <f>SUM(F2857:J2857)</f>
        <v>0</v>
      </c>
      <c r="L2857" s="3"/>
    </row>
    <row r="2858" spans="3:12" ht="17" thickBot="1" x14ac:dyDescent="0.25">
      <c r="C2858" s="683"/>
      <c r="D2858" s="590"/>
      <c r="E2858" s="624"/>
      <c r="F2858" s="69"/>
      <c r="G2858" s="69"/>
      <c r="H2858" s="69"/>
      <c r="I2858" s="69"/>
      <c r="J2858" s="69"/>
      <c r="K2858" s="629"/>
      <c r="L2858" s="3"/>
    </row>
    <row r="2859" spans="3:12" ht="16" thickBot="1" x14ac:dyDescent="0.25">
      <c r="C2859" s="596"/>
      <c r="D2859" s="623" t="s">
        <v>19</v>
      </c>
      <c r="E2859" s="625">
        <f>SUM(E2833:E2856)</f>
        <v>27003.599999999999</v>
      </c>
      <c r="F2859" s="614">
        <f>SUM(F2833:F2858)</f>
        <v>87</v>
      </c>
      <c r="G2859" s="614">
        <f>SUM(G2833:G2858)</f>
        <v>40</v>
      </c>
      <c r="H2859" s="614">
        <f>SUM(H2833:H2858)</f>
        <v>20</v>
      </c>
      <c r="I2859" s="614">
        <f>SUM(I2833:I2858)</f>
        <v>48</v>
      </c>
      <c r="J2859" s="614">
        <f>SUM(J2833:J2858)</f>
        <v>60</v>
      </c>
      <c r="K2859" s="626">
        <f>SUM(F2859:J2859)</f>
        <v>255</v>
      </c>
      <c r="L2859" s="631">
        <f>SUM(L2833:L2858)</f>
        <v>61.25</v>
      </c>
    </row>
    <row r="2860" spans="3:12" x14ac:dyDescent="0.2">
      <c r="C2860" s="596"/>
      <c r="D2860" s="593" t="s">
        <v>113</v>
      </c>
      <c r="E2860" s="620"/>
      <c r="F2860" s="610">
        <f>F2830-F2859</f>
        <v>11</v>
      </c>
      <c r="G2860" s="610">
        <f>G2830-G2859</f>
        <v>10</v>
      </c>
      <c r="H2860" s="610">
        <f>H2830-H2859</f>
        <v>0</v>
      </c>
      <c r="I2860" s="610">
        <f>I2830-I2859</f>
        <v>10</v>
      </c>
      <c r="J2860" s="610">
        <f>J2830-J2859</f>
        <v>10</v>
      </c>
      <c r="K2860" s="636">
        <f>SUM(F2860:J2860)</f>
        <v>41</v>
      </c>
      <c r="L2860" s="3"/>
    </row>
    <row r="2861" spans="3:12" x14ac:dyDescent="0.2">
      <c r="C2861" s="683"/>
      <c r="D2861" s="593" t="s">
        <v>436</v>
      </c>
      <c r="E2861" s="594"/>
      <c r="F2861" s="581"/>
      <c r="G2861" s="581"/>
      <c r="H2861" s="581"/>
      <c r="I2861" s="581"/>
      <c r="J2861" s="581"/>
      <c r="K2861" s="637">
        <f>K2859+K2860</f>
        <v>296</v>
      </c>
      <c r="L2861" s="3"/>
    </row>
    <row r="2863" spans="3:12" ht="18" x14ac:dyDescent="0.2">
      <c r="C2863" s="685" t="s">
        <v>412</v>
      </c>
      <c r="D2863" s="582">
        <v>45743</v>
      </c>
      <c r="E2863" s="800"/>
      <c r="F2863" s="685" t="s">
        <v>83</v>
      </c>
      <c r="G2863" s="801" t="s">
        <v>66</v>
      </c>
      <c r="H2863" s="802"/>
      <c r="I2863" s="802"/>
      <c r="J2863" s="802"/>
      <c r="K2863" s="803"/>
    </row>
    <row r="2864" spans="3:12" x14ac:dyDescent="0.2">
      <c r="C2864" s="804"/>
      <c r="D2864" s="805"/>
      <c r="E2864" s="800"/>
      <c r="F2864" s="683" t="s">
        <v>93</v>
      </c>
      <c r="G2864" s="683" t="s">
        <v>93</v>
      </c>
      <c r="H2864" s="683"/>
      <c r="I2864" s="806"/>
      <c r="J2864" s="806"/>
      <c r="K2864" s="806"/>
    </row>
    <row r="2865" spans="3:12" x14ac:dyDescent="0.2">
      <c r="C2865" s="804"/>
      <c r="D2865" s="805"/>
      <c r="E2865" s="800"/>
      <c r="F2865" s="683" t="s">
        <v>94</v>
      </c>
      <c r="G2865" s="683" t="s">
        <v>95</v>
      </c>
      <c r="H2865" s="683" t="s">
        <v>96</v>
      </c>
      <c r="I2865" s="806"/>
      <c r="J2865" s="806"/>
      <c r="K2865" s="806"/>
    </row>
    <row r="2866" spans="3:12" x14ac:dyDescent="0.2">
      <c r="C2866" s="804"/>
      <c r="D2866" s="805"/>
      <c r="E2866" s="800"/>
      <c r="F2866" s="683"/>
      <c r="G2866" s="683"/>
      <c r="H2866" s="683"/>
      <c r="I2866" s="806"/>
      <c r="J2866" s="806"/>
      <c r="K2866" s="806"/>
    </row>
    <row r="2867" spans="3:12" ht="16" x14ac:dyDescent="0.2">
      <c r="C2867" s="683"/>
      <c r="D2867" s="583" t="s">
        <v>97</v>
      </c>
      <c r="E2867" s="584"/>
      <c r="F2867" s="581"/>
      <c r="G2867" s="585"/>
      <c r="H2867" s="585"/>
      <c r="I2867" s="586"/>
      <c r="J2867" s="586"/>
      <c r="K2867" s="586"/>
    </row>
    <row r="2868" spans="3:12" ht="26" x14ac:dyDescent="0.2">
      <c r="C2868" s="804"/>
      <c r="D2868" s="587"/>
      <c r="E2868" s="588"/>
      <c r="F2868" s="585" t="s">
        <v>383</v>
      </c>
      <c r="G2868" s="585" t="s">
        <v>384</v>
      </c>
      <c r="H2868" s="585" t="s">
        <v>385</v>
      </c>
      <c r="I2868" s="585" t="s">
        <v>386</v>
      </c>
      <c r="J2868" s="585" t="s">
        <v>387</v>
      </c>
      <c r="K2868" s="585" t="s">
        <v>84</v>
      </c>
    </row>
    <row r="2869" spans="3:12" x14ac:dyDescent="0.2">
      <c r="C2869" s="804"/>
      <c r="D2869" s="684" t="s">
        <v>167</v>
      </c>
      <c r="E2869" s="588"/>
      <c r="F2869" s="580"/>
      <c r="G2869" s="579"/>
      <c r="H2869" s="580"/>
      <c r="I2869" s="580"/>
      <c r="J2869" s="580"/>
      <c r="K2869" s="580">
        <f>SUM(F2869:J2869)</f>
        <v>0</v>
      </c>
    </row>
    <row r="2870" spans="3:12" x14ac:dyDescent="0.2">
      <c r="C2870" s="804"/>
      <c r="D2870" s="684" t="s">
        <v>207</v>
      </c>
      <c r="E2870" s="588"/>
      <c r="F2870" s="618"/>
      <c r="G2870" s="619"/>
      <c r="H2870" s="618"/>
      <c r="I2870" s="618"/>
      <c r="J2870" s="618"/>
      <c r="K2870" s="618">
        <f>SUM(F2870:J2870)</f>
        <v>0</v>
      </c>
    </row>
    <row r="2871" spans="3:12" x14ac:dyDescent="0.2">
      <c r="C2871" s="683"/>
      <c r="D2871" s="684" t="s">
        <v>100</v>
      </c>
      <c r="E2871" s="588"/>
      <c r="F2871" s="581"/>
      <c r="G2871" s="581"/>
      <c r="H2871" s="581"/>
      <c r="I2871" s="581"/>
      <c r="J2871" s="581"/>
      <c r="K2871" s="581">
        <f>SUM(F2871:J2871)</f>
        <v>0</v>
      </c>
    </row>
    <row r="2872" spans="3:12" x14ac:dyDescent="0.2">
      <c r="C2872" s="683"/>
      <c r="D2872" s="684" t="s">
        <v>101</v>
      </c>
      <c r="E2872" s="588"/>
      <c r="F2872" s="581"/>
      <c r="G2872" s="581"/>
      <c r="H2872" s="581"/>
      <c r="I2872" s="581"/>
      <c r="J2872" s="581"/>
      <c r="K2872" s="581">
        <f>SUM(F2872:J2872)</f>
        <v>0</v>
      </c>
    </row>
    <row r="2873" spans="3:12" ht="16" thickBot="1" x14ac:dyDescent="0.25">
      <c r="C2873" s="683"/>
      <c r="D2873" s="597" t="s">
        <v>102</v>
      </c>
      <c r="E2873" s="598"/>
      <c r="F2873" s="599">
        <v>11</v>
      </c>
      <c r="G2873" s="600">
        <v>10</v>
      </c>
      <c r="H2873" s="600"/>
      <c r="I2873" s="600">
        <v>10</v>
      </c>
      <c r="J2873" s="600">
        <v>10</v>
      </c>
      <c r="K2873" s="600">
        <f>SUM(F2873:J2873)</f>
        <v>41</v>
      </c>
    </row>
    <row r="2874" spans="3:12" ht="17" thickBot="1" x14ac:dyDescent="0.25">
      <c r="C2874" s="605"/>
      <c r="D2874" s="612" t="s">
        <v>84</v>
      </c>
      <c r="E2874" s="613"/>
      <c r="F2874" s="614">
        <f>(F2870+F2873)-F2872-F2871</f>
        <v>11</v>
      </c>
      <c r="G2874" s="615">
        <f>(G2870+G2873)-G2872-G2871</f>
        <v>10</v>
      </c>
      <c r="H2874" s="616">
        <f>(H2870+H2873)-H2872</f>
        <v>0</v>
      </c>
      <c r="I2874" s="615">
        <f>(I2870+I2873)-I2872-I2871</f>
        <v>10</v>
      </c>
      <c r="J2874" s="622">
        <f>(J2870+J2873)-J2872-J2871</f>
        <v>10</v>
      </c>
      <c r="K2874" s="617">
        <f>(K2870+K2873)-K2872-K2871</f>
        <v>41</v>
      </c>
    </row>
    <row r="2875" spans="3:12" ht="16" x14ac:dyDescent="0.2">
      <c r="C2875" s="683"/>
      <c r="D2875" s="608"/>
      <c r="E2875" s="609"/>
      <c r="F2875" s="610"/>
      <c r="G2875" s="595"/>
      <c r="H2875" s="611"/>
      <c r="I2875" s="595"/>
      <c r="J2875" s="595"/>
      <c r="K2875" s="595"/>
    </row>
    <row r="2876" spans="3:12" ht="16" thickBot="1" x14ac:dyDescent="0.25">
      <c r="C2876" s="606" t="s">
        <v>388</v>
      </c>
      <c r="D2876" s="607" t="s">
        <v>103</v>
      </c>
      <c r="E2876" s="603" t="s">
        <v>84</v>
      </c>
      <c r="F2876" s="602" t="s">
        <v>78</v>
      </c>
      <c r="G2876" s="602" t="s">
        <v>79</v>
      </c>
      <c r="H2876" s="602" t="s">
        <v>81</v>
      </c>
      <c r="I2876" s="601" t="s">
        <v>316</v>
      </c>
      <c r="J2876" s="601" t="s">
        <v>85</v>
      </c>
      <c r="K2876" s="601" t="s">
        <v>84</v>
      </c>
      <c r="L2876" s="174" t="s">
        <v>389</v>
      </c>
    </row>
    <row r="2877" spans="3:12" x14ac:dyDescent="0.2">
      <c r="C2877" s="589"/>
      <c r="D2877" s="604" t="s">
        <v>105</v>
      </c>
      <c r="E2877" s="591">
        <f>(F2877+G2877+H2877+I2877+J2877)*100+(0*230)</f>
        <v>0</v>
      </c>
      <c r="F2877" s="3"/>
      <c r="G2877" s="3"/>
      <c r="H2877" s="3"/>
      <c r="I2877" s="3"/>
      <c r="J2877" s="3"/>
      <c r="K2877" s="628">
        <f t="shared" ref="K2877:K2899" si="132">SUM(F2877:J2877)</f>
        <v>0</v>
      </c>
      <c r="L2877" s="630">
        <f>K2877/4</f>
        <v>0</v>
      </c>
    </row>
    <row r="2878" spans="3:12" x14ac:dyDescent="0.2">
      <c r="C2878" s="589"/>
      <c r="D2878" s="590" t="s">
        <v>390</v>
      </c>
      <c r="E2878" s="591">
        <f>(F2878+G2878+H2878+I2878+J2878)*120</f>
        <v>0</v>
      </c>
      <c r="F2878" s="3"/>
      <c r="G2878" s="3"/>
      <c r="H2878" s="3"/>
      <c r="I2878" s="3"/>
      <c r="J2878" s="3"/>
      <c r="K2878" s="628">
        <f t="shared" si="132"/>
        <v>0</v>
      </c>
      <c r="L2878" s="630">
        <f t="shared" ref="L2878:L2899" si="133">K2878/4</f>
        <v>0</v>
      </c>
    </row>
    <row r="2879" spans="3:12" x14ac:dyDescent="0.2">
      <c r="C2879" s="589"/>
      <c r="D2879" s="590" t="s">
        <v>391</v>
      </c>
      <c r="E2879" s="591">
        <f>(F2879+G2879+H2879+I2879+J2879)*120</f>
        <v>0</v>
      </c>
      <c r="F2879" s="3"/>
      <c r="G2879" s="3"/>
      <c r="H2879" s="3"/>
      <c r="I2879" s="3"/>
      <c r="J2879" s="3"/>
      <c r="K2879" s="628">
        <f t="shared" si="132"/>
        <v>0</v>
      </c>
      <c r="L2879" s="630">
        <f t="shared" si="133"/>
        <v>0</v>
      </c>
    </row>
    <row r="2880" spans="3:12" x14ac:dyDescent="0.2">
      <c r="C2880" s="589"/>
      <c r="D2880" s="590" t="s">
        <v>392</v>
      </c>
      <c r="E2880" s="591">
        <f>(F2880+G2880+H2880+I2880+J2880)*120</f>
        <v>0</v>
      </c>
      <c r="F2880" s="3"/>
      <c r="G2880" s="3"/>
      <c r="H2880" s="3"/>
      <c r="I2880" s="3"/>
      <c r="J2880" s="3"/>
      <c r="K2880" s="628">
        <f t="shared" si="132"/>
        <v>0</v>
      </c>
      <c r="L2880" s="630">
        <f t="shared" si="133"/>
        <v>0</v>
      </c>
    </row>
    <row r="2881" spans="3:12" x14ac:dyDescent="0.2">
      <c r="C2881" s="589"/>
      <c r="D2881" s="590" t="s">
        <v>425</v>
      </c>
      <c r="E2881" s="591">
        <f>(F2881+G2881+H2881+I2881+J2881)*120</f>
        <v>0</v>
      </c>
      <c r="F2881" s="3"/>
      <c r="G2881" s="3"/>
      <c r="H2881" s="3"/>
      <c r="I2881" s="3"/>
      <c r="J2881" s="3"/>
      <c r="K2881" s="628">
        <f t="shared" si="132"/>
        <v>0</v>
      </c>
      <c r="L2881" s="630">
        <f t="shared" si="133"/>
        <v>0</v>
      </c>
    </row>
    <row r="2882" spans="3:12" x14ac:dyDescent="0.2">
      <c r="C2882" s="589"/>
      <c r="D2882" s="590"/>
      <c r="E2882" s="591"/>
      <c r="F2882" s="3"/>
      <c r="G2882" s="3"/>
      <c r="H2882" s="3"/>
      <c r="I2882" s="3"/>
      <c r="J2882" s="3"/>
      <c r="K2882" s="628">
        <f t="shared" si="132"/>
        <v>0</v>
      </c>
      <c r="L2882" s="630">
        <f t="shared" si="133"/>
        <v>0</v>
      </c>
    </row>
    <row r="2883" spans="3:12" x14ac:dyDescent="0.2">
      <c r="C2883" s="589"/>
      <c r="D2883" s="590" t="s">
        <v>108</v>
      </c>
      <c r="E2883" s="591">
        <f>(F2883+G2883+H2883+J2883)*112.7+(I2883*119.6)</f>
        <v>0</v>
      </c>
      <c r="F2883" s="3"/>
      <c r="G2883" s="3"/>
      <c r="H2883" s="3"/>
      <c r="I2883" s="3"/>
      <c r="J2883" s="3"/>
      <c r="K2883" s="628">
        <f t="shared" si="132"/>
        <v>0</v>
      </c>
      <c r="L2883" s="630">
        <f t="shared" si="133"/>
        <v>0</v>
      </c>
    </row>
    <row r="2884" spans="3:12" x14ac:dyDescent="0.2">
      <c r="C2884" s="589"/>
      <c r="D2884" s="590" t="s">
        <v>393</v>
      </c>
      <c r="E2884" s="591">
        <f>(F2884+G2884+H2884+J2884)*112.7+(I2884*119.6)</f>
        <v>0</v>
      </c>
      <c r="F2884" s="3"/>
      <c r="G2884" s="3"/>
      <c r="H2884" s="3"/>
      <c r="I2884" s="3"/>
      <c r="J2884" s="3"/>
      <c r="K2884" s="628">
        <f t="shared" si="132"/>
        <v>0</v>
      </c>
      <c r="L2884" s="630">
        <f t="shared" si="133"/>
        <v>0</v>
      </c>
    </row>
    <row r="2885" spans="3:12" x14ac:dyDescent="0.2">
      <c r="C2885" s="589"/>
      <c r="D2885" s="590" t="s">
        <v>216</v>
      </c>
      <c r="E2885" s="591">
        <f>(F2885+G2885+H2885+J2885)*112.7+(I2885*119.6)</f>
        <v>0</v>
      </c>
      <c r="F2885" s="3"/>
      <c r="G2885" s="3"/>
      <c r="H2885" s="3"/>
      <c r="I2885" s="3"/>
      <c r="J2885" s="3"/>
      <c r="K2885" s="628">
        <f t="shared" si="132"/>
        <v>0</v>
      </c>
      <c r="L2885" s="630">
        <f t="shared" si="133"/>
        <v>0</v>
      </c>
    </row>
    <row r="2886" spans="3:12" x14ac:dyDescent="0.2">
      <c r="C2886" s="589"/>
      <c r="D2886" s="590"/>
      <c r="E2886" s="591"/>
      <c r="F2886" s="3"/>
      <c r="G2886" s="3"/>
      <c r="H2886" s="3"/>
      <c r="I2886" s="3"/>
      <c r="J2886" s="3"/>
      <c r="K2886" s="628">
        <f t="shared" si="132"/>
        <v>0</v>
      </c>
      <c r="L2886" s="630">
        <f t="shared" si="133"/>
        <v>0</v>
      </c>
    </row>
    <row r="2887" spans="3:12" x14ac:dyDescent="0.2">
      <c r="C2887" s="589"/>
      <c r="D2887" s="590" t="s">
        <v>394</v>
      </c>
      <c r="E2887" s="591">
        <f>(F2887+G2887+H2887+I2887+J2887)*120</f>
        <v>0</v>
      </c>
      <c r="F2887" s="3"/>
      <c r="G2887" s="3"/>
      <c r="H2887" s="3"/>
      <c r="I2887" s="3"/>
      <c r="J2887" s="3"/>
      <c r="K2887" s="628">
        <f t="shared" si="132"/>
        <v>0</v>
      </c>
      <c r="L2887" s="630">
        <f t="shared" si="133"/>
        <v>0</v>
      </c>
    </row>
    <row r="2888" spans="3:12" x14ac:dyDescent="0.2">
      <c r="C2888" s="589"/>
      <c r="D2888" s="590" t="s">
        <v>110</v>
      </c>
      <c r="E2888" s="591">
        <f>(F2888+G2888+H2888+J2888)*112.7+(I2888*119.6)</f>
        <v>0</v>
      </c>
      <c r="F2888" s="3"/>
      <c r="G2888" s="3"/>
      <c r="H2888" s="3"/>
      <c r="I2888" s="3"/>
      <c r="J2888" s="3"/>
      <c r="K2888" s="628">
        <f t="shared" si="132"/>
        <v>0</v>
      </c>
      <c r="L2888" s="630">
        <f t="shared" si="133"/>
        <v>0</v>
      </c>
    </row>
    <row r="2889" spans="3:12" x14ac:dyDescent="0.2">
      <c r="C2889" s="589"/>
      <c r="D2889" s="590"/>
      <c r="E2889" s="591"/>
      <c r="F2889" s="3"/>
      <c r="G2889" s="3"/>
      <c r="H2889" s="3"/>
      <c r="I2889" s="3"/>
      <c r="J2889" s="3"/>
      <c r="K2889" s="628">
        <f t="shared" si="132"/>
        <v>0</v>
      </c>
      <c r="L2889" s="630">
        <f t="shared" si="133"/>
        <v>0</v>
      </c>
    </row>
    <row r="2890" spans="3:12" x14ac:dyDescent="0.2">
      <c r="C2890" s="589" t="s">
        <v>650</v>
      </c>
      <c r="D2890" s="590" t="s">
        <v>381</v>
      </c>
      <c r="E2890" s="591">
        <f>(F2890+G2890+H2890+I2890+J2890)*120+(240*5)+(4*45)</f>
        <v>3060</v>
      </c>
      <c r="F2890" s="3">
        <v>4</v>
      </c>
      <c r="G2890" s="3">
        <v>5</v>
      </c>
      <c r="H2890" s="3"/>
      <c r="I2890" s="3"/>
      <c r="J2890" s="3">
        <v>5</v>
      </c>
      <c r="K2890" s="628">
        <f t="shared" si="132"/>
        <v>14</v>
      </c>
      <c r="L2890" s="630">
        <f t="shared" si="133"/>
        <v>3.5</v>
      </c>
    </row>
    <row r="2891" spans="3:12" x14ac:dyDescent="0.2">
      <c r="C2891" s="589" t="s">
        <v>900</v>
      </c>
      <c r="D2891" s="590" t="s">
        <v>276</v>
      </c>
      <c r="E2891" s="591">
        <f>(F2891+G2891+H2891+J2891)*112.7+(I2891*119.6)</f>
        <v>3111.9</v>
      </c>
      <c r="F2891" s="3">
        <v>7</v>
      </c>
      <c r="G2891" s="3">
        <v>5</v>
      </c>
      <c r="H2891" s="3"/>
      <c r="I2891" s="3">
        <v>10</v>
      </c>
      <c r="J2891" s="3">
        <v>5</v>
      </c>
      <c r="K2891" s="628">
        <f t="shared" si="132"/>
        <v>27</v>
      </c>
      <c r="L2891" s="630">
        <f t="shared" si="133"/>
        <v>6.75</v>
      </c>
    </row>
    <row r="2892" spans="3:12" x14ac:dyDescent="0.2">
      <c r="C2892" s="589"/>
      <c r="D2892" s="590"/>
      <c r="E2892" s="591"/>
      <c r="F2892" s="3"/>
      <c r="G2892" s="3"/>
      <c r="H2892" s="3"/>
      <c r="I2892" s="3"/>
      <c r="J2892" s="3"/>
      <c r="K2892" s="628">
        <f t="shared" si="132"/>
        <v>0</v>
      </c>
      <c r="L2892" s="630">
        <f t="shared" si="133"/>
        <v>0</v>
      </c>
    </row>
    <row r="2893" spans="3:12" x14ac:dyDescent="0.2">
      <c r="C2893" s="589"/>
      <c r="D2893" s="590" t="s">
        <v>75</v>
      </c>
      <c r="E2893" s="591">
        <f>(F2893+G2893+H2893+I2893+J2893)*120</f>
        <v>0</v>
      </c>
      <c r="F2893" s="3"/>
      <c r="G2893" s="3"/>
      <c r="H2893" s="3"/>
      <c r="I2893" s="3"/>
      <c r="J2893" s="3"/>
      <c r="K2893" s="628">
        <f t="shared" si="132"/>
        <v>0</v>
      </c>
      <c r="L2893" s="630">
        <f t="shared" si="133"/>
        <v>0</v>
      </c>
    </row>
    <row r="2894" spans="3:12" x14ac:dyDescent="0.2">
      <c r="C2894" s="589"/>
      <c r="D2894" s="590" t="s">
        <v>278</v>
      </c>
      <c r="E2894" s="591">
        <f>(F2894+G2894+H2894+I2894+J2894)*120</f>
        <v>0</v>
      </c>
      <c r="F2894" s="3"/>
      <c r="G2894" s="3"/>
      <c r="H2894" s="3"/>
      <c r="I2894" s="3"/>
      <c r="J2894" s="3"/>
      <c r="K2894" s="628">
        <f t="shared" si="132"/>
        <v>0</v>
      </c>
      <c r="L2894" s="630">
        <f t="shared" si="133"/>
        <v>0</v>
      </c>
    </row>
    <row r="2895" spans="3:12" x14ac:dyDescent="0.2">
      <c r="C2895" s="589"/>
      <c r="D2895" s="590" t="s">
        <v>270</v>
      </c>
      <c r="E2895" s="591">
        <f>(F2895+G2895+H2895+I2895)*112.7+(J2895*119.6)</f>
        <v>0</v>
      </c>
      <c r="F2895" s="3"/>
      <c r="G2895" s="3"/>
      <c r="H2895" s="3"/>
      <c r="I2895" s="3"/>
      <c r="J2895" s="3"/>
      <c r="K2895" s="628">
        <f t="shared" si="132"/>
        <v>0</v>
      </c>
      <c r="L2895" s="630">
        <f t="shared" si="133"/>
        <v>0</v>
      </c>
    </row>
    <row r="2896" spans="3:12" x14ac:dyDescent="0.2">
      <c r="C2896" s="589"/>
      <c r="D2896" s="590" t="s">
        <v>274</v>
      </c>
      <c r="E2896" s="591">
        <f>(F2896+G2896+H2896+I2896)*112.7+(J2896*119.6)</f>
        <v>0</v>
      </c>
      <c r="F2896" s="3"/>
      <c r="G2896" s="3"/>
      <c r="H2896" s="3"/>
      <c r="I2896" s="3"/>
      <c r="J2896" s="3"/>
      <c r="K2896" s="628">
        <f t="shared" si="132"/>
        <v>0</v>
      </c>
      <c r="L2896" s="630">
        <f t="shared" si="133"/>
        <v>0</v>
      </c>
    </row>
    <row r="2897" spans="3:12" x14ac:dyDescent="0.2">
      <c r="C2897" s="589"/>
      <c r="D2897" s="590" t="s">
        <v>395</v>
      </c>
      <c r="E2897" s="591">
        <f>(F2897+G2897+H2897+I2897)*112.7+(J2897*119.6)</f>
        <v>0</v>
      </c>
      <c r="F2897" s="3"/>
      <c r="G2897" s="3"/>
      <c r="H2897" s="3"/>
      <c r="I2897" s="3"/>
      <c r="J2897" s="3"/>
      <c r="K2897" s="628">
        <f t="shared" si="132"/>
        <v>0</v>
      </c>
      <c r="L2897" s="630">
        <f t="shared" si="133"/>
        <v>0</v>
      </c>
    </row>
    <row r="2898" spans="3:12" x14ac:dyDescent="0.2">
      <c r="C2898" s="683"/>
      <c r="D2898" s="590" t="s">
        <v>112</v>
      </c>
      <c r="E2898" s="591">
        <f>(F2898+G2898+H2898+I2898)*112.7+(J2898*119.6)</f>
        <v>0</v>
      </c>
      <c r="F2898" s="3"/>
      <c r="G2898" s="3"/>
      <c r="H2898" s="3"/>
      <c r="I2898" s="3"/>
      <c r="J2898" s="3"/>
      <c r="K2898" s="628">
        <f t="shared" si="132"/>
        <v>0</v>
      </c>
      <c r="L2898" s="630">
        <f t="shared" si="133"/>
        <v>0</v>
      </c>
    </row>
    <row r="2899" spans="3:12" x14ac:dyDescent="0.2">
      <c r="C2899" s="683"/>
      <c r="D2899" s="590" t="s">
        <v>72</v>
      </c>
      <c r="E2899" s="591">
        <f>(F2899+G2899+H2899+I2899)*112.7+(J2899*119.6)</f>
        <v>0</v>
      </c>
      <c r="F2899" s="3"/>
      <c r="G2899" s="3"/>
      <c r="H2899" s="3"/>
      <c r="I2899" s="3"/>
      <c r="J2899" s="3"/>
      <c r="K2899" s="628">
        <f t="shared" si="132"/>
        <v>0</v>
      </c>
      <c r="L2899" s="630">
        <f t="shared" si="133"/>
        <v>0</v>
      </c>
    </row>
    <row r="2900" spans="3:12" x14ac:dyDescent="0.2">
      <c r="C2900" s="683"/>
      <c r="D2900" s="590" t="s">
        <v>187</v>
      </c>
      <c r="E2900" s="591"/>
      <c r="F2900" s="3"/>
      <c r="G2900" s="3"/>
      <c r="H2900" s="3"/>
      <c r="I2900" s="3"/>
      <c r="J2900" s="3"/>
      <c r="K2900" s="628">
        <f>SUM(F2900:J2900)</f>
        <v>0</v>
      </c>
      <c r="L2900" s="3"/>
    </row>
    <row r="2901" spans="3:12" ht="16" x14ac:dyDescent="0.2">
      <c r="C2901" s="683"/>
      <c r="D2901" s="590"/>
      <c r="E2901" s="592"/>
      <c r="F2901" s="3"/>
      <c r="G2901" s="3"/>
      <c r="H2901" s="3"/>
      <c r="I2901" s="3"/>
      <c r="J2901" s="3"/>
      <c r="K2901" s="628">
        <f>SUM(F2901:J2901)</f>
        <v>0</v>
      </c>
      <c r="L2901" s="3"/>
    </row>
    <row r="2902" spans="3:12" ht="17" thickBot="1" x14ac:dyDescent="0.25">
      <c r="C2902" s="683"/>
      <c r="D2902" s="590"/>
      <c r="E2902" s="624"/>
      <c r="F2902" s="69"/>
      <c r="G2902" s="69"/>
      <c r="H2902" s="69"/>
      <c r="I2902" s="69"/>
      <c r="J2902" s="69"/>
      <c r="K2902" s="629"/>
      <c r="L2902" s="3"/>
    </row>
    <row r="2903" spans="3:12" ht="16" thickBot="1" x14ac:dyDescent="0.25">
      <c r="C2903" s="596"/>
      <c r="D2903" s="623" t="s">
        <v>19</v>
      </c>
      <c r="E2903" s="625">
        <f>SUM(E2877:E2900)</f>
        <v>6171.9</v>
      </c>
      <c r="F2903" s="614">
        <f>SUM(F2877:F2902)</f>
        <v>11</v>
      </c>
      <c r="G2903" s="614">
        <f>SUM(G2877:G2902)</f>
        <v>10</v>
      </c>
      <c r="H2903" s="614">
        <f>SUM(H2877:H2902)</f>
        <v>0</v>
      </c>
      <c r="I2903" s="614">
        <f>SUM(I2877:I2902)</f>
        <v>10</v>
      </c>
      <c r="J2903" s="614">
        <f>SUM(J2877:J2902)</f>
        <v>10</v>
      </c>
      <c r="K2903" s="626">
        <f>SUM(F2903:J2903)</f>
        <v>41</v>
      </c>
      <c r="L2903" s="631">
        <f>SUM(L2877:L2902)</f>
        <v>10.25</v>
      </c>
    </row>
    <row r="2904" spans="3:12" x14ac:dyDescent="0.2">
      <c r="C2904" s="596"/>
      <c r="D2904" s="593" t="s">
        <v>113</v>
      </c>
      <c r="E2904" s="620"/>
      <c r="F2904" s="610">
        <f>F2874-F2903</f>
        <v>0</v>
      </c>
      <c r="G2904" s="610">
        <f>G2874-G2903</f>
        <v>0</v>
      </c>
      <c r="H2904" s="610">
        <f>H2874-H2903</f>
        <v>0</v>
      </c>
      <c r="I2904" s="610">
        <f>I2874-I2903</f>
        <v>0</v>
      </c>
      <c r="J2904" s="610">
        <f>J2874-J2903</f>
        <v>0</v>
      </c>
      <c r="K2904" s="636">
        <f>SUM(F2904:J2904)</f>
        <v>0</v>
      </c>
      <c r="L2904" s="3"/>
    </row>
    <row r="2905" spans="3:12" x14ac:dyDescent="0.2">
      <c r="C2905" s="683"/>
      <c r="D2905" s="593" t="s">
        <v>436</v>
      </c>
      <c r="E2905" s="594"/>
      <c r="F2905" s="581"/>
      <c r="G2905" s="581"/>
      <c r="H2905" s="581"/>
      <c r="I2905" s="581"/>
      <c r="J2905" s="581"/>
      <c r="K2905" s="637">
        <f>K2903+K2904</f>
        <v>41</v>
      </c>
      <c r="L2905" s="3"/>
    </row>
    <row r="2907" spans="3:12" ht="18" x14ac:dyDescent="0.2">
      <c r="C2907" s="685" t="s">
        <v>412</v>
      </c>
      <c r="D2907" s="582">
        <v>45744</v>
      </c>
      <c r="E2907" s="800"/>
      <c r="F2907" s="685" t="s">
        <v>83</v>
      </c>
      <c r="G2907" s="801" t="s">
        <v>67</v>
      </c>
      <c r="H2907" s="802"/>
      <c r="I2907" s="802"/>
      <c r="J2907" s="802"/>
      <c r="K2907" s="803"/>
    </row>
    <row r="2908" spans="3:12" x14ac:dyDescent="0.2">
      <c r="C2908" s="804"/>
      <c r="D2908" s="805"/>
      <c r="E2908" s="800"/>
      <c r="F2908" s="683" t="s">
        <v>93</v>
      </c>
      <c r="G2908" s="683" t="s">
        <v>93</v>
      </c>
      <c r="H2908" s="683"/>
      <c r="I2908" s="806"/>
      <c r="J2908" s="806"/>
      <c r="K2908" s="806"/>
    </row>
    <row r="2909" spans="3:12" x14ac:dyDescent="0.2">
      <c r="C2909" s="804"/>
      <c r="D2909" s="805"/>
      <c r="E2909" s="800"/>
      <c r="F2909" s="683" t="s">
        <v>94</v>
      </c>
      <c r="G2909" s="683" t="s">
        <v>95</v>
      </c>
      <c r="H2909" s="683" t="s">
        <v>96</v>
      </c>
      <c r="I2909" s="806"/>
      <c r="J2909" s="806"/>
      <c r="K2909" s="806"/>
    </row>
    <row r="2910" spans="3:12" x14ac:dyDescent="0.2">
      <c r="C2910" s="804"/>
      <c r="D2910" s="805"/>
      <c r="E2910" s="800"/>
      <c r="F2910" s="683"/>
      <c r="G2910" s="683"/>
      <c r="H2910" s="683"/>
      <c r="I2910" s="806"/>
      <c r="J2910" s="806"/>
      <c r="K2910" s="806"/>
    </row>
    <row r="2911" spans="3:12" ht="16" x14ac:dyDescent="0.2">
      <c r="C2911" s="683"/>
      <c r="D2911" s="583" t="s">
        <v>97</v>
      </c>
      <c r="E2911" s="584"/>
      <c r="F2911" s="581"/>
      <c r="G2911" s="585"/>
      <c r="H2911" s="585"/>
      <c r="I2911" s="586"/>
      <c r="J2911" s="586"/>
      <c r="K2911" s="586"/>
    </row>
    <row r="2912" spans="3:12" ht="26" x14ac:dyDescent="0.2">
      <c r="C2912" s="804"/>
      <c r="D2912" s="587"/>
      <c r="E2912" s="588"/>
      <c r="F2912" s="585" t="s">
        <v>383</v>
      </c>
      <c r="G2912" s="585" t="s">
        <v>384</v>
      </c>
      <c r="H2912" s="585" t="s">
        <v>385</v>
      </c>
      <c r="I2912" s="585" t="s">
        <v>386</v>
      </c>
      <c r="J2912" s="585" t="s">
        <v>387</v>
      </c>
      <c r="K2912" s="585" t="s">
        <v>84</v>
      </c>
    </row>
    <row r="2913" spans="3:12" x14ac:dyDescent="0.2">
      <c r="C2913" s="804"/>
      <c r="D2913" s="684" t="s">
        <v>167</v>
      </c>
      <c r="E2913" s="588"/>
      <c r="F2913" s="580">
        <v>15</v>
      </c>
      <c r="G2913" s="579">
        <v>9</v>
      </c>
      <c r="H2913" s="580">
        <v>4</v>
      </c>
      <c r="I2913" s="580">
        <v>5</v>
      </c>
      <c r="J2913" s="580">
        <v>10</v>
      </c>
      <c r="K2913" s="580">
        <f>SUM(F2913:J2913)</f>
        <v>43</v>
      </c>
    </row>
    <row r="2914" spans="3:12" x14ac:dyDescent="0.2">
      <c r="C2914" s="804"/>
      <c r="D2914" s="684" t="s">
        <v>207</v>
      </c>
      <c r="E2914" s="588"/>
      <c r="F2914" s="618">
        <v>101</v>
      </c>
      <c r="G2914" s="619">
        <v>61</v>
      </c>
      <c r="H2914" s="618">
        <v>28</v>
      </c>
      <c r="I2914" s="618">
        <v>55</v>
      </c>
      <c r="J2914" s="618">
        <v>86</v>
      </c>
      <c r="K2914" s="618">
        <f>SUM(F2914:J2914)</f>
        <v>331</v>
      </c>
    </row>
    <row r="2915" spans="3:12" x14ac:dyDescent="0.2">
      <c r="C2915" s="683"/>
      <c r="D2915" s="684" t="s">
        <v>100</v>
      </c>
      <c r="E2915" s="588"/>
      <c r="F2915" s="581"/>
      <c r="G2915" s="581"/>
      <c r="H2915" s="581"/>
      <c r="I2915" s="581"/>
      <c r="J2915" s="581"/>
      <c r="K2915" s="581">
        <f>SUM(F2915:J2915)</f>
        <v>0</v>
      </c>
    </row>
    <row r="2916" spans="3:12" x14ac:dyDescent="0.2">
      <c r="C2916" s="683"/>
      <c r="D2916" s="684" t="s">
        <v>101</v>
      </c>
      <c r="E2916" s="588"/>
      <c r="F2916" s="581"/>
      <c r="G2916" s="581">
        <v>3</v>
      </c>
      <c r="H2916" s="581"/>
      <c r="I2916" s="581"/>
      <c r="J2916" s="581">
        <v>1</v>
      </c>
      <c r="K2916" s="581">
        <f>SUM(F2916:J2916)</f>
        <v>4</v>
      </c>
    </row>
    <row r="2917" spans="3:12" ht="16" thickBot="1" x14ac:dyDescent="0.25">
      <c r="C2917" s="683"/>
      <c r="D2917" s="597" t="s">
        <v>102</v>
      </c>
      <c r="E2917" s="598"/>
      <c r="F2917" s="599"/>
      <c r="G2917" s="600"/>
      <c r="H2917" s="600"/>
      <c r="I2917" s="600">
        <v>2</v>
      </c>
      <c r="J2917" s="600"/>
      <c r="K2917" s="600">
        <f>SUM(F2917:J2917)</f>
        <v>2</v>
      </c>
    </row>
    <row r="2918" spans="3:12" ht="17" thickBot="1" x14ac:dyDescent="0.25">
      <c r="C2918" s="605"/>
      <c r="D2918" s="612" t="s">
        <v>84</v>
      </c>
      <c r="E2918" s="613"/>
      <c r="F2918" s="614">
        <f>(F2914+F2917)-F2916-F2915</f>
        <v>101</v>
      </c>
      <c r="G2918" s="615">
        <f>(G2914+G2917)-G2916-G2915</f>
        <v>58</v>
      </c>
      <c r="H2918" s="616">
        <f>(H2914+H2917)-H2916</f>
        <v>28</v>
      </c>
      <c r="I2918" s="615">
        <f>(I2914+I2917)-I2916-I2915</f>
        <v>57</v>
      </c>
      <c r="J2918" s="622">
        <f>(J2914+J2917)-J2916-J2915</f>
        <v>85</v>
      </c>
      <c r="K2918" s="617">
        <f>(K2914+K2917)-K2916-K2915</f>
        <v>329</v>
      </c>
    </row>
    <row r="2919" spans="3:12" ht="16" x14ac:dyDescent="0.2">
      <c r="C2919" s="683"/>
      <c r="D2919" s="608"/>
      <c r="E2919" s="609"/>
      <c r="F2919" s="610"/>
      <c r="G2919" s="595"/>
      <c r="H2919" s="611"/>
      <c r="I2919" s="595"/>
      <c r="J2919" s="595"/>
      <c r="K2919" s="595"/>
    </row>
    <row r="2920" spans="3:12" ht="16" thickBot="1" x14ac:dyDescent="0.25">
      <c r="C2920" s="606" t="s">
        <v>388</v>
      </c>
      <c r="D2920" s="607" t="s">
        <v>103</v>
      </c>
      <c r="E2920" s="603" t="s">
        <v>84</v>
      </c>
      <c r="F2920" s="602" t="s">
        <v>78</v>
      </c>
      <c r="G2920" s="602" t="s">
        <v>79</v>
      </c>
      <c r="H2920" s="602" t="s">
        <v>81</v>
      </c>
      <c r="I2920" s="601" t="s">
        <v>316</v>
      </c>
      <c r="J2920" s="601" t="s">
        <v>85</v>
      </c>
      <c r="K2920" s="601" t="s">
        <v>84</v>
      </c>
      <c r="L2920" s="174" t="s">
        <v>389</v>
      </c>
    </row>
    <row r="2921" spans="3:12" x14ac:dyDescent="0.2">
      <c r="C2921" s="589" t="s">
        <v>718</v>
      </c>
      <c r="D2921" s="604" t="s">
        <v>105</v>
      </c>
      <c r="E2921" s="591">
        <f>(F2921+G2921+H2921+I2921+J2921)*100+(0*230)</f>
        <v>5700</v>
      </c>
      <c r="F2921" s="3">
        <v>18</v>
      </c>
      <c r="G2921" s="3">
        <v>6</v>
      </c>
      <c r="H2921" s="3">
        <v>12</v>
      </c>
      <c r="I2921" s="3">
        <v>5</v>
      </c>
      <c r="J2921" s="3">
        <v>16</v>
      </c>
      <c r="K2921" s="628">
        <f t="shared" ref="K2921:K2943" si="134">SUM(F2921:J2921)</f>
        <v>57</v>
      </c>
      <c r="L2921" s="630">
        <f>K2921/4</f>
        <v>14.25</v>
      </c>
    </row>
    <row r="2922" spans="3:12" x14ac:dyDescent="0.2">
      <c r="C2922" s="589"/>
      <c r="D2922" s="590" t="s">
        <v>390</v>
      </c>
      <c r="E2922" s="591">
        <f>(F2922+G2922+H2922+I2922+J2922)*120</f>
        <v>0</v>
      </c>
      <c r="F2922" s="3"/>
      <c r="G2922" s="3"/>
      <c r="H2922" s="3"/>
      <c r="I2922" s="3"/>
      <c r="J2922" s="3"/>
      <c r="K2922" s="628">
        <f t="shared" si="134"/>
        <v>0</v>
      </c>
      <c r="L2922" s="630">
        <f t="shared" ref="L2922:L2943" si="135">K2922/4</f>
        <v>0</v>
      </c>
    </row>
    <row r="2923" spans="3:12" x14ac:dyDescent="0.2">
      <c r="C2923" s="589" t="s">
        <v>902</v>
      </c>
      <c r="D2923" s="590" t="s">
        <v>391</v>
      </c>
      <c r="E2923" s="591">
        <f>(F2923+G2923+H2923+I2923+J2923)*120</f>
        <v>3000</v>
      </c>
      <c r="F2923" s="3">
        <v>5</v>
      </c>
      <c r="G2923" s="3">
        <v>5</v>
      </c>
      <c r="H2923" s="3">
        <v>5</v>
      </c>
      <c r="I2923" s="3">
        <v>5</v>
      </c>
      <c r="J2923" s="3">
        <v>5</v>
      </c>
      <c r="K2923" s="628">
        <f t="shared" si="134"/>
        <v>25</v>
      </c>
      <c r="L2923" s="630">
        <f t="shared" si="135"/>
        <v>6.25</v>
      </c>
    </row>
    <row r="2924" spans="3:12" x14ac:dyDescent="0.2">
      <c r="C2924" s="589" t="s">
        <v>486</v>
      </c>
      <c r="D2924" s="590" t="s">
        <v>392</v>
      </c>
      <c r="E2924" s="591">
        <f>(F2924+G2924+H2924+I2924+J2924)*120</f>
        <v>1680</v>
      </c>
      <c r="F2924" s="3">
        <v>6</v>
      </c>
      <c r="G2924" s="3">
        <v>2</v>
      </c>
      <c r="H2924" s="3"/>
      <c r="I2924" s="3"/>
      <c r="J2924" s="3">
        <v>6</v>
      </c>
      <c r="K2924" s="628">
        <f t="shared" si="134"/>
        <v>14</v>
      </c>
      <c r="L2924" s="630">
        <f t="shared" si="135"/>
        <v>3.5</v>
      </c>
    </row>
    <row r="2925" spans="3:12" x14ac:dyDescent="0.2">
      <c r="C2925" s="589"/>
      <c r="D2925" s="590" t="s">
        <v>425</v>
      </c>
      <c r="E2925" s="591">
        <f>(F2925+G2925+H2925+I2925+J2925)*120</f>
        <v>0</v>
      </c>
      <c r="F2925" s="3"/>
      <c r="G2925" s="3"/>
      <c r="H2925" s="3"/>
      <c r="I2925" s="3"/>
      <c r="J2925" s="3"/>
      <c r="K2925" s="628">
        <f t="shared" si="134"/>
        <v>0</v>
      </c>
      <c r="L2925" s="630">
        <f t="shared" si="135"/>
        <v>0</v>
      </c>
    </row>
    <row r="2926" spans="3:12" x14ac:dyDescent="0.2">
      <c r="C2926" s="589"/>
      <c r="D2926" s="590"/>
      <c r="E2926" s="591"/>
      <c r="F2926" s="3"/>
      <c r="G2926" s="3"/>
      <c r="H2926" s="3"/>
      <c r="I2926" s="3"/>
      <c r="J2926" s="3"/>
      <c r="K2926" s="628">
        <f t="shared" si="134"/>
        <v>0</v>
      </c>
      <c r="L2926" s="630">
        <f t="shared" si="135"/>
        <v>0</v>
      </c>
    </row>
    <row r="2927" spans="3:12" x14ac:dyDescent="0.2">
      <c r="C2927" s="589" t="s">
        <v>905</v>
      </c>
      <c r="D2927" s="590" t="s">
        <v>108</v>
      </c>
      <c r="E2927" s="591">
        <f>(F2927+G2927+H2927+J2927)*112.7+(I2927*119.6)</f>
        <v>5943.2</v>
      </c>
      <c r="F2927" s="3">
        <v>14</v>
      </c>
      <c r="G2927" s="3">
        <v>12</v>
      </c>
      <c r="H2927" s="3"/>
      <c r="I2927" s="3">
        <v>12</v>
      </c>
      <c r="J2927" s="3">
        <v>14</v>
      </c>
      <c r="K2927" s="628">
        <f t="shared" si="134"/>
        <v>52</v>
      </c>
      <c r="L2927" s="630">
        <f t="shared" si="135"/>
        <v>13</v>
      </c>
    </row>
    <row r="2928" spans="3:12" x14ac:dyDescent="0.2">
      <c r="C2928" s="589" t="s">
        <v>904</v>
      </c>
      <c r="D2928" s="590" t="s">
        <v>393</v>
      </c>
      <c r="E2928" s="591">
        <f>(F2928+G2928+H2928+J2928)*112.7+(I2928*119.6)</f>
        <v>3183.2000000000003</v>
      </c>
      <c r="F2928" s="3">
        <v>8</v>
      </c>
      <c r="G2928" s="3">
        <v>4</v>
      </c>
      <c r="H2928" s="3">
        <v>4</v>
      </c>
      <c r="I2928" s="3">
        <v>4</v>
      </c>
      <c r="J2928" s="3">
        <v>8</v>
      </c>
      <c r="K2928" s="628">
        <f t="shared" si="134"/>
        <v>28</v>
      </c>
      <c r="L2928" s="630">
        <f t="shared" si="135"/>
        <v>7</v>
      </c>
    </row>
    <row r="2929" spans="3:12" x14ac:dyDescent="0.2">
      <c r="C2929" s="589" t="s">
        <v>903</v>
      </c>
      <c r="D2929" s="590" t="s">
        <v>216</v>
      </c>
      <c r="E2929" s="591">
        <f>(F2929+G2929+H2929+J2929)*112.7+(I2929*119.6)</f>
        <v>3661.6000000000004</v>
      </c>
      <c r="F2929" s="3">
        <v>8</v>
      </c>
      <c r="G2929" s="3">
        <v>8</v>
      </c>
      <c r="H2929" s="3"/>
      <c r="I2929" s="3">
        <v>8</v>
      </c>
      <c r="J2929" s="3">
        <v>8</v>
      </c>
      <c r="K2929" s="628">
        <f t="shared" si="134"/>
        <v>32</v>
      </c>
      <c r="L2929" s="630">
        <f t="shared" si="135"/>
        <v>8</v>
      </c>
    </row>
    <row r="2930" spans="3:12" x14ac:dyDescent="0.2">
      <c r="C2930" s="589"/>
      <c r="D2930" s="590"/>
      <c r="E2930" s="591"/>
      <c r="F2930" s="3"/>
      <c r="G2930" s="3"/>
      <c r="H2930" s="3"/>
      <c r="I2930" s="3"/>
      <c r="J2930" s="3"/>
      <c r="K2930" s="628">
        <f t="shared" si="134"/>
        <v>0</v>
      </c>
      <c r="L2930" s="630">
        <f t="shared" si="135"/>
        <v>0</v>
      </c>
    </row>
    <row r="2931" spans="3:12" x14ac:dyDescent="0.2">
      <c r="C2931" s="589"/>
      <c r="D2931" s="590" t="s">
        <v>394</v>
      </c>
      <c r="E2931" s="591">
        <f>(F2931+G2931+H2931+I2931+J2931)*120</f>
        <v>0</v>
      </c>
      <c r="F2931" s="3"/>
      <c r="G2931" s="3"/>
      <c r="H2931" s="3"/>
      <c r="I2931" s="3"/>
      <c r="J2931" s="3"/>
      <c r="K2931" s="628">
        <f t="shared" si="134"/>
        <v>0</v>
      </c>
      <c r="L2931" s="630">
        <f t="shared" si="135"/>
        <v>0</v>
      </c>
    </row>
    <row r="2932" spans="3:12" x14ac:dyDescent="0.2">
      <c r="C2932" s="589" t="s">
        <v>906</v>
      </c>
      <c r="D2932" s="590" t="s">
        <v>110</v>
      </c>
      <c r="E2932" s="591">
        <f>(F2932+G2932+H2932+J2932)*112.7+(I2932*119.6)</f>
        <v>11408</v>
      </c>
      <c r="F2932" s="3">
        <v>40</v>
      </c>
      <c r="G2932" s="3">
        <v>20</v>
      </c>
      <c r="H2932" s="3"/>
      <c r="I2932" s="3">
        <v>20</v>
      </c>
      <c r="J2932" s="3">
        <v>20</v>
      </c>
      <c r="K2932" s="628">
        <f t="shared" si="134"/>
        <v>100</v>
      </c>
      <c r="L2932" s="630">
        <f t="shared" si="135"/>
        <v>25</v>
      </c>
    </row>
    <row r="2933" spans="3:12" x14ac:dyDescent="0.2">
      <c r="C2933" s="589"/>
      <c r="D2933" s="590"/>
      <c r="E2933" s="591"/>
      <c r="F2933" s="3"/>
      <c r="G2933" s="3"/>
      <c r="H2933" s="3"/>
      <c r="I2933" s="3"/>
      <c r="J2933" s="3"/>
      <c r="K2933" s="628">
        <f t="shared" si="134"/>
        <v>0</v>
      </c>
      <c r="L2933" s="630">
        <f t="shared" si="135"/>
        <v>0</v>
      </c>
    </row>
    <row r="2934" spans="3:12" x14ac:dyDescent="0.2">
      <c r="C2934" s="589"/>
      <c r="D2934" s="590" t="s">
        <v>381</v>
      </c>
      <c r="E2934" s="591">
        <f>(F2934+G2934+H2934+I2934+J2934)*120+(240*0)+(0*45)</f>
        <v>0</v>
      </c>
      <c r="F2934" s="3"/>
      <c r="G2934" s="3"/>
      <c r="H2934" s="3"/>
      <c r="I2934" s="3"/>
      <c r="J2934" s="3"/>
      <c r="K2934" s="628">
        <f t="shared" si="134"/>
        <v>0</v>
      </c>
      <c r="L2934" s="630">
        <f t="shared" si="135"/>
        <v>0</v>
      </c>
    </row>
    <row r="2935" spans="3:12" x14ac:dyDescent="0.2">
      <c r="C2935" s="589"/>
      <c r="D2935" s="590" t="s">
        <v>276</v>
      </c>
      <c r="E2935" s="591">
        <f>(F2935+G2935+H2935+J2935)*112.7+(I2935*119.6)</f>
        <v>0</v>
      </c>
      <c r="F2935" s="3"/>
      <c r="G2935" s="3"/>
      <c r="H2935" s="3"/>
      <c r="I2935" s="3"/>
      <c r="J2935" s="3"/>
      <c r="K2935" s="628">
        <f t="shared" si="134"/>
        <v>0</v>
      </c>
      <c r="L2935" s="630">
        <f t="shared" si="135"/>
        <v>0</v>
      </c>
    </row>
    <row r="2936" spans="3:12" x14ac:dyDescent="0.2">
      <c r="C2936" s="589"/>
      <c r="D2936" s="590"/>
      <c r="E2936" s="591"/>
      <c r="F2936" s="3"/>
      <c r="G2936" s="3"/>
      <c r="H2936" s="3"/>
      <c r="I2936" s="3"/>
      <c r="J2936" s="3"/>
      <c r="K2936" s="628">
        <f t="shared" si="134"/>
        <v>0</v>
      </c>
      <c r="L2936" s="630">
        <f t="shared" si="135"/>
        <v>0</v>
      </c>
    </row>
    <row r="2937" spans="3:12" x14ac:dyDescent="0.2">
      <c r="C2937" s="589"/>
      <c r="D2937" s="590" t="s">
        <v>75</v>
      </c>
      <c r="E2937" s="591">
        <f>(F2937+G2937+H2937+I2937+J2937)*120</f>
        <v>0</v>
      </c>
      <c r="F2937" s="3"/>
      <c r="G2937" s="3"/>
      <c r="H2937" s="3"/>
      <c r="I2937" s="3"/>
      <c r="J2937" s="3"/>
      <c r="K2937" s="628">
        <f t="shared" si="134"/>
        <v>0</v>
      </c>
      <c r="L2937" s="630">
        <f t="shared" si="135"/>
        <v>0</v>
      </c>
    </row>
    <row r="2938" spans="3:12" x14ac:dyDescent="0.2">
      <c r="C2938" s="589"/>
      <c r="D2938" s="590" t="s">
        <v>278</v>
      </c>
      <c r="E2938" s="591">
        <f>(F2938+G2938+H2938+I2938+J2938)*120</f>
        <v>0</v>
      </c>
      <c r="F2938" s="3"/>
      <c r="G2938" s="3"/>
      <c r="H2938" s="3"/>
      <c r="I2938" s="3"/>
      <c r="J2938" s="3"/>
      <c r="K2938" s="628">
        <f t="shared" si="134"/>
        <v>0</v>
      </c>
      <c r="L2938" s="630">
        <f t="shared" si="135"/>
        <v>0</v>
      </c>
    </row>
    <row r="2939" spans="3:12" x14ac:dyDescent="0.2">
      <c r="C2939" s="589"/>
      <c r="D2939" s="590" t="s">
        <v>270</v>
      </c>
      <c r="E2939" s="591">
        <f>(F2939+G2939+H2939+I2939)*112.7+(J2939*119.6)</f>
        <v>0</v>
      </c>
      <c r="F2939" s="3"/>
      <c r="G2939" s="3"/>
      <c r="H2939" s="3"/>
      <c r="I2939" s="3"/>
      <c r="J2939" s="3"/>
      <c r="K2939" s="628">
        <f t="shared" si="134"/>
        <v>0</v>
      </c>
      <c r="L2939" s="630">
        <f t="shared" si="135"/>
        <v>0</v>
      </c>
    </row>
    <row r="2940" spans="3:12" x14ac:dyDescent="0.2">
      <c r="C2940" s="589"/>
      <c r="D2940" s="590" t="s">
        <v>274</v>
      </c>
      <c r="E2940" s="591">
        <f>(F2940+G2940+H2940+I2940)*112.7+(J2940*119.6)</f>
        <v>0</v>
      </c>
      <c r="F2940" s="3"/>
      <c r="G2940" s="3"/>
      <c r="H2940" s="3"/>
      <c r="I2940" s="3"/>
      <c r="J2940" s="3"/>
      <c r="K2940" s="628">
        <f t="shared" si="134"/>
        <v>0</v>
      </c>
      <c r="L2940" s="630">
        <f t="shared" si="135"/>
        <v>0</v>
      </c>
    </row>
    <row r="2941" spans="3:12" x14ac:dyDescent="0.2">
      <c r="C2941" s="589"/>
      <c r="D2941" s="590" t="s">
        <v>395</v>
      </c>
      <c r="E2941" s="591">
        <f>(F2941+G2941+H2941+I2941)*112.7+(J2941*119.6)</f>
        <v>0</v>
      </c>
      <c r="F2941" s="3"/>
      <c r="G2941" s="3"/>
      <c r="H2941" s="3"/>
      <c r="I2941" s="3"/>
      <c r="J2941" s="3"/>
      <c r="K2941" s="628">
        <f t="shared" si="134"/>
        <v>0</v>
      </c>
      <c r="L2941" s="630">
        <f t="shared" si="135"/>
        <v>0</v>
      </c>
    </row>
    <row r="2942" spans="3:12" x14ac:dyDescent="0.2">
      <c r="C2942" s="683"/>
      <c r="D2942" s="590" t="s">
        <v>112</v>
      </c>
      <c r="E2942" s="591">
        <f>(F2942+G2942+H2942+I2942)*112.7+(J2942*119.6)</f>
        <v>0</v>
      </c>
      <c r="F2942" s="3"/>
      <c r="G2942" s="3"/>
      <c r="H2942" s="3"/>
      <c r="I2942" s="3"/>
      <c r="J2942" s="3"/>
      <c r="K2942" s="628">
        <f t="shared" si="134"/>
        <v>0</v>
      </c>
      <c r="L2942" s="630">
        <f t="shared" si="135"/>
        <v>0</v>
      </c>
    </row>
    <row r="2943" spans="3:12" x14ac:dyDescent="0.2">
      <c r="C2943" s="683"/>
      <c r="D2943" s="590" t="s">
        <v>72</v>
      </c>
      <c r="E2943" s="591">
        <f>(F2943+G2943+H2943+I2943)*112.7+(J2943*119.6)</f>
        <v>0</v>
      </c>
      <c r="F2943" s="3"/>
      <c r="G2943" s="3"/>
      <c r="H2943" s="3"/>
      <c r="I2943" s="3"/>
      <c r="J2943" s="3"/>
      <c r="K2943" s="628">
        <f t="shared" si="134"/>
        <v>0</v>
      </c>
      <c r="L2943" s="630">
        <f t="shared" si="135"/>
        <v>0</v>
      </c>
    </row>
    <row r="2944" spans="3:12" x14ac:dyDescent="0.2">
      <c r="C2944" s="683"/>
      <c r="D2944" s="590" t="s">
        <v>187</v>
      </c>
      <c r="E2944" s="591"/>
      <c r="F2944" s="3">
        <v>2</v>
      </c>
      <c r="G2944" s="3">
        <v>1</v>
      </c>
      <c r="H2944" s="3"/>
      <c r="I2944" s="3">
        <v>3</v>
      </c>
      <c r="J2944" s="3">
        <v>8</v>
      </c>
      <c r="K2944" s="628">
        <f>SUM(F2944:J2944)</f>
        <v>14</v>
      </c>
      <c r="L2944" s="3"/>
    </row>
    <row r="2945" spans="3:12" ht="16" x14ac:dyDescent="0.2">
      <c r="C2945" s="683"/>
      <c r="D2945" s="590" t="s">
        <v>647</v>
      </c>
      <c r="E2945" s="592"/>
      <c r="F2945" s="3"/>
      <c r="G2945" s="3"/>
      <c r="H2945" s="3">
        <v>7</v>
      </c>
      <c r="I2945" s="3"/>
      <c r="J2945" s="3"/>
      <c r="K2945" s="628">
        <f>SUM(F2945:J2945)</f>
        <v>7</v>
      </c>
      <c r="L2945" s="3"/>
    </row>
    <row r="2946" spans="3:12" ht="17" thickBot="1" x14ac:dyDescent="0.25">
      <c r="C2946" s="683"/>
      <c r="D2946" s="590"/>
      <c r="E2946" s="624"/>
      <c r="F2946" s="69"/>
      <c r="G2946" s="69"/>
      <c r="H2946" s="69"/>
      <c r="I2946" s="69"/>
      <c r="J2946" s="69"/>
      <c r="K2946" s="629"/>
      <c r="L2946" s="3"/>
    </row>
    <row r="2947" spans="3:12" ht="16" thickBot="1" x14ac:dyDescent="0.25">
      <c r="C2947" s="596"/>
      <c r="D2947" s="623" t="s">
        <v>19</v>
      </c>
      <c r="E2947" s="625">
        <f>SUM(E2921:E2944)</f>
        <v>34576</v>
      </c>
      <c r="F2947" s="614">
        <f>SUM(F2921:F2946)</f>
        <v>101</v>
      </c>
      <c r="G2947" s="614">
        <f>SUM(G2921:G2946)</f>
        <v>58</v>
      </c>
      <c r="H2947" s="614">
        <f>SUM(H2921:H2946)</f>
        <v>28</v>
      </c>
      <c r="I2947" s="614">
        <f>SUM(I2921:I2946)</f>
        <v>57</v>
      </c>
      <c r="J2947" s="614">
        <f>SUM(J2921:J2946)</f>
        <v>85</v>
      </c>
      <c r="K2947" s="626">
        <f>SUM(F2947:J2947)</f>
        <v>329</v>
      </c>
      <c r="L2947" s="631">
        <f>SUM(L2921:L2946)</f>
        <v>77</v>
      </c>
    </row>
    <row r="2948" spans="3:12" x14ac:dyDescent="0.2">
      <c r="C2948" s="596"/>
      <c r="D2948" s="593" t="s">
        <v>113</v>
      </c>
      <c r="E2948" s="620"/>
      <c r="F2948" s="610">
        <f>F2918-F2947</f>
        <v>0</v>
      </c>
      <c r="G2948" s="610">
        <f>G2918-G2947</f>
        <v>0</v>
      </c>
      <c r="H2948" s="610">
        <f>H2918-H2947</f>
        <v>0</v>
      </c>
      <c r="I2948" s="610">
        <f>I2918-I2947</f>
        <v>0</v>
      </c>
      <c r="J2948" s="610">
        <f>J2918-J2947</f>
        <v>0</v>
      </c>
      <c r="K2948" s="636">
        <f>SUM(F2948:J2948)</f>
        <v>0</v>
      </c>
      <c r="L2948" s="3"/>
    </row>
    <row r="2949" spans="3:12" x14ac:dyDescent="0.2">
      <c r="C2949" s="683"/>
      <c r="D2949" s="593" t="s">
        <v>436</v>
      </c>
      <c r="E2949" s="594"/>
      <c r="F2949" s="581"/>
      <c r="G2949" s="581"/>
      <c r="H2949" s="581"/>
      <c r="I2949" s="581"/>
      <c r="J2949" s="581"/>
      <c r="K2949" s="637">
        <f>K2947+K2948</f>
        <v>329</v>
      </c>
      <c r="L2949" s="3"/>
    </row>
    <row r="2951" spans="3:12" ht="18" x14ac:dyDescent="0.2">
      <c r="C2951" s="685" t="s">
        <v>412</v>
      </c>
      <c r="D2951" s="582">
        <v>45746</v>
      </c>
      <c r="E2951" s="800"/>
      <c r="F2951" s="685" t="s">
        <v>83</v>
      </c>
      <c r="G2951" s="801" t="s">
        <v>69</v>
      </c>
      <c r="H2951" s="802"/>
      <c r="I2951" s="802"/>
      <c r="J2951" s="802"/>
      <c r="K2951" s="803"/>
    </row>
    <row r="2952" spans="3:12" x14ac:dyDescent="0.2">
      <c r="C2952" s="804"/>
      <c r="D2952" s="805"/>
      <c r="E2952" s="800"/>
      <c r="F2952" s="683" t="s">
        <v>93</v>
      </c>
      <c r="G2952" s="683" t="s">
        <v>93</v>
      </c>
      <c r="H2952" s="683"/>
      <c r="I2952" s="806"/>
      <c r="J2952" s="806"/>
      <c r="K2952" s="806"/>
    </row>
    <row r="2953" spans="3:12" x14ac:dyDescent="0.2">
      <c r="C2953" s="804"/>
      <c r="D2953" s="805"/>
      <c r="E2953" s="800"/>
      <c r="F2953" s="683" t="s">
        <v>94</v>
      </c>
      <c r="G2953" s="683" t="s">
        <v>95</v>
      </c>
      <c r="H2953" s="683" t="s">
        <v>96</v>
      </c>
      <c r="I2953" s="806"/>
      <c r="J2953" s="806"/>
      <c r="K2953" s="806"/>
    </row>
    <row r="2954" spans="3:12" x14ac:dyDescent="0.2">
      <c r="C2954" s="804"/>
      <c r="D2954" s="805"/>
      <c r="E2954" s="800"/>
      <c r="F2954" s="683"/>
      <c r="G2954" s="683"/>
      <c r="H2954" s="683"/>
      <c r="I2954" s="806"/>
      <c r="J2954" s="806"/>
      <c r="K2954" s="806"/>
    </row>
    <row r="2955" spans="3:12" ht="16" x14ac:dyDescent="0.2">
      <c r="C2955" s="683"/>
      <c r="D2955" s="583" t="s">
        <v>97</v>
      </c>
      <c r="E2955" s="584"/>
      <c r="F2955" s="581"/>
      <c r="G2955" s="585"/>
      <c r="H2955" s="585"/>
      <c r="I2955" s="586"/>
      <c r="J2955" s="586"/>
      <c r="K2955" s="586"/>
    </row>
    <row r="2956" spans="3:12" ht="26" x14ac:dyDescent="0.2">
      <c r="C2956" s="804"/>
      <c r="D2956" s="587"/>
      <c r="E2956" s="588"/>
      <c r="F2956" s="585" t="s">
        <v>383</v>
      </c>
      <c r="G2956" s="585" t="s">
        <v>384</v>
      </c>
      <c r="H2956" s="585" t="s">
        <v>385</v>
      </c>
      <c r="I2956" s="585" t="s">
        <v>386</v>
      </c>
      <c r="J2956" s="585" t="s">
        <v>387</v>
      </c>
      <c r="K2956" s="585" t="s">
        <v>84</v>
      </c>
    </row>
    <row r="2957" spans="3:12" x14ac:dyDescent="0.2">
      <c r="C2957" s="804"/>
      <c r="D2957" s="684" t="s">
        <v>167</v>
      </c>
      <c r="E2957" s="588"/>
      <c r="F2957" s="580">
        <v>9</v>
      </c>
      <c r="G2957" s="579">
        <v>3</v>
      </c>
      <c r="H2957" s="580">
        <v>1</v>
      </c>
      <c r="I2957" s="580">
        <v>2</v>
      </c>
      <c r="J2957" s="580"/>
      <c r="K2957" s="580">
        <f>SUM(F2957:J2957)</f>
        <v>15</v>
      </c>
    </row>
    <row r="2958" spans="3:12" x14ac:dyDescent="0.2">
      <c r="C2958" s="804"/>
      <c r="D2958" s="684" t="s">
        <v>207</v>
      </c>
      <c r="E2958" s="588"/>
      <c r="F2958" s="618">
        <v>63</v>
      </c>
      <c r="G2958" s="619">
        <v>21</v>
      </c>
      <c r="H2958" s="618">
        <v>7</v>
      </c>
      <c r="I2958" s="618">
        <v>22</v>
      </c>
      <c r="J2958" s="618"/>
      <c r="K2958" s="618">
        <f>SUM(F2958:J2958)</f>
        <v>113</v>
      </c>
    </row>
    <row r="2959" spans="3:12" x14ac:dyDescent="0.2">
      <c r="C2959" s="683"/>
      <c r="D2959" s="684" t="s">
        <v>100</v>
      </c>
      <c r="E2959" s="588"/>
      <c r="F2959" s="581"/>
      <c r="G2959" s="581"/>
      <c r="H2959" s="581"/>
      <c r="I2959" s="581"/>
      <c r="J2959" s="581"/>
      <c r="K2959" s="581">
        <f>SUM(F2959:J2959)</f>
        <v>0</v>
      </c>
    </row>
    <row r="2960" spans="3:12" x14ac:dyDescent="0.2">
      <c r="C2960" s="683"/>
      <c r="D2960" s="684" t="s">
        <v>101</v>
      </c>
      <c r="E2960" s="588"/>
      <c r="F2960" s="581">
        <v>5</v>
      </c>
      <c r="G2960" s="581">
        <v>2</v>
      </c>
      <c r="H2960" s="581"/>
      <c r="I2960" s="581"/>
      <c r="J2960" s="581"/>
      <c r="K2960" s="581">
        <f>SUM(F2960:J2960)</f>
        <v>7</v>
      </c>
    </row>
    <row r="2961" spans="3:12" ht="16" thickBot="1" x14ac:dyDescent="0.25">
      <c r="C2961" s="683"/>
      <c r="D2961" s="597" t="s">
        <v>102</v>
      </c>
      <c r="E2961" s="598"/>
      <c r="F2961" s="599"/>
      <c r="G2961" s="600"/>
      <c r="H2961" s="600"/>
      <c r="I2961" s="600">
        <v>2</v>
      </c>
      <c r="J2961" s="600"/>
      <c r="K2961" s="600">
        <f>SUM(F2961:J2961)</f>
        <v>2</v>
      </c>
    </row>
    <row r="2962" spans="3:12" ht="17" thickBot="1" x14ac:dyDescent="0.25">
      <c r="C2962" s="605"/>
      <c r="D2962" s="612" t="s">
        <v>84</v>
      </c>
      <c r="E2962" s="613"/>
      <c r="F2962" s="614">
        <f>(F2958+F2961)-F2960-F2959</f>
        <v>58</v>
      </c>
      <c r="G2962" s="615">
        <f>(G2958+G2961)-G2960-G2959</f>
        <v>19</v>
      </c>
      <c r="H2962" s="616">
        <f>(H2958+H2961)-H2960</f>
        <v>7</v>
      </c>
      <c r="I2962" s="615">
        <f>(I2958+I2961)-I2960-I2959</f>
        <v>24</v>
      </c>
      <c r="J2962" s="622">
        <f>(J2958+J2961)-J2960-J2959</f>
        <v>0</v>
      </c>
      <c r="K2962" s="617">
        <f>(K2958+K2961)-K2960-K2959</f>
        <v>108</v>
      </c>
    </row>
    <row r="2963" spans="3:12" ht="16" x14ac:dyDescent="0.2">
      <c r="C2963" s="683"/>
      <c r="D2963" s="608"/>
      <c r="E2963" s="609"/>
      <c r="F2963" s="610"/>
      <c r="G2963" s="595"/>
      <c r="H2963" s="611"/>
      <c r="I2963" s="595"/>
      <c r="J2963" s="595"/>
      <c r="K2963" s="595"/>
    </row>
    <row r="2964" spans="3:12" ht="16" thickBot="1" x14ac:dyDescent="0.25">
      <c r="C2964" s="606" t="s">
        <v>388</v>
      </c>
      <c r="D2964" s="607" t="s">
        <v>103</v>
      </c>
      <c r="E2964" s="603" t="s">
        <v>84</v>
      </c>
      <c r="F2964" s="602" t="s">
        <v>78</v>
      </c>
      <c r="G2964" s="602" t="s">
        <v>79</v>
      </c>
      <c r="H2964" s="602" t="s">
        <v>81</v>
      </c>
      <c r="I2964" s="601" t="s">
        <v>316</v>
      </c>
      <c r="J2964" s="601" t="s">
        <v>85</v>
      </c>
      <c r="K2964" s="601" t="s">
        <v>84</v>
      </c>
      <c r="L2964" s="174" t="s">
        <v>389</v>
      </c>
    </row>
    <row r="2965" spans="3:12" x14ac:dyDescent="0.2">
      <c r="C2965" s="589" t="s">
        <v>719</v>
      </c>
      <c r="D2965" s="604" t="s">
        <v>105</v>
      </c>
      <c r="E2965" s="591">
        <f>(F2965+G2965+H2965+I2965+J2965)*100+(0*230)</f>
        <v>3400</v>
      </c>
      <c r="F2965" s="3">
        <v>9</v>
      </c>
      <c r="G2965" s="3">
        <v>6</v>
      </c>
      <c r="H2965" s="3">
        <v>7</v>
      </c>
      <c r="I2965" s="3">
        <v>12</v>
      </c>
      <c r="J2965" s="3"/>
      <c r="K2965" s="628">
        <f t="shared" ref="K2965:K2987" si="136">SUM(F2965:J2965)</f>
        <v>34</v>
      </c>
      <c r="L2965" s="630">
        <f>K2965/4</f>
        <v>8.5</v>
      </c>
    </row>
    <row r="2966" spans="3:12" x14ac:dyDescent="0.2">
      <c r="C2966" s="589"/>
      <c r="D2966" s="590" t="s">
        <v>390</v>
      </c>
      <c r="E2966" s="591">
        <f>(F2966+G2966+H2966+I2966+J2966)*120</f>
        <v>0</v>
      </c>
      <c r="F2966" s="3"/>
      <c r="G2966" s="3"/>
      <c r="H2966" s="3"/>
      <c r="I2966" s="3"/>
      <c r="J2966" s="3"/>
      <c r="K2966" s="628">
        <f t="shared" si="136"/>
        <v>0</v>
      </c>
      <c r="L2966" s="630">
        <f t="shared" ref="L2966:L2987" si="137">K2966/4</f>
        <v>0</v>
      </c>
    </row>
    <row r="2967" spans="3:12" x14ac:dyDescent="0.2">
      <c r="C2967" s="589"/>
      <c r="D2967" s="590" t="s">
        <v>391</v>
      </c>
      <c r="E2967" s="591">
        <f>(F2967+G2967+H2967+I2967+J2967)*120</f>
        <v>0</v>
      </c>
      <c r="F2967" s="3"/>
      <c r="G2967" s="3"/>
      <c r="H2967" s="3"/>
      <c r="I2967" s="3"/>
      <c r="J2967" s="3"/>
      <c r="K2967" s="628">
        <f t="shared" si="136"/>
        <v>0</v>
      </c>
      <c r="L2967" s="630">
        <f t="shared" si="137"/>
        <v>0</v>
      </c>
    </row>
    <row r="2968" spans="3:12" x14ac:dyDescent="0.2">
      <c r="C2968" s="589"/>
      <c r="D2968" s="590" t="s">
        <v>392</v>
      </c>
      <c r="E2968" s="591">
        <f>(F2968+G2968+H2968+I2968+J2968)*120</f>
        <v>0</v>
      </c>
      <c r="F2968" s="3"/>
      <c r="G2968" s="3"/>
      <c r="H2968" s="3"/>
      <c r="I2968" s="3"/>
      <c r="J2968" s="3"/>
      <c r="K2968" s="628">
        <f t="shared" si="136"/>
        <v>0</v>
      </c>
      <c r="L2968" s="630">
        <f t="shared" si="137"/>
        <v>0</v>
      </c>
    </row>
    <row r="2969" spans="3:12" x14ac:dyDescent="0.2">
      <c r="C2969" s="589"/>
      <c r="D2969" s="590" t="s">
        <v>425</v>
      </c>
      <c r="E2969" s="591">
        <f>(F2969+G2969+H2969+I2969+J2969)*120</f>
        <v>0</v>
      </c>
      <c r="F2969" s="3"/>
      <c r="G2969" s="3"/>
      <c r="H2969" s="3"/>
      <c r="I2969" s="3"/>
      <c r="J2969" s="3"/>
      <c r="K2969" s="628">
        <f t="shared" si="136"/>
        <v>0</v>
      </c>
      <c r="L2969" s="630">
        <f t="shared" si="137"/>
        <v>0</v>
      </c>
    </row>
    <row r="2970" spans="3:12" x14ac:dyDescent="0.2">
      <c r="C2970" s="589"/>
      <c r="D2970" s="590"/>
      <c r="E2970" s="591"/>
      <c r="F2970" s="3"/>
      <c r="G2970" s="3"/>
      <c r="H2970" s="3"/>
      <c r="I2970" s="3"/>
      <c r="J2970" s="3"/>
      <c r="K2970" s="628">
        <f t="shared" si="136"/>
        <v>0</v>
      </c>
      <c r="L2970" s="630">
        <f t="shared" si="137"/>
        <v>0</v>
      </c>
    </row>
    <row r="2971" spans="3:12" x14ac:dyDescent="0.2">
      <c r="C2971" s="589"/>
      <c r="D2971" s="590" t="s">
        <v>108</v>
      </c>
      <c r="E2971" s="591">
        <f>(F2971+G2971+H2971+J2971)*112.7+(I2971*119.6)</f>
        <v>0</v>
      </c>
      <c r="F2971" s="3"/>
      <c r="G2971" s="3"/>
      <c r="H2971" s="3"/>
      <c r="I2971" s="3"/>
      <c r="J2971" s="3"/>
      <c r="K2971" s="628">
        <f t="shared" si="136"/>
        <v>0</v>
      </c>
      <c r="L2971" s="630">
        <f t="shared" si="137"/>
        <v>0</v>
      </c>
    </row>
    <row r="2972" spans="3:12" x14ac:dyDescent="0.2">
      <c r="C2972" s="589"/>
      <c r="D2972" s="590" t="s">
        <v>393</v>
      </c>
      <c r="E2972" s="591">
        <f>(F2972+G2972+H2972+J2972)*112.7+(I2972*119.6)</f>
        <v>0</v>
      </c>
      <c r="F2972" s="3"/>
      <c r="G2972" s="3"/>
      <c r="H2972" s="3"/>
      <c r="I2972" s="3"/>
      <c r="J2972" s="3"/>
      <c r="K2972" s="628">
        <f t="shared" si="136"/>
        <v>0</v>
      </c>
      <c r="L2972" s="630">
        <f t="shared" si="137"/>
        <v>0</v>
      </c>
    </row>
    <row r="2973" spans="3:12" x14ac:dyDescent="0.2">
      <c r="C2973" s="589"/>
      <c r="D2973" s="590" t="s">
        <v>216</v>
      </c>
      <c r="E2973" s="591">
        <f>(F2973+G2973+H2973+J2973)*112.7+(I2973*119.6)</f>
        <v>0</v>
      </c>
      <c r="F2973" s="3"/>
      <c r="G2973" s="3"/>
      <c r="H2973" s="3"/>
      <c r="I2973" s="3"/>
      <c r="J2973" s="3"/>
      <c r="K2973" s="628">
        <f t="shared" si="136"/>
        <v>0</v>
      </c>
      <c r="L2973" s="630">
        <f t="shared" si="137"/>
        <v>0</v>
      </c>
    </row>
    <row r="2974" spans="3:12" x14ac:dyDescent="0.2">
      <c r="C2974" s="589"/>
      <c r="D2974" s="590"/>
      <c r="E2974" s="591"/>
      <c r="F2974" s="3"/>
      <c r="G2974" s="3"/>
      <c r="H2974" s="3"/>
      <c r="I2974" s="3"/>
      <c r="J2974" s="3"/>
      <c r="K2974" s="628">
        <f t="shared" si="136"/>
        <v>0</v>
      </c>
      <c r="L2974" s="630">
        <f t="shared" si="137"/>
        <v>0</v>
      </c>
    </row>
    <row r="2975" spans="3:12" x14ac:dyDescent="0.2">
      <c r="C2975" s="589"/>
      <c r="D2975" s="590" t="s">
        <v>394</v>
      </c>
      <c r="E2975" s="591">
        <f>(F2975+G2975+H2975+I2975+J2975)*120</f>
        <v>0</v>
      </c>
      <c r="F2975" s="3"/>
      <c r="G2975" s="3"/>
      <c r="H2975" s="3"/>
      <c r="I2975" s="3"/>
      <c r="J2975" s="3"/>
      <c r="K2975" s="628">
        <f t="shared" si="136"/>
        <v>0</v>
      </c>
      <c r="L2975" s="630">
        <f t="shared" si="137"/>
        <v>0</v>
      </c>
    </row>
    <row r="2976" spans="3:12" x14ac:dyDescent="0.2">
      <c r="C2976" s="589" t="s">
        <v>910</v>
      </c>
      <c r="D2976" s="590" t="s">
        <v>110</v>
      </c>
      <c r="E2976" s="591">
        <f>(F2976+G2976+H2976+J2976)*112.7+(I2976*119.6)</f>
        <v>8197.2000000000007</v>
      </c>
      <c r="F2976" s="3">
        <v>48</v>
      </c>
      <c r="G2976" s="3">
        <v>12</v>
      </c>
      <c r="H2976" s="3"/>
      <c r="I2976" s="3">
        <v>12</v>
      </c>
      <c r="J2976" s="3"/>
      <c r="K2976" s="628">
        <f t="shared" si="136"/>
        <v>72</v>
      </c>
      <c r="L2976" s="630">
        <f t="shared" si="137"/>
        <v>18</v>
      </c>
    </row>
    <row r="2977" spans="3:12" x14ac:dyDescent="0.2">
      <c r="C2977" s="589"/>
      <c r="D2977" s="590"/>
      <c r="E2977" s="591"/>
      <c r="F2977" s="3"/>
      <c r="G2977" s="3"/>
      <c r="H2977" s="3"/>
      <c r="I2977" s="3"/>
      <c r="J2977" s="3"/>
      <c r="K2977" s="628">
        <f t="shared" si="136"/>
        <v>0</v>
      </c>
      <c r="L2977" s="630">
        <f t="shared" si="137"/>
        <v>0</v>
      </c>
    </row>
    <row r="2978" spans="3:12" x14ac:dyDescent="0.2">
      <c r="C2978" s="589"/>
      <c r="D2978" s="590" t="s">
        <v>381</v>
      </c>
      <c r="E2978" s="591">
        <f>(F2978+G2978+H2978+I2978+J2978)*120+(240*0)+(0*45)</f>
        <v>0</v>
      </c>
      <c r="F2978" s="3"/>
      <c r="G2978" s="3"/>
      <c r="H2978" s="3"/>
      <c r="I2978" s="3"/>
      <c r="J2978" s="3"/>
      <c r="K2978" s="628">
        <f t="shared" si="136"/>
        <v>0</v>
      </c>
      <c r="L2978" s="630">
        <f t="shared" si="137"/>
        <v>0</v>
      </c>
    </row>
    <row r="2979" spans="3:12" x14ac:dyDescent="0.2">
      <c r="C2979" s="589"/>
      <c r="D2979" s="590" t="s">
        <v>276</v>
      </c>
      <c r="E2979" s="591">
        <f>(F2979+G2979+H2979+J2979)*112.7+(I2979*119.6)</f>
        <v>0</v>
      </c>
      <c r="F2979" s="3"/>
      <c r="G2979" s="3"/>
      <c r="H2979" s="3"/>
      <c r="I2979" s="3"/>
      <c r="J2979" s="3"/>
      <c r="K2979" s="628">
        <f t="shared" si="136"/>
        <v>0</v>
      </c>
      <c r="L2979" s="630">
        <f t="shared" si="137"/>
        <v>0</v>
      </c>
    </row>
    <row r="2980" spans="3:12" x14ac:dyDescent="0.2">
      <c r="C2980" s="589"/>
      <c r="D2980" s="590"/>
      <c r="E2980" s="591"/>
      <c r="F2980" s="3"/>
      <c r="G2980" s="3"/>
      <c r="H2980" s="3"/>
      <c r="I2980" s="3"/>
      <c r="J2980" s="3"/>
      <c r="K2980" s="628">
        <f t="shared" si="136"/>
        <v>0</v>
      </c>
      <c r="L2980" s="630">
        <f t="shared" si="137"/>
        <v>0</v>
      </c>
    </row>
    <row r="2981" spans="3:12" x14ac:dyDescent="0.2">
      <c r="C2981" s="589"/>
      <c r="D2981" s="590" t="s">
        <v>75</v>
      </c>
      <c r="E2981" s="591">
        <f>(F2981+G2981+H2981+I2981+J2981)*120</f>
        <v>0</v>
      </c>
      <c r="F2981" s="3"/>
      <c r="G2981" s="3"/>
      <c r="H2981" s="3"/>
      <c r="I2981" s="3"/>
      <c r="J2981" s="3"/>
      <c r="K2981" s="628">
        <f t="shared" si="136"/>
        <v>0</v>
      </c>
      <c r="L2981" s="630">
        <f t="shared" si="137"/>
        <v>0</v>
      </c>
    </row>
    <row r="2982" spans="3:12" x14ac:dyDescent="0.2">
      <c r="C2982" s="589"/>
      <c r="D2982" s="590" t="s">
        <v>278</v>
      </c>
      <c r="E2982" s="591">
        <f>(F2982+G2982+H2982+I2982+J2982)*120</f>
        <v>0</v>
      </c>
      <c r="F2982" s="3"/>
      <c r="G2982" s="3"/>
      <c r="H2982" s="3"/>
      <c r="I2982" s="3"/>
      <c r="J2982" s="3"/>
      <c r="K2982" s="628">
        <f t="shared" si="136"/>
        <v>0</v>
      </c>
      <c r="L2982" s="630">
        <f t="shared" si="137"/>
        <v>0</v>
      </c>
    </row>
    <row r="2983" spans="3:12" x14ac:dyDescent="0.2">
      <c r="C2983" s="589"/>
      <c r="D2983" s="590" t="s">
        <v>270</v>
      </c>
      <c r="E2983" s="591">
        <f>(F2983+G2983+H2983+I2983)*112.7+(J2983*119.6)</f>
        <v>0</v>
      </c>
      <c r="F2983" s="3"/>
      <c r="G2983" s="3"/>
      <c r="H2983" s="3"/>
      <c r="I2983" s="3"/>
      <c r="J2983" s="3"/>
      <c r="K2983" s="628">
        <f t="shared" si="136"/>
        <v>0</v>
      </c>
      <c r="L2983" s="630">
        <f t="shared" si="137"/>
        <v>0</v>
      </c>
    </row>
    <row r="2984" spans="3:12" x14ac:dyDescent="0.2">
      <c r="C2984" s="589"/>
      <c r="D2984" s="590" t="s">
        <v>274</v>
      </c>
      <c r="E2984" s="591">
        <f>(F2984+G2984+H2984+I2984)*112.7+(J2984*119.6)</f>
        <v>0</v>
      </c>
      <c r="F2984" s="3"/>
      <c r="G2984" s="3"/>
      <c r="H2984" s="3"/>
      <c r="I2984" s="3"/>
      <c r="J2984" s="3"/>
      <c r="K2984" s="628">
        <f t="shared" si="136"/>
        <v>0</v>
      </c>
      <c r="L2984" s="630">
        <f t="shared" si="137"/>
        <v>0</v>
      </c>
    </row>
    <row r="2985" spans="3:12" x14ac:dyDescent="0.2">
      <c r="C2985" s="589"/>
      <c r="D2985" s="590" t="s">
        <v>395</v>
      </c>
      <c r="E2985" s="591">
        <f>(F2985+G2985+H2985+I2985)*112.7+(J2985*119.6)</f>
        <v>0</v>
      </c>
      <c r="F2985" s="3"/>
      <c r="G2985" s="3"/>
      <c r="H2985" s="3"/>
      <c r="I2985" s="3"/>
      <c r="J2985" s="3"/>
      <c r="K2985" s="628">
        <f t="shared" si="136"/>
        <v>0</v>
      </c>
      <c r="L2985" s="630">
        <f t="shared" si="137"/>
        <v>0</v>
      </c>
    </row>
    <row r="2986" spans="3:12" x14ac:dyDescent="0.2">
      <c r="C2986" s="683"/>
      <c r="D2986" s="590" t="s">
        <v>112</v>
      </c>
      <c r="E2986" s="591">
        <f>(F2986+G2986+H2986+I2986)*112.7+(J2986*119.6)</f>
        <v>0</v>
      </c>
      <c r="F2986" s="3"/>
      <c r="G2986" s="3"/>
      <c r="H2986" s="3"/>
      <c r="I2986" s="3"/>
      <c r="J2986" s="3"/>
      <c r="K2986" s="628">
        <f t="shared" si="136"/>
        <v>0</v>
      </c>
      <c r="L2986" s="630">
        <f t="shared" si="137"/>
        <v>0</v>
      </c>
    </row>
    <row r="2987" spans="3:12" x14ac:dyDescent="0.2">
      <c r="C2987" s="683"/>
      <c r="D2987" s="590" t="s">
        <v>72</v>
      </c>
      <c r="E2987" s="591">
        <f>(F2987+G2987+H2987+I2987)*112.7+(J2987*119.6)</f>
        <v>0</v>
      </c>
      <c r="F2987" s="3"/>
      <c r="G2987" s="3"/>
      <c r="H2987" s="3"/>
      <c r="I2987" s="3"/>
      <c r="J2987" s="3"/>
      <c r="K2987" s="628">
        <f t="shared" si="136"/>
        <v>0</v>
      </c>
      <c r="L2987" s="630">
        <f t="shared" si="137"/>
        <v>0</v>
      </c>
    </row>
    <row r="2988" spans="3:12" x14ac:dyDescent="0.2">
      <c r="C2988" s="683"/>
      <c r="D2988" s="590" t="s">
        <v>187</v>
      </c>
      <c r="E2988" s="591"/>
      <c r="F2988" s="3">
        <v>1</v>
      </c>
      <c r="G2988" s="3">
        <v>1</v>
      </c>
      <c r="H2988" s="3"/>
      <c r="I2988" s="3"/>
      <c r="J2988" s="3"/>
      <c r="K2988" s="628">
        <f>SUM(F2988:J2988)</f>
        <v>2</v>
      </c>
      <c r="L2988" s="3"/>
    </row>
    <row r="2989" spans="3:12" ht="16" x14ac:dyDescent="0.2">
      <c r="C2989" s="683"/>
      <c r="D2989" s="590"/>
      <c r="E2989" s="592"/>
      <c r="F2989" s="3"/>
      <c r="G2989" s="3"/>
      <c r="H2989" s="3"/>
      <c r="I2989" s="3"/>
      <c r="J2989" s="3"/>
      <c r="K2989" s="628">
        <f>SUM(F2989:J2989)</f>
        <v>0</v>
      </c>
      <c r="L2989" s="3"/>
    </row>
    <row r="2990" spans="3:12" ht="17" thickBot="1" x14ac:dyDescent="0.25">
      <c r="C2990" s="683"/>
      <c r="D2990" s="590"/>
      <c r="E2990" s="624"/>
      <c r="F2990" s="69"/>
      <c r="G2990" s="69"/>
      <c r="H2990" s="69"/>
      <c r="I2990" s="69"/>
      <c r="J2990" s="69"/>
      <c r="K2990" s="629"/>
      <c r="L2990" s="3"/>
    </row>
    <row r="2991" spans="3:12" ht="16" thickBot="1" x14ac:dyDescent="0.25">
      <c r="C2991" s="596"/>
      <c r="D2991" s="623" t="s">
        <v>19</v>
      </c>
      <c r="E2991" s="625">
        <f>SUM(E2965:E2988)</f>
        <v>11597.2</v>
      </c>
      <c r="F2991" s="614">
        <f>SUM(F2965:F2990)</f>
        <v>58</v>
      </c>
      <c r="G2991" s="614">
        <f>SUM(G2965:G2990)</f>
        <v>19</v>
      </c>
      <c r="H2991" s="614">
        <f>SUM(H2965:H2990)</f>
        <v>7</v>
      </c>
      <c r="I2991" s="614">
        <f>SUM(I2965:I2990)</f>
        <v>24</v>
      </c>
      <c r="J2991" s="614">
        <f>SUM(J2965:J2990)</f>
        <v>0</v>
      </c>
      <c r="K2991" s="626">
        <f>SUM(F2991:J2991)</f>
        <v>108</v>
      </c>
      <c r="L2991" s="631">
        <f>SUM(L2965:L2990)</f>
        <v>26.5</v>
      </c>
    </row>
    <row r="2992" spans="3:12" x14ac:dyDescent="0.2">
      <c r="C2992" s="596"/>
      <c r="D2992" s="593" t="s">
        <v>113</v>
      </c>
      <c r="E2992" s="620"/>
      <c r="F2992" s="610">
        <f>F2962-F2991</f>
        <v>0</v>
      </c>
      <c r="G2992" s="610">
        <f>G2962-G2991</f>
        <v>0</v>
      </c>
      <c r="H2992" s="610">
        <f>H2962-H2991</f>
        <v>0</v>
      </c>
      <c r="I2992" s="610">
        <f>I2962-I2991</f>
        <v>0</v>
      </c>
      <c r="J2992" s="610">
        <f>J2962-J2991</f>
        <v>0</v>
      </c>
      <c r="K2992" s="636">
        <f>SUM(F2992:J2992)</f>
        <v>0</v>
      </c>
      <c r="L2992" s="3"/>
    </row>
    <row r="2993" spans="3:12" x14ac:dyDescent="0.2">
      <c r="C2993" s="683"/>
      <c r="D2993" s="593" t="s">
        <v>436</v>
      </c>
      <c r="E2993" s="594"/>
      <c r="F2993" s="581"/>
      <c r="G2993" s="581"/>
      <c r="H2993" s="581"/>
      <c r="I2993" s="581"/>
      <c r="J2993" s="581"/>
      <c r="K2993" s="637">
        <f>K2991+K2992</f>
        <v>108</v>
      </c>
      <c r="L2993" s="3"/>
    </row>
    <row r="2995" spans="3:12" ht="18" x14ac:dyDescent="0.2">
      <c r="C2995" s="685" t="s">
        <v>412</v>
      </c>
      <c r="D2995" s="582">
        <v>45747</v>
      </c>
      <c r="E2995" s="800"/>
      <c r="F2995" s="685" t="s">
        <v>83</v>
      </c>
      <c r="G2995" s="801" t="s">
        <v>63</v>
      </c>
      <c r="H2995" s="802"/>
      <c r="I2995" s="802"/>
      <c r="J2995" s="802"/>
      <c r="K2995" s="803"/>
    </row>
    <row r="2996" spans="3:12" x14ac:dyDescent="0.2">
      <c r="C2996" s="804"/>
      <c r="D2996" s="805"/>
      <c r="E2996" s="800"/>
      <c r="F2996" s="683" t="s">
        <v>93</v>
      </c>
      <c r="G2996" s="683" t="s">
        <v>93</v>
      </c>
      <c r="H2996" s="683"/>
      <c r="I2996" s="806"/>
      <c r="J2996" s="806"/>
      <c r="K2996" s="806"/>
    </row>
    <row r="2997" spans="3:12" x14ac:dyDescent="0.2">
      <c r="C2997" s="804"/>
      <c r="D2997" s="805"/>
      <c r="E2997" s="800"/>
      <c r="F2997" s="683" t="s">
        <v>94</v>
      </c>
      <c r="G2997" s="683" t="s">
        <v>95</v>
      </c>
      <c r="H2997" s="683" t="s">
        <v>96</v>
      </c>
      <c r="I2997" s="806"/>
      <c r="J2997" s="806"/>
      <c r="K2997" s="806"/>
    </row>
    <row r="2998" spans="3:12" x14ac:dyDescent="0.2">
      <c r="C2998" s="804"/>
      <c r="D2998" s="805"/>
      <c r="E2998" s="800"/>
      <c r="F2998" s="683"/>
      <c r="G2998" s="683"/>
      <c r="H2998" s="683"/>
      <c r="I2998" s="806"/>
      <c r="J2998" s="806"/>
      <c r="K2998" s="806"/>
    </row>
    <row r="2999" spans="3:12" ht="16" x14ac:dyDescent="0.2">
      <c r="C2999" s="683"/>
      <c r="D2999" s="583" t="s">
        <v>97</v>
      </c>
      <c r="E2999" s="584"/>
      <c r="F2999" s="581"/>
      <c r="G2999" s="585"/>
      <c r="H2999" s="585"/>
      <c r="I2999" s="586"/>
      <c r="J2999" s="586"/>
      <c r="K2999" s="586"/>
    </row>
    <row r="3000" spans="3:12" ht="26" x14ac:dyDescent="0.2">
      <c r="C3000" s="804"/>
      <c r="D3000" s="587"/>
      <c r="E3000" s="588"/>
      <c r="F3000" s="585" t="s">
        <v>383</v>
      </c>
      <c r="G3000" s="585" t="s">
        <v>384</v>
      </c>
      <c r="H3000" s="585" t="s">
        <v>385</v>
      </c>
      <c r="I3000" s="585" t="s">
        <v>386</v>
      </c>
      <c r="J3000" s="585" t="s">
        <v>387</v>
      </c>
      <c r="K3000" s="585" t="s">
        <v>84</v>
      </c>
    </row>
    <row r="3001" spans="3:12" x14ac:dyDescent="0.2">
      <c r="C3001" s="804"/>
      <c r="D3001" s="684" t="s">
        <v>167</v>
      </c>
      <c r="E3001" s="588"/>
      <c r="F3001" s="580">
        <v>13</v>
      </c>
      <c r="G3001" s="579">
        <v>8</v>
      </c>
      <c r="H3001" s="580">
        <v>3</v>
      </c>
      <c r="I3001" s="580">
        <v>5</v>
      </c>
      <c r="J3001" s="580">
        <v>9</v>
      </c>
      <c r="K3001" s="580">
        <f>SUM(F3001:J3001)</f>
        <v>38</v>
      </c>
    </row>
    <row r="3002" spans="3:12" x14ac:dyDescent="0.2">
      <c r="C3002" s="804"/>
      <c r="D3002" s="684" t="s">
        <v>207</v>
      </c>
      <c r="E3002" s="588"/>
      <c r="F3002" s="618">
        <v>91</v>
      </c>
      <c r="G3002" s="619">
        <v>56</v>
      </c>
      <c r="H3002" s="618">
        <v>21</v>
      </c>
      <c r="I3002" s="618">
        <v>55</v>
      </c>
      <c r="J3002" s="618">
        <v>79</v>
      </c>
      <c r="K3002" s="618">
        <f>SUM(F3002:J3002)</f>
        <v>302</v>
      </c>
    </row>
    <row r="3003" spans="3:12" x14ac:dyDescent="0.2">
      <c r="C3003" s="683"/>
      <c r="D3003" s="684" t="s">
        <v>100</v>
      </c>
      <c r="E3003" s="588"/>
      <c r="F3003" s="581"/>
      <c r="G3003" s="581">
        <v>1</v>
      </c>
      <c r="H3003" s="581"/>
      <c r="I3003" s="581"/>
      <c r="J3003" s="581"/>
      <c r="K3003" s="581">
        <f>SUM(F3003:J3003)</f>
        <v>1</v>
      </c>
    </row>
    <row r="3004" spans="3:12" x14ac:dyDescent="0.2">
      <c r="C3004" s="683"/>
      <c r="D3004" s="684" t="s">
        <v>101</v>
      </c>
      <c r="E3004" s="588"/>
      <c r="F3004" s="581"/>
      <c r="G3004" s="581"/>
      <c r="H3004" s="581"/>
      <c r="I3004" s="581"/>
      <c r="J3004" s="581"/>
      <c r="K3004" s="581">
        <f>SUM(F3004:J3004)</f>
        <v>0</v>
      </c>
    </row>
    <row r="3005" spans="3:12" ht="16" thickBot="1" x14ac:dyDescent="0.25">
      <c r="C3005" s="683"/>
      <c r="D3005" s="597" t="s">
        <v>102</v>
      </c>
      <c r="E3005" s="598"/>
      <c r="F3005" s="599"/>
      <c r="G3005" s="600"/>
      <c r="H3005" s="600"/>
      <c r="I3005" s="600"/>
      <c r="J3005" s="600"/>
      <c r="K3005" s="600">
        <f>SUM(F3005:J3005)</f>
        <v>0</v>
      </c>
    </row>
    <row r="3006" spans="3:12" ht="17" thickBot="1" x14ac:dyDescent="0.25">
      <c r="C3006" s="605"/>
      <c r="D3006" s="612" t="s">
        <v>84</v>
      </c>
      <c r="E3006" s="613"/>
      <c r="F3006" s="614">
        <f>(F3002+F3005)-F3004-F3003</f>
        <v>91</v>
      </c>
      <c r="G3006" s="615">
        <f>(G3002+G3005)-G3004-G3003</f>
        <v>55</v>
      </c>
      <c r="H3006" s="616">
        <f>(H3002+H3005)-H3004</f>
        <v>21</v>
      </c>
      <c r="I3006" s="615">
        <f>(I3002+I3005)-I3004-I3003</f>
        <v>55</v>
      </c>
      <c r="J3006" s="622">
        <f>(J3002+J3005)-J3004-J3003</f>
        <v>79</v>
      </c>
      <c r="K3006" s="617">
        <f>(K3002+K3005)-K3004-K3003</f>
        <v>301</v>
      </c>
    </row>
    <row r="3007" spans="3:12" ht="16" x14ac:dyDescent="0.2">
      <c r="C3007" s="683"/>
      <c r="D3007" s="608"/>
      <c r="E3007" s="609"/>
      <c r="F3007" s="610"/>
      <c r="G3007" s="595"/>
      <c r="H3007" s="611"/>
      <c r="I3007" s="595"/>
      <c r="J3007" s="595"/>
      <c r="K3007" s="595"/>
    </row>
    <row r="3008" spans="3:12" ht="16" thickBot="1" x14ac:dyDescent="0.25">
      <c r="C3008" s="606" t="s">
        <v>388</v>
      </c>
      <c r="D3008" s="607" t="s">
        <v>103</v>
      </c>
      <c r="E3008" s="603" t="s">
        <v>84</v>
      </c>
      <c r="F3008" s="602" t="s">
        <v>78</v>
      </c>
      <c r="G3008" s="602" t="s">
        <v>79</v>
      </c>
      <c r="H3008" s="602" t="s">
        <v>81</v>
      </c>
      <c r="I3008" s="601" t="s">
        <v>316</v>
      </c>
      <c r="J3008" s="601" t="s">
        <v>85</v>
      </c>
      <c r="K3008" s="601" t="s">
        <v>84</v>
      </c>
      <c r="L3008" s="174" t="s">
        <v>389</v>
      </c>
    </row>
    <row r="3009" spans="3:12" x14ac:dyDescent="0.2">
      <c r="C3009" s="589" t="s">
        <v>751</v>
      </c>
      <c r="D3009" s="604" t="s">
        <v>105</v>
      </c>
      <c r="E3009" s="591">
        <f>(F3009+G3009+H3009+I3009+J3009)*100+(0*230)</f>
        <v>6200</v>
      </c>
      <c r="F3009" s="3">
        <v>10</v>
      </c>
      <c r="G3009" s="3">
        <v>13</v>
      </c>
      <c r="H3009" s="3">
        <v>4</v>
      </c>
      <c r="I3009" s="3">
        <v>16</v>
      </c>
      <c r="J3009" s="3">
        <v>19</v>
      </c>
      <c r="K3009" s="628">
        <f t="shared" ref="K3009:K3031" si="138">SUM(F3009:J3009)</f>
        <v>62</v>
      </c>
      <c r="L3009" s="630">
        <f>K3009/4</f>
        <v>15.5</v>
      </c>
    </row>
    <row r="3010" spans="3:12" x14ac:dyDescent="0.2">
      <c r="C3010" s="589" t="s">
        <v>732</v>
      </c>
      <c r="D3010" s="590" t="s">
        <v>390</v>
      </c>
      <c r="E3010" s="591">
        <f>(F3010+G3010+H3010+I3010+J3010)*120</f>
        <v>1440</v>
      </c>
      <c r="F3010" s="3">
        <v>3</v>
      </c>
      <c r="G3010" s="3">
        <v>3</v>
      </c>
      <c r="H3010" s="3">
        <v>2</v>
      </c>
      <c r="I3010" s="3">
        <v>2</v>
      </c>
      <c r="J3010" s="3">
        <v>2</v>
      </c>
      <c r="K3010" s="628">
        <f t="shared" si="138"/>
        <v>12</v>
      </c>
      <c r="L3010" s="630">
        <f t="shared" ref="L3010:L3031" si="139">K3010/4</f>
        <v>3</v>
      </c>
    </row>
    <row r="3011" spans="3:12" x14ac:dyDescent="0.2">
      <c r="C3011" s="589"/>
      <c r="D3011" s="590" t="s">
        <v>391</v>
      </c>
      <c r="E3011" s="591">
        <f>(F3011+G3011+H3011+I3011+J3011)*120</f>
        <v>0</v>
      </c>
      <c r="F3011" s="3"/>
      <c r="G3011" s="3"/>
      <c r="H3011" s="3"/>
      <c r="I3011" s="3"/>
      <c r="J3011" s="3"/>
      <c r="K3011" s="628">
        <f t="shared" si="138"/>
        <v>0</v>
      </c>
      <c r="L3011" s="630">
        <f t="shared" si="139"/>
        <v>0</v>
      </c>
    </row>
    <row r="3012" spans="3:12" x14ac:dyDescent="0.2">
      <c r="C3012" s="589" t="s">
        <v>911</v>
      </c>
      <c r="D3012" s="590" t="s">
        <v>392</v>
      </c>
      <c r="E3012" s="591">
        <f>(F3012+G3012+H3012+I3012+J3012)*120</f>
        <v>2400</v>
      </c>
      <c r="F3012" s="3">
        <v>6</v>
      </c>
      <c r="G3012" s="3">
        <v>2</v>
      </c>
      <c r="H3012" s="3">
        <v>6</v>
      </c>
      <c r="I3012" s="3"/>
      <c r="J3012" s="3">
        <v>6</v>
      </c>
      <c r="K3012" s="628">
        <f t="shared" si="138"/>
        <v>20</v>
      </c>
      <c r="L3012" s="630">
        <f t="shared" si="139"/>
        <v>5</v>
      </c>
    </row>
    <row r="3013" spans="3:12" x14ac:dyDescent="0.2">
      <c r="C3013" s="589"/>
      <c r="D3013" s="590" t="s">
        <v>425</v>
      </c>
      <c r="E3013" s="591">
        <f>(F3013+G3013+H3013+I3013+J3013)*120</f>
        <v>0</v>
      </c>
      <c r="F3013" s="3"/>
      <c r="G3013" s="3"/>
      <c r="H3013" s="3"/>
      <c r="I3013" s="3"/>
      <c r="J3013" s="3"/>
      <c r="K3013" s="628">
        <f t="shared" si="138"/>
        <v>0</v>
      </c>
      <c r="L3013" s="630">
        <f t="shared" si="139"/>
        <v>0</v>
      </c>
    </row>
    <row r="3014" spans="3:12" x14ac:dyDescent="0.2">
      <c r="C3014" s="589"/>
      <c r="D3014" s="590"/>
      <c r="E3014" s="591"/>
      <c r="F3014" s="3"/>
      <c r="G3014" s="3"/>
      <c r="H3014" s="3"/>
      <c r="I3014" s="3"/>
      <c r="J3014" s="3"/>
      <c r="K3014" s="628">
        <f t="shared" si="138"/>
        <v>0</v>
      </c>
      <c r="L3014" s="630">
        <f t="shared" si="139"/>
        <v>0</v>
      </c>
    </row>
    <row r="3015" spans="3:12" x14ac:dyDescent="0.2">
      <c r="C3015" s="589" t="s">
        <v>914</v>
      </c>
      <c r="D3015" s="590" t="s">
        <v>108</v>
      </c>
      <c r="E3015" s="591">
        <f>(F3015+G3015+H3015+J3015)*112.7+(I3015*119.6)</f>
        <v>3661.6000000000004</v>
      </c>
      <c r="F3015" s="3">
        <v>8</v>
      </c>
      <c r="G3015" s="3">
        <v>6</v>
      </c>
      <c r="H3015" s="3">
        <v>2</v>
      </c>
      <c r="I3015" s="3">
        <v>8</v>
      </c>
      <c r="J3015" s="3">
        <v>8</v>
      </c>
      <c r="K3015" s="628">
        <f t="shared" si="138"/>
        <v>32</v>
      </c>
      <c r="L3015" s="630">
        <f t="shared" si="139"/>
        <v>8</v>
      </c>
    </row>
    <row r="3016" spans="3:12" x14ac:dyDescent="0.2">
      <c r="C3016" s="589" t="s">
        <v>913</v>
      </c>
      <c r="D3016" s="590" t="s">
        <v>393</v>
      </c>
      <c r="E3016" s="591">
        <f>(F3016+G3016+H3016+J3016)*112.7+(I3016*119.6)</f>
        <v>2732.4</v>
      </c>
      <c r="F3016" s="3">
        <v>6</v>
      </c>
      <c r="G3016" s="3">
        <v>6</v>
      </c>
      <c r="H3016" s="3">
        <v>2</v>
      </c>
      <c r="I3016" s="3">
        <v>4</v>
      </c>
      <c r="J3016" s="3">
        <v>6</v>
      </c>
      <c r="K3016" s="628">
        <f t="shared" si="138"/>
        <v>24</v>
      </c>
      <c r="L3016" s="630">
        <f t="shared" si="139"/>
        <v>6</v>
      </c>
    </row>
    <row r="3017" spans="3:12" x14ac:dyDescent="0.2">
      <c r="C3017" s="589" t="s">
        <v>912</v>
      </c>
      <c r="D3017" s="590" t="s">
        <v>216</v>
      </c>
      <c r="E3017" s="591">
        <f>(F3017+G3017+H3017+J3017)*112.7+(I3017*119.6)</f>
        <v>2732.4</v>
      </c>
      <c r="F3017" s="3">
        <v>8</v>
      </c>
      <c r="G3017" s="3">
        <v>4</v>
      </c>
      <c r="H3017" s="3"/>
      <c r="I3017" s="3">
        <v>4</v>
      </c>
      <c r="J3017" s="3">
        <v>8</v>
      </c>
      <c r="K3017" s="628">
        <f t="shared" si="138"/>
        <v>24</v>
      </c>
      <c r="L3017" s="630">
        <f t="shared" si="139"/>
        <v>6</v>
      </c>
    </row>
    <row r="3018" spans="3:12" x14ac:dyDescent="0.2">
      <c r="C3018" s="589"/>
      <c r="D3018" s="590"/>
      <c r="E3018" s="591"/>
      <c r="F3018" s="3"/>
      <c r="G3018" s="3"/>
      <c r="H3018" s="3"/>
      <c r="I3018" s="3"/>
      <c r="J3018" s="3"/>
      <c r="K3018" s="628">
        <f t="shared" si="138"/>
        <v>0</v>
      </c>
      <c r="L3018" s="630">
        <f t="shared" si="139"/>
        <v>0</v>
      </c>
    </row>
    <row r="3019" spans="3:12" x14ac:dyDescent="0.2">
      <c r="C3019" s="589"/>
      <c r="D3019" s="590" t="s">
        <v>394</v>
      </c>
      <c r="E3019" s="591">
        <f>(F3019+G3019+H3019+I3019+J3019)*120</f>
        <v>0</v>
      </c>
      <c r="F3019" s="3"/>
      <c r="G3019" s="3"/>
      <c r="H3019" s="3"/>
      <c r="I3019" s="3"/>
      <c r="J3019" s="3"/>
      <c r="K3019" s="628">
        <f t="shared" si="138"/>
        <v>0</v>
      </c>
      <c r="L3019" s="630">
        <f t="shared" si="139"/>
        <v>0</v>
      </c>
    </row>
    <row r="3020" spans="3:12" x14ac:dyDescent="0.2">
      <c r="C3020" s="589" t="s">
        <v>915</v>
      </c>
      <c r="D3020" s="590" t="s">
        <v>110</v>
      </c>
      <c r="E3020" s="591">
        <f>(F3020+G3020+H3020+J3020)*112.7+(I3020*119.6)</f>
        <v>9577.2000000000007</v>
      </c>
      <c r="F3020" s="3">
        <v>40</v>
      </c>
      <c r="G3020" s="3">
        <v>16</v>
      </c>
      <c r="H3020" s="3"/>
      <c r="I3020" s="3">
        <v>16</v>
      </c>
      <c r="J3020" s="3">
        <v>12</v>
      </c>
      <c r="K3020" s="628">
        <f t="shared" si="138"/>
        <v>84</v>
      </c>
      <c r="L3020" s="630">
        <f t="shared" si="139"/>
        <v>21</v>
      </c>
    </row>
    <row r="3021" spans="3:12" x14ac:dyDescent="0.2">
      <c r="C3021" s="589"/>
      <c r="D3021" s="590"/>
      <c r="E3021" s="591"/>
      <c r="F3021" s="3"/>
      <c r="G3021" s="3"/>
      <c r="H3021" s="3"/>
      <c r="I3021" s="3"/>
      <c r="J3021" s="3"/>
      <c r="K3021" s="628">
        <f t="shared" si="138"/>
        <v>0</v>
      </c>
      <c r="L3021" s="630">
        <f t="shared" si="139"/>
        <v>0</v>
      </c>
    </row>
    <row r="3022" spans="3:12" x14ac:dyDescent="0.2">
      <c r="C3022" s="589"/>
      <c r="D3022" s="590" t="s">
        <v>381</v>
      </c>
      <c r="E3022" s="591">
        <f>(F3022+G3022+H3022+I3022+J3022)*120+(240*0)+(0*45)</f>
        <v>0</v>
      </c>
      <c r="F3022" s="3"/>
      <c r="G3022" s="3"/>
      <c r="H3022" s="3"/>
      <c r="I3022" s="3"/>
      <c r="J3022" s="3"/>
      <c r="K3022" s="628">
        <f t="shared" si="138"/>
        <v>0</v>
      </c>
      <c r="L3022" s="630">
        <f t="shared" si="139"/>
        <v>0</v>
      </c>
    </row>
    <row r="3023" spans="3:12" x14ac:dyDescent="0.2">
      <c r="C3023" s="589"/>
      <c r="D3023" s="590" t="s">
        <v>276</v>
      </c>
      <c r="E3023" s="591">
        <f>(F3023+G3023+H3023+J3023)*112.7+(I3023*119.6)</f>
        <v>0</v>
      </c>
      <c r="F3023" s="3"/>
      <c r="G3023" s="3"/>
      <c r="H3023" s="3"/>
      <c r="I3023" s="3"/>
      <c r="J3023" s="3"/>
      <c r="K3023" s="628">
        <f t="shared" si="138"/>
        <v>0</v>
      </c>
      <c r="L3023" s="630">
        <f t="shared" si="139"/>
        <v>0</v>
      </c>
    </row>
    <row r="3024" spans="3:12" x14ac:dyDescent="0.2">
      <c r="C3024" s="589"/>
      <c r="D3024" s="590"/>
      <c r="E3024" s="591"/>
      <c r="F3024" s="3"/>
      <c r="G3024" s="3"/>
      <c r="H3024" s="3"/>
      <c r="I3024" s="3"/>
      <c r="J3024" s="3"/>
      <c r="K3024" s="628">
        <f t="shared" si="138"/>
        <v>0</v>
      </c>
      <c r="L3024" s="630">
        <f t="shared" si="139"/>
        <v>0</v>
      </c>
    </row>
    <row r="3025" spans="3:12" x14ac:dyDescent="0.2">
      <c r="C3025" s="589"/>
      <c r="D3025" s="590" t="s">
        <v>75</v>
      </c>
      <c r="E3025" s="591">
        <f>(F3025+G3025+H3025+I3025+J3025)*120</f>
        <v>0</v>
      </c>
      <c r="F3025" s="3"/>
      <c r="G3025" s="3"/>
      <c r="H3025" s="3"/>
      <c r="I3025" s="3"/>
      <c r="J3025" s="3"/>
      <c r="K3025" s="628">
        <f t="shared" si="138"/>
        <v>0</v>
      </c>
      <c r="L3025" s="630">
        <f t="shared" si="139"/>
        <v>0</v>
      </c>
    </row>
    <row r="3026" spans="3:12" x14ac:dyDescent="0.2">
      <c r="C3026" s="589"/>
      <c r="D3026" s="590" t="s">
        <v>278</v>
      </c>
      <c r="E3026" s="591">
        <f>(F3026+G3026+H3026+I3026+J3026)*120</f>
        <v>0</v>
      </c>
      <c r="F3026" s="3"/>
      <c r="G3026" s="3"/>
      <c r="H3026" s="3"/>
      <c r="I3026" s="3"/>
      <c r="J3026" s="3"/>
      <c r="K3026" s="628">
        <f t="shared" si="138"/>
        <v>0</v>
      </c>
      <c r="L3026" s="630">
        <f t="shared" si="139"/>
        <v>0</v>
      </c>
    </row>
    <row r="3027" spans="3:12" x14ac:dyDescent="0.2">
      <c r="C3027" s="589"/>
      <c r="D3027" s="590" t="s">
        <v>270</v>
      </c>
      <c r="E3027" s="591">
        <f>(F3027+G3027+H3027+I3027)*112.7+(J3027*119.6)</f>
        <v>0</v>
      </c>
      <c r="F3027" s="3"/>
      <c r="G3027" s="3"/>
      <c r="H3027" s="3"/>
      <c r="I3027" s="3"/>
      <c r="J3027" s="3"/>
      <c r="K3027" s="628">
        <f t="shared" si="138"/>
        <v>0</v>
      </c>
      <c r="L3027" s="630">
        <f t="shared" si="139"/>
        <v>0</v>
      </c>
    </row>
    <row r="3028" spans="3:12" x14ac:dyDescent="0.2">
      <c r="C3028" s="589"/>
      <c r="D3028" s="590" t="s">
        <v>274</v>
      </c>
      <c r="E3028" s="591">
        <f>(F3028+G3028+H3028+I3028)*112.7+(J3028*119.6)</f>
        <v>0</v>
      </c>
      <c r="F3028" s="3"/>
      <c r="G3028" s="3"/>
      <c r="H3028" s="3"/>
      <c r="I3028" s="3"/>
      <c r="J3028" s="3"/>
      <c r="K3028" s="628">
        <f t="shared" si="138"/>
        <v>0</v>
      </c>
      <c r="L3028" s="630">
        <f t="shared" si="139"/>
        <v>0</v>
      </c>
    </row>
    <row r="3029" spans="3:12" x14ac:dyDescent="0.2">
      <c r="C3029" s="589"/>
      <c r="D3029" s="590" t="s">
        <v>395</v>
      </c>
      <c r="E3029" s="591">
        <f>(F3029+G3029+H3029+I3029)*112.7+(J3029*119.6)</f>
        <v>0</v>
      </c>
      <c r="F3029" s="3"/>
      <c r="G3029" s="3"/>
      <c r="H3029" s="3"/>
      <c r="I3029" s="3"/>
      <c r="J3029" s="3"/>
      <c r="K3029" s="628">
        <f t="shared" si="138"/>
        <v>0</v>
      </c>
      <c r="L3029" s="630">
        <f t="shared" si="139"/>
        <v>0</v>
      </c>
    </row>
    <row r="3030" spans="3:12" x14ac:dyDescent="0.2">
      <c r="C3030" s="683"/>
      <c r="D3030" s="590" t="s">
        <v>112</v>
      </c>
      <c r="E3030" s="591">
        <f>(F3030+G3030+H3030+I3030)*112.7+(J3030*119.6)</f>
        <v>0</v>
      </c>
      <c r="F3030" s="3"/>
      <c r="G3030" s="3"/>
      <c r="H3030" s="3"/>
      <c r="I3030" s="3"/>
      <c r="J3030" s="3"/>
      <c r="K3030" s="628">
        <f t="shared" si="138"/>
        <v>0</v>
      </c>
      <c r="L3030" s="630">
        <f t="shared" si="139"/>
        <v>0</v>
      </c>
    </row>
    <row r="3031" spans="3:12" x14ac:dyDescent="0.2">
      <c r="C3031" s="683"/>
      <c r="D3031" s="590" t="s">
        <v>72</v>
      </c>
      <c r="E3031" s="591">
        <f>(F3031+G3031+H3031+I3031)*112.7+(J3031*119.6)</f>
        <v>0</v>
      </c>
      <c r="F3031" s="3"/>
      <c r="G3031" s="3"/>
      <c r="H3031" s="3"/>
      <c r="I3031" s="3"/>
      <c r="J3031" s="3"/>
      <c r="K3031" s="628">
        <f t="shared" si="138"/>
        <v>0</v>
      </c>
      <c r="L3031" s="630">
        <f t="shared" si="139"/>
        <v>0</v>
      </c>
    </row>
    <row r="3032" spans="3:12" x14ac:dyDescent="0.2">
      <c r="C3032" s="683"/>
      <c r="D3032" s="590" t="s">
        <v>187</v>
      </c>
      <c r="E3032" s="591"/>
      <c r="F3032" s="3"/>
      <c r="G3032" s="3"/>
      <c r="H3032" s="3"/>
      <c r="I3032" s="3"/>
      <c r="J3032" s="3">
        <v>8</v>
      </c>
      <c r="K3032" s="628">
        <f>SUM(F3032:J3032)</f>
        <v>8</v>
      </c>
      <c r="L3032" s="3"/>
    </row>
    <row r="3033" spans="3:12" ht="16" x14ac:dyDescent="0.2">
      <c r="C3033" s="683"/>
      <c r="D3033" s="590"/>
      <c r="E3033" s="592"/>
      <c r="F3033" s="3"/>
      <c r="G3033" s="3"/>
      <c r="H3033" s="3"/>
      <c r="I3033" s="3"/>
      <c r="J3033" s="3"/>
      <c r="K3033" s="628">
        <f>SUM(F3033:J3033)</f>
        <v>0</v>
      </c>
      <c r="L3033" s="3"/>
    </row>
    <row r="3034" spans="3:12" ht="17" thickBot="1" x14ac:dyDescent="0.25">
      <c r="C3034" s="683"/>
      <c r="D3034" s="590"/>
      <c r="E3034" s="624"/>
      <c r="F3034" s="69"/>
      <c r="G3034" s="69"/>
      <c r="H3034" s="69"/>
      <c r="I3034" s="69"/>
      <c r="J3034" s="69"/>
      <c r="K3034" s="629"/>
      <c r="L3034" s="3"/>
    </row>
    <row r="3035" spans="3:12" ht="16" thickBot="1" x14ac:dyDescent="0.25">
      <c r="C3035" s="596"/>
      <c r="D3035" s="623" t="s">
        <v>19</v>
      </c>
      <c r="E3035" s="625">
        <f>SUM(E3009:E3032)</f>
        <v>28743.600000000002</v>
      </c>
      <c r="F3035" s="614">
        <f>SUM(F3009:F3034)</f>
        <v>81</v>
      </c>
      <c r="G3035" s="614">
        <f>SUM(G3009:G3034)</f>
        <v>50</v>
      </c>
      <c r="H3035" s="614">
        <f>SUM(H3009:H3034)</f>
        <v>16</v>
      </c>
      <c r="I3035" s="614">
        <f>SUM(I3009:I3034)</f>
        <v>50</v>
      </c>
      <c r="J3035" s="614">
        <f>SUM(J3009:J3034)</f>
        <v>69</v>
      </c>
      <c r="K3035" s="626">
        <f>SUM(F3035:J3035)</f>
        <v>266</v>
      </c>
      <c r="L3035" s="631">
        <f>SUM(L3009:L3034)</f>
        <v>64.5</v>
      </c>
    </row>
    <row r="3036" spans="3:12" x14ac:dyDescent="0.2">
      <c r="C3036" s="596"/>
      <c r="D3036" s="593" t="s">
        <v>113</v>
      </c>
      <c r="E3036" s="620"/>
      <c r="F3036" s="610">
        <f>F3006-F3035</f>
        <v>10</v>
      </c>
      <c r="G3036" s="610">
        <f>G3006-G3035</f>
        <v>5</v>
      </c>
      <c r="H3036" s="610">
        <f>H3006-H3035</f>
        <v>5</v>
      </c>
      <c r="I3036" s="610">
        <f>I3006-I3035</f>
        <v>5</v>
      </c>
      <c r="J3036" s="610">
        <f>J3006-J3035</f>
        <v>10</v>
      </c>
      <c r="K3036" s="636">
        <f>SUM(F3036:J3036)</f>
        <v>35</v>
      </c>
      <c r="L3036" s="3"/>
    </row>
    <row r="3037" spans="3:12" x14ac:dyDescent="0.2">
      <c r="C3037" s="683"/>
      <c r="D3037" s="593" t="s">
        <v>436</v>
      </c>
      <c r="E3037" s="594"/>
      <c r="F3037" s="581"/>
      <c r="G3037" s="581"/>
      <c r="H3037" s="581"/>
      <c r="I3037" s="581"/>
      <c r="J3037" s="581"/>
      <c r="K3037" s="637">
        <f>K3035+K3036</f>
        <v>301</v>
      </c>
      <c r="L3037" s="3"/>
    </row>
    <row r="3039" spans="3:12" ht="18" x14ac:dyDescent="0.2">
      <c r="C3039" s="685" t="s">
        <v>412</v>
      </c>
      <c r="D3039" s="582">
        <v>45748</v>
      </c>
      <c r="E3039" s="800"/>
      <c r="F3039" s="685" t="s">
        <v>83</v>
      </c>
      <c r="G3039" s="801" t="s">
        <v>64</v>
      </c>
      <c r="H3039" s="802"/>
      <c r="I3039" s="802"/>
      <c r="J3039" s="802"/>
      <c r="K3039" s="803"/>
    </row>
    <row r="3040" spans="3:12" x14ac:dyDescent="0.2">
      <c r="C3040" s="804"/>
      <c r="D3040" s="805"/>
      <c r="E3040" s="800"/>
      <c r="F3040" s="683" t="s">
        <v>93</v>
      </c>
      <c r="G3040" s="683" t="s">
        <v>93</v>
      </c>
      <c r="H3040" s="683"/>
      <c r="I3040" s="806"/>
      <c r="J3040" s="806"/>
      <c r="K3040" s="806"/>
    </row>
    <row r="3041" spans="3:12" x14ac:dyDescent="0.2">
      <c r="C3041" s="804"/>
      <c r="D3041" s="805"/>
      <c r="E3041" s="800"/>
      <c r="F3041" s="683" t="s">
        <v>94</v>
      </c>
      <c r="G3041" s="683" t="s">
        <v>95</v>
      </c>
      <c r="H3041" s="683" t="s">
        <v>96</v>
      </c>
      <c r="I3041" s="806"/>
      <c r="J3041" s="806"/>
      <c r="K3041" s="806"/>
    </row>
    <row r="3042" spans="3:12" x14ac:dyDescent="0.2">
      <c r="C3042" s="804"/>
      <c r="D3042" s="805"/>
      <c r="E3042" s="800"/>
      <c r="F3042" s="683"/>
      <c r="G3042" s="683"/>
      <c r="H3042" s="683"/>
      <c r="I3042" s="806"/>
      <c r="J3042" s="806"/>
      <c r="K3042" s="806"/>
    </row>
    <row r="3043" spans="3:12" ht="16" x14ac:dyDescent="0.2">
      <c r="C3043" s="683"/>
      <c r="D3043" s="583" t="s">
        <v>97</v>
      </c>
      <c r="E3043" s="584"/>
      <c r="F3043" s="581"/>
      <c r="G3043" s="585"/>
      <c r="H3043" s="585"/>
      <c r="I3043" s="586"/>
      <c r="J3043" s="586"/>
      <c r="K3043" s="586"/>
    </row>
    <row r="3044" spans="3:12" ht="26" x14ac:dyDescent="0.2">
      <c r="C3044" s="804"/>
      <c r="D3044" s="587"/>
      <c r="E3044" s="588"/>
      <c r="F3044" s="585" t="s">
        <v>383</v>
      </c>
      <c r="G3044" s="585" t="s">
        <v>384</v>
      </c>
      <c r="H3044" s="585" t="s">
        <v>385</v>
      </c>
      <c r="I3044" s="585" t="s">
        <v>386</v>
      </c>
      <c r="J3044" s="585" t="s">
        <v>387</v>
      </c>
      <c r="K3044" s="585" t="s">
        <v>84</v>
      </c>
    </row>
    <row r="3045" spans="3:12" x14ac:dyDescent="0.2">
      <c r="C3045" s="804"/>
      <c r="D3045" s="684" t="s">
        <v>167</v>
      </c>
      <c r="E3045" s="588"/>
      <c r="F3045" s="580">
        <v>13</v>
      </c>
      <c r="G3045" s="579">
        <v>8</v>
      </c>
      <c r="H3045" s="580"/>
      <c r="I3045" s="580">
        <v>5</v>
      </c>
      <c r="J3045" s="580">
        <v>12</v>
      </c>
      <c r="K3045" s="580">
        <f>SUM(F3045:J3045)</f>
        <v>38</v>
      </c>
    </row>
    <row r="3046" spans="3:12" x14ac:dyDescent="0.2">
      <c r="C3046" s="804"/>
      <c r="D3046" s="684" t="s">
        <v>207</v>
      </c>
      <c r="E3046" s="588"/>
      <c r="F3046" s="618">
        <v>91</v>
      </c>
      <c r="G3046" s="619">
        <v>56</v>
      </c>
      <c r="H3046" s="618"/>
      <c r="I3046" s="618">
        <v>55</v>
      </c>
      <c r="J3046" s="618">
        <v>105</v>
      </c>
      <c r="K3046" s="618">
        <f>SUM(F3046:J3046)</f>
        <v>307</v>
      </c>
    </row>
    <row r="3047" spans="3:12" x14ac:dyDescent="0.2">
      <c r="C3047" s="683"/>
      <c r="D3047" s="684" t="s">
        <v>100</v>
      </c>
      <c r="E3047" s="588"/>
      <c r="F3047" s="581">
        <v>1</v>
      </c>
      <c r="G3047" s="581"/>
      <c r="H3047" s="581"/>
      <c r="I3047" s="581"/>
      <c r="J3047" s="581"/>
      <c r="K3047" s="581">
        <f>SUM(F3047:J3047)</f>
        <v>1</v>
      </c>
    </row>
    <row r="3048" spans="3:12" x14ac:dyDescent="0.2">
      <c r="C3048" s="683"/>
      <c r="D3048" s="684" t="s">
        <v>101</v>
      </c>
      <c r="E3048" s="588"/>
      <c r="F3048" s="581">
        <v>4</v>
      </c>
      <c r="G3048" s="581">
        <v>3</v>
      </c>
      <c r="H3048" s="581"/>
      <c r="I3048" s="581"/>
      <c r="J3048" s="581"/>
      <c r="K3048" s="581">
        <f>SUM(F3048:J3048)</f>
        <v>7</v>
      </c>
    </row>
    <row r="3049" spans="3:12" ht="16" thickBot="1" x14ac:dyDescent="0.25">
      <c r="C3049" s="683"/>
      <c r="D3049" s="597" t="s">
        <v>102</v>
      </c>
      <c r="E3049" s="598"/>
      <c r="F3049" s="599">
        <v>10</v>
      </c>
      <c r="G3049" s="600">
        <v>5</v>
      </c>
      <c r="H3049" s="600">
        <v>5</v>
      </c>
      <c r="I3049" s="600">
        <v>5</v>
      </c>
      <c r="J3049" s="600">
        <v>10</v>
      </c>
      <c r="K3049" s="600">
        <f>SUM(F3049:J3049)</f>
        <v>35</v>
      </c>
    </row>
    <row r="3050" spans="3:12" ht="17" thickBot="1" x14ac:dyDescent="0.25">
      <c r="C3050" s="605"/>
      <c r="D3050" s="612" t="s">
        <v>84</v>
      </c>
      <c r="E3050" s="613"/>
      <c r="F3050" s="614">
        <f>(F3046+F3049)-F3048-F3047</f>
        <v>96</v>
      </c>
      <c r="G3050" s="615">
        <f>(G3046+G3049)-G3048-G3047</f>
        <v>58</v>
      </c>
      <c r="H3050" s="616">
        <f>(H3046+H3049)-H3048</f>
        <v>5</v>
      </c>
      <c r="I3050" s="615">
        <f>(I3046+I3049)-I3048-I3047</f>
        <v>60</v>
      </c>
      <c r="J3050" s="622">
        <f>(J3046+J3049)-J3048-J3047</f>
        <v>115</v>
      </c>
      <c r="K3050" s="617">
        <f>(K3046+K3049)-K3048-K3047</f>
        <v>334</v>
      </c>
    </row>
    <row r="3051" spans="3:12" ht="16" x14ac:dyDescent="0.2">
      <c r="C3051" s="683"/>
      <c r="D3051" s="608"/>
      <c r="E3051" s="609"/>
      <c r="F3051" s="610"/>
      <c r="G3051" s="595"/>
      <c r="H3051" s="611"/>
      <c r="I3051" s="595"/>
      <c r="J3051" s="595"/>
      <c r="K3051" s="595"/>
    </row>
    <row r="3052" spans="3:12" ht="16" thickBot="1" x14ac:dyDescent="0.25">
      <c r="C3052" s="606" t="s">
        <v>388</v>
      </c>
      <c r="D3052" s="607" t="s">
        <v>103</v>
      </c>
      <c r="E3052" s="603" t="s">
        <v>84</v>
      </c>
      <c r="F3052" s="602" t="s">
        <v>78</v>
      </c>
      <c r="G3052" s="602" t="s">
        <v>79</v>
      </c>
      <c r="H3052" s="602" t="s">
        <v>81</v>
      </c>
      <c r="I3052" s="601" t="s">
        <v>316</v>
      </c>
      <c r="J3052" s="601" t="s">
        <v>85</v>
      </c>
      <c r="K3052" s="601" t="s">
        <v>84</v>
      </c>
      <c r="L3052" s="174" t="s">
        <v>389</v>
      </c>
    </row>
    <row r="3053" spans="3:12" x14ac:dyDescent="0.2">
      <c r="C3053" s="589"/>
      <c r="D3053" s="604" t="s">
        <v>105</v>
      </c>
      <c r="E3053" s="591">
        <f>(F3053+G3053+H3053+I3053+J3053)*100+(0*230)</f>
        <v>0</v>
      </c>
      <c r="F3053" s="3"/>
      <c r="G3053" s="3"/>
      <c r="H3053" s="3"/>
      <c r="I3053" s="3"/>
      <c r="J3053" s="3"/>
      <c r="K3053" s="628">
        <f t="shared" ref="K3053:K3075" si="140">SUM(F3053:J3053)</f>
        <v>0</v>
      </c>
      <c r="L3053" s="630">
        <f>K3053/4</f>
        <v>0</v>
      </c>
    </row>
    <row r="3054" spans="3:12" x14ac:dyDescent="0.2">
      <c r="C3054" s="589"/>
      <c r="D3054" s="590" t="s">
        <v>390</v>
      </c>
      <c r="E3054" s="591">
        <f>(F3054+G3054+H3054+I3054+J3054)*120</f>
        <v>0</v>
      </c>
      <c r="F3054" s="3"/>
      <c r="G3054" s="3"/>
      <c r="H3054" s="3"/>
      <c r="I3054" s="3"/>
      <c r="J3054" s="3"/>
      <c r="K3054" s="628">
        <f t="shared" si="140"/>
        <v>0</v>
      </c>
      <c r="L3054" s="630">
        <f t="shared" ref="L3054:L3075" si="141">K3054/4</f>
        <v>0</v>
      </c>
    </row>
    <row r="3055" spans="3:12" x14ac:dyDescent="0.2">
      <c r="C3055" s="589"/>
      <c r="D3055" s="590" t="s">
        <v>391</v>
      </c>
      <c r="E3055" s="591">
        <f>(F3055+G3055+H3055+I3055+J3055)*120</f>
        <v>0</v>
      </c>
      <c r="F3055" s="3"/>
      <c r="G3055" s="3"/>
      <c r="H3055" s="3"/>
      <c r="I3055" s="3"/>
      <c r="J3055" s="3"/>
      <c r="K3055" s="628">
        <f t="shared" si="140"/>
        <v>0</v>
      </c>
      <c r="L3055" s="630">
        <f t="shared" si="141"/>
        <v>0</v>
      </c>
    </row>
    <row r="3056" spans="3:12" x14ac:dyDescent="0.2">
      <c r="C3056" s="589"/>
      <c r="D3056" s="590" t="s">
        <v>392</v>
      </c>
      <c r="E3056" s="591">
        <f>(F3056+G3056+H3056+I3056+J3056)*120</f>
        <v>0</v>
      </c>
      <c r="F3056" s="3"/>
      <c r="G3056" s="3"/>
      <c r="H3056" s="3"/>
      <c r="I3056" s="3"/>
      <c r="J3056" s="3"/>
      <c r="K3056" s="628">
        <f t="shared" si="140"/>
        <v>0</v>
      </c>
      <c r="L3056" s="630">
        <f t="shared" si="141"/>
        <v>0</v>
      </c>
    </row>
    <row r="3057" spans="3:12" x14ac:dyDescent="0.2">
      <c r="C3057" s="589"/>
      <c r="D3057" s="590" t="s">
        <v>425</v>
      </c>
      <c r="E3057" s="591">
        <f>(F3057+G3057+H3057+I3057+J3057)*120</f>
        <v>0</v>
      </c>
      <c r="F3057" s="3"/>
      <c r="G3057" s="3"/>
      <c r="H3057" s="3"/>
      <c r="I3057" s="3"/>
      <c r="J3057" s="3"/>
      <c r="K3057" s="628">
        <f t="shared" si="140"/>
        <v>0</v>
      </c>
      <c r="L3057" s="630">
        <f t="shared" si="141"/>
        <v>0</v>
      </c>
    </row>
    <row r="3058" spans="3:12" x14ac:dyDescent="0.2">
      <c r="C3058" s="589"/>
      <c r="D3058" s="590"/>
      <c r="E3058" s="591"/>
      <c r="F3058" s="3"/>
      <c r="G3058" s="3"/>
      <c r="H3058" s="3"/>
      <c r="I3058" s="3"/>
      <c r="J3058" s="3"/>
      <c r="K3058" s="628">
        <f t="shared" si="140"/>
        <v>0</v>
      </c>
      <c r="L3058" s="630">
        <f t="shared" si="141"/>
        <v>0</v>
      </c>
    </row>
    <row r="3059" spans="3:12" x14ac:dyDescent="0.2">
      <c r="C3059" s="589"/>
      <c r="D3059" s="590" t="s">
        <v>108</v>
      </c>
      <c r="E3059" s="591">
        <f>(F3059+G3059+H3059+J3059)*112.7+(I3059*119.6)</f>
        <v>0</v>
      </c>
      <c r="F3059" s="3"/>
      <c r="G3059" s="3"/>
      <c r="H3059" s="3"/>
      <c r="I3059" s="3"/>
      <c r="J3059" s="3"/>
      <c r="K3059" s="628">
        <f t="shared" si="140"/>
        <v>0</v>
      </c>
      <c r="L3059" s="630">
        <f t="shared" si="141"/>
        <v>0</v>
      </c>
    </row>
    <row r="3060" spans="3:12" x14ac:dyDescent="0.2">
      <c r="C3060" s="589"/>
      <c r="D3060" s="590" t="s">
        <v>393</v>
      </c>
      <c r="E3060" s="591">
        <f>(F3060+G3060+H3060+J3060)*112.7+(I3060*119.6)</f>
        <v>0</v>
      </c>
      <c r="F3060" s="3"/>
      <c r="G3060" s="3"/>
      <c r="H3060" s="3"/>
      <c r="I3060" s="3"/>
      <c r="J3060" s="3"/>
      <c r="K3060" s="628">
        <f t="shared" si="140"/>
        <v>0</v>
      </c>
      <c r="L3060" s="630">
        <f t="shared" si="141"/>
        <v>0</v>
      </c>
    </row>
    <row r="3061" spans="3:12" x14ac:dyDescent="0.2">
      <c r="C3061" s="589"/>
      <c r="D3061" s="590" t="s">
        <v>216</v>
      </c>
      <c r="E3061" s="591">
        <f>(F3061+G3061+H3061+J3061)*112.7+(I3061*119.6)</f>
        <v>0</v>
      </c>
      <c r="F3061" s="3"/>
      <c r="G3061" s="3"/>
      <c r="H3061" s="3"/>
      <c r="I3061" s="3"/>
      <c r="J3061" s="3"/>
      <c r="K3061" s="628">
        <f t="shared" si="140"/>
        <v>0</v>
      </c>
      <c r="L3061" s="630">
        <f t="shared" si="141"/>
        <v>0</v>
      </c>
    </row>
    <row r="3062" spans="3:12" x14ac:dyDescent="0.2">
      <c r="C3062" s="589"/>
      <c r="D3062" s="590"/>
      <c r="E3062" s="591"/>
      <c r="F3062" s="3"/>
      <c r="G3062" s="3"/>
      <c r="H3062" s="3"/>
      <c r="I3062" s="3"/>
      <c r="J3062" s="3"/>
      <c r="K3062" s="628">
        <f t="shared" si="140"/>
        <v>0</v>
      </c>
      <c r="L3062" s="630">
        <f t="shared" si="141"/>
        <v>0</v>
      </c>
    </row>
    <row r="3063" spans="3:12" x14ac:dyDescent="0.2">
      <c r="C3063" s="589"/>
      <c r="D3063" s="590" t="s">
        <v>394</v>
      </c>
      <c r="E3063" s="591">
        <f>(F3063+G3063+H3063+I3063+J3063)*120</f>
        <v>0</v>
      </c>
      <c r="F3063" s="3"/>
      <c r="G3063" s="3"/>
      <c r="H3063" s="3"/>
      <c r="I3063" s="3"/>
      <c r="J3063" s="3"/>
      <c r="K3063" s="628">
        <f t="shared" si="140"/>
        <v>0</v>
      </c>
      <c r="L3063" s="630">
        <f t="shared" si="141"/>
        <v>0</v>
      </c>
    </row>
    <row r="3064" spans="3:12" x14ac:dyDescent="0.2">
      <c r="C3064" s="589"/>
      <c r="D3064" s="590" t="s">
        <v>110</v>
      </c>
      <c r="E3064" s="591">
        <f>(F3064+G3064+H3064+J3064)*112.7+(I3064*119.6)</f>
        <v>0</v>
      </c>
      <c r="F3064" s="3"/>
      <c r="G3064" s="3"/>
      <c r="H3064" s="3"/>
      <c r="I3064" s="3"/>
      <c r="J3064" s="3"/>
      <c r="K3064" s="628">
        <f t="shared" si="140"/>
        <v>0</v>
      </c>
      <c r="L3064" s="630">
        <f t="shared" si="141"/>
        <v>0</v>
      </c>
    </row>
    <row r="3065" spans="3:12" x14ac:dyDescent="0.2">
      <c r="C3065" s="589"/>
      <c r="D3065" s="590"/>
      <c r="E3065" s="591"/>
      <c r="F3065" s="3"/>
      <c r="G3065" s="3"/>
      <c r="H3065" s="3"/>
      <c r="I3065" s="3"/>
      <c r="J3065" s="3"/>
      <c r="K3065" s="628">
        <f t="shared" si="140"/>
        <v>0</v>
      </c>
      <c r="L3065" s="630">
        <f t="shared" si="141"/>
        <v>0</v>
      </c>
    </row>
    <row r="3066" spans="3:12" x14ac:dyDescent="0.2">
      <c r="C3066" s="589"/>
      <c r="D3066" s="590" t="s">
        <v>381</v>
      </c>
      <c r="E3066" s="591">
        <f>(F3066+G3066+H3066+I3066+J3066)*120+(240*0)+(0*45)</f>
        <v>0</v>
      </c>
      <c r="F3066" s="3"/>
      <c r="G3066" s="3"/>
      <c r="H3066" s="3"/>
      <c r="I3066" s="3"/>
      <c r="J3066" s="3"/>
      <c r="K3066" s="628">
        <f t="shared" si="140"/>
        <v>0</v>
      </c>
      <c r="L3066" s="630">
        <f t="shared" si="141"/>
        <v>0</v>
      </c>
    </row>
    <row r="3067" spans="3:12" x14ac:dyDescent="0.2">
      <c r="C3067" s="589"/>
      <c r="D3067" s="590" t="s">
        <v>276</v>
      </c>
      <c r="E3067" s="591">
        <f>(F3067+G3067+H3067+J3067)*112.7+(I3067*119.6)</f>
        <v>0</v>
      </c>
      <c r="F3067" s="3"/>
      <c r="G3067" s="3"/>
      <c r="H3067" s="3"/>
      <c r="I3067" s="3"/>
      <c r="J3067" s="3"/>
      <c r="K3067" s="628">
        <f t="shared" si="140"/>
        <v>0</v>
      </c>
      <c r="L3067" s="630">
        <f t="shared" si="141"/>
        <v>0</v>
      </c>
    </row>
    <row r="3068" spans="3:12" x14ac:dyDescent="0.2">
      <c r="C3068" s="589"/>
      <c r="D3068" s="590"/>
      <c r="E3068" s="591"/>
      <c r="F3068" s="3"/>
      <c r="G3068" s="3"/>
      <c r="H3068" s="3"/>
      <c r="I3068" s="3"/>
      <c r="J3068" s="3"/>
      <c r="K3068" s="628">
        <f t="shared" si="140"/>
        <v>0</v>
      </c>
      <c r="L3068" s="630">
        <f t="shared" si="141"/>
        <v>0</v>
      </c>
    </row>
    <row r="3069" spans="3:12" x14ac:dyDescent="0.2">
      <c r="C3069" s="589"/>
      <c r="D3069" s="590" t="s">
        <v>75</v>
      </c>
      <c r="E3069" s="591">
        <f>(F3069+G3069+H3069+I3069+J3069)*120</f>
        <v>0</v>
      </c>
      <c r="F3069" s="3"/>
      <c r="G3069" s="3"/>
      <c r="H3069" s="3"/>
      <c r="I3069" s="3"/>
      <c r="J3069" s="3"/>
      <c r="K3069" s="628">
        <f t="shared" si="140"/>
        <v>0</v>
      </c>
      <c r="L3069" s="630">
        <f t="shared" si="141"/>
        <v>0</v>
      </c>
    </row>
    <row r="3070" spans="3:12" x14ac:dyDescent="0.2">
      <c r="C3070" s="589"/>
      <c r="D3070" s="590" t="s">
        <v>278</v>
      </c>
      <c r="E3070" s="591">
        <f>(F3070+G3070+H3070+I3070+J3070)*120</f>
        <v>0</v>
      </c>
      <c r="F3070" s="3"/>
      <c r="G3070" s="3"/>
      <c r="H3070" s="3"/>
      <c r="I3070" s="3"/>
      <c r="J3070" s="3"/>
      <c r="K3070" s="628">
        <f t="shared" si="140"/>
        <v>0</v>
      </c>
      <c r="L3070" s="630">
        <f t="shared" si="141"/>
        <v>0</v>
      </c>
    </row>
    <row r="3071" spans="3:12" x14ac:dyDescent="0.2">
      <c r="C3071" s="589" t="s">
        <v>927</v>
      </c>
      <c r="D3071" s="590" t="s">
        <v>270</v>
      </c>
      <c r="E3071" s="591">
        <f>(F3071+G3071+H3071+I3071)*112.7+(J3071*119.6)</f>
        <v>8772.2000000000007</v>
      </c>
      <c r="F3071" s="3">
        <v>22</v>
      </c>
      <c r="G3071" s="3">
        <v>12</v>
      </c>
      <c r="H3071" s="3"/>
      <c r="I3071" s="3">
        <v>12</v>
      </c>
      <c r="J3071" s="3">
        <v>30</v>
      </c>
      <c r="K3071" s="628">
        <f t="shared" si="140"/>
        <v>76</v>
      </c>
      <c r="L3071" s="630">
        <f t="shared" si="141"/>
        <v>19</v>
      </c>
    </row>
    <row r="3072" spans="3:12" x14ac:dyDescent="0.2">
      <c r="C3072" s="589" t="s">
        <v>926</v>
      </c>
      <c r="D3072" s="590" t="s">
        <v>274</v>
      </c>
      <c r="E3072" s="591">
        <f>(F3072+G3072+H3072+I3072)*112.7+(J3072*119.6)</f>
        <v>5970.8</v>
      </c>
      <c r="F3072" s="3">
        <v>16</v>
      </c>
      <c r="G3072" s="3">
        <v>10</v>
      </c>
      <c r="H3072" s="3"/>
      <c r="I3072" s="3">
        <v>10</v>
      </c>
      <c r="J3072" s="3">
        <v>16</v>
      </c>
      <c r="K3072" s="628">
        <f t="shared" si="140"/>
        <v>52</v>
      </c>
      <c r="L3072" s="630">
        <f t="shared" si="141"/>
        <v>13</v>
      </c>
    </row>
    <row r="3073" spans="3:12" x14ac:dyDescent="0.2">
      <c r="C3073" s="589" t="s">
        <v>925</v>
      </c>
      <c r="D3073" s="590" t="s">
        <v>395</v>
      </c>
      <c r="E3073" s="591">
        <f>(F3073+G3073+H3073+I3073)*112.7+(J3073*119.6)</f>
        <v>5970.8</v>
      </c>
      <c r="F3073" s="3">
        <v>16</v>
      </c>
      <c r="G3073" s="3">
        <v>10</v>
      </c>
      <c r="H3073" s="3"/>
      <c r="I3073" s="3">
        <v>10</v>
      </c>
      <c r="J3073" s="3">
        <v>16</v>
      </c>
      <c r="K3073" s="628">
        <f t="shared" si="140"/>
        <v>52</v>
      </c>
      <c r="L3073" s="630">
        <f t="shared" si="141"/>
        <v>13</v>
      </c>
    </row>
    <row r="3074" spans="3:12" x14ac:dyDescent="0.2">
      <c r="C3074" s="683">
        <v>1176164322</v>
      </c>
      <c r="D3074" s="590" t="s">
        <v>112</v>
      </c>
      <c r="E3074" s="591">
        <f>(F3074+G3074+H3074+I3074)*112.7+(J3074*119.6)</f>
        <v>5970.8</v>
      </c>
      <c r="F3074" s="3">
        <v>16</v>
      </c>
      <c r="G3074" s="3">
        <v>10</v>
      </c>
      <c r="H3074" s="3"/>
      <c r="I3074" s="3">
        <v>10</v>
      </c>
      <c r="J3074" s="3">
        <v>16</v>
      </c>
      <c r="K3074" s="628">
        <f t="shared" si="140"/>
        <v>52</v>
      </c>
      <c r="L3074" s="630">
        <f t="shared" si="141"/>
        <v>13</v>
      </c>
    </row>
    <row r="3075" spans="3:12" x14ac:dyDescent="0.2">
      <c r="C3075" s="683">
        <v>1176164320</v>
      </c>
      <c r="D3075" s="590" t="s">
        <v>72</v>
      </c>
      <c r="E3075" s="591">
        <f>(F3075+G3075+H3075+I3075)*112.7+(J3075*119.6)</f>
        <v>5963.9000000000005</v>
      </c>
      <c r="F3075" s="3">
        <v>15</v>
      </c>
      <c r="G3075" s="3">
        <v>12</v>
      </c>
      <c r="H3075" s="3"/>
      <c r="I3075" s="3">
        <v>10</v>
      </c>
      <c r="J3075" s="3">
        <v>15</v>
      </c>
      <c r="K3075" s="628">
        <f t="shared" si="140"/>
        <v>52</v>
      </c>
      <c r="L3075" s="630">
        <f t="shared" si="141"/>
        <v>13</v>
      </c>
    </row>
    <row r="3076" spans="3:12" x14ac:dyDescent="0.2">
      <c r="C3076" s="683"/>
      <c r="D3076" s="590" t="s">
        <v>187</v>
      </c>
      <c r="E3076" s="591"/>
      <c r="F3076" s="3">
        <v>1</v>
      </c>
      <c r="G3076" s="3">
        <v>1</v>
      </c>
      <c r="H3076" s="3"/>
      <c r="I3076" s="3"/>
      <c r="J3076" s="3">
        <v>8</v>
      </c>
      <c r="K3076" s="628">
        <f>SUM(F3076:J3076)</f>
        <v>10</v>
      </c>
      <c r="L3076" s="3"/>
    </row>
    <row r="3077" spans="3:12" ht="16" x14ac:dyDescent="0.2">
      <c r="C3077" s="683"/>
      <c r="D3077" s="590"/>
      <c r="E3077" s="592"/>
      <c r="F3077" s="3"/>
      <c r="G3077" s="3"/>
      <c r="H3077" s="3"/>
      <c r="I3077" s="3"/>
      <c r="J3077" s="3"/>
      <c r="K3077" s="628">
        <f>SUM(F3077:J3077)</f>
        <v>0</v>
      </c>
      <c r="L3077" s="3"/>
    </row>
    <row r="3078" spans="3:12" ht="17" thickBot="1" x14ac:dyDescent="0.25">
      <c r="C3078" s="683"/>
      <c r="D3078" s="590"/>
      <c r="E3078" s="624"/>
      <c r="F3078" s="69"/>
      <c r="G3078" s="69"/>
      <c r="H3078" s="69"/>
      <c r="I3078" s="69"/>
      <c r="J3078" s="69"/>
      <c r="K3078" s="629"/>
      <c r="L3078" s="3"/>
    </row>
    <row r="3079" spans="3:12" ht="16" thickBot="1" x14ac:dyDescent="0.25">
      <c r="C3079" s="596"/>
      <c r="D3079" s="623" t="s">
        <v>19</v>
      </c>
      <c r="E3079" s="625">
        <f>SUM(E3053:E3076)</f>
        <v>32648.5</v>
      </c>
      <c r="F3079" s="614">
        <f>SUM(F3053:F3078)</f>
        <v>86</v>
      </c>
      <c r="G3079" s="614">
        <f>SUM(G3053:G3078)</f>
        <v>55</v>
      </c>
      <c r="H3079" s="614">
        <f>SUM(H3053:H3078)</f>
        <v>0</v>
      </c>
      <c r="I3079" s="614">
        <f>SUM(I3053:I3078)</f>
        <v>52</v>
      </c>
      <c r="J3079" s="614">
        <f>SUM(J3053:J3078)</f>
        <v>101</v>
      </c>
      <c r="K3079" s="626">
        <f>SUM(F3079:J3079)</f>
        <v>294</v>
      </c>
      <c r="L3079" s="631">
        <f>SUM(L3053:L3078)</f>
        <v>71</v>
      </c>
    </row>
    <row r="3080" spans="3:12" x14ac:dyDescent="0.2">
      <c r="C3080" s="596"/>
      <c r="D3080" s="593" t="s">
        <v>113</v>
      </c>
      <c r="E3080" s="620"/>
      <c r="F3080" s="610">
        <f>F3050-F3079</f>
        <v>10</v>
      </c>
      <c r="G3080" s="610">
        <f>G3050-G3079</f>
        <v>3</v>
      </c>
      <c r="H3080" s="610">
        <f>H3050-H3079</f>
        <v>5</v>
      </c>
      <c r="I3080" s="610">
        <f>I3050-I3079</f>
        <v>8</v>
      </c>
      <c r="J3080" s="610">
        <f>J3050-J3079</f>
        <v>14</v>
      </c>
      <c r="K3080" s="636">
        <f>SUM(F3080:J3080)</f>
        <v>40</v>
      </c>
      <c r="L3080" s="3"/>
    </row>
    <row r="3081" spans="3:12" x14ac:dyDescent="0.2">
      <c r="C3081" s="683"/>
      <c r="D3081" s="593" t="s">
        <v>436</v>
      </c>
      <c r="E3081" s="594"/>
      <c r="F3081" s="581"/>
      <c r="G3081" s="581"/>
      <c r="H3081" s="581"/>
      <c r="I3081" s="581"/>
      <c r="J3081" s="581"/>
      <c r="K3081" s="637">
        <f>K3079+K3080</f>
        <v>334</v>
      </c>
      <c r="L3081" s="3"/>
    </row>
    <row r="3083" spans="3:12" ht="18" x14ac:dyDescent="0.2">
      <c r="C3083" s="685" t="s">
        <v>412</v>
      </c>
      <c r="D3083" s="582">
        <v>45749</v>
      </c>
      <c r="E3083" s="800"/>
      <c r="F3083" s="685" t="s">
        <v>83</v>
      </c>
      <c r="G3083" s="801" t="s">
        <v>65</v>
      </c>
      <c r="H3083" s="802"/>
      <c r="I3083" s="802"/>
      <c r="J3083" s="802"/>
      <c r="K3083" s="803"/>
    </row>
    <row r="3084" spans="3:12" x14ac:dyDescent="0.2">
      <c r="C3084" s="804"/>
      <c r="D3084" s="805"/>
      <c r="E3084" s="800"/>
      <c r="F3084" s="683" t="s">
        <v>93</v>
      </c>
      <c r="G3084" s="683" t="s">
        <v>93</v>
      </c>
      <c r="H3084" s="683"/>
      <c r="I3084" s="806"/>
      <c r="J3084" s="806"/>
      <c r="K3084" s="806"/>
    </row>
    <row r="3085" spans="3:12" x14ac:dyDescent="0.2">
      <c r="C3085" s="804"/>
      <c r="D3085" s="805"/>
      <c r="E3085" s="800"/>
      <c r="F3085" s="683" t="s">
        <v>94</v>
      </c>
      <c r="G3085" s="683" t="s">
        <v>95</v>
      </c>
      <c r="H3085" s="683" t="s">
        <v>96</v>
      </c>
      <c r="I3085" s="806"/>
      <c r="J3085" s="806"/>
      <c r="K3085" s="806"/>
    </row>
    <row r="3086" spans="3:12" x14ac:dyDescent="0.2">
      <c r="C3086" s="804"/>
      <c r="D3086" s="805"/>
      <c r="E3086" s="800"/>
      <c r="F3086" s="683"/>
      <c r="G3086" s="683"/>
      <c r="H3086" s="683"/>
      <c r="I3086" s="806"/>
      <c r="J3086" s="806"/>
      <c r="K3086" s="806"/>
    </row>
    <row r="3087" spans="3:12" ht="16" x14ac:dyDescent="0.2">
      <c r="C3087" s="683"/>
      <c r="D3087" s="583" t="s">
        <v>97</v>
      </c>
      <c r="E3087" s="584"/>
      <c r="F3087" s="581"/>
      <c r="G3087" s="585"/>
      <c r="H3087" s="585"/>
      <c r="I3087" s="586"/>
      <c r="J3087" s="586"/>
      <c r="K3087" s="586"/>
    </row>
    <row r="3088" spans="3:12" ht="26" x14ac:dyDescent="0.2">
      <c r="C3088" s="804"/>
      <c r="D3088" s="587"/>
      <c r="E3088" s="588"/>
      <c r="F3088" s="585" t="s">
        <v>383</v>
      </c>
      <c r="G3088" s="585" t="s">
        <v>384</v>
      </c>
      <c r="H3088" s="585" t="s">
        <v>385</v>
      </c>
      <c r="I3088" s="585" t="s">
        <v>386</v>
      </c>
      <c r="J3088" s="585" t="s">
        <v>387</v>
      </c>
      <c r="K3088" s="585" t="s">
        <v>84</v>
      </c>
    </row>
    <row r="3089" spans="3:12" x14ac:dyDescent="0.2">
      <c r="C3089" s="804"/>
      <c r="D3089" s="684" t="s">
        <v>167</v>
      </c>
      <c r="E3089" s="588"/>
      <c r="F3089" s="580">
        <v>13</v>
      </c>
      <c r="G3089" s="579">
        <v>8</v>
      </c>
      <c r="H3089" s="580">
        <v>2</v>
      </c>
      <c r="I3089" s="580">
        <v>4</v>
      </c>
      <c r="J3089" s="580">
        <v>8</v>
      </c>
      <c r="K3089" s="580">
        <f>SUM(F3089:J3089)</f>
        <v>35</v>
      </c>
    </row>
    <row r="3090" spans="3:12" x14ac:dyDescent="0.2">
      <c r="C3090" s="804"/>
      <c r="D3090" s="684" t="s">
        <v>207</v>
      </c>
      <c r="E3090" s="588"/>
      <c r="F3090" s="618">
        <v>91</v>
      </c>
      <c r="G3090" s="619">
        <v>56</v>
      </c>
      <c r="H3090" s="618">
        <v>14</v>
      </c>
      <c r="I3090" s="618">
        <v>44</v>
      </c>
      <c r="J3090" s="618">
        <v>68</v>
      </c>
      <c r="K3090" s="618">
        <f>SUM(F3090:J3090)</f>
        <v>273</v>
      </c>
    </row>
    <row r="3091" spans="3:12" x14ac:dyDescent="0.2">
      <c r="C3091" s="683"/>
      <c r="D3091" s="684" t="s">
        <v>100</v>
      </c>
      <c r="E3091" s="588"/>
      <c r="F3091" s="581"/>
      <c r="G3091" s="581"/>
      <c r="H3091" s="581"/>
      <c r="I3091" s="581"/>
      <c r="J3091" s="581"/>
      <c r="K3091" s="581">
        <f>SUM(F3091:J3091)</f>
        <v>0</v>
      </c>
    </row>
    <row r="3092" spans="3:12" x14ac:dyDescent="0.2">
      <c r="C3092" s="683"/>
      <c r="D3092" s="684" t="s">
        <v>101</v>
      </c>
      <c r="E3092" s="588"/>
      <c r="F3092" s="581">
        <v>1</v>
      </c>
      <c r="G3092" s="581">
        <v>2</v>
      </c>
      <c r="H3092" s="581"/>
      <c r="I3092" s="581"/>
      <c r="J3092" s="581">
        <v>3</v>
      </c>
      <c r="K3092" s="581">
        <f>SUM(F3092:J3092)</f>
        <v>6</v>
      </c>
    </row>
    <row r="3093" spans="3:12" ht="16" thickBot="1" x14ac:dyDescent="0.25">
      <c r="C3093" s="683"/>
      <c r="D3093" s="597" t="s">
        <v>102</v>
      </c>
      <c r="E3093" s="598"/>
      <c r="F3093" s="599">
        <v>7</v>
      </c>
      <c r="G3093" s="600">
        <v>2</v>
      </c>
      <c r="H3093" s="600">
        <v>5</v>
      </c>
      <c r="I3093" s="600">
        <v>7</v>
      </c>
      <c r="J3093" s="600">
        <v>16</v>
      </c>
      <c r="K3093" s="600">
        <f>SUM(F3093:J3093)</f>
        <v>37</v>
      </c>
    </row>
    <row r="3094" spans="3:12" ht="17" thickBot="1" x14ac:dyDescent="0.25">
      <c r="C3094" s="605"/>
      <c r="D3094" s="612" t="s">
        <v>84</v>
      </c>
      <c r="E3094" s="613"/>
      <c r="F3094" s="614">
        <f>(F3090+F3093)-F3092-F3091</f>
        <v>97</v>
      </c>
      <c r="G3094" s="615">
        <f>(G3090+G3093)-G3092-G3091</f>
        <v>56</v>
      </c>
      <c r="H3094" s="616">
        <f>(H3090+H3093)-H3092</f>
        <v>19</v>
      </c>
      <c r="I3094" s="615">
        <f>(I3090+I3093)-I3092-I3091</f>
        <v>51</v>
      </c>
      <c r="J3094" s="622">
        <f>(J3090+J3093)-J3092-J3091</f>
        <v>81</v>
      </c>
      <c r="K3094" s="617">
        <f>(K3090+K3093)-K3092-K3091</f>
        <v>304</v>
      </c>
    </row>
    <row r="3095" spans="3:12" ht="16" x14ac:dyDescent="0.2">
      <c r="C3095" s="683"/>
      <c r="D3095" s="608"/>
      <c r="E3095" s="609"/>
      <c r="F3095" s="610"/>
      <c r="G3095" s="595"/>
      <c r="H3095" s="611"/>
      <c r="I3095" s="595"/>
      <c r="J3095" s="595"/>
      <c r="K3095" s="595"/>
    </row>
    <row r="3096" spans="3:12" ht="16" thickBot="1" x14ac:dyDescent="0.25">
      <c r="C3096" s="606" t="s">
        <v>388</v>
      </c>
      <c r="D3096" s="607" t="s">
        <v>103</v>
      </c>
      <c r="E3096" s="603" t="s">
        <v>84</v>
      </c>
      <c r="F3096" s="602" t="s">
        <v>78</v>
      </c>
      <c r="G3096" s="602" t="s">
        <v>79</v>
      </c>
      <c r="H3096" s="602" t="s">
        <v>81</v>
      </c>
      <c r="I3096" s="601" t="s">
        <v>316</v>
      </c>
      <c r="J3096" s="601" t="s">
        <v>85</v>
      </c>
      <c r="K3096" s="601" t="s">
        <v>84</v>
      </c>
      <c r="L3096" s="174" t="s">
        <v>389</v>
      </c>
    </row>
    <row r="3097" spans="3:12" x14ac:dyDescent="0.2">
      <c r="C3097" s="589" t="s">
        <v>733</v>
      </c>
      <c r="D3097" s="604" t="s">
        <v>105</v>
      </c>
      <c r="E3097" s="591">
        <f>(F3097+G3097+H3097+I3097+J3097)*100+(0*230)</f>
        <v>5200</v>
      </c>
      <c r="F3097" s="3">
        <v>16</v>
      </c>
      <c r="G3097" s="3">
        <v>12</v>
      </c>
      <c r="H3097" s="3">
        <v>4</v>
      </c>
      <c r="I3097" s="3">
        <v>4</v>
      </c>
      <c r="J3097" s="3">
        <v>16</v>
      </c>
      <c r="K3097" s="628">
        <f t="shared" ref="K3097:K3119" si="142">SUM(F3097:J3097)</f>
        <v>52</v>
      </c>
      <c r="L3097" s="630">
        <f>K3097/4</f>
        <v>13</v>
      </c>
    </row>
    <row r="3098" spans="3:12" x14ac:dyDescent="0.2">
      <c r="C3098" s="589"/>
      <c r="D3098" s="590" t="s">
        <v>390</v>
      </c>
      <c r="E3098" s="591">
        <f>(F3098+G3098+H3098+I3098+J3098)*120</f>
        <v>0</v>
      </c>
      <c r="F3098" s="3"/>
      <c r="G3098" s="3"/>
      <c r="H3098" s="3"/>
      <c r="I3098" s="3"/>
      <c r="J3098" s="3"/>
      <c r="K3098" s="628">
        <f t="shared" si="142"/>
        <v>0</v>
      </c>
      <c r="L3098" s="630">
        <f t="shared" ref="L3098:L3119" si="143">K3098/4</f>
        <v>0</v>
      </c>
    </row>
    <row r="3099" spans="3:12" x14ac:dyDescent="0.2">
      <c r="C3099" s="589"/>
      <c r="D3099" s="590" t="s">
        <v>391</v>
      </c>
      <c r="E3099" s="591">
        <f>(F3099+G3099+H3099+I3099+J3099)*120</f>
        <v>0</v>
      </c>
      <c r="F3099" s="3"/>
      <c r="G3099" s="3"/>
      <c r="H3099" s="3"/>
      <c r="I3099" s="3"/>
      <c r="J3099" s="3"/>
      <c r="K3099" s="628">
        <f t="shared" si="142"/>
        <v>0</v>
      </c>
      <c r="L3099" s="630">
        <f t="shared" si="143"/>
        <v>0</v>
      </c>
    </row>
    <row r="3100" spans="3:12" x14ac:dyDescent="0.2">
      <c r="C3100" s="589"/>
      <c r="D3100" s="590" t="s">
        <v>392</v>
      </c>
      <c r="E3100" s="591">
        <f>(F3100+G3100+H3100+I3100+J3100)*120</f>
        <v>0</v>
      </c>
      <c r="F3100" s="3"/>
      <c r="G3100" s="3"/>
      <c r="H3100" s="3"/>
      <c r="I3100" s="3"/>
      <c r="J3100" s="3"/>
      <c r="K3100" s="628">
        <f t="shared" si="142"/>
        <v>0</v>
      </c>
      <c r="L3100" s="630">
        <f t="shared" si="143"/>
        <v>0</v>
      </c>
    </row>
    <row r="3101" spans="3:12" x14ac:dyDescent="0.2">
      <c r="C3101" s="589"/>
      <c r="D3101" s="590" t="s">
        <v>425</v>
      </c>
      <c r="E3101" s="591">
        <f>(F3101+G3101+H3101+I3101+J3101)*120</f>
        <v>0</v>
      </c>
      <c r="F3101" s="3"/>
      <c r="G3101" s="3"/>
      <c r="H3101" s="3"/>
      <c r="I3101" s="3"/>
      <c r="J3101" s="3"/>
      <c r="K3101" s="628">
        <f t="shared" si="142"/>
        <v>0</v>
      </c>
      <c r="L3101" s="630">
        <f t="shared" si="143"/>
        <v>0</v>
      </c>
    </row>
    <row r="3102" spans="3:12" x14ac:dyDescent="0.2">
      <c r="C3102" s="589"/>
      <c r="D3102" s="590"/>
      <c r="E3102" s="591"/>
      <c r="F3102" s="3"/>
      <c r="G3102" s="3"/>
      <c r="H3102" s="3"/>
      <c r="I3102" s="3"/>
      <c r="J3102" s="3"/>
      <c r="K3102" s="628">
        <f t="shared" si="142"/>
        <v>0</v>
      </c>
      <c r="L3102" s="630">
        <f t="shared" si="143"/>
        <v>0</v>
      </c>
    </row>
    <row r="3103" spans="3:12" x14ac:dyDescent="0.2">
      <c r="C3103" s="589" t="s">
        <v>933</v>
      </c>
      <c r="D3103" s="590" t="s">
        <v>108</v>
      </c>
      <c r="E3103" s="591">
        <f>(F3103+G3103+H3103+J3103)*112.7+(I3103*119.6)</f>
        <v>4112.3999999999996</v>
      </c>
      <c r="F3103" s="3">
        <v>10</v>
      </c>
      <c r="G3103" s="3">
        <v>4</v>
      </c>
      <c r="H3103" s="3">
        <v>4</v>
      </c>
      <c r="I3103" s="3">
        <v>8</v>
      </c>
      <c r="J3103" s="3">
        <v>10</v>
      </c>
      <c r="K3103" s="628">
        <f t="shared" si="142"/>
        <v>36</v>
      </c>
      <c r="L3103" s="630">
        <f t="shared" si="143"/>
        <v>9</v>
      </c>
    </row>
    <row r="3104" spans="3:12" x14ac:dyDescent="0.2">
      <c r="C3104" s="589" t="s">
        <v>932</v>
      </c>
      <c r="D3104" s="590" t="s">
        <v>393</v>
      </c>
      <c r="E3104" s="591">
        <f>(F3104+G3104+H3104+J3104)*112.7+(I3104*119.6)</f>
        <v>2732.4</v>
      </c>
      <c r="F3104" s="3">
        <v>6</v>
      </c>
      <c r="G3104" s="3">
        <v>4</v>
      </c>
      <c r="H3104" s="3">
        <v>4</v>
      </c>
      <c r="I3104" s="3">
        <v>4</v>
      </c>
      <c r="J3104" s="3">
        <v>6</v>
      </c>
      <c r="K3104" s="628">
        <f t="shared" si="142"/>
        <v>24</v>
      </c>
      <c r="L3104" s="630">
        <f t="shared" si="143"/>
        <v>6</v>
      </c>
    </row>
    <row r="3105" spans="3:12" x14ac:dyDescent="0.2">
      <c r="C3105" s="589" t="s">
        <v>931</v>
      </c>
      <c r="D3105" s="590" t="s">
        <v>216</v>
      </c>
      <c r="E3105" s="591">
        <f>(F3105+G3105+H3105+J3105)*112.7+(I3105*119.6)</f>
        <v>2281.6</v>
      </c>
      <c r="F3105" s="3">
        <v>6</v>
      </c>
      <c r="G3105" s="3">
        <v>4</v>
      </c>
      <c r="H3105" s="3"/>
      <c r="I3105" s="3">
        <v>4</v>
      </c>
      <c r="J3105" s="3">
        <v>6</v>
      </c>
      <c r="K3105" s="628">
        <f t="shared" si="142"/>
        <v>20</v>
      </c>
      <c r="L3105" s="630">
        <f t="shared" si="143"/>
        <v>5</v>
      </c>
    </row>
    <row r="3106" spans="3:12" x14ac:dyDescent="0.2">
      <c r="C3106" s="589"/>
      <c r="D3106" s="590"/>
      <c r="E3106" s="591"/>
      <c r="F3106" s="3"/>
      <c r="G3106" s="3"/>
      <c r="H3106" s="3"/>
      <c r="I3106" s="3"/>
      <c r="J3106" s="3"/>
      <c r="K3106" s="628">
        <f t="shared" si="142"/>
        <v>0</v>
      </c>
      <c r="L3106" s="630">
        <f t="shared" si="143"/>
        <v>0</v>
      </c>
    </row>
    <row r="3107" spans="3:12" x14ac:dyDescent="0.2">
      <c r="C3107" s="589" t="s">
        <v>427</v>
      </c>
      <c r="D3107" s="590" t="s">
        <v>394</v>
      </c>
      <c r="E3107" s="591">
        <f>(F3107+G3107+H3107+I3107+J3107)*120</f>
        <v>4200</v>
      </c>
      <c r="F3107" s="3">
        <v>10</v>
      </c>
      <c r="G3107" s="3">
        <v>5</v>
      </c>
      <c r="H3107" s="3">
        <v>5</v>
      </c>
      <c r="I3107" s="3">
        <v>5</v>
      </c>
      <c r="J3107" s="3">
        <v>10</v>
      </c>
      <c r="K3107" s="628">
        <f t="shared" si="142"/>
        <v>35</v>
      </c>
      <c r="L3107" s="630">
        <f t="shared" si="143"/>
        <v>8.75</v>
      </c>
    </row>
    <row r="3108" spans="3:12" x14ac:dyDescent="0.2">
      <c r="C3108" s="589" t="s">
        <v>934</v>
      </c>
      <c r="D3108" s="590" t="s">
        <v>110</v>
      </c>
      <c r="E3108" s="591">
        <f>(F3108+G3108+H3108+J3108)*112.7+(I3108*119.6)</f>
        <v>9577.2000000000007</v>
      </c>
      <c r="F3108" s="3">
        <v>40</v>
      </c>
      <c r="G3108" s="3">
        <v>16</v>
      </c>
      <c r="H3108" s="3"/>
      <c r="I3108" s="3">
        <v>16</v>
      </c>
      <c r="J3108" s="3">
        <v>12</v>
      </c>
      <c r="K3108" s="628">
        <f t="shared" si="142"/>
        <v>84</v>
      </c>
      <c r="L3108" s="630">
        <f t="shared" si="143"/>
        <v>21</v>
      </c>
    </row>
    <row r="3109" spans="3:12" x14ac:dyDescent="0.2">
      <c r="C3109" s="589"/>
      <c r="D3109" s="590"/>
      <c r="E3109" s="591"/>
      <c r="F3109" s="3"/>
      <c r="G3109" s="3"/>
      <c r="H3109" s="3"/>
      <c r="I3109" s="3"/>
      <c r="J3109" s="3"/>
      <c r="K3109" s="628">
        <f t="shared" si="142"/>
        <v>0</v>
      </c>
      <c r="L3109" s="630">
        <f t="shared" si="143"/>
        <v>0</v>
      </c>
    </row>
    <row r="3110" spans="3:12" x14ac:dyDescent="0.2">
      <c r="C3110" s="589"/>
      <c r="D3110" s="590" t="s">
        <v>381</v>
      </c>
      <c r="E3110" s="591">
        <f>(F3110+G3110+H3110+I3110+J3110)*120+(240*0)+(0*45)</f>
        <v>0</v>
      </c>
      <c r="F3110" s="3"/>
      <c r="G3110" s="3"/>
      <c r="H3110" s="3"/>
      <c r="I3110" s="3"/>
      <c r="J3110" s="3"/>
      <c r="K3110" s="628">
        <f t="shared" si="142"/>
        <v>0</v>
      </c>
      <c r="L3110" s="630">
        <f t="shared" si="143"/>
        <v>0</v>
      </c>
    </row>
    <row r="3111" spans="3:12" x14ac:dyDescent="0.2">
      <c r="C3111" s="589"/>
      <c r="D3111" s="590" t="s">
        <v>276</v>
      </c>
      <c r="E3111" s="591">
        <f>(F3111+G3111+H3111+J3111)*112.7+(I3111*119.6)</f>
        <v>0</v>
      </c>
      <c r="F3111" s="3"/>
      <c r="G3111" s="3"/>
      <c r="H3111" s="3"/>
      <c r="I3111" s="3"/>
      <c r="J3111" s="3"/>
      <c r="K3111" s="628">
        <f t="shared" si="142"/>
        <v>0</v>
      </c>
      <c r="L3111" s="630">
        <f t="shared" si="143"/>
        <v>0</v>
      </c>
    </row>
    <row r="3112" spans="3:12" x14ac:dyDescent="0.2">
      <c r="C3112" s="589"/>
      <c r="D3112" s="590"/>
      <c r="E3112" s="591"/>
      <c r="F3112" s="3"/>
      <c r="G3112" s="3"/>
      <c r="H3112" s="3"/>
      <c r="I3112" s="3"/>
      <c r="J3112" s="3"/>
      <c r="K3112" s="628">
        <f t="shared" si="142"/>
        <v>0</v>
      </c>
      <c r="L3112" s="630">
        <f t="shared" si="143"/>
        <v>0</v>
      </c>
    </row>
    <row r="3113" spans="3:12" x14ac:dyDescent="0.2">
      <c r="C3113" s="589"/>
      <c r="D3113" s="590" t="s">
        <v>75</v>
      </c>
      <c r="E3113" s="591">
        <f>(F3113+G3113+H3113+I3113+J3113)*120</f>
        <v>0</v>
      </c>
      <c r="F3113" s="3"/>
      <c r="G3113" s="3"/>
      <c r="H3113" s="3"/>
      <c r="I3113" s="3"/>
      <c r="J3113" s="3"/>
      <c r="K3113" s="628">
        <f t="shared" si="142"/>
        <v>0</v>
      </c>
      <c r="L3113" s="630">
        <f t="shared" si="143"/>
        <v>0</v>
      </c>
    </row>
    <row r="3114" spans="3:12" x14ac:dyDescent="0.2">
      <c r="C3114" s="589"/>
      <c r="D3114" s="590" t="s">
        <v>278</v>
      </c>
      <c r="E3114" s="591">
        <f>(F3114+G3114+H3114+I3114+J3114)*120</f>
        <v>0</v>
      </c>
      <c r="F3114" s="3"/>
      <c r="G3114" s="3"/>
      <c r="H3114" s="3"/>
      <c r="I3114" s="3"/>
      <c r="J3114" s="3"/>
      <c r="K3114" s="628">
        <f t="shared" si="142"/>
        <v>0</v>
      </c>
      <c r="L3114" s="630">
        <f t="shared" si="143"/>
        <v>0</v>
      </c>
    </row>
    <row r="3115" spans="3:12" x14ac:dyDescent="0.2">
      <c r="C3115" s="589"/>
      <c r="D3115" s="590" t="s">
        <v>270</v>
      </c>
      <c r="E3115" s="591">
        <f>(F3115+G3115+H3115+I3115)*112.7+(J3115*119.6)</f>
        <v>0</v>
      </c>
      <c r="F3115" s="3"/>
      <c r="G3115" s="3"/>
      <c r="H3115" s="3"/>
      <c r="I3115" s="3"/>
      <c r="J3115" s="3"/>
      <c r="K3115" s="628">
        <f t="shared" si="142"/>
        <v>0</v>
      </c>
      <c r="L3115" s="630">
        <f t="shared" si="143"/>
        <v>0</v>
      </c>
    </row>
    <row r="3116" spans="3:12" x14ac:dyDescent="0.2">
      <c r="C3116" s="589"/>
      <c r="D3116" s="590" t="s">
        <v>274</v>
      </c>
      <c r="E3116" s="591">
        <f>(F3116+G3116+H3116+I3116)*112.7+(J3116*119.6)</f>
        <v>0</v>
      </c>
      <c r="F3116" s="3"/>
      <c r="G3116" s="3"/>
      <c r="H3116" s="3"/>
      <c r="I3116" s="3"/>
      <c r="J3116" s="3"/>
      <c r="K3116" s="628">
        <f t="shared" si="142"/>
        <v>0</v>
      </c>
      <c r="L3116" s="630">
        <f t="shared" si="143"/>
        <v>0</v>
      </c>
    </row>
    <row r="3117" spans="3:12" x14ac:dyDescent="0.2">
      <c r="C3117" s="589"/>
      <c r="D3117" s="590" t="s">
        <v>395</v>
      </c>
      <c r="E3117" s="591">
        <f>(F3117+G3117+H3117+I3117)*112.7+(J3117*119.6)</f>
        <v>0</v>
      </c>
      <c r="F3117" s="3"/>
      <c r="G3117" s="3"/>
      <c r="H3117" s="3"/>
      <c r="I3117" s="3"/>
      <c r="J3117" s="3"/>
      <c r="K3117" s="628">
        <f t="shared" si="142"/>
        <v>0</v>
      </c>
      <c r="L3117" s="630">
        <f t="shared" si="143"/>
        <v>0</v>
      </c>
    </row>
    <row r="3118" spans="3:12" x14ac:dyDescent="0.2">
      <c r="C3118" s="683"/>
      <c r="D3118" s="590" t="s">
        <v>112</v>
      </c>
      <c r="E3118" s="591">
        <f>(F3118+G3118+H3118+I3118)*112.7+(J3118*119.6)</f>
        <v>0</v>
      </c>
      <c r="F3118" s="3"/>
      <c r="G3118" s="3"/>
      <c r="H3118" s="3"/>
      <c r="I3118" s="3"/>
      <c r="J3118" s="3"/>
      <c r="K3118" s="628">
        <f t="shared" si="142"/>
        <v>0</v>
      </c>
      <c r="L3118" s="630">
        <f t="shared" si="143"/>
        <v>0</v>
      </c>
    </row>
    <row r="3119" spans="3:12" x14ac:dyDescent="0.2">
      <c r="C3119" s="683"/>
      <c r="D3119" s="590" t="s">
        <v>72</v>
      </c>
      <c r="E3119" s="591">
        <f>(F3119+G3119+H3119+I3119)*112.7+(J3119*119.6)</f>
        <v>0</v>
      </c>
      <c r="F3119" s="3"/>
      <c r="G3119" s="3"/>
      <c r="H3119" s="3"/>
      <c r="I3119" s="3"/>
      <c r="J3119" s="3"/>
      <c r="K3119" s="628">
        <f t="shared" si="142"/>
        <v>0</v>
      </c>
      <c r="L3119" s="630">
        <f t="shared" si="143"/>
        <v>0</v>
      </c>
    </row>
    <row r="3120" spans="3:12" x14ac:dyDescent="0.2">
      <c r="C3120" s="683"/>
      <c r="D3120" s="590" t="s">
        <v>187</v>
      </c>
      <c r="E3120" s="591"/>
      <c r="F3120" s="3"/>
      <c r="G3120" s="3"/>
      <c r="H3120" s="3"/>
      <c r="I3120" s="3"/>
      <c r="J3120" s="3">
        <v>6</v>
      </c>
      <c r="K3120" s="628">
        <f>SUM(F3120:J3120)</f>
        <v>6</v>
      </c>
      <c r="L3120" s="3"/>
    </row>
    <row r="3121" spans="3:12" ht="16" x14ac:dyDescent="0.2">
      <c r="C3121" s="683"/>
      <c r="D3121" s="590"/>
      <c r="E3121" s="592"/>
      <c r="F3121" s="3"/>
      <c r="G3121" s="3"/>
      <c r="H3121" s="3"/>
      <c r="I3121" s="3"/>
      <c r="J3121" s="3"/>
      <c r="K3121" s="628">
        <f>SUM(F3121:J3121)</f>
        <v>0</v>
      </c>
      <c r="L3121" s="3"/>
    </row>
    <row r="3122" spans="3:12" ht="17" thickBot="1" x14ac:dyDescent="0.25">
      <c r="C3122" s="683"/>
      <c r="D3122" s="590"/>
      <c r="E3122" s="624"/>
      <c r="F3122" s="69"/>
      <c r="G3122" s="69"/>
      <c r="H3122" s="69"/>
      <c r="I3122" s="69"/>
      <c r="J3122" s="69"/>
      <c r="K3122" s="629"/>
      <c r="L3122" s="3"/>
    </row>
    <row r="3123" spans="3:12" ht="16" thickBot="1" x14ac:dyDescent="0.25">
      <c r="C3123" s="596"/>
      <c r="D3123" s="623" t="s">
        <v>19</v>
      </c>
      <c r="E3123" s="625">
        <f>SUM(E3097:E3120)</f>
        <v>28103.600000000002</v>
      </c>
      <c r="F3123" s="614">
        <f>SUM(F3097:F3122)</f>
        <v>88</v>
      </c>
      <c r="G3123" s="614">
        <f>SUM(G3097:G3122)</f>
        <v>45</v>
      </c>
      <c r="H3123" s="614">
        <f>SUM(H3097:H3122)</f>
        <v>17</v>
      </c>
      <c r="I3123" s="614">
        <f>SUM(I3097:I3122)</f>
        <v>41</v>
      </c>
      <c r="J3123" s="614">
        <f>SUM(J3097:J3122)</f>
        <v>66</v>
      </c>
      <c r="K3123" s="626">
        <f>SUM(F3123:J3123)</f>
        <v>257</v>
      </c>
      <c r="L3123" s="631">
        <f>SUM(L3097:L3122)</f>
        <v>62.75</v>
      </c>
    </row>
    <row r="3124" spans="3:12" x14ac:dyDescent="0.2">
      <c r="C3124" s="596"/>
      <c r="D3124" s="593" t="s">
        <v>113</v>
      </c>
      <c r="E3124" s="620"/>
      <c r="F3124" s="610">
        <f>F3094-F3123</f>
        <v>9</v>
      </c>
      <c r="G3124" s="610">
        <f>G3094-G3123</f>
        <v>11</v>
      </c>
      <c r="H3124" s="610">
        <f>H3094-H3123</f>
        <v>2</v>
      </c>
      <c r="I3124" s="610">
        <f>I3094-I3123</f>
        <v>10</v>
      </c>
      <c r="J3124" s="610">
        <f>J3094-J3123</f>
        <v>15</v>
      </c>
      <c r="K3124" s="636">
        <f>SUM(F3124:J3124)</f>
        <v>47</v>
      </c>
      <c r="L3124" s="3"/>
    </row>
    <row r="3125" spans="3:12" x14ac:dyDescent="0.2">
      <c r="C3125" s="683"/>
      <c r="D3125" s="593" t="s">
        <v>436</v>
      </c>
      <c r="E3125" s="594"/>
      <c r="F3125" s="581"/>
      <c r="G3125" s="581"/>
      <c r="H3125" s="581"/>
      <c r="I3125" s="581"/>
      <c r="J3125" s="581"/>
      <c r="K3125" s="637">
        <f>K3123+K3124</f>
        <v>304</v>
      </c>
      <c r="L3125" s="3"/>
    </row>
    <row r="3127" spans="3:12" ht="18" x14ac:dyDescent="0.2">
      <c r="C3127" s="685" t="s">
        <v>412</v>
      </c>
      <c r="D3127" s="582">
        <v>45750</v>
      </c>
      <c r="E3127" s="800"/>
      <c r="F3127" s="685" t="s">
        <v>83</v>
      </c>
      <c r="G3127" s="801" t="s">
        <v>66</v>
      </c>
      <c r="H3127" s="802"/>
      <c r="I3127" s="802"/>
      <c r="J3127" s="802"/>
      <c r="K3127" s="803"/>
    </row>
    <row r="3128" spans="3:12" x14ac:dyDescent="0.2">
      <c r="C3128" s="804"/>
      <c r="D3128" s="805"/>
      <c r="E3128" s="800"/>
      <c r="F3128" s="683" t="s">
        <v>93</v>
      </c>
      <c r="G3128" s="683" t="s">
        <v>93</v>
      </c>
      <c r="H3128" s="683"/>
      <c r="I3128" s="806"/>
      <c r="J3128" s="806"/>
      <c r="K3128" s="806"/>
    </row>
    <row r="3129" spans="3:12" x14ac:dyDescent="0.2">
      <c r="C3129" s="804"/>
      <c r="D3129" s="805"/>
      <c r="E3129" s="800"/>
      <c r="F3129" s="683" t="s">
        <v>94</v>
      </c>
      <c r="G3129" s="683" t="s">
        <v>95</v>
      </c>
      <c r="H3129" s="683" t="s">
        <v>96</v>
      </c>
      <c r="I3129" s="806"/>
      <c r="J3129" s="806"/>
      <c r="K3129" s="806"/>
    </row>
    <row r="3130" spans="3:12" x14ac:dyDescent="0.2">
      <c r="C3130" s="804"/>
      <c r="D3130" s="805"/>
      <c r="E3130" s="800"/>
      <c r="F3130" s="683"/>
      <c r="G3130" s="683"/>
      <c r="H3130" s="683"/>
      <c r="I3130" s="806"/>
      <c r="J3130" s="806"/>
      <c r="K3130" s="806"/>
    </row>
    <row r="3131" spans="3:12" ht="16" x14ac:dyDescent="0.2">
      <c r="C3131" s="683"/>
      <c r="D3131" s="583" t="s">
        <v>97</v>
      </c>
      <c r="E3131" s="584"/>
      <c r="F3131" s="581"/>
      <c r="G3131" s="585"/>
      <c r="H3131" s="585"/>
      <c r="I3131" s="586"/>
      <c r="J3131" s="586"/>
      <c r="K3131" s="586"/>
    </row>
    <row r="3132" spans="3:12" ht="26" x14ac:dyDescent="0.2">
      <c r="C3132" s="804"/>
      <c r="D3132" s="587"/>
      <c r="E3132" s="588"/>
      <c r="F3132" s="585" t="s">
        <v>383</v>
      </c>
      <c r="G3132" s="585" t="s">
        <v>384</v>
      </c>
      <c r="H3132" s="585" t="s">
        <v>385</v>
      </c>
      <c r="I3132" s="585" t="s">
        <v>386</v>
      </c>
      <c r="J3132" s="585" t="s">
        <v>387</v>
      </c>
      <c r="K3132" s="585" t="s">
        <v>84</v>
      </c>
    </row>
    <row r="3133" spans="3:12" x14ac:dyDescent="0.2">
      <c r="C3133" s="804"/>
      <c r="D3133" s="684" t="s">
        <v>167</v>
      </c>
      <c r="E3133" s="588"/>
      <c r="F3133" s="580"/>
      <c r="G3133" s="579"/>
      <c r="H3133" s="580"/>
      <c r="I3133" s="580"/>
      <c r="J3133" s="580"/>
      <c r="K3133" s="580">
        <f>SUM(F3133:J3133)</f>
        <v>0</v>
      </c>
    </row>
    <row r="3134" spans="3:12" x14ac:dyDescent="0.2">
      <c r="C3134" s="804"/>
      <c r="D3134" s="684" t="s">
        <v>207</v>
      </c>
      <c r="E3134" s="588"/>
      <c r="F3134" s="618"/>
      <c r="G3134" s="619"/>
      <c r="H3134" s="618"/>
      <c r="I3134" s="618"/>
      <c r="J3134" s="618"/>
      <c r="K3134" s="618">
        <f>SUM(F3134:J3134)</f>
        <v>0</v>
      </c>
    </row>
    <row r="3135" spans="3:12" x14ac:dyDescent="0.2">
      <c r="C3135" s="683"/>
      <c r="D3135" s="684" t="s">
        <v>100</v>
      </c>
      <c r="E3135" s="588"/>
      <c r="F3135" s="581"/>
      <c r="G3135" s="581"/>
      <c r="H3135" s="581"/>
      <c r="I3135" s="581">
        <v>1</v>
      </c>
      <c r="J3135" s="581"/>
      <c r="K3135" s="581">
        <f>SUM(F3135:J3135)</f>
        <v>1</v>
      </c>
    </row>
    <row r="3136" spans="3:12" x14ac:dyDescent="0.2">
      <c r="C3136" s="683"/>
      <c r="D3136" s="684" t="s">
        <v>101</v>
      </c>
      <c r="E3136" s="588"/>
      <c r="F3136" s="581"/>
      <c r="G3136" s="581"/>
      <c r="H3136" s="581"/>
      <c r="I3136" s="581"/>
      <c r="J3136" s="581"/>
      <c r="K3136" s="581">
        <f>SUM(F3136:J3136)</f>
        <v>0</v>
      </c>
    </row>
    <row r="3137" spans="3:12" ht="16" thickBot="1" x14ac:dyDescent="0.25">
      <c r="C3137" s="683"/>
      <c r="D3137" s="597" t="s">
        <v>102</v>
      </c>
      <c r="E3137" s="598"/>
      <c r="F3137" s="599">
        <v>9</v>
      </c>
      <c r="G3137" s="600">
        <v>11</v>
      </c>
      <c r="H3137" s="600">
        <v>2</v>
      </c>
      <c r="I3137" s="600">
        <v>10</v>
      </c>
      <c r="J3137" s="600">
        <v>15</v>
      </c>
      <c r="K3137" s="600">
        <f>SUM(F3137:J3137)</f>
        <v>47</v>
      </c>
    </row>
    <row r="3138" spans="3:12" ht="17" thickBot="1" x14ac:dyDescent="0.25">
      <c r="C3138" s="605"/>
      <c r="D3138" s="612" t="s">
        <v>84</v>
      </c>
      <c r="E3138" s="613"/>
      <c r="F3138" s="614">
        <f>(F3134+F3137)-F3136-F3135</f>
        <v>9</v>
      </c>
      <c r="G3138" s="615">
        <f>(G3134+G3137)-G3136-G3135</f>
        <v>11</v>
      </c>
      <c r="H3138" s="616">
        <f>(H3134+H3137)-H3136</f>
        <v>2</v>
      </c>
      <c r="I3138" s="615">
        <f>(I3134+I3137)-I3136-I3135</f>
        <v>9</v>
      </c>
      <c r="J3138" s="622">
        <f>(J3134+J3137)-J3136-J3135</f>
        <v>15</v>
      </c>
      <c r="K3138" s="617">
        <f>(K3134+K3137)-K3136-K3135</f>
        <v>46</v>
      </c>
    </row>
    <row r="3139" spans="3:12" ht="16" x14ac:dyDescent="0.2">
      <c r="C3139" s="683"/>
      <c r="D3139" s="608"/>
      <c r="E3139" s="609"/>
      <c r="F3139" s="610"/>
      <c r="G3139" s="595"/>
      <c r="H3139" s="611"/>
      <c r="I3139" s="595"/>
      <c r="J3139" s="595"/>
      <c r="K3139" s="595"/>
    </row>
    <row r="3140" spans="3:12" ht="16" thickBot="1" x14ac:dyDescent="0.25">
      <c r="C3140" s="606" t="s">
        <v>388</v>
      </c>
      <c r="D3140" s="607" t="s">
        <v>103</v>
      </c>
      <c r="E3140" s="603" t="s">
        <v>84</v>
      </c>
      <c r="F3140" s="602" t="s">
        <v>78</v>
      </c>
      <c r="G3140" s="602" t="s">
        <v>79</v>
      </c>
      <c r="H3140" s="602" t="s">
        <v>81</v>
      </c>
      <c r="I3140" s="601" t="s">
        <v>316</v>
      </c>
      <c r="J3140" s="601" t="s">
        <v>85</v>
      </c>
      <c r="K3140" s="601" t="s">
        <v>84</v>
      </c>
      <c r="L3140" s="174" t="s">
        <v>389</v>
      </c>
    </row>
    <row r="3141" spans="3:12" x14ac:dyDescent="0.2">
      <c r="C3141" s="589"/>
      <c r="D3141" s="604" t="s">
        <v>105</v>
      </c>
      <c r="E3141" s="591">
        <f>(F3141+G3141+H3141+I3141+J3141)*100+(0*230)</f>
        <v>0</v>
      </c>
      <c r="F3141" s="3"/>
      <c r="G3141" s="3"/>
      <c r="H3141" s="3"/>
      <c r="I3141" s="3"/>
      <c r="J3141" s="3"/>
      <c r="K3141" s="628">
        <f t="shared" ref="K3141:K3163" si="144">SUM(F3141:J3141)</f>
        <v>0</v>
      </c>
      <c r="L3141" s="630">
        <f>K3141/4</f>
        <v>0</v>
      </c>
    </row>
    <row r="3142" spans="3:12" x14ac:dyDescent="0.2">
      <c r="C3142" s="589"/>
      <c r="D3142" s="590" t="s">
        <v>390</v>
      </c>
      <c r="E3142" s="591">
        <f>(F3142+G3142+H3142+I3142+J3142)*120</f>
        <v>0</v>
      </c>
      <c r="F3142" s="3"/>
      <c r="G3142" s="3"/>
      <c r="H3142" s="3"/>
      <c r="I3142" s="3"/>
      <c r="J3142" s="3"/>
      <c r="K3142" s="628">
        <f t="shared" si="144"/>
        <v>0</v>
      </c>
      <c r="L3142" s="630">
        <f t="shared" ref="L3142:L3163" si="145">K3142/4</f>
        <v>0</v>
      </c>
    </row>
    <row r="3143" spans="3:12" x14ac:dyDescent="0.2">
      <c r="C3143" s="589"/>
      <c r="D3143" s="590" t="s">
        <v>391</v>
      </c>
      <c r="E3143" s="591">
        <f>(F3143+G3143+H3143+I3143+J3143)*120</f>
        <v>0</v>
      </c>
      <c r="F3143" s="3"/>
      <c r="G3143" s="3"/>
      <c r="H3143" s="3"/>
      <c r="I3143" s="3"/>
      <c r="J3143" s="3"/>
      <c r="K3143" s="628">
        <f t="shared" si="144"/>
        <v>0</v>
      </c>
      <c r="L3143" s="630">
        <f t="shared" si="145"/>
        <v>0</v>
      </c>
    </row>
    <row r="3144" spans="3:12" x14ac:dyDescent="0.2">
      <c r="C3144" s="589"/>
      <c r="D3144" s="590" t="s">
        <v>392</v>
      </c>
      <c r="E3144" s="591">
        <f>(F3144+G3144+H3144+I3144+J3144)*120</f>
        <v>0</v>
      </c>
      <c r="F3144" s="3"/>
      <c r="G3144" s="3"/>
      <c r="H3144" s="3"/>
      <c r="I3144" s="3"/>
      <c r="J3144" s="3"/>
      <c r="K3144" s="628">
        <f t="shared" si="144"/>
        <v>0</v>
      </c>
      <c r="L3144" s="630">
        <f t="shared" si="145"/>
        <v>0</v>
      </c>
    </row>
    <row r="3145" spans="3:12" x14ac:dyDescent="0.2">
      <c r="C3145" s="589"/>
      <c r="D3145" s="590" t="s">
        <v>425</v>
      </c>
      <c r="E3145" s="591">
        <f>(F3145+G3145+H3145+I3145+J3145)*120</f>
        <v>0</v>
      </c>
      <c r="F3145" s="3"/>
      <c r="G3145" s="3"/>
      <c r="H3145" s="3"/>
      <c r="I3145" s="3"/>
      <c r="J3145" s="3"/>
      <c r="K3145" s="628">
        <f t="shared" si="144"/>
        <v>0</v>
      </c>
      <c r="L3145" s="630">
        <f t="shared" si="145"/>
        <v>0</v>
      </c>
    </row>
    <row r="3146" spans="3:12" x14ac:dyDescent="0.2">
      <c r="C3146" s="589"/>
      <c r="D3146" s="590"/>
      <c r="E3146" s="591"/>
      <c r="F3146" s="3"/>
      <c r="G3146" s="3"/>
      <c r="H3146" s="3"/>
      <c r="I3146" s="3"/>
      <c r="J3146" s="3"/>
      <c r="K3146" s="628">
        <f t="shared" si="144"/>
        <v>0</v>
      </c>
      <c r="L3146" s="630">
        <f t="shared" si="145"/>
        <v>0</v>
      </c>
    </row>
    <row r="3147" spans="3:12" x14ac:dyDescent="0.2">
      <c r="C3147" s="589"/>
      <c r="D3147" s="590" t="s">
        <v>108</v>
      </c>
      <c r="E3147" s="591">
        <f>(F3147+G3147+H3147+J3147)*112.7+(I3147*119.6)</f>
        <v>0</v>
      </c>
      <c r="F3147" s="3"/>
      <c r="G3147" s="3"/>
      <c r="H3147" s="3"/>
      <c r="I3147" s="3"/>
      <c r="J3147" s="3"/>
      <c r="K3147" s="628">
        <f t="shared" si="144"/>
        <v>0</v>
      </c>
      <c r="L3147" s="630">
        <f t="shared" si="145"/>
        <v>0</v>
      </c>
    </row>
    <row r="3148" spans="3:12" x14ac:dyDescent="0.2">
      <c r="C3148" s="589"/>
      <c r="D3148" s="590" t="s">
        <v>393</v>
      </c>
      <c r="E3148" s="591">
        <f>(F3148+G3148+H3148+J3148)*112.7+(I3148*119.6)</f>
        <v>0</v>
      </c>
      <c r="F3148" s="3"/>
      <c r="G3148" s="3"/>
      <c r="H3148" s="3"/>
      <c r="I3148" s="3"/>
      <c r="J3148" s="3"/>
      <c r="K3148" s="628">
        <f t="shared" si="144"/>
        <v>0</v>
      </c>
      <c r="L3148" s="630">
        <f t="shared" si="145"/>
        <v>0</v>
      </c>
    </row>
    <row r="3149" spans="3:12" x14ac:dyDescent="0.2">
      <c r="C3149" s="589"/>
      <c r="D3149" s="590" t="s">
        <v>216</v>
      </c>
      <c r="E3149" s="591">
        <f>(F3149+G3149+H3149+J3149)*112.7+(I3149*119.6)</f>
        <v>0</v>
      </c>
      <c r="F3149" s="3"/>
      <c r="G3149" s="3"/>
      <c r="H3149" s="3"/>
      <c r="I3149" s="3"/>
      <c r="J3149" s="3"/>
      <c r="K3149" s="628">
        <f t="shared" si="144"/>
        <v>0</v>
      </c>
      <c r="L3149" s="630">
        <f t="shared" si="145"/>
        <v>0</v>
      </c>
    </row>
    <row r="3150" spans="3:12" x14ac:dyDescent="0.2">
      <c r="C3150" s="589"/>
      <c r="D3150" s="590"/>
      <c r="E3150" s="591"/>
      <c r="F3150" s="3"/>
      <c r="G3150" s="3"/>
      <c r="H3150" s="3"/>
      <c r="I3150" s="3"/>
      <c r="J3150" s="3"/>
      <c r="K3150" s="628">
        <f t="shared" si="144"/>
        <v>0</v>
      </c>
      <c r="L3150" s="630">
        <f t="shared" si="145"/>
        <v>0</v>
      </c>
    </row>
    <row r="3151" spans="3:12" x14ac:dyDescent="0.2">
      <c r="C3151" s="589"/>
      <c r="D3151" s="590" t="s">
        <v>394</v>
      </c>
      <c r="E3151" s="591">
        <f>(F3151+G3151+H3151+I3151+J3151)*120</f>
        <v>0</v>
      </c>
      <c r="F3151" s="3"/>
      <c r="G3151" s="3"/>
      <c r="H3151" s="3"/>
      <c r="I3151" s="3"/>
      <c r="J3151" s="3"/>
      <c r="K3151" s="628">
        <f t="shared" si="144"/>
        <v>0</v>
      </c>
      <c r="L3151" s="630">
        <f t="shared" si="145"/>
        <v>0</v>
      </c>
    </row>
    <row r="3152" spans="3:12" x14ac:dyDescent="0.2">
      <c r="C3152" s="589"/>
      <c r="D3152" s="590" t="s">
        <v>110</v>
      </c>
      <c r="E3152" s="591">
        <f>(F3152+G3152+H3152+J3152)*112.7+(I3152*119.6)</f>
        <v>0</v>
      </c>
      <c r="F3152" s="3"/>
      <c r="G3152" s="3"/>
      <c r="H3152" s="3"/>
      <c r="I3152" s="3"/>
      <c r="J3152" s="3"/>
      <c r="K3152" s="628">
        <f t="shared" si="144"/>
        <v>0</v>
      </c>
      <c r="L3152" s="630">
        <f t="shared" si="145"/>
        <v>0</v>
      </c>
    </row>
    <row r="3153" spans="3:12" x14ac:dyDescent="0.2">
      <c r="C3153" s="589"/>
      <c r="D3153" s="590"/>
      <c r="E3153" s="591"/>
      <c r="F3153" s="3"/>
      <c r="G3153" s="3"/>
      <c r="H3153" s="3"/>
      <c r="I3153" s="3"/>
      <c r="J3153" s="3"/>
      <c r="K3153" s="628">
        <f t="shared" si="144"/>
        <v>0</v>
      </c>
      <c r="L3153" s="630">
        <f t="shared" si="145"/>
        <v>0</v>
      </c>
    </row>
    <row r="3154" spans="3:12" x14ac:dyDescent="0.2">
      <c r="C3154" s="589"/>
      <c r="D3154" s="590" t="s">
        <v>381</v>
      </c>
      <c r="E3154" s="591">
        <f>(F3154+G3154+H3154+I3154+J3154)*120+(240*0)+(0*45)</f>
        <v>0</v>
      </c>
      <c r="F3154" s="3"/>
      <c r="G3154" s="3"/>
      <c r="H3154" s="3"/>
      <c r="I3154" s="3"/>
      <c r="J3154" s="3"/>
      <c r="K3154" s="628">
        <f t="shared" si="144"/>
        <v>0</v>
      </c>
      <c r="L3154" s="630">
        <f t="shared" si="145"/>
        <v>0</v>
      </c>
    </row>
    <row r="3155" spans="3:12" x14ac:dyDescent="0.2">
      <c r="C3155" s="589" t="s">
        <v>936</v>
      </c>
      <c r="D3155" s="590" t="s">
        <v>276</v>
      </c>
      <c r="E3155" s="591">
        <f>(F3155+G3155+H3155+J3155)*112.7+(I3155*119.6)</f>
        <v>3781.2</v>
      </c>
      <c r="F3155" s="3">
        <v>9</v>
      </c>
      <c r="G3155" s="3">
        <v>8</v>
      </c>
      <c r="H3155" s="3"/>
      <c r="I3155" s="3">
        <v>9</v>
      </c>
      <c r="J3155" s="3">
        <v>7</v>
      </c>
      <c r="K3155" s="628">
        <f t="shared" si="144"/>
        <v>33</v>
      </c>
      <c r="L3155" s="630">
        <f t="shared" si="145"/>
        <v>8.25</v>
      </c>
    </row>
    <row r="3156" spans="3:12" x14ac:dyDescent="0.2">
      <c r="C3156" s="589"/>
      <c r="D3156" s="590"/>
      <c r="E3156" s="591"/>
      <c r="F3156" s="3"/>
      <c r="G3156" s="3"/>
      <c r="H3156" s="3"/>
      <c r="I3156" s="3"/>
      <c r="J3156" s="3"/>
      <c r="K3156" s="628">
        <f t="shared" si="144"/>
        <v>0</v>
      </c>
      <c r="L3156" s="630">
        <f t="shared" si="145"/>
        <v>0</v>
      </c>
    </row>
    <row r="3157" spans="3:12" x14ac:dyDescent="0.2">
      <c r="C3157" s="589"/>
      <c r="D3157" s="590" t="s">
        <v>75</v>
      </c>
      <c r="E3157" s="591">
        <f>(F3157+G3157+H3157+I3157+J3157)*120</f>
        <v>0</v>
      </c>
      <c r="F3157" s="3"/>
      <c r="G3157" s="3"/>
      <c r="H3157" s="3"/>
      <c r="I3157" s="3"/>
      <c r="J3157" s="3"/>
      <c r="K3157" s="628">
        <f t="shared" si="144"/>
        <v>0</v>
      </c>
      <c r="L3157" s="630">
        <f t="shared" si="145"/>
        <v>0</v>
      </c>
    </row>
    <row r="3158" spans="3:12" x14ac:dyDescent="0.2">
      <c r="C3158" s="589"/>
      <c r="D3158" s="590" t="s">
        <v>278</v>
      </c>
      <c r="E3158" s="591">
        <f>(F3158+G3158+H3158+I3158+J3158)*120</f>
        <v>0</v>
      </c>
      <c r="F3158" s="3"/>
      <c r="G3158" s="3"/>
      <c r="H3158" s="3"/>
      <c r="I3158" s="3"/>
      <c r="J3158" s="3"/>
      <c r="K3158" s="628">
        <f t="shared" si="144"/>
        <v>0</v>
      </c>
      <c r="L3158" s="630">
        <f t="shared" si="145"/>
        <v>0</v>
      </c>
    </row>
    <row r="3159" spans="3:12" x14ac:dyDescent="0.2">
      <c r="C3159" s="589"/>
      <c r="D3159" s="590" t="s">
        <v>270</v>
      </c>
      <c r="E3159" s="591">
        <f>(F3159+G3159+H3159+I3159)*112.7+(J3159*119.6)</f>
        <v>0</v>
      </c>
      <c r="F3159" s="3"/>
      <c r="G3159" s="3"/>
      <c r="H3159" s="3"/>
      <c r="I3159" s="3"/>
      <c r="J3159" s="3"/>
      <c r="K3159" s="628">
        <f t="shared" si="144"/>
        <v>0</v>
      </c>
      <c r="L3159" s="630">
        <f t="shared" si="145"/>
        <v>0</v>
      </c>
    </row>
    <row r="3160" spans="3:12" x14ac:dyDescent="0.2">
      <c r="C3160" s="589"/>
      <c r="D3160" s="590" t="s">
        <v>274</v>
      </c>
      <c r="E3160" s="591">
        <f>(F3160+G3160+H3160+I3160)*112.7+(J3160*119.6)</f>
        <v>0</v>
      </c>
      <c r="F3160" s="3"/>
      <c r="G3160" s="3"/>
      <c r="H3160" s="3"/>
      <c r="I3160" s="3"/>
      <c r="J3160" s="3"/>
      <c r="K3160" s="628">
        <f t="shared" si="144"/>
        <v>0</v>
      </c>
      <c r="L3160" s="630">
        <f t="shared" si="145"/>
        <v>0</v>
      </c>
    </row>
    <row r="3161" spans="3:12" x14ac:dyDescent="0.2">
      <c r="C3161" s="589"/>
      <c r="D3161" s="590" t="s">
        <v>395</v>
      </c>
      <c r="E3161" s="591">
        <f>(F3161+G3161+H3161+I3161)*112.7+(J3161*119.6)</f>
        <v>0</v>
      </c>
      <c r="F3161" s="3"/>
      <c r="G3161" s="3"/>
      <c r="H3161" s="3"/>
      <c r="I3161" s="3"/>
      <c r="J3161" s="3"/>
      <c r="K3161" s="628">
        <f t="shared" si="144"/>
        <v>0</v>
      </c>
      <c r="L3161" s="630">
        <f t="shared" si="145"/>
        <v>0</v>
      </c>
    </row>
    <row r="3162" spans="3:12" x14ac:dyDescent="0.2">
      <c r="C3162" s="683"/>
      <c r="D3162" s="590" t="s">
        <v>112</v>
      </c>
      <c r="E3162" s="591">
        <f>(F3162+G3162+H3162+I3162)*112.7+(J3162*119.6)</f>
        <v>0</v>
      </c>
      <c r="F3162" s="3"/>
      <c r="G3162" s="3"/>
      <c r="H3162" s="3"/>
      <c r="I3162" s="3"/>
      <c r="J3162" s="3"/>
      <c r="K3162" s="628">
        <f t="shared" si="144"/>
        <v>0</v>
      </c>
      <c r="L3162" s="630">
        <f t="shared" si="145"/>
        <v>0</v>
      </c>
    </row>
    <row r="3163" spans="3:12" x14ac:dyDescent="0.2">
      <c r="C3163" s="683"/>
      <c r="D3163" s="590" t="s">
        <v>72</v>
      </c>
      <c r="E3163" s="591">
        <f>(F3163+G3163+H3163+I3163)*112.7+(J3163*119.6)</f>
        <v>0</v>
      </c>
      <c r="F3163" s="3"/>
      <c r="G3163" s="3"/>
      <c r="H3163" s="3"/>
      <c r="I3163" s="3"/>
      <c r="J3163" s="3"/>
      <c r="K3163" s="628">
        <f t="shared" si="144"/>
        <v>0</v>
      </c>
      <c r="L3163" s="630">
        <f t="shared" si="145"/>
        <v>0</v>
      </c>
    </row>
    <row r="3164" spans="3:12" x14ac:dyDescent="0.2">
      <c r="C3164" s="683"/>
      <c r="D3164" s="590" t="s">
        <v>187</v>
      </c>
      <c r="E3164" s="591"/>
      <c r="F3164" s="3"/>
      <c r="G3164" s="3">
        <v>1</v>
      </c>
      <c r="H3164" s="3"/>
      <c r="I3164" s="3"/>
      <c r="J3164" s="3">
        <v>2</v>
      </c>
      <c r="K3164" s="628">
        <f>SUM(F3164:J3164)</f>
        <v>3</v>
      </c>
      <c r="L3164" s="3"/>
    </row>
    <row r="3165" spans="3:12" ht="16" x14ac:dyDescent="0.2">
      <c r="C3165" s="683"/>
      <c r="D3165" s="590"/>
      <c r="E3165" s="592"/>
      <c r="F3165" s="3"/>
      <c r="G3165" s="3"/>
      <c r="H3165" s="3"/>
      <c r="I3165" s="3"/>
      <c r="J3165" s="3"/>
      <c r="K3165" s="628">
        <f>SUM(F3165:J3165)</f>
        <v>0</v>
      </c>
      <c r="L3165" s="3"/>
    </row>
    <row r="3166" spans="3:12" ht="17" thickBot="1" x14ac:dyDescent="0.25">
      <c r="C3166" s="683"/>
      <c r="D3166" s="590"/>
      <c r="E3166" s="624"/>
      <c r="F3166" s="69"/>
      <c r="G3166" s="69"/>
      <c r="H3166" s="69"/>
      <c r="I3166" s="69"/>
      <c r="J3166" s="69"/>
      <c r="K3166" s="629"/>
      <c r="L3166" s="3"/>
    </row>
    <row r="3167" spans="3:12" ht="16" thickBot="1" x14ac:dyDescent="0.25">
      <c r="C3167" s="596"/>
      <c r="D3167" s="623" t="s">
        <v>19</v>
      </c>
      <c r="E3167" s="625">
        <f>SUM(E3141:E3164)</f>
        <v>3781.2</v>
      </c>
      <c r="F3167" s="614">
        <f>SUM(F3141:F3166)</f>
        <v>9</v>
      </c>
      <c r="G3167" s="614">
        <f>SUM(G3141:G3166)</f>
        <v>9</v>
      </c>
      <c r="H3167" s="614">
        <f>SUM(H3141:H3166)</f>
        <v>0</v>
      </c>
      <c r="I3167" s="614">
        <f>SUM(I3141:I3166)</f>
        <v>9</v>
      </c>
      <c r="J3167" s="614">
        <f>SUM(J3141:J3166)</f>
        <v>9</v>
      </c>
      <c r="K3167" s="626">
        <f>SUM(F3167:J3167)</f>
        <v>36</v>
      </c>
      <c r="L3167" s="631">
        <f>SUM(L3141:L3166)</f>
        <v>8.25</v>
      </c>
    </row>
    <row r="3168" spans="3:12" x14ac:dyDescent="0.2">
      <c r="C3168" s="596"/>
      <c r="D3168" s="593" t="s">
        <v>113</v>
      </c>
      <c r="E3168" s="620"/>
      <c r="F3168" s="610">
        <f>F3138-F3167</f>
        <v>0</v>
      </c>
      <c r="G3168" s="610">
        <f>G3138-G3167</f>
        <v>2</v>
      </c>
      <c r="H3168" s="610">
        <f>H3138-H3167</f>
        <v>2</v>
      </c>
      <c r="I3168" s="610">
        <f>I3138-I3167</f>
        <v>0</v>
      </c>
      <c r="J3168" s="610">
        <f>J3138-J3167</f>
        <v>6</v>
      </c>
      <c r="K3168" s="636">
        <f>SUM(F3168:J3168)</f>
        <v>10</v>
      </c>
      <c r="L3168" s="3"/>
    </row>
    <row r="3169" spans="3:12" x14ac:dyDescent="0.2">
      <c r="C3169" s="683"/>
      <c r="D3169" s="593" t="s">
        <v>436</v>
      </c>
      <c r="E3169" s="594"/>
      <c r="F3169" s="581"/>
      <c r="G3169" s="581"/>
      <c r="H3169" s="581"/>
      <c r="I3169" s="581"/>
      <c r="J3169" s="581"/>
      <c r="K3169" s="637">
        <f>K3167+K3168</f>
        <v>46</v>
      </c>
      <c r="L3169" s="3"/>
    </row>
    <row r="3171" spans="3:12" ht="18" x14ac:dyDescent="0.2">
      <c r="C3171" s="685" t="s">
        <v>412</v>
      </c>
      <c r="D3171" s="582">
        <v>45751</v>
      </c>
      <c r="E3171" s="800"/>
      <c r="F3171" s="685" t="s">
        <v>83</v>
      </c>
      <c r="G3171" s="801" t="s">
        <v>67</v>
      </c>
      <c r="H3171" s="802"/>
      <c r="I3171" s="802"/>
      <c r="J3171" s="802"/>
      <c r="K3171" s="803"/>
    </row>
    <row r="3172" spans="3:12" x14ac:dyDescent="0.2">
      <c r="C3172" s="804"/>
      <c r="D3172" s="805"/>
      <c r="E3172" s="800"/>
      <c r="F3172" s="683" t="s">
        <v>93</v>
      </c>
      <c r="G3172" s="683" t="s">
        <v>93</v>
      </c>
      <c r="H3172" s="683"/>
      <c r="I3172" s="806"/>
      <c r="J3172" s="806"/>
      <c r="K3172" s="806"/>
    </row>
    <row r="3173" spans="3:12" x14ac:dyDescent="0.2">
      <c r="C3173" s="804"/>
      <c r="D3173" s="805"/>
      <c r="E3173" s="800"/>
      <c r="F3173" s="683" t="s">
        <v>94</v>
      </c>
      <c r="G3173" s="683" t="s">
        <v>95</v>
      </c>
      <c r="H3173" s="683" t="s">
        <v>96</v>
      </c>
      <c r="I3173" s="806"/>
      <c r="J3173" s="806"/>
      <c r="K3173" s="806"/>
    </row>
    <row r="3174" spans="3:12" x14ac:dyDescent="0.2">
      <c r="C3174" s="804"/>
      <c r="D3174" s="805"/>
      <c r="E3174" s="800"/>
      <c r="F3174" s="683"/>
      <c r="G3174" s="683"/>
      <c r="H3174" s="683"/>
      <c r="I3174" s="806"/>
      <c r="J3174" s="806"/>
      <c r="K3174" s="806"/>
    </row>
    <row r="3175" spans="3:12" ht="16" x14ac:dyDescent="0.2">
      <c r="C3175" s="683"/>
      <c r="D3175" s="583" t="s">
        <v>97</v>
      </c>
      <c r="E3175" s="584"/>
      <c r="F3175" s="581"/>
      <c r="G3175" s="585"/>
      <c r="H3175" s="585"/>
      <c r="I3175" s="586"/>
      <c r="J3175" s="586"/>
      <c r="K3175" s="586"/>
    </row>
    <row r="3176" spans="3:12" ht="26" x14ac:dyDescent="0.2">
      <c r="C3176" s="804"/>
      <c r="D3176" s="587"/>
      <c r="E3176" s="588"/>
      <c r="F3176" s="585" t="s">
        <v>383</v>
      </c>
      <c r="G3176" s="585" t="s">
        <v>384</v>
      </c>
      <c r="H3176" s="585" t="s">
        <v>385</v>
      </c>
      <c r="I3176" s="585" t="s">
        <v>386</v>
      </c>
      <c r="J3176" s="585" t="s">
        <v>387</v>
      </c>
      <c r="K3176" s="585" t="s">
        <v>84</v>
      </c>
    </row>
    <row r="3177" spans="3:12" x14ac:dyDescent="0.2">
      <c r="C3177" s="804"/>
      <c r="D3177" s="684" t="s">
        <v>167</v>
      </c>
      <c r="E3177" s="588"/>
      <c r="F3177" s="580">
        <v>14</v>
      </c>
      <c r="G3177" s="579">
        <v>9</v>
      </c>
      <c r="H3177" s="580">
        <v>4</v>
      </c>
      <c r="I3177" s="580">
        <v>5</v>
      </c>
      <c r="J3177" s="580">
        <v>10</v>
      </c>
      <c r="K3177" s="580">
        <f>SUM(F3177:J3177)</f>
        <v>42</v>
      </c>
    </row>
    <row r="3178" spans="3:12" x14ac:dyDescent="0.2">
      <c r="C3178" s="804"/>
      <c r="D3178" s="684" t="s">
        <v>207</v>
      </c>
      <c r="E3178" s="588"/>
      <c r="F3178" s="618">
        <v>98</v>
      </c>
      <c r="G3178" s="619">
        <v>63</v>
      </c>
      <c r="H3178" s="618">
        <v>28</v>
      </c>
      <c r="I3178" s="618">
        <v>55</v>
      </c>
      <c r="J3178" s="618">
        <v>86</v>
      </c>
      <c r="K3178" s="618">
        <f>SUM(F3178:J3178)</f>
        <v>330</v>
      </c>
    </row>
    <row r="3179" spans="3:12" x14ac:dyDescent="0.2">
      <c r="C3179" s="683"/>
      <c r="D3179" s="684" t="s">
        <v>100</v>
      </c>
      <c r="E3179" s="588"/>
      <c r="F3179" s="581">
        <v>6</v>
      </c>
      <c r="G3179" s="581"/>
      <c r="H3179" s="581">
        <v>2</v>
      </c>
      <c r="I3179" s="581"/>
      <c r="J3179" s="581">
        <v>1</v>
      </c>
      <c r="K3179" s="581">
        <f>SUM(F3179:J3179)</f>
        <v>9</v>
      </c>
    </row>
    <row r="3180" spans="3:12" x14ac:dyDescent="0.2">
      <c r="C3180" s="683"/>
      <c r="D3180" s="684" t="s">
        <v>101</v>
      </c>
      <c r="E3180" s="588"/>
      <c r="F3180" s="581">
        <v>1</v>
      </c>
      <c r="G3180" s="581">
        <v>2</v>
      </c>
      <c r="H3180" s="581">
        <v>1</v>
      </c>
      <c r="I3180" s="581"/>
      <c r="J3180" s="581">
        <v>2</v>
      </c>
      <c r="K3180" s="581">
        <f>SUM(F3180:J3180)</f>
        <v>6</v>
      </c>
    </row>
    <row r="3181" spans="3:12" ht="16" thickBot="1" x14ac:dyDescent="0.25">
      <c r="C3181" s="683"/>
      <c r="D3181" s="597" t="s">
        <v>102</v>
      </c>
      <c r="E3181" s="598"/>
      <c r="F3181" s="599"/>
      <c r="G3181" s="600">
        <v>3</v>
      </c>
      <c r="H3181" s="600">
        <v>2</v>
      </c>
      <c r="I3181" s="600"/>
      <c r="J3181" s="600">
        <v>6</v>
      </c>
      <c r="K3181" s="600">
        <f>SUM(F3181:J3181)</f>
        <v>11</v>
      </c>
    </row>
    <row r="3182" spans="3:12" ht="17" thickBot="1" x14ac:dyDescent="0.25">
      <c r="C3182" s="605"/>
      <c r="D3182" s="612" t="s">
        <v>84</v>
      </c>
      <c r="E3182" s="613"/>
      <c r="F3182" s="614">
        <f>(F3178+F3181)-F3180-F3179</f>
        <v>91</v>
      </c>
      <c r="G3182" s="615">
        <f>(G3178+G3181)-G3180-G3179</f>
        <v>64</v>
      </c>
      <c r="H3182" s="616" t="s">
        <v>938</v>
      </c>
      <c r="I3182" s="615">
        <f>(I3178+I3181)-I3180-I3179</f>
        <v>55</v>
      </c>
      <c r="J3182" s="622">
        <f>(J3178+J3181)-J3180-J3179</f>
        <v>89</v>
      </c>
      <c r="K3182" s="617">
        <f>(K3178+K3181)-K3180-K3179</f>
        <v>326</v>
      </c>
    </row>
    <row r="3183" spans="3:12" ht="16" x14ac:dyDescent="0.2">
      <c r="C3183" s="683"/>
      <c r="D3183" s="608"/>
      <c r="E3183" s="609"/>
      <c r="F3183" s="610"/>
      <c r="G3183" s="595"/>
      <c r="H3183" s="611"/>
      <c r="I3183" s="595"/>
      <c r="J3183" s="595"/>
      <c r="K3183" s="595"/>
    </row>
    <row r="3184" spans="3:12" ht="16" thickBot="1" x14ac:dyDescent="0.25">
      <c r="C3184" s="606" t="s">
        <v>388</v>
      </c>
      <c r="D3184" s="607" t="s">
        <v>103</v>
      </c>
      <c r="E3184" s="603" t="s">
        <v>84</v>
      </c>
      <c r="F3184" s="602" t="s">
        <v>78</v>
      </c>
      <c r="G3184" s="602" t="s">
        <v>79</v>
      </c>
      <c r="H3184" s="602" t="s">
        <v>81</v>
      </c>
      <c r="I3184" s="601" t="s">
        <v>316</v>
      </c>
      <c r="J3184" s="601" t="s">
        <v>85</v>
      </c>
      <c r="K3184" s="601" t="s">
        <v>84</v>
      </c>
      <c r="L3184" s="174" t="s">
        <v>389</v>
      </c>
    </row>
    <row r="3185" spans="3:12" x14ac:dyDescent="0.2">
      <c r="C3185" s="589" t="s">
        <v>939</v>
      </c>
      <c r="D3185" s="604" t="s">
        <v>105</v>
      </c>
      <c r="E3185" s="591">
        <f>(F3185+G3185+H3185+I3185+J3185)*100+(0*230)</f>
        <v>4200</v>
      </c>
      <c r="F3185" s="3">
        <v>7</v>
      </c>
      <c r="G3185" s="3">
        <v>12</v>
      </c>
      <c r="H3185" s="3">
        <v>3</v>
      </c>
      <c r="I3185" s="3">
        <v>3</v>
      </c>
      <c r="J3185" s="3">
        <v>17</v>
      </c>
      <c r="K3185" s="628">
        <f t="shared" ref="K3185:K3207" si="146">SUM(F3185:J3185)</f>
        <v>42</v>
      </c>
      <c r="L3185" s="630">
        <f>K3185/4</f>
        <v>10.5</v>
      </c>
    </row>
    <row r="3186" spans="3:12" x14ac:dyDescent="0.2">
      <c r="C3186" s="589" t="s">
        <v>416</v>
      </c>
      <c r="D3186" s="590" t="s">
        <v>390</v>
      </c>
      <c r="E3186" s="591">
        <f>(F3186+G3186+H3186+I3186+J3186)*120</f>
        <v>1200</v>
      </c>
      <c r="F3186" s="3">
        <v>2</v>
      </c>
      <c r="G3186" s="3">
        <v>2</v>
      </c>
      <c r="H3186" s="3">
        <v>2</v>
      </c>
      <c r="I3186" s="3">
        <v>2</v>
      </c>
      <c r="J3186" s="3">
        <v>2</v>
      </c>
      <c r="K3186" s="628">
        <f t="shared" si="146"/>
        <v>10</v>
      </c>
      <c r="L3186" s="630">
        <f t="shared" ref="L3186:L3207" si="147">K3186/4</f>
        <v>2.5</v>
      </c>
    </row>
    <row r="3187" spans="3:12" x14ac:dyDescent="0.2">
      <c r="C3187" s="589" t="s">
        <v>940</v>
      </c>
      <c r="D3187" s="590" t="s">
        <v>391</v>
      </c>
      <c r="E3187" s="591">
        <f>(F3187+G3187+H3187+I3187+J3187)*120</f>
        <v>3000</v>
      </c>
      <c r="F3187" s="3">
        <v>5</v>
      </c>
      <c r="G3187" s="3">
        <v>5</v>
      </c>
      <c r="H3187" s="3">
        <v>5</v>
      </c>
      <c r="I3187" s="3">
        <v>5</v>
      </c>
      <c r="J3187" s="3">
        <v>5</v>
      </c>
      <c r="K3187" s="628">
        <f t="shared" si="146"/>
        <v>25</v>
      </c>
      <c r="L3187" s="630">
        <f t="shared" si="147"/>
        <v>6.25</v>
      </c>
    </row>
    <row r="3188" spans="3:12" x14ac:dyDescent="0.2">
      <c r="C3188" s="589" t="s">
        <v>417</v>
      </c>
      <c r="D3188" s="590" t="s">
        <v>392</v>
      </c>
      <c r="E3188" s="591">
        <f>(F3188+G3188+H3188+I3188+J3188)*120</f>
        <v>2400</v>
      </c>
      <c r="F3188" s="3">
        <v>6</v>
      </c>
      <c r="G3188" s="3">
        <v>2</v>
      </c>
      <c r="H3188" s="3">
        <v>6</v>
      </c>
      <c r="I3188" s="3"/>
      <c r="J3188" s="3">
        <v>6</v>
      </c>
      <c r="K3188" s="628">
        <f t="shared" si="146"/>
        <v>20</v>
      </c>
      <c r="L3188" s="630">
        <f t="shared" si="147"/>
        <v>5</v>
      </c>
    </row>
    <row r="3189" spans="3:12" x14ac:dyDescent="0.2">
      <c r="C3189" s="589"/>
      <c r="D3189" s="590" t="s">
        <v>425</v>
      </c>
      <c r="E3189" s="591">
        <f>(F3189+G3189+H3189+I3189+J3189)*120</f>
        <v>0</v>
      </c>
      <c r="F3189" s="3"/>
      <c r="G3189" s="3"/>
      <c r="H3189" s="3"/>
      <c r="I3189" s="3"/>
      <c r="J3189" s="3"/>
      <c r="K3189" s="628">
        <f t="shared" si="146"/>
        <v>0</v>
      </c>
      <c r="L3189" s="630">
        <f t="shared" si="147"/>
        <v>0</v>
      </c>
    </row>
    <row r="3190" spans="3:12" x14ac:dyDescent="0.2">
      <c r="C3190" s="589"/>
      <c r="D3190" s="590"/>
      <c r="E3190" s="591"/>
      <c r="F3190" s="3"/>
      <c r="G3190" s="3"/>
      <c r="H3190" s="3"/>
      <c r="I3190" s="3"/>
      <c r="J3190" s="3"/>
      <c r="K3190" s="628">
        <f t="shared" si="146"/>
        <v>0</v>
      </c>
      <c r="L3190" s="630">
        <f t="shared" si="147"/>
        <v>0</v>
      </c>
    </row>
    <row r="3191" spans="3:12" x14ac:dyDescent="0.2">
      <c r="C3191" s="589" t="s">
        <v>943</v>
      </c>
      <c r="D3191" s="590" t="s">
        <v>108</v>
      </c>
      <c r="E3191" s="591">
        <f>(F3191+G3191+H3191+J3191)*112.7+(I3191*119.6)</f>
        <v>5943.2</v>
      </c>
      <c r="F3191" s="3">
        <v>14</v>
      </c>
      <c r="G3191" s="3">
        <v>6</v>
      </c>
      <c r="H3191" s="3">
        <v>6</v>
      </c>
      <c r="I3191" s="3">
        <v>12</v>
      </c>
      <c r="J3191" s="3">
        <v>14</v>
      </c>
      <c r="K3191" s="628">
        <f t="shared" si="146"/>
        <v>52</v>
      </c>
      <c r="L3191" s="630">
        <f t="shared" si="147"/>
        <v>13</v>
      </c>
    </row>
    <row r="3192" spans="3:12" x14ac:dyDescent="0.2">
      <c r="C3192" s="589" t="s">
        <v>942</v>
      </c>
      <c r="D3192" s="590" t="s">
        <v>393</v>
      </c>
      <c r="E3192" s="591">
        <f>(F3192+G3192+H3192+J3192)*112.7+(I3192*119.6)</f>
        <v>3183.2000000000003</v>
      </c>
      <c r="F3192" s="3">
        <v>8</v>
      </c>
      <c r="G3192" s="3">
        <v>4</v>
      </c>
      <c r="H3192" s="3">
        <v>4</v>
      </c>
      <c r="I3192" s="3">
        <v>4</v>
      </c>
      <c r="J3192" s="3">
        <v>8</v>
      </c>
      <c r="K3192" s="628">
        <f t="shared" si="146"/>
        <v>28</v>
      </c>
      <c r="L3192" s="630">
        <f t="shared" si="147"/>
        <v>7</v>
      </c>
    </row>
    <row r="3193" spans="3:12" x14ac:dyDescent="0.2">
      <c r="C3193" s="589" t="s">
        <v>941</v>
      </c>
      <c r="D3193" s="590" t="s">
        <v>216</v>
      </c>
      <c r="E3193" s="591">
        <f>(F3193+G3193+H3193+J3193)*112.7+(I3193*119.6)</f>
        <v>3661.6000000000004</v>
      </c>
      <c r="F3193" s="3">
        <v>8</v>
      </c>
      <c r="G3193" s="3">
        <v>8</v>
      </c>
      <c r="H3193" s="3"/>
      <c r="I3193" s="3">
        <v>8</v>
      </c>
      <c r="J3193" s="3">
        <v>8</v>
      </c>
      <c r="K3193" s="628">
        <f t="shared" si="146"/>
        <v>32</v>
      </c>
      <c r="L3193" s="630">
        <f t="shared" si="147"/>
        <v>8</v>
      </c>
    </row>
    <row r="3194" spans="3:12" x14ac:dyDescent="0.2">
      <c r="C3194" s="589"/>
      <c r="D3194" s="590"/>
      <c r="E3194" s="591"/>
      <c r="F3194" s="3"/>
      <c r="G3194" s="3"/>
      <c r="H3194" s="3"/>
      <c r="I3194" s="3"/>
      <c r="J3194" s="3"/>
      <c r="K3194" s="628">
        <f t="shared" si="146"/>
        <v>0</v>
      </c>
      <c r="L3194" s="630">
        <f t="shared" si="147"/>
        <v>0</v>
      </c>
    </row>
    <row r="3195" spans="3:12" x14ac:dyDescent="0.2">
      <c r="C3195" s="589"/>
      <c r="D3195" s="590" t="s">
        <v>394</v>
      </c>
      <c r="E3195" s="591">
        <f>(F3195+G3195+H3195+I3195+J3195)*120</f>
        <v>0</v>
      </c>
      <c r="F3195" s="3"/>
      <c r="G3195" s="3"/>
      <c r="H3195" s="3"/>
      <c r="I3195" s="3"/>
      <c r="J3195" s="3"/>
      <c r="K3195" s="628">
        <f t="shared" si="146"/>
        <v>0</v>
      </c>
      <c r="L3195" s="630">
        <f t="shared" si="147"/>
        <v>0</v>
      </c>
    </row>
    <row r="3196" spans="3:12" x14ac:dyDescent="0.2">
      <c r="C3196" s="589" t="s">
        <v>944</v>
      </c>
      <c r="D3196" s="590" t="s">
        <v>110</v>
      </c>
      <c r="E3196" s="591">
        <f>(F3196+G3196+H3196+J3196)*112.7+(I3196*119.6)</f>
        <v>11408</v>
      </c>
      <c r="F3196" s="3">
        <v>40</v>
      </c>
      <c r="G3196" s="3">
        <v>20</v>
      </c>
      <c r="H3196" s="3"/>
      <c r="I3196" s="3">
        <v>20</v>
      </c>
      <c r="J3196" s="3">
        <v>20</v>
      </c>
      <c r="K3196" s="628">
        <f t="shared" si="146"/>
        <v>100</v>
      </c>
      <c r="L3196" s="630">
        <f t="shared" si="147"/>
        <v>25</v>
      </c>
    </row>
    <row r="3197" spans="3:12" x14ac:dyDescent="0.2">
      <c r="C3197" s="589"/>
      <c r="D3197" s="590"/>
      <c r="E3197" s="591"/>
      <c r="F3197" s="3"/>
      <c r="G3197" s="3"/>
      <c r="H3197" s="3"/>
      <c r="I3197" s="3"/>
      <c r="J3197" s="3"/>
      <c r="K3197" s="628">
        <f t="shared" si="146"/>
        <v>0</v>
      </c>
      <c r="L3197" s="630">
        <f t="shared" si="147"/>
        <v>0</v>
      </c>
    </row>
    <row r="3198" spans="3:12" x14ac:dyDescent="0.2">
      <c r="C3198" s="589"/>
      <c r="D3198" s="590" t="s">
        <v>381</v>
      </c>
      <c r="E3198" s="591">
        <f>(F3198+G3198+H3198+I3198+J3198)*120+(240*0)+(0*45)</f>
        <v>0</v>
      </c>
      <c r="F3198" s="3"/>
      <c r="G3198" s="3"/>
      <c r="H3198" s="3"/>
      <c r="I3198" s="3"/>
      <c r="J3198" s="3"/>
      <c r="K3198" s="628">
        <f t="shared" si="146"/>
        <v>0</v>
      </c>
      <c r="L3198" s="630">
        <f t="shared" si="147"/>
        <v>0</v>
      </c>
    </row>
    <row r="3199" spans="3:12" x14ac:dyDescent="0.2">
      <c r="C3199" s="589"/>
      <c r="D3199" s="590" t="s">
        <v>276</v>
      </c>
      <c r="E3199" s="591">
        <f>(F3199+G3199+H3199+J3199)*112.7+(I3199*119.6)</f>
        <v>0</v>
      </c>
      <c r="F3199" s="3"/>
      <c r="G3199" s="3"/>
      <c r="H3199" s="3"/>
      <c r="I3199" s="3"/>
      <c r="J3199" s="3"/>
      <c r="K3199" s="628">
        <f t="shared" si="146"/>
        <v>0</v>
      </c>
      <c r="L3199" s="630">
        <f t="shared" si="147"/>
        <v>0</v>
      </c>
    </row>
    <row r="3200" spans="3:12" x14ac:dyDescent="0.2">
      <c r="C3200" s="589"/>
      <c r="D3200" s="590"/>
      <c r="E3200" s="591"/>
      <c r="F3200" s="3"/>
      <c r="G3200" s="3"/>
      <c r="H3200" s="3"/>
      <c r="I3200" s="3"/>
      <c r="J3200" s="3"/>
      <c r="K3200" s="628">
        <f t="shared" si="146"/>
        <v>0</v>
      </c>
      <c r="L3200" s="630">
        <f t="shared" si="147"/>
        <v>0</v>
      </c>
    </row>
    <row r="3201" spans="3:12" x14ac:dyDescent="0.2">
      <c r="C3201" s="589"/>
      <c r="D3201" s="590" t="s">
        <v>75</v>
      </c>
      <c r="E3201" s="591">
        <f>(F3201+G3201+H3201+I3201+J3201)*120</f>
        <v>0</v>
      </c>
      <c r="F3201" s="3"/>
      <c r="G3201" s="3"/>
      <c r="H3201" s="3"/>
      <c r="I3201" s="3"/>
      <c r="J3201" s="3"/>
      <c r="K3201" s="628">
        <f t="shared" si="146"/>
        <v>0</v>
      </c>
      <c r="L3201" s="630">
        <f t="shared" si="147"/>
        <v>0</v>
      </c>
    </row>
    <row r="3202" spans="3:12" x14ac:dyDescent="0.2">
      <c r="C3202" s="589"/>
      <c r="D3202" s="590" t="s">
        <v>278</v>
      </c>
      <c r="E3202" s="591">
        <f>(F3202+G3202+H3202+I3202+J3202)*120</f>
        <v>0</v>
      </c>
      <c r="F3202" s="3"/>
      <c r="G3202" s="3"/>
      <c r="H3202" s="3"/>
      <c r="I3202" s="3"/>
      <c r="J3202" s="3"/>
      <c r="K3202" s="628">
        <f t="shared" si="146"/>
        <v>0</v>
      </c>
      <c r="L3202" s="630">
        <f t="shared" si="147"/>
        <v>0</v>
      </c>
    </row>
    <row r="3203" spans="3:12" x14ac:dyDescent="0.2">
      <c r="C3203" s="589"/>
      <c r="D3203" s="590" t="s">
        <v>270</v>
      </c>
      <c r="E3203" s="591">
        <f>(F3203+G3203+H3203+I3203)*112.7+(J3203*119.6)</f>
        <v>0</v>
      </c>
      <c r="F3203" s="3"/>
      <c r="G3203" s="3"/>
      <c r="H3203" s="3"/>
      <c r="I3203" s="3"/>
      <c r="J3203" s="3"/>
      <c r="K3203" s="628">
        <f t="shared" si="146"/>
        <v>0</v>
      </c>
      <c r="L3203" s="630">
        <f t="shared" si="147"/>
        <v>0</v>
      </c>
    </row>
    <row r="3204" spans="3:12" x14ac:dyDescent="0.2">
      <c r="C3204" s="589"/>
      <c r="D3204" s="590" t="s">
        <v>274</v>
      </c>
      <c r="E3204" s="591">
        <f>(F3204+G3204+H3204+I3204)*112.7+(J3204*119.6)</f>
        <v>0</v>
      </c>
      <c r="F3204" s="3"/>
      <c r="G3204" s="3"/>
      <c r="H3204" s="3"/>
      <c r="I3204" s="3"/>
      <c r="J3204" s="3"/>
      <c r="K3204" s="628">
        <f t="shared" si="146"/>
        <v>0</v>
      </c>
      <c r="L3204" s="630">
        <f t="shared" si="147"/>
        <v>0</v>
      </c>
    </row>
    <row r="3205" spans="3:12" x14ac:dyDescent="0.2">
      <c r="C3205" s="589"/>
      <c r="D3205" s="590" t="s">
        <v>395</v>
      </c>
      <c r="E3205" s="591">
        <f>(F3205+G3205+H3205+I3205)*112.7+(J3205*119.6)</f>
        <v>0</v>
      </c>
      <c r="F3205" s="3"/>
      <c r="G3205" s="3"/>
      <c r="H3205" s="3"/>
      <c r="I3205" s="3"/>
      <c r="J3205" s="3"/>
      <c r="K3205" s="628">
        <f t="shared" si="146"/>
        <v>0</v>
      </c>
      <c r="L3205" s="630">
        <f t="shared" si="147"/>
        <v>0</v>
      </c>
    </row>
    <row r="3206" spans="3:12" x14ac:dyDescent="0.2">
      <c r="C3206" s="683"/>
      <c r="D3206" s="590" t="s">
        <v>112</v>
      </c>
      <c r="E3206" s="591">
        <f>(F3206+G3206+H3206+I3206)*112.7+(J3206*119.6)</f>
        <v>0</v>
      </c>
      <c r="F3206" s="3"/>
      <c r="G3206" s="3"/>
      <c r="H3206" s="3"/>
      <c r="I3206" s="3"/>
      <c r="J3206" s="3"/>
      <c r="K3206" s="628">
        <f t="shared" si="146"/>
        <v>0</v>
      </c>
      <c r="L3206" s="630">
        <f t="shared" si="147"/>
        <v>0</v>
      </c>
    </row>
    <row r="3207" spans="3:12" x14ac:dyDescent="0.2">
      <c r="C3207" s="683"/>
      <c r="D3207" s="590" t="s">
        <v>72</v>
      </c>
      <c r="E3207" s="591">
        <f>(F3207+G3207+H3207+I3207)*112.7+(J3207*119.6)</f>
        <v>0</v>
      </c>
      <c r="F3207" s="3"/>
      <c r="G3207" s="3"/>
      <c r="H3207" s="3"/>
      <c r="I3207" s="3"/>
      <c r="J3207" s="3"/>
      <c r="K3207" s="628">
        <f t="shared" si="146"/>
        <v>0</v>
      </c>
      <c r="L3207" s="630">
        <f t="shared" si="147"/>
        <v>0</v>
      </c>
    </row>
    <row r="3208" spans="3:12" x14ac:dyDescent="0.2">
      <c r="C3208" s="683"/>
      <c r="D3208" s="590" t="s">
        <v>187</v>
      </c>
      <c r="E3208" s="591"/>
      <c r="F3208" s="3"/>
      <c r="G3208" s="3">
        <v>2</v>
      </c>
      <c r="H3208" s="3"/>
      <c r="I3208" s="3"/>
      <c r="J3208" s="3">
        <v>8</v>
      </c>
      <c r="K3208" s="628">
        <f>SUM(F3208:J3208)</f>
        <v>10</v>
      </c>
      <c r="L3208" s="3"/>
    </row>
    <row r="3209" spans="3:12" ht="16" x14ac:dyDescent="0.2">
      <c r="C3209" s="683"/>
      <c r="D3209" s="590" t="s">
        <v>501</v>
      </c>
      <c r="E3209" s="592"/>
      <c r="F3209" s="3">
        <v>1</v>
      </c>
      <c r="G3209" s="3">
        <v>3</v>
      </c>
      <c r="H3209" s="3">
        <v>1</v>
      </c>
      <c r="I3209" s="3">
        <v>1</v>
      </c>
      <c r="J3209" s="3"/>
      <c r="K3209" s="628">
        <f>SUM(F3209:J3209)</f>
        <v>6</v>
      </c>
      <c r="L3209" s="3"/>
    </row>
    <row r="3210" spans="3:12" ht="17" thickBot="1" x14ac:dyDescent="0.25">
      <c r="C3210" s="683"/>
      <c r="D3210" s="590" t="s">
        <v>647</v>
      </c>
      <c r="E3210" s="624"/>
      <c r="F3210" s="69"/>
      <c r="G3210" s="69"/>
      <c r="H3210" s="69"/>
      <c r="I3210" s="69"/>
      <c r="J3210" s="69">
        <v>1</v>
      </c>
      <c r="K3210" s="629"/>
      <c r="L3210" s="3"/>
    </row>
    <row r="3211" spans="3:12" ht="16" thickBot="1" x14ac:dyDescent="0.25">
      <c r="C3211" s="596"/>
      <c r="D3211" s="623" t="s">
        <v>19</v>
      </c>
      <c r="E3211" s="625">
        <f>SUM(E3185:E3208)</f>
        <v>34996</v>
      </c>
      <c r="F3211" s="614">
        <f>SUM(F3185:F3210)</f>
        <v>91</v>
      </c>
      <c r="G3211" s="614">
        <f>SUM(G3185:G3210)</f>
        <v>64</v>
      </c>
      <c r="H3211" s="614">
        <f>SUM(H3185:H3210)</f>
        <v>27</v>
      </c>
      <c r="I3211" s="614">
        <f>SUM(I3185:I3210)</f>
        <v>55</v>
      </c>
      <c r="J3211" s="614">
        <f>SUM(J3185:J3210)</f>
        <v>89</v>
      </c>
      <c r="K3211" s="626">
        <f>SUM(F3211:J3211)</f>
        <v>326</v>
      </c>
      <c r="L3211" s="631">
        <f>SUM(L3185:L3210)</f>
        <v>77.25</v>
      </c>
    </row>
    <row r="3212" spans="3:12" x14ac:dyDescent="0.2">
      <c r="C3212" s="596"/>
      <c r="D3212" s="593" t="s">
        <v>113</v>
      </c>
      <c r="E3212" s="620"/>
      <c r="F3212" s="610">
        <f>F3182-F3211</f>
        <v>0</v>
      </c>
      <c r="G3212" s="610">
        <f>G3182-G3211</f>
        <v>0</v>
      </c>
      <c r="H3212" s="610">
        <f>H3182-H3211</f>
        <v>0</v>
      </c>
      <c r="I3212" s="610">
        <f>I3182-I3211</f>
        <v>0</v>
      </c>
      <c r="J3212" s="610">
        <f>J3182-J3211</f>
        <v>0</v>
      </c>
      <c r="K3212" s="636">
        <f>SUM(F3212:J3212)</f>
        <v>0</v>
      </c>
      <c r="L3212" s="3"/>
    </row>
    <row r="3213" spans="3:12" x14ac:dyDescent="0.2">
      <c r="C3213" s="683"/>
      <c r="D3213" s="593" t="s">
        <v>436</v>
      </c>
      <c r="E3213" s="594"/>
      <c r="F3213" s="581"/>
      <c r="G3213" s="581"/>
      <c r="H3213" s="581"/>
      <c r="I3213" s="581"/>
      <c r="J3213" s="581"/>
      <c r="K3213" s="637">
        <f>K3211+K3212</f>
        <v>326</v>
      </c>
      <c r="L3213" s="3"/>
    </row>
    <row r="3215" spans="3:12" ht="18" x14ac:dyDescent="0.2">
      <c r="C3215" s="685" t="s">
        <v>412</v>
      </c>
      <c r="D3215" s="582">
        <v>45753</v>
      </c>
      <c r="E3215" s="800"/>
      <c r="F3215" s="685" t="s">
        <v>83</v>
      </c>
      <c r="G3215" s="801" t="s">
        <v>69</v>
      </c>
      <c r="H3215" s="802"/>
      <c r="I3215" s="802"/>
      <c r="J3215" s="802"/>
      <c r="K3215" s="803"/>
    </row>
    <row r="3216" spans="3:12" x14ac:dyDescent="0.2">
      <c r="C3216" s="804"/>
      <c r="D3216" s="805"/>
      <c r="E3216" s="800"/>
      <c r="F3216" s="683" t="s">
        <v>93</v>
      </c>
      <c r="G3216" s="683" t="s">
        <v>93</v>
      </c>
      <c r="H3216" s="683"/>
      <c r="I3216" s="806"/>
      <c r="J3216" s="806"/>
      <c r="K3216" s="806"/>
    </row>
    <row r="3217" spans="3:12" x14ac:dyDescent="0.2">
      <c r="C3217" s="804"/>
      <c r="D3217" s="805"/>
      <c r="E3217" s="800"/>
      <c r="F3217" s="683" t="s">
        <v>94</v>
      </c>
      <c r="G3217" s="683" t="s">
        <v>95</v>
      </c>
      <c r="H3217" s="683" t="s">
        <v>96</v>
      </c>
      <c r="I3217" s="806"/>
      <c r="J3217" s="806"/>
      <c r="K3217" s="806"/>
    </row>
    <row r="3218" spans="3:12" x14ac:dyDescent="0.2">
      <c r="C3218" s="804"/>
      <c r="D3218" s="805"/>
      <c r="E3218" s="800"/>
      <c r="F3218" s="683"/>
      <c r="G3218" s="683"/>
      <c r="H3218" s="683"/>
      <c r="I3218" s="806"/>
      <c r="J3218" s="806"/>
      <c r="K3218" s="806"/>
    </row>
    <row r="3219" spans="3:12" ht="16" x14ac:dyDescent="0.2">
      <c r="C3219" s="683"/>
      <c r="D3219" s="583" t="s">
        <v>97</v>
      </c>
      <c r="E3219" s="584"/>
      <c r="F3219" s="581"/>
      <c r="G3219" s="585"/>
      <c r="H3219" s="585"/>
      <c r="I3219" s="586"/>
      <c r="J3219" s="586"/>
      <c r="K3219" s="586"/>
    </row>
    <row r="3220" spans="3:12" ht="26" x14ac:dyDescent="0.2">
      <c r="C3220" s="804"/>
      <c r="D3220" s="587"/>
      <c r="E3220" s="588"/>
      <c r="F3220" s="585" t="s">
        <v>383</v>
      </c>
      <c r="G3220" s="585" t="s">
        <v>384</v>
      </c>
      <c r="H3220" s="585" t="s">
        <v>385</v>
      </c>
      <c r="I3220" s="585" t="s">
        <v>386</v>
      </c>
      <c r="J3220" s="585" t="s">
        <v>387</v>
      </c>
      <c r="K3220" s="585" t="s">
        <v>84</v>
      </c>
    </row>
    <row r="3221" spans="3:12" x14ac:dyDescent="0.2">
      <c r="C3221" s="804"/>
      <c r="D3221" s="684" t="s">
        <v>167</v>
      </c>
      <c r="E3221" s="588"/>
      <c r="F3221" s="580">
        <v>5</v>
      </c>
      <c r="G3221" s="579">
        <v>4</v>
      </c>
      <c r="H3221" s="580">
        <v>1</v>
      </c>
      <c r="I3221" s="580">
        <v>2</v>
      </c>
      <c r="J3221" s="580">
        <v>4</v>
      </c>
      <c r="K3221" s="580">
        <f>SUM(F3221:J3221)</f>
        <v>16</v>
      </c>
    </row>
    <row r="3222" spans="3:12" x14ac:dyDescent="0.2">
      <c r="C3222" s="804"/>
      <c r="D3222" s="684" t="s">
        <v>207</v>
      </c>
      <c r="E3222" s="588"/>
      <c r="F3222" s="618">
        <v>35</v>
      </c>
      <c r="G3222" s="619">
        <v>28</v>
      </c>
      <c r="H3222" s="618">
        <v>7</v>
      </c>
      <c r="I3222" s="618">
        <v>22</v>
      </c>
      <c r="J3222" s="618">
        <v>36</v>
      </c>
      <c r="K3222" s="618">
        <f>SUM(F3222:J3222)</f>
        <v>128</v>
      </c>
    </row>
    <row r="3223" spans="3:12" x14ac:dyDescent="0.2">
      <c r="C3223" s="683"/>
      <c r="D3223" s="684" t="s">
        <v>100</v>
      </c>
      <c r="E3223" s="588"/>
      <c r="F3223" s="581"/>
      <c r="G3223" s="581"/>
      <c r="H3223" s="581"/>
      <c r="I3223" s="581"/>
      <c r="J3223" s="581"/>
      <c r="K3223" s="581">
        <f>SUM(F3223:J3223)</f>
        <v>0</v>
      </c>
    </row>
    <row r="3224" spans="3:12" x14ac:dyDescent="0.2">
      <c r="C3224" s="683"/>
      <c r="D3224" s="684" t="s">
        <v>101</v>
      </c>
      <c r="E3224" s="588"/>
      <c r="F3224" s="581"/>
      <c r="G3224" s="581"/>
      <c r="H3224" s="581"/>
      <c r="I3224" s="581"/>
      <c r="J3224" s="581">
        <v>1</v>
      </c>
      <c r="K3224" s="581">
        <f>SUM(F3224:J3224)</f>
        <v>1</v>
      </c>
    </row>
    <row r="3225" spans="3:12" ht="16" thickBot="1" x14ac:dyDescent="0.25">
      <c r="C3225" s="683"/>
      <c r="D3225" s="597" t="s">
        <v>102</v>
      </c>
      <c r="E3225" s="598"/>
      <c r="F3225" s="599"/>
      <c r="G3225" s="600"/>
      <c r="H3225" s="600"/>
      <c r="I3225" s="600"/>
      <c r="J3225" s="600"/>
      <c r="K3225" s="600">
        <f>SUM(F3225:J3225)</f>
        <v>0</v>
      </c>
    </row>
    <row r="3226" spans="3:12" ht="17" thickBot="1" x14ac:dyDescent="0.25">
      <c r="C3226" s="605"/>
      <c r="D3226" s="612" t="s">
        <v>84</v>
      </c>
      <c r="E3226" s="613"/>
      <c r="F3226" s="614">
        <f t="shared" ref="F3226:K3226" si="148">(F3222+F3225)-F3224-F3223</f>
        <v>35</v>
      </c>
      <c r="G3226" s="615">
        <f t="shared" si="148"/>
        <v>28</v>
      </c>
      <c r="H3226" s="616">
        <f t="shared" si="148"/>
        <v>7</v>
      </c>
      <c r="I3226" s="615">
        <f t="shared" si="148"/>
        <v>22</v>
      </c>
      <c r="J3226" s="622">
        <f t="shared" si="148"/>
        <v>35</v>
      </c>
      <c r="K3226" s="617">
        <f t="shared" si="148"/>
        <v>127</v>
      </c>
    </row>
    <row r="3227" spans="3:12" ht="16" x14ac:dyDescent="0.2">
      <c r="C3227" s="683"/>
      <c r="D3227" s="608"/>
      <c r="E3227" s="609"/>
      <c r="F3227" s="610"/>
      <c r="G3227" s="595"/>
      <c r="H3227" s="611"/>
      <c r="I3227" s="595"/>
      <c r="J3227" s="595"/>
      <c r="K3227" s="595"/>
    </row>
    <row r="3228" spans="3:12" ht="16" thickBot="1" x14ac:dyDescent="0.25">
      <c r="C3228" s="606" t="s">
        <v>388</v>
      </c>
      <c r="D3228" s="607" t="s">
        <v>103</v>
      </c>
      <c r="E3228" s="603" t="s">
        <v>84</v>
      </c>
      <c r="F3228" s="602" t="s">
        <v>78</v>
      </c>
      <c r="G3228" s="602" t="s">
        <v>79</v>
      </c>
      <c r="H3228" s="602" t="s">
        <v>81</v>
      </c>
      <c r="I3228" s="601" t="s">
        <v>316</v>
      </c>
      <c r="J3228" s="601" t="s">
        <v>85</v>
      </c>
      <c r="K3228" s="601" t="s">
        <v>84</v>
      </c>
      <c r="L3228" s="174" t="s">
        <v>389</v>
      </c>
    </row>
    <row r="3229" spans="3:12" x14ac:dyDescent="0.2">
      <c r="C3229" s="589" t="s">
        <v>911</v>
      </c>
      <c r="D3229" s="604" t="s">
        <v>105</v>
      </c>
      <c r="E3229" s="591">
        <f>(F3229+G3229+H3229+I3229+J3229)*100+(0*230)</f>
        <v>5500</v>
      </c>
      <c r="F3229" s="3">
        <v>11</v>
      </c>
      <c r="G3229" s="3">
        <v>16</v>
      </c>
      <c r="H3229" s="3">
        <v>7</v>
      </c>
      <c r="I3229" s="3">
        <v>10</v>
      </c>
      <c r="J3229" s="3">
        <v>11</v>
      </c>
      <c r="K3229" s="628">
        <f t="shared" ref="K3229:K3251" si="149">SUM(F3229:J3229)</f>
        <v>55</v>
      </c>
      <c r="L3229" s="630">
        <f>K3229/4</f>
        <v>13.75</v>
      </c>
    </row>
    <row r="3230" spans="3:12" x14ac:dyDescent="0.2">
      <c r="C3230" s="589"/>
      <c r="D3230" s="590" t="s">
        <v>390</v>
      </c>
      <c r="E3230" s="591">
        <f>(F3230+G3230+H3230+I3230+J3230)*120</f>
        <v>0</v>
      </c>
      <c r="F3230" s="3"/>
      <c r="G3230" s="3"/>
      <c r="H3230" s="3"/>
      <c r="I3230" s="3"/>
      <c r="J3230" s="3"/>
      <c r="K3230" s="628">
        <f t="shared" si="149"/>
        <v>0</v>
      </c>
      <c r="L3230" s="630">
        <f t="shared" ref="L3230:L3251" si="150">K3230/4</f>
        <v>0</v>
      </c>
    </row>
    <row r="3231" spans="3:12" x14ac:dyDescent="0.2">
      <c r="C3231" s="589"/>
      <c r="D3231" s="590" t="s">
        <v>391</v>
      </c>
      <c r="E3231" s="591">
        <f>(F3231+G3231+H3231+I3231+J3231)*120</f>
        <v>0</v>
      </c>
      <c r="F3231" s="3"/>
      <c r="G3231" s="3"/>
      <c r="H3231" s="3"/>
      <c r="I3231" s="3"/>
      <c r="J3231" s="3"/>
      <c r="K3231" s="628">
        <f t="shared" si="149"/>
        <v>0</v>
      </c>
      <c r="L3231" s="630">
        <f t="shared" si="150"/>
        <v>0</v>
      </c>
    </row>
    <row r="3232" spans="3:12" x14ac:dyDescent="0.2">
      <c r="C3232" s="589"/>
      <c r="D3232" s="590" t="s">
        <v>392</v>
      </c>
      <c r="E3232" s="591">
        <f>(F3232+G3232+H3232+I3232+J3232)*120</f>
        <v>0</v>
      </c>
      <c r="F3232" s="3"/>
      <c r="G3232" s="3"/>
      <c r="H3232" s="3"/>
      <c r="I3232" s="3"/>
      <c r="J3232" s="3"/>
      <c r="K3232" s="628">
        <f t="shared" si="149"/>
        <v>0</v>
      </c>
      <c r="L3232" s="630">
        <f t="shared" si="150"/>
        <v>0</v>
      </c>
    </row>
    <row r="3233" spans="3:12" x14ac:dyDescent="0.2">
      <c r="C3233" s="589"/>
      <c r="D3233" s="590" t="s">
        <v>425</v>
      </c>
      <c r="E3233" s="591">
        <f>(F3233+G3233+H3233+I3233+J3233)*120</f>
        <v>0</v>
      </c>
      <c r="F3233" s="3"/>
      <c r="G3233" s="3"/>
      <c r="H3233" s="3"/>
      <c r="I3233" s="3"/>
      <c r="J3233" s="3"/>
      <c r="K3233" s="628">
        <f t="shared" si="149"/>
        <v>0</v>
      </c>
      <c r="L3233" s="630">
        <f t="shared" si="150"/>
        <v>0</v>
      </c>
    </row>
    <row r="3234" spans="3:12" x14ac:dyDescent="0.2">
      <c r="C3234" s="589"/>
      <c r="D3234" s="590"/>
      <c r="E3234" s="591"/>
      <c r="F3234" s="3"/>
      <c r="G3234" s="3"/>
      <c r="H3234" s="3"/>
      <c r="I3234" s="3"/>
      <c r="J3234" s="3"/>
      <c r="K3234" s="628">
        <f t="shared" si="149"/>
        <v>0</v>
      </c>
      <c r="L3234" s="630">
        <f t="shared" si="150"/>
        <v>0</v>
      </c>
    </row>
    <row r="3235" spans="3:12" x14ac:dyDescent="0.2">
      <c r="C3235" s="589"/>
      <c r="D3235" s="590" t="s">
        <v>108</v>
      </c>
      <c r="E3235" s="591">
        <f>(F3235+G3235+H3235+J3235)*112.7+(I3235*119.6)</f>
        <v>0</v>
      </c>
      <c r="F3235" s="3"/>
      <c r="G3235" s="3"/>
      <c r="H3235" s="3"/>
      <c r="I3235" s="3"/>
      <c r="J3235" s="3"/>
      <c r="K3235" s="628">
        <f t="shared" si="149"/>
        <v>0</v>
      </c>
      <c r="L3235" s="630">
        <f t="shared" si="150"/>
        <v>0</v>
      </c>
    </row>
    <row r="3236" spans="3:12" x14ac:dyDescent="0.2">
      <c r="C3236" s="589"/>
      <c r="D3236" s="590" t="s">
        <v>393</v>
      </c>
      <c r="E3236" s="591">
        <f>(F3236+G3236+H3236+J3236)*112.7+(I3236*119.6)</f>
        <v>0</v>
      </c>
      <c r="F3236" s="3"/>
      <c r="G3236" s="3"/>
      <c r="H3236" s="3"/>
      <c r="I3236" s="3"/>
      <c r="J3236" s="3"/>
      <c r="K3236" s="628">
        <f t="shared" si="149"/>
        <v>0</v>
      </c>
      <c r="L3236" s="630">
        <f t="shared" si="150"/>
        <v>0</v>
      </c>
    </row>
    <row r="3237" spans="3:12" x14ac:dyDescent="0.2">
      <c r="C3237" s="589"/>
      <c r="D3237" s="590" t="s">
        <v>216</v>
      </c>
      <c r="E3237" s="591">
        <f>(F3237+G3237+H3237+J3237)*112.7+(I3237*119.6)</f>
        <v>0</v>
      </c>
      <c r="F3237" s="3"/>
      <c r="G3237" s="3"/>
      <c r="H3237" s="3"/>
      <c r="I3237" s="3"/>
      <c r="J3237" s="3"/>
      <c r="K3237" s="628">
        <f t="shared" si="149"/>
        <v>0</v>
      </c>
      <c r="L3237" s="630">
        <f t="shared" si="150"/>
        <v>0</v>
      </c>
    </row>
    <row r="3238" spans="3:12" x14ac:dyDescent="0.2">
      <c r="C3238" s="589"/>
      <c r="D3238" s="590"/>
      <c r="E3238" s="591"/>
      <c r="F3238" s="3"/>
      <c r="G3238" s="3"/>
      <c r="H3238" s="3"/>
      <c r="I3238" s="3"/>
      <c r="J3238" s="3"/>
      <c r="K3238" s="628">
        <f t="shared" si="149"/>
        <v>0</v>
      </c>
      <c r="L3238" s="630">
        <f t="shared" si="150"/>
        <v>0</v>
      </c>
    </row>
    <row r="3239" spans="3:12" x14ac:dyDescent="0.2">
      <c r="C3239" s="589"/>
      <c r="D3239" s="590" t="s">
        <v>394</v>
      </c>
      <c r="E3239" s="591">
        <f>(F3239+G3239+H3239+I3239+J3239)*120</f>
        <v>0</v>
      </c>
      <c r="F3239" s="3"/>
      <c r="G3239" s="3"/>
      <c r="H3239" s="3"/>
      <c r="I3239" s="3"/>
      <c r="J3239" s="3"/>
      <c r="K3239" s="628">
        <f t="shared" si="149"/>
        <v>0</v>
      </c>
      <c r="L3239" s="630">
        <f t="shared" si="150"/>
        <v>0</v>
      </c>
    </row>
    <row r="3240" spans="3:12" x14ac:dyDescent="0.2">
      <c r="C3240" s="589" t="s">
        <v>950</v>
      </c>
      <c r="D3240" s="590" t="s">
        <v>110</v>
      </c>
      <c r="E3240" s="591">
        <f>(F3240+G3240+H3240+J3240)*112.7+(I3240*119.6)</f>
        <v>8197.2000000000007</v>
      </c>
      <c r="F3240" s="3">
        <v>24</v>
      </c>
      <c r="G3240" s="3">
        <v>12</v>
      </c>
      <c r="H3240" s="3"/>
      <c r="I3240" s="3">
        <v>12</v>
      </c>
      <c r="J3240" s="3">
        <v>24</v>
      </c>
      <c r="K3240" s="628">
        <f t="shared" si="149"/>
        <v>72</v>
      </c>
      <c r="L3240" s="630">
        <f t="shared" si="150"/>
        <v>18</v>
      </c>
    </row>
    <row r="3241" spans="3:12" x14ac:dyDescent="0.2">
      <c r="C3241" s="589"/>
      <c r="D3241" s="590"/>
      <c r="E3241" s="591"/>
      <c r="F3241" s="3"/>
      <c r="G3241" s="3"/>
      <c r="H3241" s="3"/>
      <c r="I3241" s="3"/>
      <c r="J3241" s="3"/>
      <c r="K3241" s="628">
        <f t="shared" si="149"/>
        <v>0</v>
      </c>
      <c r="L3241" s="630">
        <f t="shared" si="150"/>
        <v>0</v>
      </c>
    </row>
    <row r="3242" spans="3:12" x14ac:dyDescent="0.2">
      <c r="C3242" s="589"/>
      <c r="D3242" s="590" t="s">
        <v>381</v>
      </c>
      <c r="E3242" s="591">
        <f>(F3242+G3242+H3242+I3242+J3242)*120+(240*0)+(0*45)</f>
        <v>0</v>
      </c>
      <c r="F3242" s="3"/>
      <c r="G3242" s="3"/>
      <c r="H3242" s="3"/>
      <c r="I3242" s="3"/>
      <c r="J3242" s="3"/>
      <c r="K3242" s="628">
        <f t="shared" si="149"/>
        <v>0</v>
      </c>
      <c r="L3242" s="630">
        <f t="shared" si="150"/>
        <v>0</v>
      </c>
    </row>
    <row r="3243" spans="3:12" x14ac:dyDescent="0.2">
      <c r="C3243" s="589"/>
      <c r="D3243" s="590" t="s">
        <v>276</v>
      </c>
      <c r="E3243" s="591">
        <f>(F3243+G3243+H3243+J3243)*112.7+(I3243*119.6)</f>
        <v>0</v>
      </c>
      <c r="F3243" s="3"/>
      <c r="G3243" s="3"/>
      <c r="H3243" s="3"/>
      <c r="I3243" s="3"/>
      <c r="J3243" s="3"/>
      <c r="K3243" s="628">
        <f t="shared" si="149"/>
        <v>0</v>
      </c>
      <c r="L3243" s="630">
        <f t="shared" si="150"/>
        <v>0</v>
      </c>
    </row>
    <row r="3244" spans="3:12" x14ac:dyDescent="0.2">
      <c r="C3244" s="589"/>
      <c r="D3244" s="590"/>
      <c r="E3244" s="591"/>
      <c r="F3244" s="3"/>
      <c r="G3244" s="3"/>
      <c r="H3244" s="3"/>
      <c r="I3244" s="3"/>
      <c r="J3244" s="3"/>
      <c r="K3244" s="628">
        <f t="shared" si="149"/>
        <v>0</v>
      </c>
      <c r="L3244" s="630">
        <f t="shared" si="150"/>
        <v>0</v>
      </c>
    </row>
    <row r="3245" spans="3:12" x14ac:dyDescent="0.2">
      <c r="C3245" s="589"/>
      <c r="D3245" s="590" t="s">
        <v>75</v>
      </c>
      <c r="E3245" s="591">
        <f>(F3245+G3245+H3245+I3245+J3245)*120</f>
        <v>0</v>
      </c>
      <c r="F3245" s="3"/>
      <c r="G3245" s="3"/>
      <c r="H3245" s="3"/>
      <c r="I3245" s="3"/>
      <c r="J3245" s="3"/>
      <c r="K3245" s="628">
        <f t="shared" si="149"/>
        <v>0</v>
      </c>
      <c r="L3245" s="630">
        <f t="shared" si="150"/>
        <v>0</v>
      </c>
    </row>
    <row r="3246" spans="3:12" x14ac:dyDescent="0.2">
      <c r="C3246" s="589"/>
      <c r="D3246" s="590" t="s">
        <v>278</v>
      </c>
      <c r="E3246" s="591">
        <f>(F3246+G3246+H3246+I3246+J3246)*120</f>
        <v>0</v>
      </c>
      <c r="F3246" s="3"/>
      <c r="G3246" s="3"/>
      <c r="H3246" s="3"/>
      <c r="I3246" s="3"/>
      <c r="J3246" s="3"/>
      <c r="K3246" s="628">
        <f t="shared" si="149"/>
        <v>0</v>
      </c>
      <c r="L3246" s="630">
        <f t="shared" si="150"/>
        <v>0</v>
      </c>
    </row>
    <row r="3247" spans="3:12" x14ac:dyDescent="0.2">
      <c r="C3247" s="589"/>
      <c r="D3247" s="590" t="s">
        <v>270</v>
      </c>
      <c r="E3247" s="591">
        <f>(F3247+G3247+H3247+I3247)*112.7+(J3247*119.6)</f>
        <v>0</v>
      </c>
      <c r="F3247" s="3"/>
      <c r="G3247" s="3"/>
      <c r="H3247" s="3"/>
      <c r="I3247" s="3"/>
      <c r="J3247" s="3"/>
      <c r="K3247" s="628">
        <f t="shared" si="149"/>
        <v>0</v>
      </c>
      <c r="L3247" s="630">
        <f t="shared" si="150"/>
        <v>0</v>
      </c>
    </row>
    <row r="3248" spans="3:12" x14ac:dyDescent="0.2">
      <c r="C3248" s="589"/>
      <c r="D3248" s="590" t="s">
        <v>274</v>
      </c>
      <c r="E3248" s="591">
        <f>(F3248+G3248+H3248+I3248)*112.7+(J3248*119.6)</f>
        <v>0</v>
      </c>
      <c r="F3248" s="3"/>
      <c r="G3248" s="3"/>
      <c r="H3248" s="3"/>
      <c r="I3248" s="3"/>
      <c r="J3248" s="3"/>
      <c r="K3248" s="628">
        <f t="shared" si="149"/>
        <v>0</v>
      </c>
      <c r="L3248" s="630">
        <f t="shared" si="150"/>
        <v>0</v>
      </c>
    </row>
    <row r="3249" spans="3:12" x14ac:dyDescent="0.2">
      <c r="C3249" s="589"/>
      <c r="D3249" s="590" t="s">
        <v>395</v>
      </c>
      <c r="E3249" s="591">
        <f>(F3249+G3249+H3249+I3249)*112.7+(J3249*119.6)</f>
        <v>0</v>
      </c>
      <c r="F3249" s="3"/>
      <c r="G3249" s="3"/>
      <c r="H3249" s="3"/>
      <c r="I3249" s="3"/>
      <c r="J3249" s="3"/>
      <c r="K3249" s="628">
        <f t="shared" si="149"/>
        <v>0</v>
      </c>
      <c r="L3249" s="630">
        <f t="shared" si="150"/>
        <v>0</v>
      </c>
    </row>
    <row r="3250" spans="3:12" x14ac:dyDescent="0.2">
      <c r="C3250" s="683"/>
      <c r="D3250" s="590" t="s">
        <v>112</v>
      </c>
      <c r="E3250" s="591">
        <f>(F3250+G3250+H3250+I3250)*112.7+(J3250*119.6)</f>
        <v>0</v>
      </c>
      <c r="F3250" s="3"/>
      <c r="G3250" s="3"/>
      <c r="H3250" s="3"/>
      <c r="I3250" s="3"/>
      <c r="J3250" s="3"/>
      <c r="K3250" s="628">
        <f t="shared" si="149"/>
        <v>0</v>
      </c>
      <c r="L3250" s="630">
        <f t="shared" si="150"/>
        <v>0</v>
      </c>
    </row>
    <row r="3251" spans="3:12" x14ac:dyDescent="0.2">
      <c r="C3251" s="683"/>
      <c r="D3251" s="590" t="s">
        <v>72</v>
      </c>
      <c r="E3251" s="591">
        <f>(F3251+G3251+H3251+I3251)*112.7+(J3251*119.6)</f>
        <v>0</v>
      </c>
      <c r="F3251" s="3"/>
      <c r="G3251" s="3"/>
      <c r="H3251" s="3"/>
      <c r="I3251" s="3"/>
      <c r="J3251" s="3"/>
      <c r="K3251" s="628">
        <f t="shared" si="149"/>
        <v>0</v>
      </c>
      <c r="L3251" s="630">
        <f t="shared" si="150"/>
        <v>0</v>
      </c>
    </row>
    <row r="3252" spans="3:12" x14ac:dyDescent="0.2">
      <c r="C3252" s="683"/>
      <c r="D3252" s="590" t="s">
        <v>187</v>
      </c>
      <c r="E3252" s="591"/>
      <c r="F3252" s="3"/>
      <c r="G3252" s="3"/>
      <c r="H3252" s="3"/>
      <c r="I3252" s="3"/>
      <c r="J3252" s="3"/>
      <c r="K3252" s="628">
        <f>SUM(F3252:J3252)</f>
        <v>0</v>
      </c>
      <c r="L3252" s="3"/>
    </row>
    <row r="3253" spans="3:12" ht="16" x14ac:dyDescent="0.2">
      <c r="C3253" s="683"/>
      <c r="D3253" s="590" t="s">
        <v>501</v>
      </c>
      <c r="E3253" s="592"/>
      <c r="F3253" s="3"/>
      <c r="G3253" s="3"/>
      <c r="H3253" s="3"/>
      <c r="I3253" s="3"/>
      <c r="J3253" s="3"/>
      <c r="K3253" s="628">
        <f>SUM(F3253:J3253)</f>
        <v>0</v>
      </c>
      <c r="L3253" s="3"/>
    </row>
    <row r="3254" spans="3:12" ht="17" thickBot="1" x14ac:dyDescent="0.25">
      <c r="C3254" s="683"/>
      <c r="D3254" s="590" t="s">
        <v>647</v>
      </c>
      <c r="E3254" s="624"/>
      <c r="F3254" s="69"/>
      <c r="G3254" s="69"/>
      <c r="H3254" s="69"/>
      <c r="I3254" s="69"/>
      <c r="J3254" s="69"/>
      <c r="K3254" s="629"/>
      <c r="L3254" s="3"/>
    </row>
    <row r="3255" spans="3:12" ht="16" thickBot="1" x14ac:dyDescent="0.25">
      <c r="C3255" s="596"/>
      <c r="D3255" s="623" t="s">
        <v>19</v>
      </c>
      <c r="E3255" s="625">
        <f>SUM(E3229:E3252)</f>
        <v>13697.2</v>
      </c>
      <c r="F3255" s="614">
        <f>SUM(F3229:F3254)</f>
        <v>35</v>
      </c>
      <c r="G3255" s="614">
        <f>SUM(G3229:G3254)</f>
        <v>28</v>
      </c>
      <c r="H3255" s="614">
        <f>SUM(H3229:H3254)</f>
        <v>7</v>
      </c>
      <c r="I3255" s="614">
        <f>SUM(I3229:I3254)</f>
        <v>22</v>
      </c>
      <c r="J3255" s="614">
        <f>SUM(J3229:J3254)</f>
        <v>35</v>
      </c>
      <c r="K3255" s="626">
        <f>SUM(F3255:J3255)</f>
        <v>127</v>
      </c>
      <c r="L3255" s="631">
        <f>SUM(L3229:L3254)</f>
        <v>31.75</v>
      </c>
    </row>
    <row r="3256" spans="3:12" x14ac:dyDescent="0.2">
      <c r="C3256" s="596"/>
      <c r="D3256" s="593" t="s">
        <v>113</v>
      </c>
      <c r="E3256" s="620"/>
      <c r="F3256" s="610">
        <f>F3226-F3255</f>
        <v>0</v>
      </c>
      <c r="G3256" s="610">
        <f>G3226-G3255</f>
        <v>0</v>
      </c>
      <c r="H3256" s="610">
        <f>H3226-H3255</f>
        <v>0</v>
      </c>
      <c r="I3256" s="610">
        <f>I3226-I3255</f>
        <v>0</v>
      </c>
      <c r="J3256" s="610">
        <f>J3226-J3255</f>
        <v>0</v>
      </c>
      <c r="K3256" s="636">
        <f>SUM(F3256:J3256)</f>
        <v>0</v>
      </c>
      <c r="L3256" s="3"/>
    </row>
    <row r="3257" spans="3:12" x14ac:dyDescent="0.2">
      <c r="C3257" s="683"/>
      <c r="D3257" s="593" t="s">
        <v>436</v>
      </c>
      <c r="E3257" s="594"/>
      <c r="F3257" s="581"/>
      <c r="G3257" s="581"/>
      <c r="H3257" s="581"/>
      <c r="I3257" s="581"/>
      <c r="J3257" s="581"/>
      <c r="K3257" s="637">
        <f>K3255+K3256</f>
        <v>127</v>
      </c>
      <c r="L3257" s="3"/>
    </row>
    <row r="3259" spans="3:12" ht="18" x14ac:dyDescent="0.2">
      <c r="C3259" s="685" t="s">
        <v>412</v>
      </c>
      <c r="D3259" s="582">
        <v>45754</v>
      </c>
      <c r="E3259" s="800"/>
      <c r="F3259" s="685" t="s">
        <v>83</v>
      </c>
      <c r="G3259" s="801" t="s">
        <v>63</v>
      </c>
      <c r="H3259" s="802"/>
      <c r="I3259" s="802"/>
      <c r="J3259" s="802"/>
      <c r="K3259" s="803"/>
    </row>
    <row r="3260" spans="3:12" x14ac:dyDescent="0.2">
      <c r="C3260" s="804"/>
      <c r="D3260" s="805"/>
      <c r="E3260" s="800"/>
      <c r="F3260" s="683" t="s">
        <v>93</v>
      </c>
      <c r="G3260" s="683" t="s">
        <v>93</v>
      </c>
      <c r="H3260" s="683"/>
      <c r="I3260" s="806"/>
      <c r="J3260" s="806"/>
      <c r="K3260" s="806"/>
    </row>
    <row r="3261" spans="3:12" x14ac:dyDescent="0.2">
      <c r="C3261" s="804"/>
      <c r="D3261" s="805"/>
      <c r="E3261" s="800"/>
      <c r="F3261" s="683" t="s">
        <v>94</v>
      </c>
      <c r="G3261" s="683" t="s">
        <v>95</v>
      </c>
      <c r="H3261" s="683" t="s">
        <v>96</v>
      </c>
      <c r="I3261" s="806"/>
      <c r="J3261" s="806"/>
      <c r="K3261" s="806"/>
    </row>
    <row r="3262" spans="3:12" x14ac:dyDescent="0.2">
      <c r="C3262" s="804"/>
      <c r="D3262" s="805"/>
      <c r="E3262" s="800"/>
      <c r="F3262" s="683"/>
      <c r="G3262" s="683"/>
      <c r="H3262" s="683"/>
      <c r="I3262" s="806"/>
      <c r="J3262" s="806"/>
      <c r="K3262" s="806"/>
    </row>
    <row r="3263" spans="3:12" ht="16" x14ac:dyDescent="0.2">
      <c r="C3263" s="683"/>
      <c r="D3263" s="583" t="s">
        <v>97</v>
      </c>
      <c r="E3263" s="584"/>
      <c r="F3263" s="581"/>
      <c r="G3263" s="585"/>
      <c r="H3263" s="585"/>
      <c r="I3263" s="586"/>
      <c r="J3263" s="586"/>
      <c r="K3263" s="586"/>
    </row>
    <row r="3264" spans="3:12" ht="26" x14ac:dyDescent="0.2">
      <c r="C3264" s="804"/>
      <c r="D3264" s="587"/>
      <c r="E3264" s="588"/>
      <c r="F3264" s="585" t="s">
        <v>383</v>
      </c>
      <c r="G3264" s="585" t="s">
        <v>384</v>
      </c>
      <c r="H3264" s="585" t="s">
        <v>385</v>
      </c>
      <c r="I3264" s="585" t="s">
        <v>386</v>
      </c>
      <c r="J3264" s="585" t="s">
        <v>387</v>
      </c>
      <c r="K3264" s="585" t="s">
        <v>84</v>
      </c>
    </row>
    <row r="3265" spans="3:12" x14ac:dyDescent="0.2">
      <c r="C3265" s="804"/>
      <c r="D3265" s="684" t="s">
        <v>167</v>
      </c>
      <c r="E3265" s="588"/>
      <c r="F3265" s="580">
        <v>10</v>
      </c>
      <c r="G3265" s="579">
        <v>6</v>
      </c>
      <c r="H3265" s="580">
        <v>3</v>
      </c>
      <c r="I3265" s="580">
        <v>4</v>
      </c>
      <c r="J3265" s="580">
        <v>8</v>
      </c>
      <c r="K3265" s="580">
        <f>SUM(F3265:J3265)</f>
        <v>31</v>
      </c>
    </row>
    <row r="3266" spans="3:12" x14ac:dyDescent="0.2">
      <c r="C3266" s="804"/>
      <c r="D3266" s="684" t="s">
        <v>207</v>
      </c>
      <c r="E3266" s="588"/>
      <c r="F3266" s="618">
        <v>70</v>
      </c>
      <c r="G3266" s="619">
        <v>42</v>
      </c>
      <c r="H3266" s="618">
        <v>21</v>
      </c>
      <c r="I3266" s="618">
        <v>44</v>
      </c>
      <c r="J3266" s="618">
        <v>69</v>
      </c>
      <c r="K3266" s="618">
        <f>SUM(F3266:J3266)</f>
        <v>246</v>
      </c>
    </row>
    <row r="3267" spans="3:12" x14ac:dyDescent="0.2">
      <c r="C3267" s="683"/>
      <c r="D3267" s="684" t="s">
        <v>100</v>
      </c>
      <c r="E3267" s="588"/>
      <c r="F3267" s="581"/>
      <c r="G3267" s="581"/>
      <c r="H3267" s="581"/>
      <c r="I3267" s="581"/>
      <c r="J3267" s="581"/>
      <c r="K3267" s="581">
        <f>SUM(F3267:J3267)</f>
        <v>0</v>
      </c>
    </row>
    <row r="3268" spans="3:12" x14ac:dyDescent="0.2">
      <c r="C3268" s="683"/>
      <c r="D3268" s="684" t="s">
        <v>101</v>
      </c>
      <c r="E3268" s="588"/>
      <c r="F3268" s="581">
        <v>1</v>
      </c>
      <c r="G3268" s="581">
        <v>2</v>
      </c>
      <c r="H3268" s="581"/>
      <c r="I3268" s="581"/>
      <c r="J3268" s="581"/>
      <c r="K3268" s="581">
        <f>SUM(F3268:J3268)</f>
        <v>3</v>
      </c>
    </row>
    <row r="3269" spans="3:12" ht="16" thickBot="1" x14ac:dyDescent="0.25">
      <c r="C3269" s="683"/>
      <c r="D3269" s="597" t="s">
        <v>102</v>
      </c>
      <c r="E3269" s="598"/>
      <c r="F3269" s="599"/>
      <c r="G3269" s="600"/>
      <c r="H3269" s="600"/>
      <c r="I3269" s="600"/>
      <c r="J3269" s="600"/>
      <c r="K3269" s="600">
        <f>SUM(F3269:J3269)</f>
        <v>0</v>
      </c>
    </row>
    <row r="3270" spans="3:12" ht="17" thickBot="1" x14ac:dyDescent="0.25">
      <c r="C3270" s="605"/>
      <c r="D3270" s="612" t="s">
        <v>84</v>
      </c>
      <c r="E3270" s="613"/>
      <c r="F3270" s="614">
        <f t="shared" ref="F3270:K3270" si="151">(F3266+F3269)-F3268-F3267</f>
        <v>69</v>
      </c>
      <c r="G3270" s="615">
        <f t="shared" si="151"/>
        <v>40</v>
      </c>
      <c r="H3270" s="616">
        <f t="shared" si="151"/>
        <v>21</v>
      </c>
      <c r="I3270" s="615">
        <f t="shared" si="151"/>
        <v>44</v>
      </c>
      <c r="J3270" s="622">
        <f t="shared" si="151"/>
        <v>69</v>
      </c>
      <c r="K3270" s="617">
        <f t="shared" si="151"/>
        <v>243</v>
      </c>
    </row>
    <row r="3271" spans="3:12" ht="16" x14ac:dyDescent="0.2">
      <c r="C3271" s="683"/>
      <c r="D3271" s="608"/>
      <c r="E3271" s="609"/>
      <c r="F3271" s="610"/>
      <c r="G3271" s="595"/>
      <c r="H3271" s="611"/>
      <c r="I3271" s="595"/>
      <c r="J3271" s="595"/>
      <c r="K3271" s="595"/>
    </row>
    <row r="3272" spans="3:12" ht="16" thickBot="1" x14ac:dyDescent="0.25">
      <c r="C3272" s="606" t="s">
        <v>388</v>
      </c>
      <c r="D3272" s="607" t="s">
        <v>103</v>
      </c>
      <c r="E3272" s="603" t="s">
        <v>84</v>
      </c>
      <c r="F3272" s="602" t="s">
        <v>78</v>
      </c>
      <c r="G3272" s="602" t="s">
        <v>79</v>
      </c>
      <c r="H3272" s="602" t="s">
        <v>81</v>
      </c>
      <c r="I3272" s="601" t="s">
        <v>316</v>
      </c>
      <c r="J3272" s="601" t="s">
        <v>85</v>
      </c>
      <c r="K3272" s="601" t="s">
        <v>84</v>
      </c>
      <c r="L3272" s="174" t="s">
        <v>389</v>
      </c>
    </row>
    <row r="3273" spans="3:12" x14ac:dyDescent="0.2">
      <c r="C3273" s="589" t="s">
        <v>417</v>
      </c>
      <c r="D3273" s="604" t="s">
        <v>105</v>
      </c>
      <c r="E3273" s="591">
        <f>(F3273+G3273+H3273+I3273+J3273)*100+(0*230)</f>
        <v>6600</v>
      </c>
      <c r="F3273" s="3">
        <v>20</v>
      </c>
      <c r="G3273" s="3">
        <v>12</v>
      </c>
      <c r="H3273" s="3">
        <v>12</v>
      </c>
      <c r="I3273" s="3">
        <v>8</v>
      </c>
      <c r="J3273" s="3">
        <v>14</v>
      </c>
      <c r="K3273" s="628">
        <f t="shared" ref="K3273:K3295" si="152">SUM(F3273:J3273)</f>
        <v>66</v>
      </c>
      <c r="L3273" s="630">
        <f>K3273/4</f>
        <v>16.5</v>
      </c>
    </row>
    <row r="3274" spans="3:12" x14ac:dyDescent="0.2">
      <c r="C3274" s="589"/>
      <c r="D3274" s="590" t="s">
        <v>390</v>
      </c>
      <c r="E3274" s="591">
        <f>(F3274+G3274+H3274+I3274+J3274)*120</f>
        <v>0</v>
      </c>
      <c r="F3274" s="3"/>
      <c r="G3274" s="3"/>
      <c r="H3274" s="3"/>
      <c r="I3274" s="3"/>
      <c r="J3274" s="3"/>
      <c r="K3274" s="628">
        <f t="shared" si="152"/>
        <v>0</v>
      </c>
      <c r="L3274" s="630">
        <f t="shared" ref="L3274:L3295" si="153">K3274/4</f>
        <v>0</v>
      </c>
    </row>
    <row r="3275" spans="3:12" x14ac:dyDescent="0.2">
      <c r="C3275" s="589"/>
      <c r="D3275" s="590" t="s">
        <v>391</v>
      </c>
      <c r="E3275" s="591">
        <f>(F3275+G3275+H3275+I3275+J3275)*120</f>
        <v>0</v>
      </c>
      <c r="F3275" s="3"/>
      <c r="G3275" s="3"/>
      <c r="H3275" s="3"/>
      <c r="I3275" s="3"/>
      <c r="J3275" s="3"/>
      <c r="K3275" s="628">
        <f t="shared" si="152"/>
        <v>0</v>
      </c>
      <c r="L3275" s="630">
        <f t="shared" si="153"/>
        <v>0</v>
      </c>
    </row>
    <row r="3276" spans="3:12" x14ac:dyDescent="0.2">
      <c r="C3276" s="589"/>
      <c r="D3276" s="590" t="s">
        <v>392</v>
      </c>
      <c r="E3276" s="591">
        <f>(F3276+G3276+H3276+I3276+J3276)*120</f>
        <v>0</v>
      </c>
      <c r="F3276" s="3"/>
      <c r="G3276" s="3"/>
      <c r="H3276" s="3"/>
      <c r="I3276" s="3"/>
      <c r="J3276" s="3"/>
      <c r="K3276" s="628">
        <f t="shared" si="152"/>
        <v>0</v>
      </c>
      <c r="L3276" s="630">
        <f t="shared" si="153"/>
        <v>0</v>
      </c>
    </row>
    <row r="3277" spans="3:12" x14ac:dyDescent="0.2">
      <c r="C3277" s="589"/>
      <c r="D3277" s="590" t="s">
        <v>425</v>
      </c>
      <c r="E3277" s="591">
        <f>(F3277+G3277+H3277+I3277+J3277)*120</f>
        <v>0</v>
      </c>
      <c r="F3277" s="3"/>
      <c r="G3277" s="3"/>
      <c r="H3277" s="3"/>
      <c r="I3277" s="3"/>
      <c r="J3277" s="3"/>
      <c r="K3277" s="628">
        <f t="shared" si="152"/>
        <v>0</v>
      </c>
      <c r="L3277" s="630">
        <f t="shared" si="153"/>
        <v>0</v>
      </c>
    </row>
    <row r="3278" spans="3:12" x14ac:dyDescent="0.2">
      <c r="C3278" s="589"/>
      <c r="D3278" s="590"/>
      <c r="E3278" s="591"/>
      <c r="F3278" s="3"/>
      <c r="G3278" s="3"/>
      <c r="H3278" s="3"/>
      <c r="I3278" s="3"/>
      <c r="J3278" s="3"/>
      <c r="K3278" s="628">
        <f t="shared" si="152"/>
        <v>0</v>
      </c>
      <c r="L3278" s="630">
        <f t="shared" si="153"/>
        <v>0</v>
      </c>
    </row>
    <row r="3279" spans="3:12" x14ac:dyDescent="0.2">
      <c r="C3279" s="589" t="s">
        <v>953</v>
      </c>
      <c r="D3279" s="590" t="s">
        <v>108</v>
      </c>
      <c r="E3279" s="591">
        <f>(F3279+G3279+H3279+J3279)*112.7+(I3279*119.6)</f>
        <v>3661.6000000000004</v>
      </c>
      <c r="F3279" s="3">
        <v>8</v>
      </c>
      <c r="G3279" s="3">
        <v>4</v>
      </c>
      <c r="H3279" s="3">
        <v>4</v>
      </c>
      <c r="I3279" s="3">
        <v>8</v>
      </c>
      <c r="J3279" s="3">
        <v>8</v>
      </c>
      <c r="K3279" s="628">
        <f t="shared" si="152"/>
        <v>32</v>
      </c>
      <c r="L3279" s="630">
        <f t="shared" si="153"/>
        <v>8</v>
      </c>
    </row>
    <row r="3280" spans="3:12" x14ac:dyDescent="0.2">
      <c r="C3280" s="589" t="s">
        <v>952</v>
      </c>
      <c r="D3280" s="590" t="s">
        <v>393</v>
      </c>
      <c r="E3280" s="591">
        <f>(F3280+G3280+H3280+J3280)*112.7+(I3280*119.6)</f>
        <v>2732.4</v>
      </c>
      <c r="F3280" s="3">
        <v>6</v>
      </c>
      <c r="G3280" s="3">
        <v>4</v>
      </c>
      <c r="H3280" s="3">
        <v>4</v>
      </c>
      <c r="I3280" s="3">
        <v>4</v>
      </c>
      <c r="J3280" s="3">
        <v>6</v>
      </c>
      <c r="K3280" s="628">
        <f t="shared" si="152"/>
        <v>24</v>
      </c>
      <c r="L3280" s="630">
        <f t="shared" si="153"/>
        <v>6</v>
      </c>
    </row>
    <row r="3281" spans="3:12" x14ac:dyDescent="0.2">
      <c r="C3281" s="589" t="s">
        <v>951</v>
      </c>
      <c r="D3281" s="590" t="s">
        <v>216</v>
      </c>
      <c r="E3281" s="591">
        <f>(F3281+G3281+H3281+J3281)*112.7+(I3281*119.6)</f>
        <v>2281.6</v>
      </c>
      <c r="F3281" s="3">
        <v>6</v>
      </c>
      <c r="G3281" s="3">
        <v>4</v>
      </c>
      <c r="H3281" s="3"/>
      <c r="I3281" s="3">
        <v>4</v>
      </c>
      <c r="J3281" s="3">
        <v>6</v>
      </c>
      <c r="K3281" s="628">
        <f t="shared" si="152"/>
        <v>20</v>
      </c>
      <c r="L3281" s="630">
        <f t="shared" si="153"/>
        <v>5</v>
      </c>
    </row>
    <row r="3282" spans="3:12" x14ac:dyDescent="0.2">
      <c r="C3282" s="589"/>
      <c r="D3282" s="590"/>
      <c r="E3282" s="591"/>
      <c r="F3282" s="3"/>
      <c r="G3282" s="3"/>
      <c r="H3282" s="3"/>
      <c r="I3282" s="3"/>
      <c r="J3282" s="3"/>
      <c r="K3282" s="628">
        <f t="shared" si="152"/>
        <v>0</v>
      </c>
      <c r="L3282" s="630">
        <f t="shared" si="153"/>
        <v>0</v>
      </c>
    </row>
    <row r="3283" spans="3:12" x14ac:dyDescent="0.2">
      <c r="C3283" s="589"/>
      <c r="D3283" s="590" t="s">
        <v>394</v>
      </c>
      <c r="E3283" s="591">
        <f>(F3283+G3283+H3283+I3283+J3283)*120</f>
        <v>0</v>
      </c>
      <c r="F3283" s="3"/>
      <c r="G3283" s="3"/>
      <c r="H3283" s="3"/>
      <c r="I3283" s="3"/>
      <c r="J3283" s="3"/>
      <c r="K3283" s="628">
        <f t="shared" si="152"/>
        <v>0</v>
      </c>
      <c r="L3283" s="630">
        <f t="shared" si="153"/>
        <v>0</v>
      </c>
    </row>
    <row r="3284" spans="3:12" x14ac:dyDescent="0.2">
      <c r="C3284" s="589" t="s">
        <v>954</v>
      </c>
      <c r="D3284" s="590" t="s">
        <v>110</v>
      </c>
      <c r="E3284" s="591">
        <f>(F3284+G3284+H3284+J3284)*112.7+(I3284*119.6)</f>
        <v>8648</v>
      </c>
      <c r="F3284" s="3">
        <v>26</v>
      </c>
      <c r="G3284" s="3">
        <v>12</v>
      </c>
      <c r="H3284" s="3"/>
      <c r="I3284" s="3">
        <v>12</v>
      </c>
      <c r="J3284" s="3">
        <v>26</v>
      </c>
      <c r="K3284" s="628">
        <f t="shared" si="152"/>
        <v>76</v>
      </c>
      <c r="L3284" s="630">
        <f t="shared" si="153"/>
        <v>19</v>
      </c>
    </row>
    <row r="3285" spans="3:12" x14ac:dyDescent="0.2">
      <c r="C3285" s="589"/>
      <c r="D3285" s="590"/>
      <c r="E3285" s="591"/>
      <c r="F3285" s="3"/>
      <c r="G3285" s="3"/>
      <c r="H3285" s="3"/>
      <c r="I3285" s="3"/>
      <c r="J3285" s="3"/>
      <c r="K3285" s="628">
        <f t="shared" si="152"/>
        <v>0</v>
      </c>
      <c r="L3285" s="630">
        <f t="shared" si="153"/>
        <v>0</v>
      </c>
    </row>
    <row r="3286" spans="3:12" x14ac:dyDescent="0.2">
      <c r="C3286" s="589"/>
      <c r="D3286" s="590" t="s">
        <v>381</v>
      </c>
      <c r="E3286" s="591">
        <f>(F3286+G3286+H3286+I3286+J3286)*120+(240*0)+(0*45)</f>
        <v>0</v>
      </c>
      <c r="F3286" s="3"/>
      <c r="G3286" s="3"/>
      <c r="H3286" s="3"/>
      <c r="I3286" s="3"/>
      <c r="J3286" s="3"/>
      <c r="K3286" s="628">
        <f t="shared" si="152"/>
        <v>0</v>
      </c>
      <c r="L3286" s="630">
        <f t="shared" si="153"/>
        <v>0</v>
      </c>
    </row>
    <row r="3287" spans="3:12" x14ac:dyDescent="0.2">
      <c r="C3287" s="589"/>
      <c r="D3287" s="590" t="s">
        <v>276</v>
      </c>
      <c r="E3287" s="591">
        <f>(F3287+G3287+H3287+J3287)*112.7+(I3287*119.6)</f>
        <v>0</v>
      </c>
      <c r="F3287" s="3"/>
      <c r="G3287" s="3"/>
      <c r="H3287" s="3"/>
      <c r="I3287" s="3"/>
      <c r="J3287" s="3"/>
      <c r="K3287" s="628">
        <f t="shared" si="152"/>
        <v>0</v>
      </c>
      <c r="L3287" s="630">
        <f t="shared" si="153"/>
        <v>0</v>
      </c>
    </row>
    <row r="3288" spans="3:12" x14ac:dyDescent="0.2">
      <c r="C3288" s="589"/>
      <c r="D3288" s="590"/>
      <c r="E3288" s="591"/>
      <c r="F3288" s="3"/>
      <c r="G3288" s="3"/>
      <c r="H3288" s="3"/>
      <c r="I3288" s="3"/>
      <c r="J3288" s="3"/>
      <c r="K3288" s="628">
        <f t="shared" si="152"/>
        <v>0</v>
      </c>
      <c r="L3288" s="630">
        <f t="shared" si="153"/>
        <v>0</v>
      </c>
    </row>
    <row r="3289" spans="3:12" x14ac:dyDescent="0.2">
      <c r="C3289" s="589"/>
      <c r="D3289" s="590" t="s">
        <v>75</v>
      </c>
      <c r="E3289" s="591">
        <f>(F3289+G3289+H3289+I3289+J3289)*120</f>
        <v>0</v>
      </c>
      <c r="F3289" s="3"/>
      <c r="G3289" s="3"/>
      <c r="H3289" s="3"/>
      <c r="I3289" s="3"/>
      <c r="J3289" s="3"/>
      <c r="K3289" s="628">
        <f t="shared" si="152"/>
        <v>0</v>
      </c>
      <c r="L3289" s="630">
        <f t="shared" si="153"/>
        <v>0</v>
      </c>
    </row>
    <row r="3290" spans="3:12" x14ac:dyDescent="0.2">
      <c r="C3290" s="589"/>
      <c r="D3290" s="590" t="s">
        <v>278</v>
      </c>
      <c r="E3290" s="591">
        <f>(F3290+G3290+H3290+I3290+J3290)*120</f>
        <v>0</v>
      </c>
      <c r="F3290" s="3"/>
      <c r="G3290" s="3"/>
      <c r="H3290" s="3"/>
      <c r="I3290" s="3"/>
      <c r="J3290" s="3"/>
      <c r="K3290" s="628">
        <f t="shared" si="152"/>
        <v>0</v>
      </c>
      <c r="L3290" s="630">
        <f t="shared" si="153"/>
        <v>0</v>
      </c>
    </row>
    <row r="3291" spans="3:12" x14ac:dyDescent="0.2">
      <c r="C3291" s="589"/>
      <c r="D3291" s="590" t="s">
        <v>270</v>
      </c>
      <c r="E3291" s="591">
        <f>(F3291+G3291+H3291+I3291)*112.7+(J3291*119.6)</f>
        <v>0</v>
      </c>
      <c r="F3291" s="3"/>
      <c r="G3291" s="3"/>
      <c r="H3291" s="3"/>
      <c r="I3291" s="3"/>
      <c r="J3291" s="3"/>
      <c r="K3291" s="628">
        <f t="shared" si="152"/>
        <v>0</v>
      </c>
      <c r="L3291" s="630">
        <f t="shared" si="153"/>
        <v>0</v>
      </c>
    </row>
    <row r="3292" spans="3:12" x14ac:dyDescent="0.2">
      <c r="C3292" s="589"/>
      <c r="D3292" s="590" t="s">
        <v>274</v>
      </c>
      <c r="E3292" s="591">
        <f>(F3292+G3292+H3292+I3292)*112.7+(J3292*119.6)</f>
        <v>0</v>
      </c>
      <c r="F3292" s="3"/>
      <c r="G3292" s="3"/>
      <c r="H3292" s="3"/>
      <c r="I3292" s="3"/>
      <c r="J3292" s="3"/>
      <c r="K3292" s="628">
        <f t="shared" si="152"/>
        <v>0</v>
      </c>
      <c r="L3292" s="630">
        <f t="shared" si="153"/>
        <v>0</v>
      </c>
    </row>
    <row r="3293" spans="3:12" x14ac:dyDescent="0.2">
      <c r="C3293" s="589"/>
      <c r="D3293" s="590" t="s">
        <v>395</v>
      </c>
      <c r="E3293" s="591">
        <f>(F3293+G3293+H3293+I3293)*112.7+(J3293*119.6)</f>
        <v>0</v>
      </c>
      <c r="F3293" s="3"/>
      <c r="G3293" s="3"/>
      <c r="H3293" s="3"/>
      <c r="I3293" s="3"/>
      <c r="J3293" s="3"/>
      <c r="K3293" s="628">
        <f t="shared" si="152"/>
        <v>0</v>
      </c>
      <c r="L3293" s="630">
        <f t="shared" si="153"/>
        <v>0</v>
      </c>
    </row>
    <row r="3294" spans="3:12" x14ac:dyDescent="0.2">
      <c r="C3294" s="683"/>
      <c r="D3294" s="590" t="s">
        <v>112</v>
      </c>
      <c r="E3294" s="591">
        <f>(F3294+G3294+H3294+I3294)*112.7+(J3294*119.6)</f>
        <v>0</v>
      </c>
      <c r="F3294" s="3"/>
      <c r="G3294" s="3"/>
      <c r="H3294" s="3"/>
      <c r="I3294" s="3"/>
      <c r="J3294" s="3"/>
      <c r="K3294" s="628">
        <f t="shared" si="152"/>
        <v>0</v>
      </c>
      <c r="L3294" s="630">
        <f t="shared" si="153"/>
        <v>0</v>
      </c>
    </row>
    <row r="3295" spans="3:12" x14ac:dyDescent="0.2">
      <c r="C3295" s="683"/>
      <c r="D3295" s="590" t="s">
        <v>72</v>
      </c>
      <c r="E3295" s="591">
        <f>(F3295+G3295+H3295+I3295)*112.7+(J3295*119.6)</f>
        <v>0</v>
      </c>
      <c r="F3295" s="3"/>
      <c r="G3295" s="3"/>
      <c r="H3295" s="3"/>
      <c r="I3295" s="3"/>
      <c r="J3295" s="3"/>
      <c r="K3295" s="628">
        <f t="shared" si="152"/>
        <v>0</v>
      </c>
      <c r="L3295" s="630">
        <f t="shared" si="153"/>
        <v>0</v>
      </c>
    </row>
    <row r="3296" spans="3:12" x14ac:dyDescent="0.2">
      <c r="C3296" s="683"/>
      <c r="D3296" s="590" t="s">
        <v>187</v>
      </c>
      <c r="E3296" s="591"/>
      <c r="F3296" s="3"/>
      <c r="G3296" s="3"/>
      <c r="H3296" s="3"/>
      <c r="I3296" s="3"/>
      <c r="J3296" s="3">
        <v>8</v>
      </c>
      <c r="K3296" s="628">
        <f>SUM(F3296:J3296)</f>
        <v>8</v>
      </c>
      <c r="L3296" s="3"/>
    </row>
    <row r="3297" spans="3:12" ht="16" x14ac:dyDescent="0.2">
      <c r="C3297" s="683"/>
      <c r="D3297" s="590" t="s">
        <v>501</v>
      </c>
      <c r="E3297" s="592"/>
      <c r="F3297" s="3"/>
      <c r="G3297" s="3"/>
      <c r="H3297" s="3"/>
      <c r="I3297" s="3"/>
      <c r="J3297" s="3"/>
      <c r="K3297" s="628">
        <f>SUM(F3297:J3297)</f>
        <v>0</v>
      </c>
      <c r="L3297" s="3"/>
    </row>
    <row r="3298" spans="3:12" ht="17" thickBot="1" x14ac:dyDescent="0.25">
      <c r="C3298" s="683"/>
      <c r="D3298" s="590" t="s">
        <v>647</v>
      </c>
      <c r="E3298" s="624"/>
      <c r="F3298" s="69"/>
      <c r="G3298" s="69"/>
      <c r="H3298" s="69"/>
      <c r="I3298" s="69"/>
      <c r="J3298" s="69"/>
      <c r="K3298" s="629"/>
      <c r="L3298" s="3"/>
    </row>
    <row r="3299" spans="3:12" ht="16" thickBot="1" x14ac:dyDescent="0.25">
      <c r="C3299" s="596"/>
      <c r="D3299" s="623" t="s">
        <v>19</v>
      </c>
      <c r="E3299" s="625">
        <f>SUM(E3273:E3296)</f>
        <v>23923.599999999999</v>
      </c>
      <c r="F3299" s="614">
        <f>SUM(F3273:F3298)</f>
        <v>66</v>
      </c>
      <c r="G3299" s="614">
        <f>SUM(G3273:G3298)</f>
        <v>36</v>
      </c>
      <c r="H3299" s="614">
        <f>SUM(H3273:H3298)</f>
        <v>20</v>
      </c>
      <c r="I3299" s="614">
        <f>SUM(I3273:I3298)</f>
        <v>36</v>
      </c>
      <c r="J3299" s="614">
        <f>SUM(J3273:J3298)</f>
        <v>68</v>
      </c>
      <c r="K3299" s="626">
        <f>SUM(F3299:J3299)</f>
        <v>226</v>
      </c>
      <c r="L3299" s="631">
        <f>SUM(L3273:L3298)</f>
        <v>54.5</v>
      </c>
    </row>
    <row r="3300" spans="3:12" x14ac:dyDescent="0.2">
      <c r="C3300" s="596"/>
      <c r="D3300" s="593" t="s">
        <v>113</v>
      </c>
      <c r="E3300" s="620"/>
      <c r="F3300" s="610">
        <f>F3270-F3299</f>
        <v>3</v>
      </c>
      <c r="G3300" s="610">
        <f>G3270-G3299</f>
        <v>4</v>
      </c>
      <c r="H3300" s="610">
        <f>H3270-H3299</f>
        <v>1</v>
      </c>
      <c r="I3300" s="610">
        <f>I3270-I3299</f>
        <v>8</v>
      </c>
      <c r="J3300" s="610">
        <f>J3270-J3299</f>
        <v>1</v>
      </c>
      <c r="K3300" s="636">
        <f>SUM(F3300:J3300)</f>
        <v>17</v>
      </c>
      <c r="L3300" s="3"/>
    </row>
    <row r="3301" spans="3:12" x14ac:dyDescent="0.2">
      <c r="C3301" s="683"/>
      <c r="D3301" s="593" t="s">
        <v>436</v>
      </c>
      <c r="E3301" s="594"/>
      <c r="F3301" s="581"/>
      <c r="G3301" s="581"/>
      <c r="H3301" s="581"/>
      <c r="I3301" s="581"/>
      <c r="J3301" s="581"/>
      <c r="K3301" s="637">
        <f>K3299+K3300</f>
        <v>243</v>
      </c>
      <c r="L3301" s="3"/>
    </row>
    <row r="3303" spans="3:12" ht="18" x14ac:dyDescent="0.2">
      <c r="C3303" s="685" t="s">
        <v>412</v>
      </c>
      <c r="D3303" s="582">
        <v>45755</v>
      </c>
      <c r="E3303" s="800"/>
      <c r="F3303" s="685" t="s">
        <v>83</v>
      </c>
      <c r="G3303" s="801" t="s">
        <v>64</v>
      </c>
      <c r="H3303" s="802"/>
      <c r="I3303" s="802"/>
      <c r="J3303" s="802"/>
      <c r="K3303" s="803"/>
    </row>
    <row r="3304" spans="3:12" x14ac:dyDescent="0.2">
      <c r="C3304" s="804"/>
      <c r="D3304" s="805"/>
      <c r="E3304" s="800"/>
      <c r="F3304" s="683" t="s">
        <v>93</v>
      </c>
      <c r="G3304" s="683" t="s">
        <v>93</v>
      </c>
      <c r="H3304" s="683"/>
      <c r="I3304" s="806"/>
      <c r="J3304" s="806"/>
      <c r="K3304" s="806"/>
    </row>
    <row r="3305" spans="3:12" x14ac:dyDescent="0.2">
      <c r="C3305" s="804"/>
      <c r="D3305" s="805"/>
      <c r="E3305" s="800"/>
      <c r="F3305" s="683" t="s">
        <v>94</v>
      </c>
      <c r="G3305" s="683" t="s">
        <v>95</v>
      </c>
      <c r="H3305" s="683" t="s">
        <v>96</v>
      </c>
      <c r="I3305" s="806"/>
      <c r="J3305" s="806"/>
      <c r="K3305" s="806"/>
    </row>
    <row r="3306" spans="3:12" x14ac:dyDescent="0.2">
      <c r="C3306" s="804"/>
      <c r="D3306" s="805"/>
      <c r="E3306" s="800"/>
      <c r="F3306" s="683"/>
      <c r="G3306" s="683"/>
      <c r="H3306" s="683"/>
      <c r="I3306" s="806"/>
      <c r="J3306" s="806"/>
      <c r="K3306" s="806"/>
    </row>
    <row r="3307" spans="3:12" ht="16" x14ac:dyDescent="0.2">
      <c r="C3307" s="683"/>
      <c r="D3307" s="583" t="s">
        <v>97</v>
      </c>
      <c r="E3307" s="584"/>
      <c r="F3307" s="581"/>
      <c r="G3307" s="585"/>
      <c r="H3307" s="585"/>
      <c r="I3307" s="586"/>
      <c r="J3307" s="586"/>
      <c r="K3307" s="586"/>
    </row>
    <row r="3308" spans="3:12" ht="26" x14ac:dyDescent="0.2">
      <c r="C3308" s="804"/>
      <c r="D3308" s="587"/>
      <c r="E3308" s="588"/>
      <c r="F3308" s="585" t="s">
        <v>383</v>
      </c>
      <c r="G3308" s="585" t="s">
        <v>384</v>
      </c>
      <c r="H3308" s="585" t="s">
        <v>385</v>
      </c>
      <c r="I3308" s="585" t="s">
        <v>386</v>
      </c>
      <c r="J3308" s="585" t="s">
        <v>387</v>
      </c>
      <c r="K3308" s="585" t="s">
        <v>84</v>
      </c>
    </row>
    <row r="3309" spans="3:12" x14ac:dyDescent="0.2">
      <c r="C3309" s="804"/>
      <c r="D3309" s="684" t="s">
        <v>167</v>
      </c>
      <c r="E3309" s="588"/>
      <c r="F3309" s="580">
        <v>11</v>
      </c>
      <c r="G3309" s="579">
        <v>8</v>
      </c>
      <c r="H3309" s="580"/>
      <c r="I3309" s="580">
        <v>5</v>
      </c>
      <c r="J3309" s="580">
        <v>8</v>
      </c>
      <c r="K3309" s="580">
        <f>SUM(F3309:J3309)</f>
        <v>32</v>
      </c>
    </row>
    <row r="3310" spans="3:12" x14ac:dyDescent="0.2">
      <c r="C3310" s="804"/>
      <c r="D3310" s="684" t="s">
        <v>207</v>
      </c>
      <c r="E3310" s="588"/>
      <c r="F3310" s="618">
        <v>77</v>
      </c>
      <c r="G3310" s="619">
        <v>56</v>
      </c>
      <c r="H3310" s="618"/>
      <c r="I3310" s="618">
        <v>55</v>
      </c>
      <c r="J3310" s="618">
        <v>71</v>
      </c>
      <c r="K3310" s="618">
        <f>SUM(F3310:J3310)</f>
        <v>259</v>
      </c>
    </row>
    <row r="3311" spans="3:12" x14ac:dyDescent="0.2">
      <c r="C3311" s="683"/>
      <c r="D3311" s="684" t="s">
        <v>100</v>
      </c>
      <c r="E3311" s="588"/>
      <c r="F3311" s="581">
        <v>1</v>
      </c>
      <c r="G3311" s="581"/>
      <c r="H3311" s="581"/>
      <c r="I3311" s="581"/>
      <c r="J3311" s="581"/>
      <c r="K3311" s="581">
        <f>SUM(F3311:J3311)</f>
        <v>1</v>
      </c>
    </row>
    <row r="3312" spans="3:12" x14ac:dyDescent="0.2">
      <c r="C3312" s="683"/>
      <c r="D3312" s="684" t="s">
        <v>101</v>
      </c>
      <c r="E3312" s="588"/>
      <c r="F3312" s="581">
        <v>4</v>
      </c>
      <c r="G3312" s="581">
        <v>2</v>
      </c>
      <c r="H3312" s="581"/>
      <c r="I3312" s="581">
        <v>1</v>
      </c>
      <c r="J3312" s="581"/>
      <c r="K3312" s="581">
        <f>SUM(F3312:J3312)</f>
        <v>7</v>
      </c>
    </row>
    <row r="3313" spans="3:12" ht="16" thickBot="1" x14ac:dyDescent="0.25">
      <c r="C3313" s="683"/>
      <c r="D3313" s="597" t="s">
        <v>102</v>
      </c>
      <c r="E3313" s="598"/>
      <c r="F3313" s="599">
        <v>3</v>
      </c>
      <c r="G3313" s="600">
        <v>2</v>
      </c>
      <c r="H3313" s="600">
        <v>1</v>
      </c>
      <c r="I3313" s="600">
        <v>8</v>
      </c>
      <c r="J3313" s="600">
        <v>1</v>
      </c>
      <c r="K3313" s="600">
        <f>SUM(F3313:J3313)</f>
        <v>15</v>
      </c>
    </row>
    <row r="3314" spans="3:12" ht="17" thickBot="1" x14ac:dyDescent="0.25">
      <c r="C3314" s="605"/>
      <c r="D3314" s="612" t="s">
        <v>84</v>
      </c>
      <c r="E3314" s="613"/>
      <c r="F3314" s="614">
        <f t="shared" ref="F3314" si="154">(F3310+F3313)-F3312-F3311</f>
        <v>75</v>
      </c>
      <c r="G3314" s="615">
        <f t="shared" ref="G3314" si="155">(G3310+G3313)-G3312-G3311</f>
        <v>56</v>
      </c>
      <c r="H3314" s="616">
        <f t="shared" ref="H3314" si="156">(H3310+H3313)-H3312-H3311</f>
        <v>1</v>
      </c>
      <c r="I3314" s="615">
        <f t="shared" ref="I3314" si="157">(I3310+I3313)-I3312-I3311</f>
        <v>62</v>
      </c>
      <c r="J3314" s="622">
        <f t="shared" ref="J3314" si="158">(J3310+J3313)-J3312-J3311</f>
        <v>72</v>
      </c>
      <c r="K3314" s="617">
        <f t="shared" ref="K3314" si="159">(K3310+K3313)-K3312-K3311</f>
        <v>266</v>
      </c>
    </row>
    <row r="3315" spans="3:12" ht="16" x14ac:dyDescent="0.2">
      <c r="C3315" s="683"/>
      <c r="D3315" s="608"/>
      <c r="E3315" s="609"/>
      <c r="F3315" s="610"/>
      <c r="G3315" s="595"/>
      <c r="H3315" s="611"/>
      <c r="I3315" s="595"/>
      <c r="J3315" s="595"/>
      <c r="K3315" s="595"/>
    </row>
    <row r="3316" spans="3:12" ht="16" thickBot="1" x14ac:dyDescent="0.25">
      <c r="C3316" s="606" t="s">
        <v>388</v>
      </c>
      <c r="D3316" s="607" t="s">
        <v>103</v>
      </c>
      <c r="E3316" s="603" t="s">
        <v>84</v>
      </c>
      <c r="F3316" s="602" t="s">
        <v>78</v>
      </c>
      <c r="G3316" s="602" t="s">
        <v>79</v>
      </c>
      <c r="H3316" s="602" t="s">
        <v>81</v>
      </c>
      <c r="I3316" s="601" t="s">
        <v>316</v>
      </c>
      <c r="J3316" s="601" t="s">
        <v>85</v>
      </c>
      <c r="K3316" s="601" t="s">
        <v>84</v>
      </c>
      <c r="L3316" s="174" t="s">
        <v>389</v>
      </c>
    </row>
    <row r="3317" spans="3:12" x14ac:dyDescent="0.2">
      <c r="C3317" s="589"/>
      <c r="D3317" s="604" t="s">
        <v>105</v>
      </c>
      <c r="E3317" s="591">
        <f>(F3317+G3317+H3317+I3317+J3317)*100+(0*230)</f>
        <v>0</v>
      </c>
      <c r="F3317" s="3"/>
      <c r="G3317" s="3"/>
      <c r="H3317" s="3"/>
      <c r="I3317" s="3"/>
      <c r="J3317" s="3"/>
      <c r="K3317" s="628">
        <f t="shared" ref="K3317:K3339" si="160">SUM(F3317:J3317)</f>
        <v>0</v>
      </c>
      <c r="L3317" s="630">
        <f>K3317/4</f>
        <v>0</v>
      </c>
    </row>
    <row r="3318" spans="3:12" x14ac:dyDescent="0.2">
      <c r="C3318" s="589"/>
      <c r="D3318" s="590" t="s">
        <v>390</v>
      </c>
      <c r="E3318" s="591">
        <f>(F3318+G3318+H3318+I3318+J3318)*120</f>
        <v>0</v>
      </c>
      <c r="F3318" s="3"/>
      <c r="G3318" s="3"/>
      <c r="H3318" s="3"/>
      <c r="I3318" s="3"/>
      <c r="J3318" s="3"/>
      <c r="K3318" s="628">
        <f t="shared" si="160"/>
        <v>0</v>
      </c>
      <c r="L3318" s="630">
        <f t="shared" ref="L3318:L3339" si="161">K3318/4</f>
        <v>0</v>
      </c>
    </row>
    <row r="3319" spans="3:12" x14ac:dyDescent="0.2">
      <c r="C3319" s="589"/>
      <c r="D3319" s="590" t="s">
        <v>391</v>
      </c>
      <c r="E3319" s="591">
        <f>(F3319+G3319+H3319+I3319+J3319)*120</f>
        <v>0</v>
      </c>
      <c r="F3319" s="3"/>
      <c r="G3319" s="3"/>
      <c r="H3319" s="3"/>
      <c r="I3319" s="3"/>
      <c r="J3319" s="3"/>
      <c r="K3319" s="628">
        <f t="shared" si="160"/>
        <v>0</v>
      </c>
      <c r="L3319" s="630">
        <f t="shared" si="161"/>
        <v>0</v>
      </c>
    </row>
    <row r="3320" spans="3:12" x14ac:dyDescent="0.2">
      <c r="C3320" s="589"/>
      <c r="D3320" s="590" t="s">
        <v>392</v>
      </c>
      <c r="E3320" s="591">
        <f>(F3320+G3320+H3320+I3320+J3320)*120</f>
        <v>0</v>
      </c>
      <c r="F3320" s="3"/>
      <c r="G3320" s="3"/>
      <c r="H3320" s="3"/>
      <c r="I3320" s="3"/>
      <c r="J3320" s="3"/>
      <c r="K3320" s="628">
        <f t="shared" si="160"/>
        <v>0</v>
      </c>
      <c r="L3320" s="630">
        <f t="shared" si="161"/>
        <v>0</v>
      </c>
    </row>
    <row r="3321" spans="3:12" x14ac:dyDescent="0.2">
      <c r="C3321" s="589"/>
      <c r="D3321" s="590" t="s">
        <v>425</v>
      </c>
      <c r="E3321" s="591">
        <f>(F3321+G3321+H3321+I3321+J3321)*120</f>
        <v>0</v>
      </c>
      <c r="F3321" s="3"/>
      <c r="G3321" s="3"/>
      <c r="H3321" s="3"/>
      <c r="I3321" s="3"/>
      <c r="J3321" s="3"/>
      <c r="K3321" s="628">
        <f t="shared" si="160"/>
        <v>0</v>
      </c>
      <c r="L3321" s="630">
        <f t="shared" si="161"/>
        <v>0</v>
      </c>
    </row>
    <row r="3322" spans="3:12" x14ac:dyDescent="0.2">
      <c r="C3322" s="589"/>
      <c r="D3322" s="590"/>
      <c r="E3322" s="591"/>
      <c r="F3322" s="3"/>
      <c r="G3322" s="3"/>
      <c r="H3322" s="3"/>
      <c r="I3322" s="3"/>
      <c r="J3322" s="3"/>
      <c r="K3322" s="628">
        <f t="shared" si="160"/>
        <v>0</v>
      </c>
      <c r="L3322" s="630">
        <f t="shared" si="161"/>
        <v>0</v>
      </c>
    </row>
    <row r="3323" spans="3:12" x14ac:dyDescent="0.2">
      <c r="C3323" s="589"/>
      <c r="D3323" s="590" t="s">
        <v>108</v>
      </c>
      <c r="E3323" s="591">
        <f>(F3323+G3323+H3323+J3323)*112.7+(I3323*119.6)</f>
        <v>0</v>
      </c>
      <c r="F3323" s="3"/>
      <c r="G3323" s="3"/>
      <c r="H3323" s="3"/>
      <c r="I3323" s="3"/>
      <c r="J3323" s="3"/>
      <c r="K3323" s="628">
        <f t="shared" si="160"/>
        <v>0</v>
      </c>
      <c r="L3323" s="630">
        <f t="shared" si="161"/>
        <v>0</v>
      </c>
    </row>
    <row r="3324" spans="3:12" x14ac:dyDescent="0.2">
      <c r="C3324" s="589"/>
      <c r="D3324" s="590" t="s">
        <v>393</v>
      </c>
      <c r="E3324" s="591">
        <f>(F3324+G3324+H3324+J3324)*112.7+(I3324*119.6)</f>
        <v>0</v>
      </c>
      <c r="F3324" s="3"/>
      <c r="G3324" s="3"/>
      <c r="H3324" s="3"/>
      <c r="I3324" s="3"/>
      <c r="J3324" s="3"/>
      <c r="K3324" s="628">
        <f t="shared" si="160"/>
        <v>0</v>
      </c>
      <c r="L3324" s="630">
        <f t="shared" si="161"/>
        <v>0</v>
      </c>
    </row>
    <row r="3325" spans="3:12" x14ac:dyDescent="0.2">
      <c r="C3325" s="589"/>
      <c r="D3325" s="590" t="s">
        <v>216</v>
      </c>
      <c r="E3325" s="591">
        <f>(F3325+G3325+H3325+J3325)*112.7+(I3325*119.6)</f>
        <v>0</v>
      </c>
      <c r="F3325" s="3"/>
      <c r="G3325" s="3"/>
      <c r="H3325" s="3"/>
      <c r="I3325" s="3"/>
      <c r="J3325" s="3"/>
      <c r="K3325" s="628">
        <f t="shared" si="160"/>
        <v>0</v>
      </c>
      <c r="L3325" s="630">
        <f t="shared" si="161"/>
        <v>0</v>
      </c>
    </row>
    <row r="3326" spans="3:12" x14ac:dyDescent="0.2">
      <c r="C3326" s="589"/>
      <c r="D3326" s="590"/>
      <c r="E3326" s="591"/>
      <c r="F3326" s="3"/>
      <c r="G3326" s="3"/>
      <c r="H3326" s="3"/>
      <c r="I3326" s="3"/>
      <c r="J3326" s="3"/>
      <c r="K3326" s="628">
        <f t="shared" si="160"/>
        <v>0</v>
      </c>
      <c r="L3326" s="630">
        <f t="shared" si="161"/>
        <v>0</v>
      </c>
    </row>
    <row r="3327" spans="3:12" x14ac:dyDescent="0.2">
      <c r="C3327" s="589"/>
      <c r="D3327" s="590" t="s">
        <v>394</v>
      </c>
      <c r="E3327" s="591">
        <f>(F3327+G3327+H3327+I3327+J3327)*120</f>
        <v>0</v>
      </c>
      <c r="F3327" s="3"/>
      <c r="G3327" s="3"/>
      <c r="H3327" s="3"/>
      <c r="I3327" s="3"/>
      <c r="J3327" s="3"/>
      <c r="K3327" s="628">
        <f t="shared" si="160"/>
        <v>0</v>
      </c>
      <c r="L3327" s="630">
        <f t="shared" si="161"/>
        <v>0</v>
      </c>
    </row>
    <row r="3328" spans="3:12" x14ac:dyDescent="0.2">
      <c r="C3328" s="589"/>
      <c r="D3328" s="590" t="s">
        <v>110</v>
      </c>
      <c r="E3328" s="591">
        <f>(F3328+G3328+H3328+J3328)*112.7+(I3328*119.6)</f>
        <v>0</v>
      </c>
      <c r="F3328" s="3"/>
      <c r="G3328" s="3"/>
      <c r="H3328" s="3"/>
      <c r="I3328" s="3"/>
      <c r="J3328" s="3"/>
      <c r="K3328" s="628">
        <f t="shared" si="160"/>
        <v>0</v>
      </c>
      <c r="L3328" s="630">
        <f t="shared" si="161"/>
        <v>0</v>
      </c>
    </row>
    <row r="3329" spans="3:12" x14ac:dyDescent="0.2">
      <c r="C3329" s="589"/>
      <c r="D3329" s="590"/>
      <c r="E3329" s="591"/>
      <c r="F3329" s="3"/>
      <c r="G3329" s="3"/>
      <c r="H3329" s="3"/>
      <c r="I3329" s="3"/>
      <c r="J3329" s="3"/>
      <c r="K3329" s="628">
        <f t="shared" si="160"/>
        <v>0</v>
      </c>
      <c r="L3329" s="630">
        <f t="shared" si="161"/>
        <v>0</v>
      </c>
    </row>
    <row r="3330" spans="3:12" x14ac:dyDescent="0.2">
      <c r="C3330" s="589"/>
      <c r="D3330" s="590" t="s">
        <v>381</v>
      </c>
      <c r="E3330" s="591">
        <f>(F3330+G3330+H3330+I3330+J3330)*120+(240*0)+(0*45)</f>
        <v>0</v>
      </c>
      <c r="F3330" s="3"/>
      <c r="G3330" s="3"/>
      <c r="H3330" s="3"/>
      <c r="I3330" s="3"/>
      <c r="J3330" s="3"/>
      <c r="K3330" s="628">
        <f t="shared" si="160"/>
        <v>0</v>
      </c>
      <c r="L3330" s="630">
        <f t="shared" si="161"/>
        <v>0</v>
      </c>
    </row>
    <row r="3331" spans="3:12" x14ac:dyDescent="0.2">
      <c r="C3331" s="589"/>
      <c r="D3331" s="590" t="s">
        <v>276</v>
      </c>
      <c r="E3331" s="591">
        <f>(F3331+G3331+H3331+J3331)*112.7+(I3331*119.6)</f>
        <v>0</v>
      </c>
      <c r="F3331" s="3"/>
      <c r="G3331" s="3"/>
      <c r="H3331" s="3"/>
      <c r="I3331" s="3"/>
      <c r="J3331" s="3"/>
      <c r="K3331" s="628">
        <f t="shared" si="160"/>
        <v>0</v>
      </c>
      <c r="L3331" s="630">
        <f t="shared" si="161"/>
        <v>0</v>
      </c>
    </row>
    <row r="3332" spans="3:12" x14ac:dyDescent="0.2">
      <c r="C3332" s="589"/>
      <c r="D3332" s="590"/>
      <c r="E3332" s="591"/>
      <c r="F3332" s="3"/>
      <c r="G3332" s="3"/>
      <c r="H3332" s="3"/>
      <c r="I3332" s="3"/>
      <c r="J3332" s="3"/>
      <c r="K3332" s="628">
        <f t="shared" si="160"/>
        <v>0</v>
      </c>
      <c r="L3332" s="630">
        <f t="shared" si="161"/>
        <v>0</v>
      </c>
    </row>
    <row r="3333" spans="3:12" x14ac:dyDescent="0.2">
      <c r="C3333" s="589"/>
      <c r="D3333" s="590" t="s">
        <v>75</v>
      </c>
      <c r="E3333" s="591">
        <f>(F3333+G3333+H3333+I3333+J3333)*120</f>
        <v>0</v>
      </c>
      <c r="F3333" s="3"/>
      <c r="G3333" s="3"/>
      <c r="H3333" s="3"/>
      <c r="I3333" s="3"/>
      <c r="J3333" s="3"/>
      <c r="K3333" s="628">
        <f t="shared" si="160"/>
        <v>0</v>
      </c>
      <c r="L3333" s="630">
        <f t="shared" si="161"/>
        <v>0</v>
      </c>
    </row>
    <row r="3334" spans="3:12" x14ac:dyDescent="0.2">
      <c r="C3334" s="589"/>
      <c r="D3334" s="590" t="s">
        <v>278</v>
      </c>
      <c r="E3334" s="591">
        <f>(F3334+G3334+H3334+I3334+J3334)*120</f>
        <v>0</v>
      </c>
      <c r="F3334" s="3"/>
      <c r="G3334" s="3"/>
      <c r="H3334" s="3"/>
      <c r="I3334" s="3"/>
      <c r="J3334" s="3"/>
      <c r="K3334" s="628">
        <f t="shared" si="160"/>
        <v>0</v>
      </c>
      <c r="L3334" s="630">
        <f t="shared" si="161"/>
        <v>0</v>
      </c>
    </row>
    <row r="3335" spans="3:12" x14ac:dyDescent="0.2">
      <c r="C3335" s="589" t="s">
        <v>959</v>
      </c>
      <c r="D3335" s="590" t="s">
        <v>270</v>
      </c>
      <c r="E3335" s="591">
        <f>(F3335+G3335+H3335+I3335)*112.7+(J3335*119.6)</f>
        <v>6752.8</v>
      </c>
      <c r="F3335" s="3">
        <v>24</v>
      </c>
      <c r="G3335" s="3">
        <v>10</v>
      </c>
      <c r="H3335" s="3"/>
      <c r="I3335" s="3">
        <v>10</v>
      </c>
      <c r="J3335" s="3">
        <v>15</v>
      </c>
      <c r="K3335" s="628">
        <f t="shared" si="160"/>
        <v>59</v>
      </c>
      <c r="L3335" s="630">
        <f t="shared" si="161"/>
        <v>14.75</v>
      </c>
    </row>
    <row r="3336" spans="3:12" x14ac:dyDescent="0.2">
      <c r="C3336" s="589" t="s">
        <v>958</v>
      </c>
      <c r="D3336" s="590" t="s">
        <v>274</v>
      </c>
      <c r="E3336" s="591">
        <f>(F3336+G3336+H3336+I3336)*112.7+(J3336*119.6)</f>
        <v>4816.2</v>
      </c>
      <c r="F3336" s="3">
        <v>12</v>
      </c>
      <c r="G3336" s="3">
        <v>8</v>
      </c>
      <c r="H3336" s="3"/>
      <c r="I3336" s="3">
        <v>10</v>
      </c>
      <c r="J3336" s="3">
        <v>12</v>
      </c>
      <c r="K3336" s="628">
        <f t="shared" si="160"/>
        <v>42</v>
      </c>
      <c r="L3336" s="630">
        <f t="shared" si="161"/>
        <v>10.5</v>
      </c>
    </row>
    <row r="3337" spans="3:12" x14ac:dyDescent="0.2">
      <c r="C3337" s="589" t="s">
        <v>957</v>
      </c>
      <c r="D3337" s="590" t="s">
        <v>395</v>
      </c>
      <c r="E3337" s="591">
        <f>(F3337+G3337+H3337+I3337)*112.7+(J3337*119.6)</f>
        <v>5041.6000000000004</v>
      </c>
      <c r="F3337" s="3">
        <v>12</v>
      </c>
      <c r="G3337" s="3">
        <v>10</v>
      </c>
      <c r="H3337" s="3"/>
      <c r="I3337" s="3">
        <v>10</v>
      </c>
      <c r="J3337" s="3">
        <v>12</v>
      </c>
      <c r="K3337" s="628">
        <f t="shared" si="160"/>
        <v>44</v>
      </c>
      <c r="L3337" s="630">
        <f t="shared" si="161"/>
        <v>11</v>
      </c>
    </row>
    <row r="3338" spans="3:12" x14ac:dyDescent="0.2">
      <c r="C3338" s="683">
        <v>1176689053</v>
      </c>
      <c r="D3338" s="590" t="s">
        <v>112</v>
      </c>
      <c r="E3338" s="591">
        <f>(F3338+G3338+H3338+I3338)*112.7+(J3338*119.6)</f>
        <v>5041.6000000000004</v>
      </c>
      <c r="F3338" s="3">
        <v>12</v>
      </c>
      <c r="G3338" s="3">
        <v>10</v>
      </c>
      <c r="H3338" s="3"/>
      <c r="I3338" s="3">
        <v>10</v>
      </c>
      <c r="J3338" s="3">
        <v>12</v>
      </c>
      <c r="K3338" s="628">
        <f t="shared" si="160"/>
        <v>44</v>
      </c>
      <c r="L3338" s="630">
        <f t="shared" si="161"/>
        <v>11</v>
      </c>
    </row>
    <row r="3339" spans="3:12" x14ac:dyDescent="0.2">
      <c r="C3339" s="683">
        <v>1176689051</v>
      </c>
      <c r="D3339" s="590" t="s">
        <v>72</v>
      </c>
      <c r="E3339" s="591">
        <f>(F3339+G3339+H3339+I3339)*112.7+(J3339*119.6)</f>
        <v>5140.5</v>
      </c>
      <c r="F3339" s="3">
        <v>15</v>
      </c>
      <c r="G3339" s="3">
        <v>10</v>
      </c>
      <c r="H3339" s="3"/>
      <c r="I3339" s="3">
        <v>10</v>
      </c>
      <c r="J3339" s="3">
        <v>10</v>
      </c>
      <c r="K3339" s="628">
        <f t="shared" si="160"/>
        <v>45</v>
      </c>
      <c r="L3339" s="630">
        <f t="shared" si="161"/>
        <v>11.25</v>
      </c>
    </row>
    <row r="3340" spans="3:12" x14ac:dyDescent="0.2">
      <c r="C3340" s="683"/>
      <c r="D3340" s="590" t="s">
        <v>187</v>
      </c>
      <c r="E3340" s="591"/>
      <c r="F3340" s="3"/>
      <c r="G3340" s="3"/>
      <c r="H3340" s="3">
        <v>1</v>
      </c>
      <c r="I3340" s="3">
        <v>2</v>
      </c>
      <c r="J3340" s="3">
        <v>11</v>
      </c>
      <c r="K3340" s="628">
        <f>SUM(F3340:J3340)</f>
        <v>14</v>
      </c>
      <c r="L3340" s="3"/>
    </row>
    <row r="3341" spans="3:12" ht="16" x14ac:dyDescent="0.2">
      <c r="C3341" s="683"/>
      <c r="D3341" s="590"/>
      <c r="E3341" s="592"/>
      <c r="F3341" s="3"/>
      <c r="G3341" s="3"/>
      <c r="H3341" s="3"/>
      <c r="I3341" s="3"/>
      <c r="J3341" s="3"/>
      <c r="K3341" s="628">
        <f>SUM(F3341:J3341)</f>
        <v>0</v>
      </c>
      <c r="L3341" s="3"/>
    </row>
    <row r="3342" spans="3:12" ht="17" thickBot="1" x14ac:dyDescent="0.25">
      <c r="C3342" s="683"/>
      <c r="D3342" s="590"/>
      <c r="E3342" s="624"/>
      <c r="F3342" s="69"/>
      <c r="G3342" s="69"/>
      <c r="H3342" s="69"/>
      <c r="I3342" s="69"/>
      <c r="J3342" s="69"/>
      <c r="K3342" s="629"/>
      <c r="L3342" s="3"/>
    </row>
    <row r="3343" spans="3:12" ht="16" thickBot="1" x14ac:dyDescent="0.25">
      <c r="C3343" s="596"/>
      <c r="D3343" s="623" t="s">
        <v>19</v>
      </c>
      <c r="E3343" s="625">
        <f>SUM(E3317:E3340)</f>
        <v>26792.699999999997</v>
      </c>
      <c r="F3343" s="614">
        <f>SUM(F3317:F3342)</f>
        <v>75</v>
      </c>
      <c r="G3343" s="614">
        <f>SUM(G3317:G3342)</f>
        <v>48</v>
      </c>
      <c r="H3343" s="614">
        <f>SUM(H3317:H3342)</f>
        <v>1</v>
      </c>
      <c r="I3343" s="614">
        <f>SUM(I3317:I3342)</f>
        <v>52</v>
      </c>
      <c r="J3343" s="614">
        <f>SUM(J3317:J3342)</f>
        <v>72</v>
      </c>
      <c r="K3343" s="626">
        <f>SUM(F3343:J3343)</f>
        <v>248</v>
      </c>
      <c r="L3343" s="631">
        <f>SUM(L3317:L3342)</f>
        <v>58.5</v>
      </c>
    </row>
    <row r="3344" spans="3:12" x14ac:dyDescent="0.2">
      <c r="C3344" s="596"/>
      <c r="D3344" s="593" t="s">
        <v>113</v>
      </c>
      <c r="E3344" s="620"/>
      <c r="F3344" s="610">
        <f>F3314-F3343</f>
        <v>0</v>
      </c>
      <c r="G3344" s="610">
        <f>G3314-G3343</f>
        <v>8</v>
      </c>
      <c r="H3344" s="610">
        <f>H3314-H3343</f>
        <v>0</v>
      </c>
      <c r="I3344" s="610">
        <f>I3314-I3343</f>
        <v>10</v>
      </c>
      <c r="J3344" s="610">
        <f>J3314-J3343</f>
        <v>0</v>
      </c>
      <c r="K3344" s="636">
        <f>SUM(F3344:J3344)</f>
        <v>18</v>
      </c>
      <c r="L3344" s="3"/>
    </row>
    <row r="3345" spans="3:12" x14ac:dyDescent="0.2">
      <c r="C3345" s="683"/>
      <c r="D3345" s="593" t="s">
        <v>436</v>
      </c>
      <c r="E3345" s="594"/>
      <c r="F3345" s="581"/>
      <c r="G3345" s="581"/>
      <c r="H3345" s="581"/>
      <c r="I3345" s="581"/>
      <c r="J3345" s="581"/>
      <c r="K3345" s="637">
        <f>K3343+K3344</f>
        <v>266</v>
      </c>
      <c r="L3345" s="3"/>
    </row>
    <row r="3347" spans="3:12" ht="18" x14ac:dyDescent="0.2">
      <c r="C3347" s="685" t="s">
        <v>412</v>
      </c>
      <c r="D3347" s="582">
        <v>45756</v>
      </c>
      <c r="E3347" s="800"/>
      <c r="F3347" s="685" t="s">
        <v>83</v>
      </c>
      <c r="G3347" s="801" t="s">
        <v>65</v>
      </c>
      <c r="H3347" s="802"/>
      <c r="I3347" s="802"/>
      <c r="J3347" s="802"/>
      <c r="K3347" s="803"/>
    </row>
    <row r="3348" spans="3:12" x14ac:dyDescent="0.2">
      <c r="C3348" s="804"/>
      <c r="D3348" s="805"/>
      <c r="E3348" s="800"/>
      <c r="F3348" s="683" t="s">
        <v>93</v>
      </c>
      <c r="G3348" s="683" t="s">
        <v>93</v>
      </c>
      <c r="H3348" s="683"/>
      <c r="I3348" s="806"/>
      <c r="J3348" s="806"/>
      <c r="K3348" s="806"/>
    </row>
    <row r="3349" spans="3:12" x14ac:dyDescent="0.2">
      <c r="C3349" s="804"/>
      <c r="D3349" s="805"/>
      <c r="E3349" s="800"/>
      <c r="F3349" s="683" t="s">
        <v>94</v>
      </c>
      <c r="G3349" s="683" t="s">
        <v>95</v>
      </c>
      <c r="H3349" s="683" t="s">
        <v>96</v>
      </c>
      <c r="I3349" s="806"/>
      <c r="J3349" s="806"/>
      <c r="K3349" s="806"/>
    </row>
    <row r="3350" spans="3:12" x14ac:dyDescent="0.2">
      <c r="C3350" s="804"/>
      <c r="D3350" s="805"/>
      <c r="E3350" s="800"/>
      <c r="F3350" s="683"/>
      <c r="G3350" s="683"/>
      <c r="H3350" s="683"/>
      <c r="I3350" s="806"/>
      <c r="J3350" s="806"/>
      <c r="K3350" s="806"/>
    </row>
    <row r="3351" spans="3:12" ht="16" x14ac:dyDescent="0.2">
      <c r="C3351" s="683"/>
      <c r="D3351" s="583" t="s">
        <v>97</v>
      </c>
      <c r="E3351" s="584"/>
      <c r="F3351" s="581"/>
      <c r="G3351" s="585"/>
      <c r="H3351" s="585"/>
      <c r="I3351" s="586"/>
      <c r="J3351" s="586"/>
      <c r="K3351" s="586"/>
    </row>
    <row r="3352" spans="3:12" ht="26" x14ac:dyDescent="0.2">
      <c r="C3352" s="804"/>
      <c r="D3352" s="587"/>
      <c r="E3352" s="588"/>
      <c r="F3352" s="585" t="s">
        <v>383</v>
      </c>
      <c r="G3352" s="585" t="s">
        <v>384</v>
      </c>
      <c r="H3352" s="585" t="s">
        <v>385</v>
      </c>
      <c r="I3352" s="585" t="s">
        <v>386</v>
      </c>
      <c r="J3352" s="585" t="s">
        <v>387</v>
      </c>
      <c r="K3352" s="585" t="s">
        <v>84</v>
      </c>
    </row>
    <row r="3353" spans="3:12" x14ac:dyDescent="0.2">
      <c r="C3353" s="804"/>
      <c r="D3353" s="684" t="s">
        <v>167</v>
      </c>
      <c r="E3353" s="588"/>
      <c r="F3353" s="580">
        <v>14</v>
      </c>
      <c r="G3353" s="579">
        <v>8</v>
      </c>
      <c r="H3353" s="580">
        <v>4</v>
      </c>
      <c r="I3353" s="580">
        <v>5</v>
      </c>
      <c r="J3353" s="580">
        <v>11</v>
      </c>
      <c r="K3353" s="580">
        <f>SUM(F3353:J3353)</f>
        <v>42</v>
      </c>
    </row>
    <row r="3354" spans="3:12" x14ac:dyDescent="0.2">
      <c r="C3354" s="804"/>
      <c r="D3354" s="684" t="s">
        <v>207</v>
      </c>
      <c r="E3354" s="588"/>
      <c r="F3354" s="618">
        <v>98</v>
      </c>
      <c r="G3354" s="619">
        <v>56</v>
      </c>
      <c r="H3354" s="618">
        <v>28</v>
      </c>
      <c r="I3354" s="618">
        <v>55</v>
      </c>
      <c r="J3354" s="618">
        <v>97</v>
      </c>
      <c r="K3354" s="618">
        <f>SUM(F3354:J3354)</f>
        <v>334</v>
      </c>
    </row>
    <row r="3355" spans="3:12" x14ac:dyDescent="0.2">
      <c r="C3355" s="683"/>
      <c r="D3355" s="684" t="s">
        <v>100</v>
      </c>
      <c r="E3355" s="588"/>
      <c r="F3355" s="581"/>
      <c r="G3355" s="581">
        <v>4</v>
      </c>
      <c r="H3355" s="581"/>
      <c r="I3355" s="581"/>
      <c r="J3355" s="581"/>
      <c r="K3355" s="581">
        <f>SUM(F3355:J3355)</f>
        <v>4</v>
      </c>
    </row>
    <row r="3356" spans="3:12" x14ac:dyDescent="0.2">
      <c r="C3356" s="683"/>
      <c r="D3356" s="684" t="s">
        <v>101</v>
      </c>
      <c r="E3356" s="588"/>
      <c r="F3356" s="581">
        <v>2</v>
      </c>
      <c r="G3356" s="581">
        <v>2</v>
      </c>
      <c r="H3356" s="581"/>
      <c r="I3356" s="581">
        <v>1</v>
      </c>
      <c r="J3356" s="581"/>
      <c r="K3356" s="581">
        <f>SUM(F3356:J3356)</f>
        <v>5</v>
      </c>
    </row>
    <row r="3357" spans="3:12" ht="16" thickBot="1" x14ac:dyDescent="0.25">
      <c r="C3357" s="683"/>
      <c r="D3357" s="597" t="s">
        <v>102</v>
      </c>
      <c r="E3357" s="598"/>
      <c r="F3357" s="599"/>
      <c r="G3357" s="600">
        <v>8</v>
      </c>
      <c r="H3357" s="600"/>
      <c r="I3357" s="600">
        <v>10</v>
      </c>
      <c r="J3357" s="600"/>
      <c r="K3357" s="600">
        <f>SUM(F3357:J3357)</f>
        <v>18</v>
      </c>
    </row>
    <row r="3358" spans="3:12" ht="17" thickBot="1" x14ac:dyDescent="0.25">
      <c r="C3358" s="605"/>
      <c r="D3358" s="612" t="s">
        <v>84</v>
      </c>
      <c r="E3358" s="613"/>
      <c r="F3358" s="614">
        <f t="shared" ref="F3358:K3358" si="162">(F3354+F3357)-F3356-F3355</f>
        <v>96</v>
      </c>
      <c r="G3358" s="615">
        <f t="shared" si="162"/>
        <v>58</v>
      </c>
      <c r="H3358" s="616">
        <f t="shared" si="162"/>
        <v>28</v>
      </c>
      <c r="I3358" s="615">
        <f t="shared" si="162"/>
        <v>64</v>
      </c>
      <c r="J3358" s="622">
        <f t="shared" si="162"/>
        <v>97</v>
      </c>
      <c r="K3358" s="617">
        <f t="shared" si="162"/>
        <v>343</v>
      </c>
    </row>
    <row r="3359" spans="3:12" ht="16" x14ac:dyDescent="0.2">
      <c r="C3359" s="683"/>
      <c r="D3359" s="608"/>
      <c r="E3359" s="609"/>
      <c r="F3359" s="610"/>
      <c r="G3359" s="595"/>
      <c r="H3359" s="611"/>
      <c r="I3359" s="595"/>
      <c r="J3359" s="595"/>
      <c r="K3359" s="595"/>
    </row>
    <row r="3360" spans="3:12" ht="16" thickBot="1" x14ac:dyDescent="0.25">
      <c r="C3360" s="606" t="s">
        <v>388</v>
      </c>
      <c r="D3360" s="607" t="s">
        <v>103</v>
      </c>
      <c r="E3360" s="603" t="s">
        <v>84</v>
      </c>
      <c r="F3360" s="602" t="s">
        <v>78</v>
      </c>
      <c r="G3360" s="602" t="s">
        <v>79</v>
      </c>
      <c r="H3360" s="602" t="s">
        <v>81</v>
      </c>
      <c r="I3360" s="601" t="s">
        <v>316</v>
      </c>
      <c r="J3360" s="601" t="s">
        <v>85</v>
      </c>
      <c r="K3360" s="601" t="s">
        <v>84</v>
      </c>
      <c r="L3360" s="174" t="s">
        <v>389</v>
      </c>
    </row>
    <row r="3361" spans="3:12" x14ac:dyDescent="0.2">
      <c r="C3361" s="589" t="s">
        <v>418</v>
      </c>
      <c r="D3361" s="604" t="s">
        <v>105</v>
      </c>
      <c r="E3361" s="591">
        <f>(F3361+G3361+H3361+I3361+J3361)*100+(0*230)</f>
        <v>4800</v>
      </c>
      <c r="F3361" s="3">
        <v>12</v>
      </c>
      <c r="G3361" s="3">
        <v>12</v>
      </c>
      <c r="H3361" s="3">
        <v>4</v>
      </c>
      <c r="I3361" s="3">
        <v>8</v>
      </c>
      <c r="J3361" s="3">
        <v>12</v>
      </c>
      <c r="K3361" s="628">
        <f t="shared" ref="K3361:K3383" si="163">SUM(F3361:J3361)</f>
        <v>48</v>
      </c>
      <c r="L3361" s="630">
        <f>K3361/4</f>
        <v>12</v>
      </c>
    </row>
    <row r="3362" spans="3:12" x14ac:dyDescent="0.2">
      <c r="C3362" s="589" t="s">
        <v>961</v>
      </c>
      <c r="D3362" s="590" t="s">
        <v>390</v>
      </c>
      <c r="E3362" s="591">
        <f>(F3362+G3362+H3362+I3362+J3362)*120</f>
        <v>1200</v>
      </c>
      <c r="F3362" s="3">
        <v>2</v>
      </c>
      <c r="G3362" s="3">
        <v>2</v>
      </c>
      <c r="H3362" s="3">
        <v>2</v>
      </c>
      <c r="I3362" s="3">
        <v>2</v>
      </c>
      <c r="J3362" s="3">
        <v>2</v>
      </c>
      <c r="K3362" s="628">
        <f t="shared" si="163"/>
        <v>10</v>
      </c>
      <c r="L3362" s="630">
        <f t="shared" ref="L3362:L3383" si="164">K3362/4</f>
        <v>2.5</v>
      </c>
    </row>
    <row r="3363" spans="3:12" x14ac:dyDescent="0.2">
      <c r="C3363" s="589" t="s">
        <v>962</v>
      </c>
      <c r="D3363" s="590" t="s">
        <v>391</v>
      </c>
      <c r="E3363" s="591">
        <f>(F3363+G3363+H3363+I3363+J3363)*120</f>
        <v>3000</v>
      </c>
      <c r="F3363" s="3">
        <v>5</v>
      </c>
      <c r="G3363" s="3">
        <v>5</v>
      </c>
      <c r="H3363" s="3">
        <v>5</v>
      </c>
      <c r="I3363" s="3">
        <v>5</v>
      </c>
      <c r="J3363" s="3">
        <v>5</v>
      </c>
      <c r="K3363" s="628">
        <f t="shared" si="163"/>
        <v>25</v>
      </c>
      <c r="L3363" s="630">
        <f t="shared" si="164"/>
        <v>6.25</v>
      </c>
    </row>
    <row r="3364" spans="3:12" x14ac:dyDescent="0.2">
      <c r="C3364" s="589" t="s">
        <v>418</v>
      </c>
      <c r="D3364" s="590" t="s">
        <v>392</v>
      </c>
      <c r="E3364" s="591">
        <f>(F3364+G3364+H3364+I3364+J3364)*120</f>
        <v>2040</v>
      </c>
      <c r="F3364" s="3">
        <v>5</v>
      </c>
      <c r="G3364" s="3">
        <v>2</v>
      </c>
      <c r="H3364" s="3">
        <v>5</v>
      </c>
      <c r="I3364" s="3"/>
      <c r="J3364" s="3">
        <v>5</v>
      </c>
      <c r="K3364" s="628">
        <f t="shared" si="163"/>
        <v>17</v>
      </c>
      <c r="L3364" s="630">
        <f t="shared" si="164"/>
        <v>4.25</v>
      </c>
    </row>
    <row r="3365" spans="3:12" x14ac:dyDescent="0.2">
      <c r="C3365" s="589"/>
      <c r="D3365" s="590" t="s">
        <v>425</v>
      </c>
      <c r="E3365" s="591">
        <f>(F3365+G3365+H3365+I3365+J3365)*120</f>
        <v>0</v>
      </c>
      <c r="F3365" s="3"/>
      <c r="G3365" s="3"/>
      <c r="H3365" s="3"/>
      <c r="I3365" s="3"/>
      <c r="J3365" s="3"/>
      <c r="K3365" s="628">
        <f t="shared" si="163"/>
        <v>0</v>
      </c>
      <c r="L3365" s="630">
        <f t="shared" si="164"/>
        <v>0</v>
      </c>
    </row>
    <row r="3366" spans="3:12" x14ac:dyDescent="0.2">
      <c r="C3366" s="589"/>
      <c r="D3366" s="590"/>
      <c r="E3366" s="591"/>
      <c r="F3366" s="3"/>
      <c r="G3366" s="3"/>
      <c r="H3366" s="3"/>
      <c r="I3366" s="3"/>
      <c r="J3366" s="3"/>
      <c r="K3366" s="628">
        <f t="shared" si="163"/>
        <v>0</v>
      </c>
      <c r="L3366" s="630">
        <f t="shared" si="164"/>
        <v>0</v>
      </c>
    </row>
    <row r="3367" spans="3:12" x14ac:dyDescent="0.2">
      <c r="C3367" s="589" t="s">
        <v>965</v>
      </c>
      <c r="D3367" s="590" t="s">
        <v>108</v>
      </c>
      <c r="E3367" s="591">
        <f>(F3367+G3367+H3367+J3367)*112.7+(I3367*119.6)</f>
        <v>3661.6000000000004</v>
      </c>
      <c r="F3367" s="3">
        <v>8</v>
      </c>
      <c r="G3367" s="3">
        <v>4</v>
      </c>
      <c r="H3367" s="3">
        <v>4</v>
      </c>
      <c r="I3367" s="3">
        <v>8</v>
      </c>
      <c r="J3367" s="3">
        <v>8</v>
      </c>
      <c r="K3367" s="628">
        <f t="shared" si="163"/>
        <v>32</v>
      </c>
      <c r="L3367" s="630">
        <f t="shared" si="164"/>
        <v>8</v>
      </c>
    </row>
    <row r="3368" spans="3:12" x14ac:dyDescent="0.2">
      <c r="C3368" s="589" t="s">
        <v>964</v>
      </c>
      <c r="D3368" s="590" t="s">
        <v>393</v>
      </c>
      <c r="E3368" s="591">
        <f>(F3368+G3368+H3368+J3368)*112.7+(I3368*119.6)</f>
        <v>2042.4</v>
      </c>
      <c r="F3368" s="3">
        <v>5</v>
      </c>
      <c r="G3368" s="3">
        <v>3</v>
      </c>
      <c r="H3368" s="3">
        <v>3</v>
      </c>
      <c r="I3368" s="3">
        <v>2</v>
      </c>
      <c r="J3368" s="3">
        <v>5</v>
      </c>
      <c r="K3368" s="628">
        <f t="shared" si="163"/>
        <v>18</v>
      </c>
      <c r="L3368" s="630">
        <f t="shared" si="164"/>
        <v>4.5</v>
      </c>
    </row>
    <row r="3369" spans="3:12" x14ac:dyDescent="0.2">
      <c r="C3369" s="589" t="s">
        <v>963</v>
      </c>
      <c r="D3369" s="590" t="s">
        <v>216</v>
      </c>
      <c r="E3369" s="591">
        <f>(F3369+G3369+H3369+J3369)*112.7+(I3369*119.6)</f>
        <v>2281.6</v>
      </c>
      <c r="F3369" s="3">
        <v>6</v>
      </c>
      <c r="G3369" s="3">
        <v>4</v>
      </c>
      <c r="H3369" s="3"/>
      <c r="I3369" s="3">
        <v>4</v>
      </c>
      <c r="J3369" s="3">
        <v>6</v>
      </c>
      <c r="K3369" s="628">
        <f t="shared" si="163"/>
        <v>20</v>
      </c>
      <c r="L3369" s="630">
        <f t="shared" si="164"/>
        <v>5</v>
      </c>
    </row>
    <row r="3370" spans="3:12" x14ac:dyDescent="0.2">
      <c r="C3370" s="589"/>
      <c r="D3370" s="590"/>
      <c r="E3370" s="591"/>
      <c r="F3370" s="3"/>
      <c r="G3370" s="3"/>
      <c r="H3370" s="3"/>
      <c r="I3370" s="3"/>
      <c r="J3370" s="3"/>
      <c r="K3370" s="628">
        <f t="shared" si="163"/>
        <v>0</v>
      </c>
      <c r="L3370" s="630">
        <f t="shared" si="164"/>
        <v>0</v>
      </c>
    </row>
    <row r="3371" spans="3:12" x14ac:dyDescent="0.2">
      <c r="C3371" s="589" t="s">
        <v>765</v>
      </c>
      <c r="D3371" s="590" t="s">
        <v>394</v>
      </c>
      <c r="E3371" s="591">
        <f>(F3371+G3371+H3371+I3371+J3371)*120</f>
        <v>4200</v>
      </c>
      <c r="F3371" s="3">
        <v>10</v>
      </c>
      <c r="G3371" s="3">
        <v>5</v>
      </c>
      <c r="H3371" s="3">
        <v>5</v>
      </c>
      <c r="I3371" s="3">
        <v>5</v>
      </c>
      <c r="J3371" s="3">
        <v>10</v>
      </c>
      <c r="K3371" s="628">
        <f t="shared" si="163"/>
        <v>35</v>
      </c>
      <c r="L3371" s="630">
        <f t="shared" si="164"/>
        <v>8.75</v>
      </c>
    </row>
    <row r="3372" spans="3:12" x14ac:dyDescent="0.2">
      <c r="C3372" s="589" t="s">
        <v>966</v>
      </c>
      <c r="D3372" s="590" t="s">
        <v>110</v>
      </c>
      <c r="E3372" s="591">
        <f>(F3372+G3372+H3372+J3372)*112.7+(I3372*119.6)</f>
        <v>8197.2000000000007</v>
      </c>
      <c r="F3372" s="3">
        <v>24</v>
      </c>
      <c r="G3372" s="3">
        <v>12</v>
      </c>
      <c r="H3372" s="3"/>
      <c r="I3372" s="3">
        <v>12</v>
      </c>
      <c r="J3372" s="3">
        <v>24</v>
      </c>
      <c r="K3372" s="628">
        <f t="shared" si="163"/>
        <v>72</v>
      </c>
      <c r="L3372" s="630">
        <f t="shared" si="164"/>
        <v>18</v>
      </c>
    </row>
    <row r="3373" spans="3:12" x14ac:dyDescent="0.2">
      <c r="C3373" s="589"/>
      <c r="D3373" s="590"/>
      <c r="E3373" s="591"/>
      <c r="F3373" s="3"/>
      <c r="G3373" s="3"/>
      <c r="H3373" s="3"/>
      <c r="I3373" s="3"/>
      <c r="J3373" s="3"/>
      <c r="K3373" s="628">
        <f t="shared" si="163"/>
        <v>0</v>
      </c>
      <c r="L3373" s="630">
        <f t="shared" si="164"/>
        <v>0</v>
      </c>
    </row>
    <row r="3374" spans="3:12" x14ac:dyDescent="0.2">
      <c r="C3374" s="589"/>
      <c r="D3374" s="590" t="s">
        <v>381</v>
      </c>
      <c r="E3374" s="591">
        <f>(F3374+G3374+H3374+I3374+J3374)*120+(240*0)+(0*45)</f>
        <v>0</v>
      </c>
      <c r="F3374" s="3"/>
      <c r="G3374" s="3"/>
      <c r="H3374" s="3"/>
      <c r="I3374" s="3"/>
      <c r="J3374" s="3"/>
      <c r="K3374" s="628">
        <f t="shared" si="163"/>
        <v>0</v>
      </c>
      <c r="L3374" s="630">
        <f t="shared" si="164"/>
        <v>0</v>
      </c>
    </row>
    <row r="3375" spans="3:12" x14ac:dyDescent="0.2">
      <c r="C3375" s="589"/>
      <c r="D3375" s="590" t="s">
        <v>276</v>
      </c>
      <c r="E3375" s="591">
        <f>(F3375+G3375+H3375+J3375)*112.7+(I3375*119.6)</f>
        <v>0</v>
      </c>
      <c r="F3375" s="3"/>
      <c r="G3375" s="3"/>
      <c r="H3375" s="3"/>
      <c r="I3375" s="3"/>
      <c r="J3375" s="3"/>
      <c r="K3375" s="628">
        <f t="shared" si="163"/>
        <v>0</v>
      </c>
      <c r="L3375" s="630">
        <f t="shared" si="164"/>
        <v>0</v>
      </c>
    </row>
    <row r="3376" spans="3:12" x14ac:dyDescent="0.2">
      <c r="C3376" s="589"/>
      <c r="D3376" s="590"/>
      <c r="E3376" s="591"/>
      <c r="F3376" s="3"/>
      <c r="G3376" s="3"/>
      <c r="H3376" s="3"/>
      <c r="I3376" s="3"/>
      <c r="J3376" s="3"/>
      <c r="K3376" s="628">
        <f t="shared" si="163"/>
        <v>0</v>
      </c>
      <c r="L3376" s="630">
        <f t="shared" si="164"/>
        <v>0</v>
      </c>
    </row>
    <row r="3377" spans="3:12" x14ac:dyDescent="0.2">
      <c r="C3377" s="589"/>
      <c r="D3377" s="590" t="s">
        <v>75</v>
      </c>
      <c r="E3377" s="591">
        <f>(F3377+G3377+H3377+I3377+J3377)*120</f>
        <v>0</v>
      </c>
      <c r="F3377" s="3"/>
      <c r="G3377" s="3"/>
      <c r="H3377" s="3"/>
      <c r="I3377" s="3"/>
      <c r="J3377" s="3"/>
      <c r="K3377" s="628">
        <f t="shared" si="163"/>
        <v>0</v>
      </c>
      <c r="L3377" s="630">
        <f t="shared" si="164"/>
        <v>0</v>
      </c>
    </row>
    <row r="3378" spans="3:12" x14ac:dyDescent="0.2">
      <c r="C3378" s="589"/>
      <c r="D3378" s="590" t="s">
        <v>278</v>
      </c>
      <c r="E3378" s="591">
        <f>(F3378+G3378+H3378+I3378+J3378)*120</f>
        <v>0</v>
      </c>
      <c r="F3378" s="3"/>
      <c r="G3378" s="3"/>
      <c r="H3378" s="3"/>
      <c r="I3378" s="3"/>
      <c r="J3378" s="3"/>
      <c r="K3378" s="628">
        <f t="shared" si="163"/>
        <v>0</v>
      </c>
      <c r="L3378" s="630">
        <f t="shared" si="164"/>
        <v>0</v>
      </c>
    </row>
    <row r="3379" spans="3:12" x14ac:dyDescent="0.2">
      <c r="C3379" s="589"/>
      <c r="D3379" s="590" t="s">
        <v>270</v>
      </c>
      <c r="E3379" s="591">
        <f>(F3379+G3379+H3379+I3379)*112.7+(J3379*119.6)</f>
        <v>0</v>
      </c>
      <c r="F3379" s="3"/>
      <c r="G3379" s="3"/>
      <c r="H3379" s="3"/>
      <c r="I3379" s="3"/>
      <c r="J3379" s="3"/>
      <c r="K3379" s="628">
        <f t="shared" si="163"/>
        <v>0</v>
      </c>
      <c r="L3379" s="630">
        <f t="shared" si="164"/>
        <v>0</v>
      </c>
    </row>
    <row r="3380" spans="3:12" x14ac:dyDescent="0.2">
      <c r="C3380" s="589"/>
      <c r="D3380" s="590" t="s">
        <v>274</v>
      </c>
      <c r="E3380" s="591">
        <f>(F3380+G3380+H3380+I3380)*112.7+(J3380*119.6)</f>
        <v>0</v>
      </c>
      <c r="F3380" s="3"/>
      <c r="G3380" s="3"/>
      <c r="H3380" s="3"/>
      <c r="I3380" s="3"/>
      <c r="J3380" s="3"/>
      <c r="K3380" s="628">
        <f t="shared" si="163"/>
        <v>0</v>
      </c>
      <c r="L3380" s="630">
        <f t="shared" si="164"/>
        <v>0</v>
      </c>
    </row>
    <row r="3381" spans="3:12" x14ac:dyDescent="0.2">
      <c r="C3381" s="589"/>
      <c r="D3381" s="590" t="s">
        <v>395</v>
      </c>
      <c r="E3381" s="591">
        <f>(F3381+G3381+H3381+I3381)*112.7+(J3381*119.6)</f>
        <v>0</v>
      </c>
      <c r="F3381" s="3"/>
      <c r="G3381" s="3"/>
      <c r="H3381" s="3"/>
      <c r="I3381" s="3"/>
      <c r="J3381" s="3"/>
      <c r="K3381" s="628">
        <f t="shared" si="163"/>
        <v>0</v>
      </c>
      <c r="L3381" s="630">
        <f t="shared" si="164"/>
        <v>0</v>
      </c>
    </row>
    <row r="3382" spans="3:12" x14ac:dyDescent="0.2">
      <c r="C3382" s="683"/>
      <c r="D3382" s="590" t="s">
        <v>112</v>
      </c>
      <c r="E3382" s="591">
        <f>(F3382+G3382+H3382+I3382)*112.7+(J3382*119.6)</f>
        <v>0</v>
      </c>
      <c r="F3382" s="3"/>
      <c r="G3382" s="3"/>
      <c r="H3382" s="3"/>
      <c r="I3382" s="3"/>
      <c r="J3382" s="3"/>
      <c r="K3382" s="628">
        <f t="shared" si="163"/>
        <v>0</v>
      </c>
      <c r="L3382" s="630">
        <f t="shared" si="164"/>
        <v>0</v>
      </c>
    </row>
    <row r="3383" spans="3:12" x14ac:dyDescent="0.2">
      <c r="C3383" s="683"/>
      <c r="D3383" s="590" t="s">
        <v>72</v>
      </c>
      <c r="E3383" s="591">
        <f>(F3383+G3383+H3383+I3383)*112.7+(J3383*119.6)</f>
        <v>0</v>
      </c>
      <c r="F3383" s="3"/>
      <c r="G3383" s="3"/>
      <c r="H3383" s="3"/>
      <c r="I3383" s="3"/>
      <c r="J3383" s="3"/>
      <c r="K3383" s="628">
        <f t="shared" si="163"/>
        <v>0</v>
      </c>
      <c r="L3383" s="630">
        <f t="shared" si="164"/>
        <v>0</v>
      </c>
    </row>
    <row r="3384" spans="3:12" x14ac:dyDescent="0.2">
      <c r="C3384" s="683"/>
      <c r="D3384" s="590" t="s">
        <v>187</v>
      </c>
      <c r="E3384" s="591"/>
      <c r="F3384" s="3"/>
      <c r="G3384" s="3"/>
      <c r="H3384" s="3"/>
      <c r="I3384" s="3"/>
      <c r="J3384" s="3">
        <v>8</v>
      </c>
      <c r="K3384" s="628">
        <f>SUM(F3384:J3384)</f>
        <v>8</v>
      </c>
      <c r="L3384" s="3"/>
    </row>
    <row r="3385" spans="3:12" ht="16" x14ac:dyDescent="0.2">
      <c r="C3385" s="683"/>
      <c r="D3385" s="590"/>
      <c r="E3385" s="592"/>
      <c r="F3385" s="3"/>
      <c r="G3385" s="3"/>
      <c r="H3385" s="3"/>
      <c r="I3385" s="3"/>
      <c r="J3385" s="3"/>
      <c r="K3385" s="628">
        <f>SUM(F3385:J3385)</f>
        <v>0</v>
      </c>
      <c r="L3385" s="3"/>
    </row>
    <row r="3386" spans="3:12" ht="17" thickBot="1" x14ac:dyDescent="0.25">
      <c r="C3386" s="683"/>
      <c r="D3386" s="590"/>
      <c r="E3386" s="624"/>
      <c r="F3386" s="69"/>
      <c r="G3386" s="69"/>
      <c r="H3386" s="69"/>
      <c r="I3386" s="69"/>
      <c r="J3386" s="69"/>
      <c r="K3386" s="629"/>
      <c r="L3386" s="3"/>
    </row>
    <row r="3387" spans="3:12" ht="16" thickBot="1" x14ac:dyDescent="0.25">
      <c r="C3387" s="596"/>
      <c r="D3387" s="623" t="s">
        <v>19</v>
      </c>
      <c r="E3387" s="625">
        <f>SUM(E3361:E3384)</f>
        <v>31422.799999999999</v>
      </c>
      <c r="F3387" s="614">
        <f>SUM(F3361:F3386)</f>
        <v>77</v>
      </c>
      <c r="G3387" s="614">
        <f>SUM(G3361:G3386)</f>
        <v>49</v>
      </c>
      <c r="H3387" s="614">
        <f>SUM(H3361:H3386)</f>
        <v>28</v>
      </c>
      <c r="I3387" s="614">
        <f>SUM(I3361:I3386)</f>
        <v>46</v>
      </c>
      <c r="J3387" s="614">
        <f>SUM(J3361:J3386)</f>
        <v>85</v>
      </c>
      <c r="K3387" s="626">
        <f>SUM(F3387:J3387)</f>
        <v>285</v>
      </c>
      <c r="L3387" s="631">
        <f>SUM(L3361:L3386)</f>
        <v>69.25</v>
      </c>
    </row>
    <row r="3388" spans="3:12" x14ac:dyDescent="0.2">
      <c r="C3388" s="596"/>
      <c r="D3388" s="593" t="s">
        <v>113</v>
      </c>
      <c r="E3388" s="620"/>
      <c r="F3388" s="610">
        <f>F3358-F3387</f>
        <v>19</v>
      </c>
      <c r="G3388" s="610">
        <f>G3358-G3387</f>
        <v>9</v>
      </c>
      <c r="H3388" s="610">
        <f>H3358-H3387</f>
        <v>0</v>
      </c>
      <c r="I3388" s="610">
        <f>I3358-I3387</f>
        <v>18</v>
      </c>
      <c r="J3388" s="610">
        <f>J3358-J3387</f>
        <v>12</v>
      </c>
      <c r="K3388" s="636">
        <f>SUM(F3388:J3388)</f>
        <v>58</v>
      </c>
      <c r="L3388" s="3"/>
    </row>
    <row r="3389" spans="3:12" x14ac:dyDescent="0.2">
      <c r="C3389" s="683"/>
      <c r="D3389" s="593" t="s">
        <v>436</v>
      </c>
      <c r="E3389" s="594"/>
      <c r="F3389" s="581"/>
      <c r="G3389" s="581"/>
      <c r="H3389" s="581"/>
      <c r="I3389" s="581"/>
      <c r="J3389" s="581"/>
      <c r="K3389" s="637">
        <f>K3387+K3388</f>
        <v>343</v>
      </c>
      <c r="L3389" s="3"/>
    </row>
    <row r="3391" spans="3:12" ht="18" x14ac:dyDescent="0.2">
      <c r="C3391" s="685" t="s">
        <v>412</v>
      </c>
      <c r="D3391" s="582">
        <v>45757</v>
      </c>
      <c r="E3391" s="800"/>
      <c r="F3391" s="685" t="s">
        <v>83</v>
      </c>
      <c r="G3391" s="801" t="s">
        <v>66</v>
      </c>
      <c r="H3391" s="802"/>
      <c r="I3391" s="802"/>
      <c r="J3391" s="802"/>
      <c r="K3391" s="803"/>
    </row>
    <row r="3392" spans="3:12" x14ac:dyDescent="0.2">
      <c r="C3392" s="804"/>
      <c r="D3392" s="805"/>
      <c r="E3392" s="800"/>
      <c r="F3392" s="683" t="s">
        <v>93</v>
      </c>
      <c r="G3392" s="683" t="s">
        <v>93</v>
      </c>
      <c r="H3392" s="683"/>
      <c r="I3392" s="806"/>
      <c r="J3392" s="806"/>
      <c r="K3392" s="806"/>
    </row>
    <row r="3393" spans="3:12" x14ac:dyDescent="0.2">
      <c r="C3393" s="804"/>
      <c r="D3393" s="805"/>
      <c r="E3393" s="800"/>
      <c r="F3393" s="683" t="s">
        <v>94</v>
      </c>
      <c r="G3393" s="683" t="s">
        <v>95</v>
      </c>
      <c r="H3393" s="683" t="s">
        <v>96</v>
      </c>
      <c r="I3393" s="806"/>
      <c r="J3393" s="806"/>
      <c r="K3393" s="806"/>
    </row>
    <row r="3394" spans="3:12" x14ac:dyDescent="0.2">
      <c r="C3394" s="804"/>
      <c r="D3394" s="805"/>
      <c r="E3394" s="800"/>
      <c r="F3394" s="683"/>
      <c r="G3394" s="683"/>
      <c r="H3394" s="683"/>
      <c r="I3394" s="806"/>
      <c r="J3394" s="806"/>
      <c r="K3394" s="806"/>
    </row>
    <row r="3395" spans="3:12" ht="16" x14ac:dyDescent="0.2">
      <c r="C3395" s="683"/>
      <c r="D3395" s="583" t="s">
        <v>97</v>
      </c>
      <c r="E3395" s="584"/>
      <c r="F3395" s="581"/>
      <c r="G3395" s="585"/>
      <c r="H3395" s="585"/>
      <c r="I3395" s="586"/>
      <c r="J3395" s="586"/>
      <c r="K3395" s="586"/>
    </row>
    <row r="3396" spans="3:12" ht="26" x14ac:dyDescent="0.2">
      <c r="C3396" s="804"/>
      <c r="D3396" s="587"/>
      <c r="E3396" s="588"/>
      <c r="F3396" s="585" t="s">
        <v>383</v>
      </c>
      <c r="G3396" s="585" t="s">
        <v>384</v>
      </c>
      <c r="H3396" s="585" t="s">
        <v>385</v>
      </c>
      <c r="I3396" s="585" t="s">
        <v>386</v>
      </c>
      <c r="J3396" s="585" t="s">
        <v>387</v>
      </c>
      <c r="K3396" s="585" t="s">
        <v>84</v>
      </c>
    </row>
    <row r="3397" spans="3:12" x14ac:dyDescent="0.2">
      <c r="C3397" s="804"/>
      <c r="D3397" s="684" t="s">
        <v>167</v>
      </c>
      <c r="E3397" s="588"/>
      <c r="F3397" s="580"/>
      <c r="G3397" s="579"/>
      <c r="H3397" s="580"/>
      <c r="I3397" s="580"/>
      <c r="J3397" s="580"/>
      <c r="K3397" s="580">
        <f>SUM(F3397:J3397)</f>
        <v>0</v>
      </c>
    </row>
    <row r="3398" spans="3:12" x14ac:dyDescent="0.2">
      <c r="C3398" s="804"/>
      <c r="D3398" s="684" t="s">
        <v>207</v>
      </c>
      <c r="E3398" s="588"/>
      <c r="F3398" s="618"/>
      <c r="G3398" s="619"/>
      <c r="H3398" s="618"/>
      <c r="I3398" s="618"/>
      <c r="J3398" s="618"/>
      <c r="K3398" s="618">
        <f>SUM(F3398:J3398)</f>
        <v>0</v>
      </c>
    </row>
    <row r="3399" spans="3:12" x14ac:dyDescent="0.2">
      <c r="C3399" s="683"/>
      <c r="D3399" s="684" t="s">
        <v>100</v>
      </c>
      <c r="E3399" s="588"/>
      <c r="F3399" s="581"/>
      <c r="G3399" s="581"/>
      <c r="H3399" s="581"/>
      <c r="I3399" s="581"/>
      <c r="J3399" s="581"/>
      <c r="K3399" s="581">
        <f>SUM(F3399:J3399)</f>
        <v>0</v>
      </c>
    </row>
    <row r="3400" spans="3:12" x14ac:dyDescent="0.2">
      <c r="C3400" s="683"/>
      <c r="D3400" s="684" t="s">
        <v>101</v>
      </c>
      <c r="E3400" s="588"/>
      <c r="F3400" s="581"/>
      <c r="G3400" s="581">
        <v>1</v>
      </c>
      <c r="H3400" s="581"/>
      <c r="I3400" s="581"/>
      <c r="J3400" s="581">
        <v>1</v>
      </c>
      <c r="K3400" s="581">
        <f>SUM(F3400:J3400)</f>
        <v>2</v>
      </c>
    </row>
    <row r="3401" spans="3:12" ht="16" thickBot="1" x14ac:dyDescent="0.25">
      <c r="C3401" s="683"/>
      <c r="D3401" s="597" t="s">
        <v>102</v>
      </c>
      <c r="E3401" s="598"/>
      <c r="F3401" s="599">
        <v>19</v>
      </c>
      <c r="G3401" s="600">
        <v>9</v>
      </c>
      <c r="H3401" s="600"/>
      <c r="I3401" s="600">
        <v>18</v>
      </c>
      <c r="J3401" s="600">
        <v>12</v>
      </c>
      <c r="K3401" s="600">
        <f>SUM(F3401:J3401)</f>
        <v>58</v>
      </c>
    </row>
    <row r="3402" spans="3:12" ht="17" thickBot="1" x14ac:dyDescent="0.25">
      <c r="C3402" s="605"/>
      <c r="D3402" s="612" t="s">
        <v>84</v>
      </c>
      <c r="E3402" s="613"/>
      <c r="F3402" s="614">
        <f t="shared" ref="F3402:K3402" si="165">(F3398+F3401)-F3400-F3399</f>
        <v>19</v>
      </c>
      <c r="G3402" s="615">
        <f t="shared" si="165"/>
        <v>8</v>
      </c>
      <c r="H3402" s="616">
        <f t="shared" si="165"/>
        <v>0</v>
      </c>
      <c r="I3402" s="615">
        <f t="shared" si="165"/>
        <v>18</v>
      </c>
      <c r="J3402" s="622">
        <f t="shared" si="165"/>
        <v>11</v>
      </c>
      <c r="K3402" s="617">
        <f t="shared" si="165"/>
        <v>56</v>
      </c>
    </row>
    <row r="3403" spans="3:12" ht="16" x14ac:dyDescent="0.2">
      <c r="C3403" s="683"/>
      <c r="D3403" s="608"/>
      <c r="E3403" s="609"/>
      <c r="F3403" s="610"/>
      <c r="G3403" s="595"/>
      <c r="H3403" s="611"/>
      <c r="I3403" s="595"/>
      <c r="J3403" s="595"/>
      <c r="K3403" s="595"/>
    </row>
    <row r="3404" spans="3:12" ht="16" thickBot="1" x14ac:dyDescent="0.25">
      <c r="C3404" s="606" t="s">
        <v>388</v>
      </c>
      <c r="D3404" s="607" t="s">
        <v>103</v>
      </c>
      <c r="E3404" s="603" t="s">
        <v>84</v>
      </c>
      <c r="F3404" s="602" t="s">
        <v>78</v>
      </c>
      <c r="G3404" s="602" t="s">
        <v>79</v>
      </c>
      <c r="H3404" s="602" t="s">
        <v>81</v>
      </c>
      <c r="I3404" s="601" t="s">
        <v>316</v>
      </c>
      <c r="J3404" s="601" t="s">
        <v>85</v>
      </c>
      <c r="K3404" s="601" t="s">
        <v>84</v>
      </c>
      <c r="L3404" s="174" t="s">
        <v>389</v>
      </c>
    </row>
    <row r="3405" spans="3:12" x14ac:dyDescent="0.2">
      <c r="C3405" s="589" t="s">
        <v>519</v>
      </c>
      <c r="D3405" s="604" t="s">
        <v>105</v>
      </c>
      <c r="E3405" s="591">
        <f>(F3405+G3405+H3405+I3405+J3405)*100+(0*230)</f>
        <v>2200</v>
      </c>
      <c r="F3405" s="3">
        <v>11</v>
      </c>
      <c r="G3405" s="3"/>
      <c r="H3405" s="3"/>
      <c r="I3405" s="3">
        <v>8</v>
      </c>
      <c r="J3405" s="3">
        <v>3</v>
      </c>
      <c r="K3405" s="628">
        <f t="shared" ref="K3405:K3427" si="166">SUM(F3405:J3405)</f>
        <v>22</v>
      </c>
      <c r="L3405" s="630">
        <f>K3405/4</f>
        <v>5.5</v>
      </c>
    </row>
    <row r="3406" spans="3:12" x14ac:dyDescent="0.2">
      <c r="C3406" s="589"/>
      <c r="D3406" s="590" t="s">
        <v>390</v>
      </c>
      <c r="E3406" s="591">
        <f>(F3406+G3406+H3406+I3406+J3406)*120</f>
        <v>0</v>
      </c>
      <c r="F3406" s="3"/>
      <c r="G3406" s="3"/>
      <c r="H3406" s="3"/>
      <c r="I3406" s="3"/>
      <c r="J3406" s="3"/>
      <c r="K3406" s="628">
        <f t="shared" si="166"/>
        <v>0</v>
      </c>
      <c r="L3406" s="630">
        <f t="shared" ref="L3406:L3427" si="167">K3406/4</f>
        <v>0</v>
      </c>
    </row>
    <row r="3407" spans="3:12" x14ac:dyDescent="0.2">
      <c r="C3407" s="589"/>
      <c r="D3407" s="590" t="s">
        <v>391</v>
      </c>
      <c r="E3407" s="591">
        <f>(F3407+G3407+H3407+I3407+J3407)*120</f>
        <v>0</v>
      </c>
      <c r="F3407" s="3"/>
      <c r="G3407" s="3"/>
      <c r="H3407" s="3"/>
      <c r="I3407" s="3"/>
      <c r="J3407" s="3"/>
      <c r="K3407" s="628">
        <f t="shared" si="166"/>
        <v>0</v>
      </c>
      <c r="L3407" s="630">
        <f t="shared" si="167"/>
        <v>0</v>
      </c>
    </row>
    <row r="3408" spans="3:12" x14ac:dyDescent="0.2">
      <c r="C3408" s="589"/>
      <c r="D3408" s="590" t="s">
        <v>392</v>
      </c>
      <c r="E3408" s="591">
        <f>(F3408+G3408+H3408+I3408+J3408)*120</f>
        <v>0</v>
      </c>
      <c r="F3408" s="3"/>
      <c r="G3408" s="3"/>
      <c r="H3408" s="3"/>
      <c r="I3408" s="3"/>
      <c r="J3408" s="3"/>
      <c r="K3408" s="628">
        <f t="shared" si="166"/>
        <v>0</v>
      </c>
      <c r="L3408" s="630">
        <f t="shared" si="167"/>
        <v>0</v>
      </c>
    </row>
    <row r="3409" spans="3:12" x14ac:dyDescent="0.2">
      <c r="C3409" s="589"/>
      <c r="D3409" s="590" t="s">
        <v>425</v>
      </c>
      <c r="E3409" s="591">
        <f>(F3409+G3409+H3409+I3409+J3409)*120</f>
        <v>0</v>
      </c>
      <c r="F3409" s="3"/>
      <c r="G3409" s="3"/>
      <c r="H3409" s="3"/>
      <c r="I3409" s="3"/>
      <c r="J3409" s="3"/>
      <c r="K3409" s="628">
        <f t="shared" si="166"/>
        <v>0</v>
      </c>
      <c r="L3409" s="630">
        <f t="shared" si="167"/>
        <v>0</v>
      </c>
    </row>
    <row r="3410" spans="3:12" x14ac:dyDescent="0.2">
      <c r="C3410" s="589"/>
      <c r="D3410" s="590"/>
      <c r="E3410" s="591"/>
      <c r="F3410" s="3"/>
      <c r="G3410" s="3"/>
      <c r="H3410" s="3"/>
      <c r="I3410" s="3"/>
      <c r="J3410" s="3"/>
      <c r="K3410" s="628">
        <f t="shared" si="166"/>
        <v>0</v>
      </c>
      <c r="L3410" s="630">
        <f t="shared" si="167"/>
        <v>0</v>
      </c>
    </row>
    <row r="3411" spans="3:12" x14ac:dyDescent="0.2">
      <c r="C3411" s="589"/>
      <c r="D3411" s="590" t="s">
        <v>108</v>
      </c>
      <c r="E3411" s="591">
        <f>(F3411+G3411+H3411+J3411)*112.7+(I3411*119.6)</f>
        <v>0</v>
      </c>
      <c r="F3411" s="3"/>
      <c r="G3411" s="3"/>
      <c r="H3411" s="3"/>
      <c r="I3411" s="3"/>
      <c r="J3411" s="3"/>
      <c r="K3411" s="628">
        <f t="shared" si="166"/>
        <v>0</v>
      </c>
      <c r="L3411" s="630">
        <f t="shared" si="167"/>
        <v>0</v>
      </c>
    </row>
    <row r="3412" spans="3:12" x14ac:dyDescent="0.2">
      <c r="C3412" s="589"/>
      <c r="D3412" s="590" t="s">
        <v>393</v>
      </c>
      <c r="E3412" s="591">
        <f>(F3412+G3412+H3412+J3412)*112.7+(I3412*119.6)</f>
        <v>0</v>
      </c>
      <c r="F3412" s="3"/>
      <c r="G3412" s="3"/>
      <c r="H3412" s="3"/>
      <c r="I3412" s="3"/>
      <c r="J3412" s="3"/>
      <c r="K3412" s="628">
        <f t="shared" si="166"/>
        <v>0</v>
      </c>
      <c r="L3412" s="630">
        <f t="shared" si="167"/>
        <v>0</v>
      </c>
    </row>
    <row r="3413" spans="3:12" x14ac:dyDescent="0.2">
      <c r="C3413" s="589"/>
      <c r="D3413" s="590" t="s">
        <v>216</v>
      </c>
      <c r="E3413" s="591">
        <f>(F3413+G3413+H3413+J3413)*112.7+(I3413*119.6)</f>
        <v>0</v>
      </c>
      <c r="F3413" s="3"/>
      <c r="G3413" s="3"/>
      <c r="H3413" s="3"/>
      <c r="I3413" s="3"/>
      <c r="J3413" s="3"/>
      <c r="K3413" s="628">
        <f t="shared" si="166"/>
        <v>0</v>
      </c>
      <c r="L3413" s="630">
        <f t="shared" si="167"/>
        <v>0</v>
      </c>
    </row>
    <row r="3414" spans="3:12" x14ac:dyDescent="0.2">
      <c r="C3414" s="589"/>
      <c r="D3414" s="590"/>
      <c r="E3414" s="591"/>
      <c r="F3414" s="3"/>
      <c r="G3414" s="3"/>
      <c r="H3414" s="3"/>
      <c r="I3414" s="3"/>
      <c r="J3414" s="3"/>
      <c r="K3414" s="628">
        <f t="shared" si="166"/>
        <v>0</v>
      </c>
      <c r="L3414" s="630">
        <f t="shared" si="167"/>
        <v>0</v>
      </c>
    </row>
    <row r="3415" spans="3:12" x14ac:dyDescent="0.2">
      <c r="C3415" s="589"/>
      <c r="D3415" s="590" t="s">
        <v>394</v>
      </c>
      <c r="E3415" s="591">
        <f>(F3415+G3415+H3415+I3415+J3415)*120</f>
        <v>0</v>
      </c>
      <c r="F3415" s="3"/>
      <c r="G3415" s="3"/>
      <c r="H3415" s="3"/>
      <c r="I3415" s="3"/>
      <c r="J3415" s="3"/>
      <c r="K3415" s="628">
        <f t="shared" si="166"/>
        <v>0</v>
      </c>
      <c r="L3415" s="630">
        <f t="shared" si="167"/>
        <v>0</v>
      </c>
    </row>
    <row r="3416" spans="3:12" x14ac:dyDescent="0.2">
      <c r="C3416" s="589"/>
      <c r="D3416" s="590" t="s">
        <v>110</v>
      </c>
      <c r="E3416" s="591">
        <f>(F3416+G3416+H3416+J3416)*112.7+(I3416*119.6)</f>
        <v>0</v>
      </c>
      <c r="F3416" s="3"/>
      <c r="G3416" s="3"/>
      <c r="H3416" s="3"/>
      <c r="I3416" s="3"/>
      <c r="J3416" s="3"/>
      <c r="K3416" s="628">
        <f t="shared" si="166"/>
        <v>0</v>
      </c>
      <c r="L3416" s="630">
        <f t="shared" si="167"/>
        <v>0</v>
      </c>
    </row>
    <row r="3417" spans="3:12" x14ac:dyDescent="0.2">
      <c r="C3417" s="589"/>
      <c r="D3417" s="590"/>
      <c r="E3417" s="591"/>
      <c r="F3417" s="3"/>
      <c r="G3417" s="3"/>
      <c r="H3417" s="3"/>
      <c r="I3417" s="3"/>
      <c r="J3417" s="3"/>
      <c r="K3417" s="628">
        <f t="shared" si="166"/>
        <v>0</v>
      </c>
      <c r="L3417" s="630">
        <f t="shared" si="167"/>
        <v>0</v>
      </c>
    </row>
    <row r="3418" spans="3:12" x14ac:dyDescent="0.2">
      <c r="C3418" s="589"/>
      <c r="D3418" s="590" t="s">
        <v>381</v>
      </c>
      <c r="E3418" s="591">
        <f>(F3418+G3418+H3418+I3418+J3418)*120+(240*0)+(0*45)</f>
        <v>0</v>
      </c>
      <c r="F3418" s="3"/>
      <c r="G3418" s="3"/>
      <c r="H3418" s="3"/>
      <c r="I3418" s="3"/>
      <c r="J3418" s="3"/>
      <c r="K3418" s="628">
        <f t="shared" si="166"/>
        <v>0</v>
      </c>
      <c r="L3418" s="630">
        <f t="shared" si="167"/>
        <v>0</v>
      </c>
    </row>
    <row r="3419" spans="3:12" x14ac:dyDescent="0.2">
      <c r="C3419" s="589" t="s">
        <v>968</v>
      </c>
      <c r="D3419" s="590" t="s">
        <v>276</v>
      </c>
      <c r="E3419" s="591">
        <f>(F3419+G3419+H3419+J3419)*112.7+(I3419*119.6)</f>
        <v>3900.8</v>
      </c>
      <c r="F3419" s="3">
        <v>8</v>
      </c>
      <c r="G3419" s="3">
        <v>8</v>
      </c>
      <c r="H3419" s="3"/>
      <c r="I3419" s="3">
        <v>10</v>
      </c>
      <c r="J3419" s="3">
        <v>8</v>
      </c>
      <c r="K3419" s="628">
        <f t="shared" si="166"/>
        <v>34</v>
      </c>
      <c r="L3419" s="630">
        <f t="shared" si="167"/>
        <v>8.5</v>
      </c>
    </row>
    <row r="3420" spans="3:12" x14ac:dyDescent="0.2">
      <c r="C3420" s="589"/>
      <c r="D3420" s="590"/>
      <c r="E3420" s="591"/>
      <c r="F3420" s="3"/>
      <c r="G3420" s="3"/>
      <c r="H3420" s="3"/>
      <c r="I3420" s="3"/>
      <c r="J3420" s="3"/>
      <c r="K3420" s="628">
        <f t="shared" si="166"/>
        <v>0</v>
      </c>
      <c r="L3420" s="630">
        <f t="shared" si="167"/>
        <v>0</v>
      </c>
    </row>
    <row r="3421" spans="3:12" x14ac:dyDescent="0.2">
      <c r="C3421" s="589"/>
      <c r="D3421" s="590" t="s">
        <v>75</v>
      </c>
      <c r="E3421" s="591">
        <f>(F3421+G3421+H3421+I3421+J3421)*120</f>
        <v>0</v>
      </c>
      <c r="F3421" s="3"/>
      <c r="G3421" s="3"/>
      <c r="H3421" s="3"/>
      <c r="I3421" s="3"/>
      <c r="J3421" s="3"/>
      <c r="K3421" s="628">
        <f t="shared" si="166"/>
        <v>0</v>
      </c>
      <c r="L3421" s="630">
        <f t="shared" si="167"/>
        <v>0</v>
      </c>
    </row>
    <row r="3422" spans="3:12" x14ac:dyDescent="0.2">
      <c r="C3422" s="589"/>
      <c r="D3422" s="590" t="s">
        <v>278</v>
      </c>
      <c r="E3422" s="591">
        <f>(F3422+G3422+H3422+I3422+J3422)*120</f>
        <v>0</v>
      </c>
      <c r="F3422" s="3"/>
      <c r="G3422" s="3"/>
      <c r="H3422" s="3"/>
      <c r="I3422" s="3"/>
      <c r="J3422" s="3"/>
      <c r="K3422" s="628">
        <f t="shared" si="166"/>
        <v>0</v>
      </c>
      <c r="L3422" s="630">
        <f t="shared" si="167"/>
        <v>0</v>
      </c>
    </row>
    <row r="3423" spans="3:12" x14ac:dyDescent="0.2">
      <c r="C3423" s="589"/>
      <c r="D3423" s="590" t="s">
        <v>270</v>
      </c>
      <c r="E3423" s="591">
        <f>(F3423+G3423+H3423+I3423)*112.7+(J3423*119.6)</f>
        <v>0</v>
      </c>
      <c r="F3423" s="3"/>
      <c r="G3423" s="3"/>
      <c r="H3423" s="3"/>
      <c r="I3423" s="3"/>
      <c r="J3423" s="3"/>
      <c r="K3423" s="628">
        <f t="shared" si="166"/>
        <v>0</v>
      </c>
      <c r="L3423" s="630">
        <f t="shared" si="167"/>
        <v>0</v>
      </c>
    </row>
    <row r="3424" spans="3:12" x14ac:dyDescent="0.2">
      <c r="C3424" s="589"/>
      <c r="D3424" s="590" t="s">
        <v>274</v>
      </c>
      <c r="E3424" s="591">
        <f>(F3424+G3424+H3424+I3424)*112.7+(J3424*119.6)</f>
        <v>0</v>
      </c>
      <c r="F3424" s="3"/>
      <c r="G3424" s="3"/>
      <c r="H3424" s="3"/>
      <c r="I3424" s="3"/>
      <c r="J3424" s="3"/>
      <c r="K3424" s="628">
        <f t="shared" si="166"/>
        <v>0</v>
      </c>
      <c r="L3424" s="630">
        <f t="shared" si="167"/>
        <v>0</v>
      </c>
    </row>
    <row r="3425" spans="3:12" x14ac:dyDescent="0.2">
      <c r="C3425" s="589"/>
      <c r="D3425" s="590" t="s">
        <v>395</v>
      </c>
      <c r="E3425" s="591">
        <f>(F3425+G3425+H3425+I3425)*112.7+(J3425*119.6)</f>
        <v>0</v>
      </c>
      <c r="F3425" s="3"/>
      <c r="G3425" s="3"/>
      <c r="H3425" s="3"/>
      <c r="I3425" s="3"/>
      <c r="J3425" s="3"/>
      <c r="K3425" s="628">
        <f t="shared" si="166"/>
        <v>0</v>
      </c>
      <c r="L3425" s="630">
        <f t="shared" si="167"/>
        <v>0</v>
      </c>
    </row>
    <row r="3426" spans="3:12" x14ac:dyDescent="0.2">
      <c r="C3426" s="683"/>
      <c r="D3426" s="590" t="s">
        <v>112</v>
      </c>
      <c r="E3426" s="591">
        <f>(F3426+G3426+H3426+I3426)*112.7+(J3426*119.6)</f>
        <v>0</v>
      </c>
      <c r="F3426" s="3"/>
      <c r="G3426" s="3"/>
      <c r="H3426" s="3"/>
      <c r="I3426" s="3"/>
      <c r="J3426" s="3"/>
      <c r="K3426" s="628">
        <f t="shared" si="166"/>
        <v>0</v>
      </c>
      <c r="L3426" s="630">
        <f t="shared" si="167"/>
        <v>0</v>
      </c>
    </row>
    <row r="3427" spans="3:12" x14ac:dyDescent="0.2">
      <c r="C3427" s="683"/>
      <c r="D3427" s="590" t="s">
        <v>72</v>
      </c>
      <c r="E3427" s="591">
        <f>(F3427+G3427+H3427+I3427)*112.7+(J3427*119.6)</f>
        <v>0</v>
      </c>
      <c r="F3427" s="3"/>
      <c r="G3427" s="3"/>
      <c r="H3427" s="3"/>
      <c r="I3427" s="3"/>
      <c r="J3427" s="3"/>
      <c r="K3427" s="628">
        <f t="shared" si="166"/>
        <v>0</v>
      </c>
      <c r="L3427" s="630">
        <f t="shared" si="167"/>
        <v>0</v>
      </c>
    </row>
    <row r="3428" spans="3:12" x14ac:dyDescent="0.2">
      <c r="C3428" s="683"/>
      <c r="D3428" s="590" t="s">
        <v>187</v>
      </c>
      <c r="E3428" s="591"/>
      <c r="F3428" s="3"/>
      <c r="G3428" s="3"/>
      <c r="H3428" s="3"/>
      <c r="I3428" s="3"/>
      <c r="J3428" s="3"/>
      <c r="K3428" s="628">
        <f>SUM(F3428:J3428)</f>
        <v>0</v>
      </c>
      <c r="L3428" s="3"/>
    </row>
    <row r="3429" spans="3:12" ht="16" x14ac:dyDescent="0.2">
      <c r="C3429" s="683"/>
      <c r="D3429" s="590"/>
      <c r="E3429" s="592"/>
      <c r="F3429" s="3"/>
      <c r="G3429" s="3"/>
      <c r="H3429" s="3"/>
      <c r="I3429" s="3"/>
      <c r="J3429" s="3"/>
      <c r="K3429" s="628">
        <f>SUM(F3429:J3429)</f>
        <v>0</v>
      </c>
      <c r="L3429" s="3"/>
    </row>
    <row r="3430" spans="3:12" ht="17" thickBot="1" x14ac:dyDescent="0.25">
      <c r="C3430" s="683"/>
      <c r="D3430" s="590"/>
      <c r="E3430" s="624"/>
      <c r="F3430" s="69"/>
      <c r="G3430" s="69"/>
      <c r="H3430" s="69"/>
      <c r="I3430" s="69"/>
      <c r="J3430" s="69"/>
      <c r="K3430" s="629"/>
      <c r="L3430" s="3"/>
    </row>
    <row r="3431" spans="3:12" ht="16" thickBot="1" x14ac:dyDescent="0.25">
      <c r="C3431" s="596"/>
      <c r="D3431" s="623" t="s">
        <v>19</v>
      </c>
      <c r="E3431" s="625">
        <f>SUM(E3405:E3428)</f>
        <v>6100.8</v>
      </c>
      <c r="F3431" s="614">
        <f>SUM(F3405:F3430)</f>
        <v>19</v>
      </c>
      <c r="G3431" s="614">
        <f>SUM(G3405:G3430)</f>
        <v>8</v>
      </c>
      <c r="H3431" s="614">
        <f>SUM(H3405:H3430)</f>
        <v>0</v>
      </c>
      <c r="I3431" s="614">
        <f>SUM(I3405:I3430)</f>
        <v>18</v>
      </c>
      <c r="J3431" s="614">
        <f>SUM(J3405:J3430)</f>
        <v>11</v>
      </c>
      <c r="K3431" s="626">
        <f>SUM(F3431:J3431)</f>
        <v>56</v>
      </c>
      <c r="L3431" s="631">
        <f>SUM(L3405:L3430)</f>
        <v>14</v>
      </c>
    </row>
    <row r="3432" spans="3:12" x14ac:dyDescent="0.2">
      <c r="C3432" s="596"/>
      <c r="D3432" s="593" t="s">
        <v>113</v>
      </c>
      <c r="E3432" s="620"/>
      <c r="F3432" s="610">
        <f>F3402-F3431</f>
        <v>0</v>
      </c>
      <c r="G3432" s="610">
        <f>G3402-G3431</f>
        <v>0</v>
      </c>
      <c r="H3432" s="610">
        <f>H3402-H3431</f>
        <v>0</v>
      </c>
      <c r="I3432" s="610">
        <f>I3402-I3431</f>
        <v>0</v>
      </c>
      <c r="J3432" s="610">
        <f>J3402-J3431</f>
        <v>0</v>
      </c>
      <c r="K3432" s="636">
        <f>SUM(F3432:J3432)</f>
        <v>0</v>
      </c>
      <c r="L3432" s="3"/>
    </row>
    <row r="3433" spans="3:12" x14ac:dyDescent="0.2">
      <c r="C3433" s="683"/>
      <c r="D3433" s="593" t="s">
        <v>436</v>
      </c>
      <c r="E3433" s="594"/>
      <c r="F3433" s="581"/>
      <c r="G3433" s="581"/>
      <c r="H3433" s="581"/>
      <c r="I3433" s="581"/>
      <c r="J3433" s="581"/>
      <c r="K3433" s="637">
        <f>K3431+K3432</f>
        <v>56</v>
      </c>
      <c r="L3433" s="3"/>
    </row>
    <row r="3435" spans="3:12" ht="18" x14ac:dyDescent="0.2">
      <c r="C3435" s="685" t="s">
        <v>412</v>
      </c>
      <c r="D3435" s="582">
        <v>45758</v>
      </c>
      <c r="E3435" s="800"/>
      <c r="F3435" s="685" t="s">
        <v>83</v>
      </c>
      <c r="G3435" s="801" t="s">
        <v>67</v>
      </c>
      <c r="H3435" s="802"/>
      <c r="I3435" s="802"/>
      <c r="J3435" s="802"/>
      <c r="K3435" s="803"/>
    </row>
    <row r="3436" spans="3:12" x14ac:dyDescent="0.2">
      <c r="C3436" s="804"/>
      <c r="D3436" s="805"/>
      <c r="E3436" s="800"/>
      <c r="F3436" s="683" t="s">
        <v>93</v>
      </c>
      <c r="G3436" s="683" t="s">
        <v>93</v>
      </c>
      <c r="H3436" s="683"/>
      <c r="I3436" s="806"/>
      <c r="J3436" s="806"/>
      <c r="K3436" s="806"/>
    </row>
    <row r="3437" spans="3:12" x14ac:dyDescent="0.2">
      <c r="C3437" s="804"/>
      <c r="D3437" s="805"/>
      <c r="E3437" s="800"/>
      <c r="F3437" s="683" t="s">
        <v>94</v>
      </c>
      <c r="G3437" s="683" t="s">
        <v>95</v>
      </c>
      <c r="H3437" s="683" t="s">
        <v>96</v>
      </c>
      <c r="I3437" s="806"/>
      <c r="J3437" s="806"/>
      <c r="K3437" s="806"/>
    </row>
    <row r="3438" spans="3:12" x14ac:dyDescent="0.2">
      <c r="C3438" s="804"/>
      <c r="D3438" s="805"/>
      <c r="E3438" s="800"/>
      <c r="F3438" s="683"/>
      <c r="G3438" s="683"/>
      <c r="H3438" s="683"/>
      <c r="I3438" s="806"/>
      <c r="J3438" s="806"/>
      <c r="K3438" s="806"/>
    </row>
    <row r="3439" spans="3:12" ht="16" x14ac:dyDescent="0.2">
      <c r="C3439" s="683"/>
      <c r="D3439" s="583" t="s">
        <v>97</v>
      </c>
      <c r="E3439" s="584"/>
      <c r="F3439" s="581"/>
      <c r="G3439" s="585"/>
      <c r="H3439" s="585"/>
      <c r="I3439" s="586"/>
      <c r="J3439" s="586"/>
      <c r="K3439" s="586"/>
    </row>
    <row r="3440" spans="3:12" ht="26" x14ac:dyDescent="0.2">
      <c r="C3440" s="804"/>
      <c r="D3440" s="587"/>
      <c r="E3440" s="588"/>
      <c r="F3440" s="585" t="s">
        <v>383</v>
      </c>
      <c r="G3440" s="585" t="s">
        <v>384</v>
      </c>
      <c r="H3440" s="585" t="s">
        <v>385</v>
      </c>
      <c r="I3440" s="585" t="s">
        <v>386</v>
      </c>
      <c r="J3440" s="585" t="s">
        <v>387</v>
      </c>
      <c r="K3440" s="585" t="s">
        <v>84</v>
      </c>
    </row>
    <row r="3441" spans="3:12" x14ac:dyDescent="0.2">
      <c r="C3441" s="804"/>
      <c r="D3441" s="684" t="s">
        <v>167</v>
      </c>
      <c r="E3441" s="588"/>
      <c r="F3441" s="580">
        <v>12</v>
      </c>
      <c r="G3441" s="579">
        <v>6</v>
      </c>
      <c r="H3441" s="580">
        <v>3</v>
      </c>
      <c r="I3441" s="580">
        <v>4</v>
      </c>
      <c r="J3441" s="580">
        <v>7</v>
      </c>
      <c r="K3441" s="580">
        <f>SUM(F3441:J3441)</f>
        <v>32</v>
      </c>
    </row>
    <row r="3442" spans="3:12" x14ac:dyDescent="0.2">
      <c r="C3442" s="804"/>
      <c r="D3442" s="684" t="s">
        <v>207</v>
      </c>
      <c r="E3442" s="588"/>
      <c r="F3442" s="618">
        <v>82</v>
      </c>
      <c r="G3442" s="619">
        <v>42</v>
      </c>
      <c r="H3442" s="618">
        <v>21</v>
      </c>
      <c r="I3442" s="618">
        <v>44</v>
      </c>
      <c r="J3442" s="618">
        <v>61</v>
      </c>
      <c r="K3442" s="618">
        <f>SUM(F3442:J3442)</f>
        <v>250</v>
      </c>
    </row>
    <row r="3443" spans="3:12" x14ac:dyDescent="0.2">
      <c r="C3443" s="683"/>
      <c r="D3443" s="684" t="s">
        <v>100</v>
      </c>
      <c r="E3443" s="588"/>
      <c r="F3443" s="581">
        <v>1</v>
      </c>
      <c r="G3443" s="581"/>
      <c r="H3443" s="581"/>
      <c r="I3443" s="581"/>
      <c r="J3443" s="581"/>
      <c r="K3443" s="581">
        <f>SUM(F3443:J3443)</f>
        <v>1</v>
      </c>
    </row>
    <row r="3444" spans="3:12" x14ac:dyDescent="0.2">
      <c r="C3444" s="683"/>
      <c r="D3444" s="684" t="s">
        <v>101</v>
      </c>
      <c r="E3444" s="588"/>
      <c r="F3444" s="581">
        <v>1</v>
      </c>
      <c r="G3444" s="581">
        <v>3</v>
      </c>
      <c r="H3444" s="581"/>
      <c r="I3444" s="581"/>
      <c r="J3444" s="581">
        <v>1</v>
      </c>
      <c r="K3444" s="581">
        <f>SUM(F3444:J3444)</f>
        <v>5</v>
      </c>
    </row>
    <row r="3445" spans="3:12" ht="16" thickBot="1" x14ac:dyDescent="0.25">
      <c r="C3445" s="683"/>
      <c r="D3445" s="597" t="s">
        <v>102</v>
      </c>
      <c r="E3445" s="598"/>
      <c r="F3445" s="599"/>
      <c r="G3445" s="600"/>
      <c r="H3445" s="600"/>
      <c r="I3445" s="600"/>
      <c r="J3445" s="600"/>
      <c r="K3445" s="600">
        <f>SUM(F3445:J3445)</f>
        <v>0</v>
      </c>
    </row>
    <row r="3446" spans="3:12" ht="17" thickBot="1" x14ac:dyDescent="0.25">
      <c r="C3446" s="605"/>
      <c r="D3446" s="612" t="s">
        <v>84</v>
      </c>
      <c r="E3446" s="613"/>
      <c r="F3446" s="614">
        <f t="shared" ref="F3446:K3446" si="168">(F3442+F3445)-F3444-F3443</f>
        <v>80</v>
      </c>
      <c r="G3446" s="615">
        <f t="shared" si="168"/>
        <v>39</v>
      </c>
      <c r="H3446" s="616">
        <f t="shared" si="168"/>
        <v>21</v>
      </c>
      <c r="I3446" s="615">
        <f t="shared" si="168"/>
        <v>44</v>
      </c>
      <c r="J3446" s="622">
        <f t="shared" si="168"/>
        <v>60</v>
      </c>
      <c r="K3446" s="617">
        <f t="shared" si="168"/>
        <v>244</v>
      </c>
    </row>
    <row r="3447" spans="3:12" ht="16" x14ac:dyDescent="0.2">
      <c r="C3447" s="683"/>
      <c r="D3447" s="608"/>
      <c r="E3447" s="609"/>
      <c r="F3447" s="610"/>
      <c r="G3447" s="595"/>
      <c r="H3447" s="611"/>
      <c r="I3447" s="595"/>
      <c r="J3447" s="595"/>
      <c r="K3447" s="595"/>
    </row>
    <row r="3448" spans="3:12" ht="16" thickBot="1" x14ac:dyDescent="0.25">
      <c r="C3448" s="606" t="s">
        <v>388</v>
      </c>
      <c r="D3448" s="607" t="s">
        <v>103</v>
      </c>
      <c r="E3448" s="603" t="s">
        <v>84</v>
      </c>
      <c r="F3448" s="602" t="s">
        <v>78</v>
      </c>
      <c r="G3448" s="602" t="s">
        <v>79</v>
      </c>
      <c r="H3448" s="602" t="s">
        <v>81</v>
      </c>
      <c r="I3448" s="601" t="s">
        <v>316</v>
      </c>
      <c r="J3448" s="601" t="s">
        <v>85</v>
      </c>
      <c r="K3448" s="601" t="s">
        <v>84</v>
      </c>
      <c r="L3448" s="174" t="s">
        <v>389</v>
      </c>
    </row>
    <row r="3449" spans="3:12" x14ac:dyDescent="0.2">
      <c r="C3449" s="589" t="s">
        <v>520</v>
      </c>
      <c r="D3449" s="604" t="s">
        <v>105</v>
      </c>
      <c r="E3449" s="591">
        <f>(F3449+G3449+H3449+I3449+J3449)*100+(0*230)</f>
        <v>5900</v>
      </c>
      <c r="F3449" s="3">
        <v>15</v>
      </c>
      <c r="G3449" s="3">
        <v>8</v>
      </c>
      <c r="H3449" s="3">
        <v>10</v>
      </c>
      <c r="I3449" s="3">
        <v>10</v>
      </c>
      <c r="J3449" s="3">
        <v>16</v>
      </c>
      <c r="K3449" s="628">
        <f t="shared" ref="K3449:K3471" si="169">SUM(F3449:J3449)</f>
        <v>59</v>
      </c>
      <c r="L3449" s="630">
        <f>K3449/4</f>
        <v>14.75</v>
      </c>
    </row>
    <row r="3450" spans="3:12" x14ac:dyDescent="0.2">
      <c r="C3450" s="589"/>
      <c r="D3450" s="590" t="s">
        <v>390</v>
      </c>
      <c r="E3450" s="591">
        <f>(F3450+G3450+H3450+I3450+J3450)*120</f>
        <v>0</v>
      </c>
      <c r="F3450" s="3"/>
      <c r="G3450" s="3"/>
      <c r="H3450" s="3"/>
      <c r="I3450" s="3"/>
      <c r="J3450" s="3"/>
      <c r="K3450" s="628">
        <f t="shared" si="169"/>
        <v>0</v>
      </c>
      <c r="L3450" s="630">
        <f t="shared" ref="L3450:L3471" si="170">K3450/4</f>
        <v>0</v>
      </c>
    </row>
    <row r="3451" spans="3:12" x14ac:dyDescent="0.2">
      <c r="C3451" s="589"/>
      <c r="D3451" s="590" t="s">
        <v>391</v>
      </c>
      <c r="E3451" s="591">
        <f>(F3451+G3451+H3451+I3451+J3451)*120</f>
        <v>0</v>
      </c>
      <c r="F3451" s="3"/>
      <c r="G3451" s="3"/>
      <c r="H3451" s="3"/>
      <c r="I3451" s="3"/>
      <c r="J3451" s="3"/>
      <c r="K3451" s="628">
        <f t="shared" si="169"/>
        <v>0</v>
      </c>
      <c r="L3451" s="630">
        <f t="shared" si="170"/>
        <v>0</v>
      </c>
    </row>
    <row r="3452" spans="3:12" x14ac:dyDescent="0.2">
      <c r="C3452" s="589"/>
      <c r="D3452" s="590" t="s">
        <v>392</v>
      </c>
      <c r="E3452" s="591">
        <f>(F3452+G3452+H3452+I3452+J3452)*120</f>
        <v>0</v>
      </c>
      <c r="F3452" s="3"/>
      <c r="G3452" s="3"/>
      <c r="H3452" s="3"/>
      <c r="I3452" s="3"/>
      <c r="J3452" s="3"/>
      <c r="K3452" s="628">
        <f t="shared" si="169"/>
        <v>0</v>
      </c>
      <c r="L3452" s="630">
        <f t="shared" si="170"/>
        <v>0</v>
      </c>
    </row>
    <row r="3453" spans="3:12" x14ac:dyDescent="0.2">
      <c r="C3453" s="589"/>
      <c r="D3453" s="590" t="s">
        <v>425</v>
      </c>
      <c r="E3453" s="591">
        <f>(F3453+G3453+H3453+I3453+J3453)*120</f>
        <v>0</v>
      </c>
      <c r="F3453" s="3"/>
      <c r="G3453" s="3"/>
      <c r="H3453" s="3"/>
      <c r="I3453" s="3"/>
      <c r="J3453" s="3"/>
      <c r="K3453" s="628">
        <f t="shared" si="169"/>
        <v>0</v>
      </c>
      <c r="L3453" s="630">
        <f t="shared" si="170"/>
        <v>0</v>
      </c>
    </row>
    <row r="3454" spans="3:12" x14ac:dyDescent="0.2">
      <c r="C3454" s="589"/>
      <c r="D3454" s="590"/>
      <c r="E3454" s="591"/>
      <c r="F3454" s="3"/>
      <c r="G3454" s="3"/>
      <c r="H3454" s="3"/>
      <c r="I3454" s="3"/>
      <c r="J3454" s="3"/>
      <c r="K3454" s="628">
        <f t="shared" si="169"/>
        <v>0</v>
      </c>
      <c r="L3454" s="630">
        <f t="shared" si="170"/>
        <v>0</v>
      </c>
    </row>
    <row r="3455" spans="3:12" x14ac:dyDescent="0.2">
      <c r="C3455" s="589" t="s">
        <v>977</v>
      </c>
      <c r="D3455" s="590" t="s">
        <v>108</v>
      </c>
      <c r="E3455" s="591">
        <f>(F3455+G3455+H3455+J3455)*112.7+(I3455*119.6)</f>
        <v>4577</v>
      </c>
      <c r="F3455" s="3">
        <v>10</v>
      </c>
      <c r="G3455" s="3">
        <v>5</v>
      </c>
      <c r="H3455" s="3">
        <v>5</v>
      </c>
      <c r="I3455" s="3">
        <v>10</v>
      </c>
      <c r="J3455" s="3">
        <v>10</v>
      </c>
      <c r="K3455" s="628">
        <f t="shared" si="169"/>
        <v>40</v>
      </c>
      <c r="L3455" s="630">
        <f t="shared" si="170"/>
        <v>10</v>
      </c>
    </row>
    <row r="3456" spans="3:12" x14ac:dyDescent="0.2">
      <c r="C3456" s="589" t="s">
        <v>976</v>
      </c>
      <c r="D3456" s="590" t="s">
        <v>393</v>
      </c>
      <c r="E3456" s="591">
        <f>(F3456+G3456+H3456+J3456)*112.7+(I3456*119.6)</f>
        <v>2732.4</v>
      </c>
      <c r="F3456" s="3">
        <v>6</v>
      </c>
      <c r="G3456" s="3">
        <v>4</v>
      </c>
      <c r="H3456" s="3">
        <v>4</v>
      </c>
      <c r="I3456" s="3">
        <v>4</v>
      </c>
      <c r="J3456" s="3">
        <v>6</v>
      </c>
      <c r="K3456" s="628">
        <f t="shared" si="169"/>
        <v>24</v>
      </c>
      <c r="L3456" s="630">
        <f t="shared" si="170"/>
        <v>6</v>
      </c>
    </row>
    <row r="3457" spans="3:12" x14ac:dyDescent="0.2">
      <c r="C3457" s="589" t="s">
        <v>975</v>
      </c>
      <c r="D3457" s="590" t="s">
        <v>216</v>
      </c>
      <c r="E3457" s="591">
        <f>(F3457+G3457+H3457+J3457)*112.7+(I3457*119.6)</f>
        <v>3661.6000000000004</v>
      </c>
      <c r="F3457" s="3">
        <v>8</v>
      </c>
      <c r="G3457" s="3">
        <v>8</v>
      </c>
      <c r="H3457" s="3"/>
      <c r="I3457" s="3">
        <v>8</v>
      </c>
      <c r="J3457" s="3">
        <v>8</v>
      </c>
      <c r="K3457" s="628">
        <f t="shared" si="169"/>
        <v>32</v>
      </c>
      <c r="L3457" s="630">
        <f t="shared" si="170"/>
        <v>8</v>
      </c>
    </row>
    <row r="3458" spans="3:12" x14ac:dyDescent="0.2">
      <c r="C3458" s="589"/>
      <c r="D3458" s="590"/>
      <c r="E3458" s="591"/>
      <c r="F3458" s="3"/>
      <c r="G3458" s="3"/>
      <c r="H3458" s="3"/>
      <c r="I3458" s="3"/>
      <c r="J3458" s="3"/>
      <c r="K3458" s="628">
        <f t="shared" si="169"/>
        <v>0</v>
      </c>
      <c r="L3458" s="630">
        <f t="shared" si="170"/>
        <v>0</v>
      </c>
    </row>
    <row r="3459" spans="3:12" x14ac:dyDescent="0.2">
      <c r="C3459" s="589"/>
      <c r="D3459" s="590" t="s">
        <v>394</v>
      </c>
      <c r="E3459" s="591">
        <f>(F3459+G3459+H3459+I3459+J3459)*120</f>
        <v>0</v>
      </c>
      <c r="F3459" s="3"/>
      <c r="G3459" s="3"/>
      <c r="H3459" s="3"/>
      <c r="I3459" s="3"/>
      <c r="J3459" s="3"/>
      <c r="K3459" s="628">
        <f t="shared" si="169"/>
        <v>0</v>
      </c>
      <c r="L3459" s="630">
        <f t="shared" si="170"/>
        <v>0</v>
      </c>
    </row>
    <row r="3460" spans="3:12" x14ac:dyDescent="0.2">
      <c r="C3460" s="589" t="s">
        <v>978</v>
      </c>
      <c r="D3460" s="590" t="s">
        <v>110</v>
      </c>
      <c r="E3460" s="591">
        <f>(F3460+G3460+H3460+J3460)*112.7+(I3460*119.6)</f>
        <v>8648</v>
      </c>
      <c r="F3460" s="3">
        <v>40</v>
      </c>
      <c r="G3460" s="3">
        <v>12</v>
      </c>
      <c r="H3460" s="3"/>
      <c r="I3460" s="3">
        <v>12</v>
      </c>
      <c r="J3460" s="3">
        <v>12</v>
      </c>
      <c r="K3460" s="628">
        <f t="shared" si="169"/>
        <v>76</v>
      </c>
      <c r="L3460" s="630">
        <f t="shared" si="170"/>
        <v>19</v>
      </c>
    </row>
    <row r="3461" spans="3:12" x14ac:dyDescent="0.2">
      <c r="C3461" s="589"/>
      <c r="D3461" s="590"/>
      <c r="E3461" s="591"/>
      <c r="F3461" s="3"/>
      <c r="G3461" s="3"/>
      <c r="H3461" s="3"/>
      <c r="I3461" s="3"/>
      <c r="J3461" s="3"/>
      <c r="K3461" s="628">
        <f t="shared" si="169"/>
        <v>0</v>
      </c>
      <c r="L3461" s="630">
        <f t="shared" si="170"/>
        <v>0</v>
      </c>
    </row>
    <row r="3462" spans="3:12" x14ac:dyDescent="0.2">
      <c r="C3462" s="589"/>
      <c r="D3462" s="590" t="s">
        <v>381</v>
      </c>
      <c r="E3462" s="591">
        <f>(F3462+G3462+H3462+I3462+J3462)*120+(240*0)+(0*45)</f>
        <v>0</v>
      </c>
      <c r="F3462" s="3"/>
      <c r="G3462" s="3"/>
      <c r="H3462" s="3"/>
      <c r="I3462" s="3"/>
      <c r="J3462" s="3"/>
      <c r="K3462" s="628">
        <f t="shared" si="169"/>
        <v>0</v>
      </c>
      <c r="L3462" s="630">
        <f t="shared" si="170"/>
        <v>0</v>
      </c>
    </row>
    <row r="3463" spans="3:12" x14ac:dyDescent="0.2">
      <c r="C3463" s="589"/>
      <c r="D3463" s="590" t="s">
        <v>276</v>
      </c>
      <c r="E3463" s="591">
        <f>(F3463+G3463+H3463+J3463)*112.7+(I3463*119.6)</f>
        <v>0</v>
      </c>
      <c r="F3463" s="3"/>
      <c r="G3463" s="3"/>
      <c r="H3463" s="3"/>
      <c r="I3463" s="3"/>
      <c r="J3463" s="3"/>
      <c r="K3463" s="628">
        <f t="shared" si="169"/>
        <v>0</v>
      </c>
      <c r="L3463" s="630">
        <f t="shared" si="170"/>
        <v>0</v>
      </c>
    </row>
    <row r="3464" spans="3:12" x14ac:dyDescent="0.2">
      <c r="C3464" s="589"/>
      <c r="D3464" s="590"/>
      <c r="E3464" s="591"/>
      <c r="F3464" s="3"/>
      <c r="G3464" s="3"/>
      <c r="H3464" s="3"/>
      <c r="I3464" s="3"/>
      <c r="J3464" s="3"/>
      <c r="K3464" s="628">
        <f t="shared" si="169"/>
        <v>0</v>
      </c>
      <c r="L3464" s="630">
        <f t="shared" si="170"/>
        <v>0</v>
      </c>
    </row>
    <row r="3465" spans="3:12" x14ac:dyDescent="0.2">
      <c r="C3465" s="589"/>
      <c r="D3465" s="590" t="s">
        <v>75</v>
      </c>
      <c r="E3465" s="591">
        <f>(F3465+G3465+H3465+I3465+J3465)*120</f>
        <v>0</v>
      </c>
      <c r="F3465" s="3"/>
      <c r="G3465" s="3"/>
      <c r="H3465" s="3"/>
      <c r="I3465" s="3"/>
      <c r="J3465" s="3"/>
      <c r="K3465" s="628">
        <f t="shared" si="169"/>
        <v>0</v>
      </c>
      <c r="L3465" s="630">
        <f t="shared" si="170"/>
        <v>0</v>
      </c>
    </row>
    <row r="3466" spans="3:12" x14ac:dyDescent="0.2">
      <c r="C3466" s="589"/>
      <c r="D3466" s="590" t="s">
        <v>278</v>
      </c>
      <c r="E3466" s="591">
        <f>(F3466+G3466+H3466+I3466+J3466)*120</f>
        <v>0</v>
      </c>
      <c r="F3466" s="3"/>
      <c r="G3466" s="3"/>
      <c r="H3466" s="3"/>
      <c r="I3466" s="3"/>
      <c r="J3466" s="3"/>
      <c r="K3466" s="628">
        <f t="shared" si="169"/>
        <v>0</v>
      </c>
      <c r="L3466" s="630">
        <f t="shared" si="170"/>
        <v>0</v>
      </c>
    </row>
    <row r="3467" spans="3:12" x14ac:dyDescent="0.2">
      <c r="C3467" s="589"/>
      <c r="D3467" s="590" t="s">
        <v>270</v>
      </c>
      <c r="E3467" s="591">
        <f>(F3467+G3467+H3467+I3467)*112.7+(J3467*119.6)</f>
        <v>0</v>
      </c>
      <c r="F3467" s="3"/>
      <c r="G3467" s="3"/>
      <c r="H3467" s="3"/>
      <c r="I3467" s="3"/>
      <c r="J3467" s="3"/>
      <c r="K3467" s="628">
        <f t="shared" si="169"/>
        <v>0</v>
      </c>
      <c r="L3467" s="630">
        <f t="shared" si="170"/>
        <v>0</v>
      </c>
    </row>
    <row r="3468" spans="3:12" x14ac:dyDescent="0.2">
      <c r="C3468" s="589"/>
      <c r="D3468" s="590" t="s">
        <v>274</v>
      </c>
      <c r="E3468" s="591">
        <f>(F3468+G3468+H3468+I3468)*112.7+(J3468*119.6)</f>
        <v>0</v>
      </c>
      <c r="F3468" s="3"/>
      <c r="G3468" s="3"/>
      <c r="H3468" s="3"/>
      <c r="I3468" s="3"/>
      <c r="J3468" s="3"/>
      <c r="K3468" s="628">
        <f t="shared" si="169"/>
        <v>0</v>
      </c>
      <c r="L3468" s="630">
        <f t="shared" si="170"/>
        <v>0</v>
      </c>
    </row>
    <row r="3469" spans="3:12" x14ac:dyDescent="0.2">
      <c r="C3469" s="589"/>
      <c r="D3469" s="590" t="s">
        <v>395</v>
      </c>
      <c r="E3469" s="591">
        <f>(F3469+G3469+H3469+I3469)*112.7+(J3469*119.6)</f>
        <v>0</v>
      </c>
      <c r="F3469" s="3"/>
      <c r="G3469" s="3"/>
      <c r="H3469" s="3"/>
      <c r="I3469" s="3"/>
      <c r="J3469" s="3"/>
      <c r="K3469" s="628">
        <f t="shared" si="169"/>
        <v>0</v>
      </c>
      <c r="L3469" s="630">
        <f t="shared" si="170"/>
        <v>0</v>
      </c>
    </row>
    <row r="3470" spans="3:12" x14ac:dyDescent="0.2">
      <c r="C3470" s="683"/>
      <c r="D3470" s="590" t="s">
        <v>112</v>
      </c>
      <c r="E3470" s="591">
        <f>(F3470+G3470+H3470+I3470)*112.7+(J3470*119.6)</f>
        <v>0</v>
      </c>
      <c r="F3470" s="3"/>
      <c r="G3470" s="3"/>
      <c r="H3470" s="3"/>
      <c r="I3470" s="3"/>
      <c r="J3470" s="3"/>
      <c r="K3470" s="628">
        <f t="shared" si="169"/>
        <v>0</v>
      </c>
      <c r="L3470" s="630">
        <f t="shared" si="170"/>
        <v>0</v>
      </c>
    </row>
    <row r="3471" spans="3:12" x14ac:dyDescent="0.2">
      <c r="C3471" s="683"/>
      <c r="D3471" s="590" t="s">
        <v>72</v>
      </c>
      <c r="E3471" s="591">
        <f>(F3471+G3471+H3471+I3471)*112.7+(J3471*119.6)</f>
        <v>0</v>
      </c>
      <c r="F3471" s="3"/>
      <c r="G3471" s="3"/>
      <c r="H3471" s="3"/>
      <c r="I3471" s="3"/>
      <c r="J3471" s="3"/>
      <c r="K3471" s="628">
        <f t="shared" si="169"/>
        <v>0</v>
      </c>
      <c r="L3471" s="630">
        <f t="shared" si="170"/>
        <v>0</v>
      </c>
    </row>
    <row r="3472" spans="3:12" x14ac:dyDescent="0.2">
      <c r="C3472" s="683"/>
      <c r="D3472" s="590" t="s">
        <v>187</v>
      </c>
      <c r="E3472" s="591"/>
      <c r="F3472" s="3">
        <v>1</v>
      </c>
      <c r="G3472" s="3">
        <v>2</v>
      </c>
      <c r="H3472" s="3">
        <v>2</v>
      </c>
      <c r="I3472" s="3"/>
      <c r="J3472" s="3">
        <v>8</v>
      </c>
      <c r="K3472" s="628">
        <f>SUM(F3472:J3472)</f>
        <v>13</v>
      </c>
      <c r="L3472" s="3"/>
    </row>
    <row r="3473" spans="3:12" ht="16" x14ac:dyDescent="0.2">
      <c r="C3473" s="683"/>
      <c r="D3473" s="590"/>
      <c r="E3473" s="592"/>
      <c r="F3473" s="3"/>
      <c r="G3473" s="3"/>
      <c r="H3473" s="3"/>
      <c r="I3473" s="3"/>
      <c r="J3473" s="3"/>
      <c r="K3473" s="628">
        <f>SUM(F3473:J3473)</f>
        <v>0</v>
      </c>
      <c r="L3473" s="3"/>
    </row>
    <row r="3474" spans="3:12" ht="17" thickBot="1" x14ac:dyDescent="0.25">
      <c r="C3474" s="683"/>
      <c r="D3474" s="590"/>
      <c r="E3474" s="624"/>
      <c r="F3474" s="69"/>
      <c r="G3474" s="69"/>
      <c r="H3474" s="69"/>
      <c r="I3474" s="69"/>
      <c r="J3474" s="69"/>
      <c r="K3474" s="629"/>
      <c r="L3474" s="3"/>
    </row>
    <row r="3475" spans="3:12" ht="16" thickBot="1" x14ac:dyDescent="0.25">
      <c r="C3475" s="596"/>
      <c r="D3475" s="623" t="s">
        <v>19</v>
      </c>
      <c r="E3475" s="625">
        <f>SUM(E3449:E3472)</f>
        <v>25519</v>
      </c>
      <c r="F3475" s="614">
        <f>SUM(F3449:F3474)</f>
        <v>80</v>
      </c>
      <c r="G3475" s="614">
        <f>SUM(G3449:G3474)</f>
        <v>39</v>
      </c>
      <c r="H3475" s="614">
        <f>SUM(H3449:H3474)</f>
        <v>21</v>
      </c>
      <c r="I3475" s="614">
        <f>SUM(I3449:I3474)</f>
        <v>44</v>
      </c>
      <c r="J3475" s="614">
        <f>SUM(J3449:J3474)</f>
        <v>60</v>
      </c>
      <c r="K3475" s="626">
        <f>SUM(F3475:J3475)</f>
        <v>244</v>
      </c>
      <c r="L3475" s="631">
        <f>SUM(L3449:L3474)</f>
        <v>57.75</v>
      </c>
    </row>
    <row r="3476" spans="3:12" x14ac:dyDescent="0.2">
      <c r="C3476" s="596"/>
      <c r="D3476" s="593" t="s">
        <v>113</v>
      </c>
      <c r="E3476" s="620"/>
      <c r="F3476" s="610">
        <f>F3446-F3475</f>
        <v>0</v>
      </c>
      <c r="G3476" s="610">
        <f>G3446-G3475</f>
        <v>0</v>
      </c>
      <c r="H3476" s="610">
        <f>H3446-H3475</f>
        <v>0</v>
      </c>
      <c r="I3476" s="610">
        <f>I3446-I3475</f>
        <v>0</v>
      </c>
      <c r="J3476" s="610">
        <f>J3446-J3475</f>
        <v>0</v>
      </c>
      <c r="K3476" s="636">
        <f>SUM(F3476:J3476)</f>
        <v>0</v>
      </c>
      <c r="L3476" s="3"/>
    </row>
    <row r="3477" spans="3:12" x14ac:dyDescent="0.2">
      <c r="C3477" s="683"/>
      <c r="D3477" s="593" t="s">
        <v>436</v>
      </c>
      <c r="E3477" s="594"/>
      <c r="F3477" s="581"/>
      <c r="G3477" s="581"/>
      <c r="H3477" s="581"/>
      <c r="I3477" s="581"/>
      <c r="J3477" s="581"/>
      <c r="K3477" s="637">
        <f>K3475+K3476</f>
        <v>244</v>
      </c>
      <c r="L3477" s="3"/>
    </row>
    <row r="3479" spans="3:12" ht="18" x14ac:dyDescent="0.2">
      <c r="C3479" s="685" t="s">
        <v>412</v>
      </c>
      <c r="D3479" s="582">
        <v>45761</v>
      </c>
      <c r="E3479" s="800"/>
      <c r="F3479" s="685" t="s">
        <v>83</v>
      </c>
      <c r="G3479" s="801" t="s">
        <v>63</v>
      </c>
      <c r="H3479" s="802"/>
      <c r="I3479" s="802"/>
      <c r="J3479" s="802"/>
      <c r="K3479" s="803"/>
    </row>
    <row r="3480" spans="3:12" x14ac:dyDescent="0.2">
      <c r="C3480" s="804"/>
      <c r="D3480" s="805"/>
      <c r="E3480" s="800"/>
      <c r="F3480" s="683" t="s">
        <v>93</v>
      </c>
      <c r="G3480" s="683" t="s">
        <v>93</v>
      </c>
      <c r="H3480" s="683"/>
      <c r="I3480" s="806"/>
      <c r="J3480" s="806"/>
      <c r="K3480" s="806"/>
    </row>
    <row r="3481" spans="3:12" x14ac:dyDescent="0.2">
      <c r="C3481" s="804"/>
      <c r="D3481" s="805"/>
      <c r="E3481" s="800"/>
      <c r="F3481" s="683" t="s">
        <v>94</v>
      </c>
      <c r="G3481" s="683" t="s">
        <v>95</v>
      </c>
      <c r="H3481" s="683" t="s">
        <v>96</v>
      </c>
      <c r="I3481" s="806"/>
      <c r="J3481" s="806"/>
      <c r="K3481" s="806"/>
    </row>
    <row r="3482" spans="3:12" x14ac:dyDescent="0.2">
      <c r="C3482" s="804"/>
      <c r="D3482" s="805"/>
      <c r="E3482" s="800"/>
      <c r="F3482" s="683"/>
      <c r="G3482" s="683"/>
      <c r="H3482" s="683"/>
      <c r="I3482" s="806"/>
      <c r="J3482" s="806"/>
      <c r="K3482" s="806"/>
    </row>
    <row r="3483" spans="3:12" ht="16" x14ac:dyDescent="0.2">
      <c r="C3483" s="683"/>
      <c r="D3483" s="583" t="s">
        <v>97</v>
      </c>
      <c r="E3483" s="584"/>
      <c r="F3483" s="581"/>
      <c r="G3483" s="585"/>
      <c r="H3483" s="585"/>
      <c r="I3483" s="586"/>
      <c r="J3483" s="586"/>
      <c r="K3483" s="586"/>
    </row>
    <row r="3484" spans="3:12" ht="26" x14ac:dyDescent="0.2">
      <c r="C3484" s="804"/>
      <c r="D3484" s="587"/>
      <c r="E3484" s="588"/>
      <c r="F3484" s="585" t="s">
        <v>383</v>
      </c>
      <c r="G3484" s="585" t="s">
        <v>384</v>
      </c>
      <c r="H3484" s="585" t="s">
        <v>385</v>
      </c>
      <c r="I3484" s="585" t="s">
        <v>386</v>
      </c>
      <c r="J3484" s="585" t="s">
        <v>387</v>
      </c>
      <c r="K3484" s="585" t="s">
        <v>84</v>
      </c>
    </row>
    <row r="3485" spans="3:12" x14ac:dyDescent="0.2">
      <c r="C3485" s="804"/>
      <c r="D3485" s="684" t="s">
        <v>167</v>
      </c>
      <c r="E3485" s="588"/>
      <c r="F3485" s="580">
        <v>12</v>
      </c>
      <c r="G3485" s="579">
        <v>6</v>
      </c>
      <c r="H3485" s="580">
        <v>3</v>
      </c>
      <c r="I3485" s="580">
        <v>3</v>
      </c>
      <c r="J3485" s="580">
        <v>8</v>
      </c>
      <c r="K3485" s="580">
        <f>SUM(F3485:J3485)</f>
        <v>32</v>
      </c>
    </row>
    <row r="3486" spans="3:12" x14ac:dyDescent="0.2">
      <c r="C3486" s="804"/>
      <c r="D3486" s="684" t="s">
        <v>207</v>
      </c>
      <c r="E3486" s="588"/>
      <c r="F3486" s="618">
        <v>84</v>
      </c>
      <c r="G3486" s="619">
        <v>42</v>
      </c>
      <c r="H3486" s="618">
        <v>21</v>
      </c>
      <c r="I3486" s="618">
        <v>33</v>
      </c>
      <c r="J3486" s="618">
        <v>70</v>
      </c>
      <c r="K3486" s="618">
        <f>SUM(F3486:J3486)</f>
        <v>250</v>
      </c>
    </row>
    <row r="3487" spans="3:12" x14ac:dyDescent="0.2">
      <c r="C3487" s="683"/>
      <c r="D3487" s="684" t="s">
        <v>100</v>
      </c>
      <c r="E3487" s="588"/>
      <c r="F3487" s="581"/>
      <c r="G3487" s="581"/>
      <c r="H3487" s="581"/>
      <c r="I3487" s="581">
        <v>1</v>
      </c>
      <c r="J3487" s="581"/>
      <c r="K3487" s="581">
        <f>SUM(F3487:J3487)</f>
        <v>1</v>
      </c>
    </row>
    <row r="3488" spans="3:12" x14ac:dyDescent="0.2">
      <c r="C3488" s="683"/>
      <c r="D3488" s="684" t="s">
        <v>101</v>
      </c>
      <c r="E3488" s="588"/>
      <c r="F3488" s="581">
        <v>2</v>
      </c>
      <c r="G3488" s="581">
        <v>1</v>
      </c>
      <c r="H3488" s="581"/>
      <c r="I3488" s="581"/>
      <c r="J3488" s="581"/>
      <c r="K3488" s="581">
        <f>SUM(F3488:J3488)</f>
        <v>3</v>
      </c>
    </row>
    <row r="3489" spans="3:12" ht="16" thickBot="1" x14ac:dyDescent="0.25">
      <c r="C3489" s="683"/>
      <c r="D3489" s="597" t="s">
        <v>102</v>
      </c>
      <c r="E3489" s="598"/>
      <c r="F3489" s="599"/>
      <c r="G3489" s="600"/>
      <c r="H3489" s="600"/>
      <c r="I3489" s="600"/>
      <c r="J3489" s="600"/>
      <c r="K3489" s="600">
        <f>SUM(F3489:J3489)</f>
        <v>0</v>
      </c>
    </row>
    <row r="3490" spans="3:12" ht="17" thickBot="1" x14ac:dyDescent="0.25">
      <c r="C3490" s="605"/>
      <c r="D3490" s="612" t="s">
        <v>84</v>
      </c>
      <c r="E3490" s="613"/>
      <c r="F3490" s="614">
        <f t="shared" ref="F3490:K3490" si="171">(F3486+F3489)-F3488-F3487</f>
        <v>82</v>
      </c>
      <c r="G3490" s="615">
        <f t="shared" si="171"/>
        <v>41</v>
      </c>
      <c r="H3490" s="616">
        <f t="shared" si="171"/>
        <v>21</v>
      </c>
      <c r="I3490" s="615">
        <f t="shared" si="171"/>
        <v>32</v>
      </c>
      <c r="J3490" s="622">
        <f t="shared" si="171"/>
        <v>70</v>
      </c>
      <c r="K3490" s="617">
        <f t="shared" si="171"/>
        <v>246</v>
      </c>
    </row>
    <row r="3491" spans="3:12" ht="16" x14ac:dyDescent="0.2">
      <c r="C3491" s="683"/>
      <c r="D3491" s="608"/>
      <c r="E3491" s="609"/>
      <c r="F3491" s="610"/>
      <c r="G3491" s="595"/>
      <c r="H3491" s="611"/>
      <c r="I3491" s="595"/>
      <c r="J3491" s="595"/>
      <c r="K3491" s="595"/>
    </row>
    <row r="3492" spans="3:12" ht="16" thickBot="1" x14ac:dyDescent="0.25">
      <c r="C3492" s="606" t="s">
        <v>388</v>
      </c>
      <c r="D3492" s="607" t="s">
        <v>103</v>
      </c>
      <c r="E3492" s="603" t="s">
        <v>84</v>
      </c>
      <c r="F3492" s="602" t="s">
        <v>78</v>
      </c>
      <c r="G3492" s="602" t="s">
        <v>79</v>
      </c>
      <c r="H3492" s="602" t="s">
        <v>81</v>
      </c>
      <c r="I3492" s="601" t="s">
        <v>316</v>
      </c>
      <c r="J3492" s="601" t="s">
        <v>85</v>
      </c>
      <c r="K3492" s="601" t="s">
        <v>84</v>
      </c>
      <c r="L3492" s="174" t="s">
        <v>389</v>
      </c>
    </row>
    <row r="3493" spans="3:12" x14ac:dyDescent="0.2">
      <c r="C3493" s="589" t="s">
        <v>984</v>
      </c>
      <c r="D3493" s="604" t="s">
        <v>105</v>
      </c>
      <c r="E3493" s="591">
        <f>(F3493+G3493+H3493+I3493+J3493)*100+(0*230)</f>
        <v>6100</v>
      </c>
      <c r="F3493" s="3">
        <v>14</v>
      </c>
      <c r="G3493" s="3">
        <v>14</v>
      </c>
      <c r="H3493" s="3">
        <v>6</v>
      </c>
      <c r="I3493" s="3">
        <v>6</v>
      </c>
      <c r="J3493" s="3">
        <v>21</v>
      </c>
      <c r="K3493" s="628">
        <f t="shared" ref="K3493:K3515" si="172">SUM(F3493:J3493)</f>
        <v>61</v>
      </c>
      <c r="L3493" s="630">
        <f>K3493/4</f>
        <v>15.25</v>
      </c>
    </row>
    <row r="3494" spans="3:12" x14ac:dyDescent="0.2">
      <c r="C3494" s="589" t="s">
        <v>529</v>
      </c>
      <c r="D3494" s="590" t="s">
        <v>390</v>
      </c>
      <c r="E3494" s="591">
        <f>(F3494+G3494+H3494+I3494+J3494)*120</f>
        <v>1200</v>
      </c>
      <c r="F3494" s="3">
        <v>2</v>
      </c>
      <c r="G3494" s="3">
        <v>2</v>
      </c>
      <c r="H3494" s="3">
        <v>2</v>
      </c>
      <c r="I3494" s="3">
        <v>2</v>
      </c>
      <c r="J3494" s="3">
        <v>2</v>
      </c>
      <c r="K3494" s="628">
        <f t="shared" si="172"/>
        <v>10</v>
      </c>
      <c r="L3494" s="630">
        <f t="shared" ref="L3494:L3515" si="173">K3494/4</f>
        <v>2.5</v>
      </c>
    </row>
    <row r="3495" spans="3:12" x14ac:dyDescent="0.2">
      <c r="C3495" s="589"/>
      <c r="D3495" s="590" t="s">
        <v>391</v>
      </c>
      <c r="E3495" s="591">
        <f>(F3495+G3495+H3495+I3495+J3495)*120</f>
        <v>0</v>
      </c>
      <c r="F3495" s="3"/>
      <c r="G3495" s="3"/>
      <c r="H3495" s="3"/>
      <c r="I3495" s="3"/>
      <c r="J3495" s="3"/>
      <c r="K3495" s="628">
        <f t="shared" si="172"/>
        <v>0</v>
      </c>
      <c r="L3495" s="630">
        <f t="shared" si="173"/>
        <v>0</v>
      </c>
    </row>
    <row r="3496" spans="3:12" x14ac:dyDescent="0.2">
      <c r="C3496" s="589" t="s">
        <v>961</v>
      </c>
      <c r="D3496" s="590" t="s">
        <v>392</v>
      </c>
      <c r="E3496" s="591">
        <f>(F3496+G3496+H3496+I3496+J3496)*120</f>
        <v>2400</v>
      </c>
      <c r="F3496" s="3">
        <v>6</v>
      </c>
      <c r="G3496" s="3">
        <v>2</v>
      </c>
      <c r="H3496" s="3">
        <v>6</v>
      </c>
      <c r="I3496" s="3"/>
      <c r="J3496" s="3">
        <v>6</v>
      </c>
      <c r="K3496" s="628">
        <f t="shared" si="172"/>
        <v>20</v>
      </c>
      <c r="L3496" s="630">
        <f t="shared" si="173"/>
        <v>5</v>
      </c>
    </row>
    <row r="3497" spans="3:12" x14ac:dyDescent="0.2">
      <c r="C3497" s="589"/>
      <c r="D3497" s="590" t="s">
        <v>425</v>
      </c>
      <c r="E3497" s="591">
        <f>(F3497+G3497+H3497+I3497+J3497)*120</f>
        <v>0</v>
      </c>
      <c r="F3497" s="3"/>
      <c r="G3497" s="3"/>
      <c r="H3497" s="3"/>
      <c r="I3497" s="3"/>
      <c r="J3497" s="3"/>
      <c r="K3497" s="628">
        <f t="shared" si="172"/>
        <v>0</v>
      </c>
      <c r="L3497" s="630">
        <f t="shared" si="173"/>
        <v>0</v>
      </c>
    </row>
    <row r="3498" spans="3:12" x14ac:dyDescent="0.2">
      <c r="C3498" s="589"/>
      <c r="D3498" s="590"/>
      <c r="E3498" s="591"/>
      <c r="F3498" s="3"/>
      <c r="G3498" s="3"/>
      <c r="H3498" s="3"/>
      <c r="I3498" s="3"/>
      <c r="J3498" s="3"/>
      <c r="K3498" s="628">
        <f t="shared" si="172"/>
        <v>0</v>
      </c>
      <c r="L3498" s="630">
        <f t="shared" si="173"/>
        <v>0</v>
      </c>
    </row>
    <row r="3499" spans="3:12" x14ac:dyDescent="0.2">
      <c r="C3499" s="589" t="s">
        <v>987</v>
      </c>
      <c r="D3499" s="590" t="s">
        <v>108</v>
      </c>
      <c r="E3499" s="591">
        <f>(F3499+G3499+H3499+J3499)*112.7+(I3499*119.6)</f>
        <v>3661.6000000000004</v>
      </c>
      <c r="F3499" s="3">
        <v>8</v>
      </c>
      <c r="G3499" s="3">
        <v>4</v>
      </c>
      <c r="H3499" s="3">
        <v>4</v>
      </c>
      <c r="I3499" s="3">
        <v>8</v>
      </c>
      <c r="J3499" s="3">
        <v>8</v>
      </c>
      <c r="K3499" s="628">
        <f t="shared" si="172"/>
        <v>32</v>
      </c>
      <c r="L3499" s="630">
        <f t="shared" si="173"/>
        <v>8</v>
      </c>
    </row>
    <row r="3500" spans="3:12" x14ac:dyDescent="0.2">
      <c r="C3500" s="589" t="s">
        <v>986</v>
      </c>
      <c r="D3500" s="590" t="s">
        <v>393</v>
      </c>
      <c r="E3500" s="591">
        <f>(F3500+G3500+H3500+J3500)*112.7+(I3500*119.6)</f>
        <v>2042.4</v>
      </c>
      <c r="F3500" s="3">
        <v>5</v>
      </c>
      <c r="G3500" s="3">
        <v>3</v>
      </c>
      <c r="H3500" s="3">
        <v>3</v>
      </c>
      <c r="I3500" s="3">
        <v>2</v>
      </c>
      <c r="J3500" s="3">
        <v>5</v>
      </c>
      <c r="K3500" s="628">
        <f t="shared" si="172"/>
        <v>18</v>
      </c>
      <c r="L3500" s="630">
        <f t="shared" si="173"/>
        <v>4.5</v>
      </c>
    </row>
    <row r="3501" spans="3:12" x14ac:dyDescent="0.2">
      <c r="C3501" s="589" t="s">
        <v>985</v>
      </c>
      <c r="D3501" s="590" t="s">
        <v>216</v>
      </c>
      <c r="E3501" s="591">
        <f>(F3501+G3501+H3501+J3501)*112.7+(I3501*119.6)</f>
        <v>2281.6</v>
      </c>
      <c r="F3501" s="3">
        <v>6</v>
      </c>
      <c r="G3501" s="3">
        <v>4</v>
      </c>
      <c r="H3501" s="3"/>
      <c r="I3501" s="3">
        <v>4</v>
      </c>
      <c r="J3501" s="3">
        <v>6</v>
      </c>
      <c r="K3501" s="628">
        <f t="shared" si="172"/>
        <v>20</v>
      </c>
      <c r="L3501" s="630">
        <f t="shared" si="173"/>
        <v>5</v>
      </c>
    </row>
    <row r="3502" spans="3:12" x14ac:dyDescent="0.2">
      <c r="C3502" s="589"/>
      <c r="D3502" s="590"/>
      <c r="E3502" s="591"/>
      <c r="F3502" s="3"/>
      <c r="G3502" s="3"/>
      <c r="H3502" s="3"/>
      <c r="I3502" s="3"/>
      <c r="J3502" s="3"/>
      <c r="K3502" s="628">
        <f t="shared" si="172"/>
        <v>0</v>
      </c>
      <c r="L3502" s="630">
        <f t="shared" si="173"/>
        <v>0</v>
      </c>
    </row>
    <row r="3503" spans="3:12" x14ac:dyDescent="0.2">
      <c r="C3503" s="589"/>
      <c r="D3503" s="590" t="s">
        <v>394</v>
      </c>
      <c r="E3503" s="591">
        <f>(F3503+G3503+H3503+I3503+J3503)*120</f>
        <v>0</v>
      </c>
      <c r="F3503" s="3"/>
      <c r="G3503" s="3"/>
      <c r="H3503" s="3"/>
      <c r="I3503" s="3"/>
      <c r="J3503" s="3"/>
      <c r="K3503" s="628">
        <f t="shared" si="172"/>
        <v>0</v>
      </c>
      <c r="L3503" s="630">
        <f t="shared" si="173"/>
        <v>0</v>
      </c>
    </row>
    <row r="3504" spans="3:12" x14ac:dyDescent="0.2">
      <c r="C3504" s="589" t="s">
        <v>988</v>
      </c>
      <c r="D3504" s="590" t="s">
        <v>110</v>
      </c>
      <c r="E3504" s="591">
        <f>(F3504+G3504+H3504+J3504)*112.7+(I3504*119.6)</f>
        <v>7281.8</v>
      </c>
      <c r="F3504" s="3">
        <v>30</v>
      </c>
      <c r="G3504" s="3">
        <v>10</v>
      </c>
      <c r="H3504" s="3"/>
      <c r="I3504" s="3">
        <v>10</v>
      </c>
      <c r="J3504" s="3">
        <v>14</v>
      </c>
      <c r="K3504" s="628">
        <f t="shared" si="172"/>
        <v>64</v>
      </c>
      <c r="L3504" s="630">
        <f t="shared" si="173"/>
        <v>16</v>
      </c>
    </row>
    <row r="3505" spans="3:12" x14ac:dyDescent="0.2">
      <c r="C3505" s="589"/>
      <c r="D3505" s="590"/>
      <c r="E3505" s="591"/>
      <c r="F3505" s="3"/>
      <c r="G3505" s="3"/>
      <c r="H3505" s="3"/>
      <c r="I3505" s="3"/>
      <c r="J3505" s="3"/>
      <c r="K3505" s="628">
        <f t="shared" si="172"/>
        <v>0</v>
      </c>
      <c r="L3505" s="630">
        <f t="shared" si="173"/>
        <v>0</v>
      </c>
    </row>
    <row r="3506" spans="3:12" x14ac:dyDescent="0.2">
      <c r="C3506" s="589"/>
      <c r="D3506" s="590" t="s">
        <v>381</v>
      </c>
      <c r="E3506" s="591">
        <f>(F3506+G3506+H3506+I3506+J3506)*120+(240*0)+(0*45)</f>
        <v>0</v>
      </c>
      <c r="F3506" s="3"/>
      <c r="G3506" s="3"/>
      <c r="H3506" s="3"/>
      <c r="I3506" s="3"/>
      <c r="J3506" s="3"/>
      <c r="K3506" s="628">
        <f t="shared" si="172"/>
        <v>0</v>
      </c>
      <c r="L3506" s="630">
        <f t="shared" si="173"/>
        <v>0</v>
      </c>
    </row>
    <row r="3507" spans="3:12" x14ac:dyDescent="0.2">
      <c r="C3507" s="589"/>
      <c r="D3507" s="590" t="s">
        <v>276</v>
      </c>
      <c r="E3507" s="591">
        <f>(F3507+G3507+H3507+J3507)*112.7+(I3507*119.6)</f>
        <v>0</v>
      </c>
      <c r="F3507" s="3"/>
      <c r="G3507" s="3"/>
      <c r="H3507" s="3"/>
      <c r="I3507" s="3"/>
      <c r="J3507" s="3"/>
      <c r="K3507" s="628">
        <f t="shared" si="172"/>
        <v>0</v>
      </c>
      <c r="L3507" s="630">
        <f t="shared" si="173"/>
        <v>0</v>
      </c>
    </row>
    <row r="3508" spans="3:12" x14ac:dyDescent="0.2">
      <c r="C3508" s="589"/>
      <c r="D3508" s="590"/>
      <c r="E3508" s="591"/>
      <c r="F3508" s="3"/>
      <c r="G3508" s="3"/>
      <c r="H3508" s="3"/>
      <c r="I3508" s="3"/>
      <c r="J3508" s="3"/>
      <c r="K3508" s="628">
        <f t="shared" si="172"/>
        <v>0</v>
      </c>
      <c r="L3508" s="630">
        <f t="shared" si="173"/>
        <v>0</v>
      </c>
    </row>
    <row r="3509" spans="3:12" x14ac:dyDescent="0.2">
      <c r="C3509" s="589"/>
      <c r="D3509" s="590" t="s">
        <v>75</v>
      </c>
      <c r="E3509" s="591">
        <f>(F3509+G3509+H3509+I3509+J3509)*120</f>
        <v>0</v>
      </c>
      <c r="F3509" s="3"/>
      <c r="G3509" s="3"/>
      <c r="H3509" s="3"/>
      <c r="I3509" s="3"/>
      <c r="J3509" s="3"/>
      <c r="K3509" s="628">
        <f t="shared" si="172"/>
        <v>0</v>
      </c>
      <c r="L3509" s="630">
        <f t="shared" si="173"/>
        <v>0</v>
      </c>
    </row>
    <row r="3510" spans="3:12" x14ac:dyDescent="0.2">
      <c r="C3510" s="589"/>
      <c r="D3510" s="590" t="s">
        <v>278</v>
      </c>
      <c r="E3510" s="591">
        <f>(F3510+G3510+H3510+I3510+J3510)*120</f>
        <v>0</v>
      </c>
      <c r="F3510" s="3"/>
      <c r="G3510" s="3"/>
      <c r="H3510" s="3"/>
      <c r="I3510" s="3"/>
      <c r="J3510" s="3"/>
      <c r="K3510" s="628">
        <f t="shared" si="172"/>
        <v>0</v>
      </c>
      <c r="L3510" s="630">
        <f t="shared" si="173"/>
        <v>0</v>
      </c>
    </row>
    <row r="3511" spans="3:12" x14ac:dyDescent="0.2">
      <c r="C3511" s="589"/>
      <c r="D3511" s="590" t="s">
        <v>270</v>
      </c>
      <c r="E3511" s="591">
        <f>(F3511+G3511+H3511+I3511)*112.7+(J3511*119.6)</f>
        <v>0</v>
      </c>
      <c r="F3511" s="3"/>
      <c r="G3511" s="3"/>
      <c r="H3511" s="3"/>
      <c r="I3511" s="3"/>
      <c r="J3511" s="3"/>
      <c r="K3511" s="628">
        <f t="shared" si="172"/>
        <v>0</v>
      </c>
      <c r="L3511" s="630">
        <f t="shared" si="173"/>
        <v>0</v>
      </c>
    </row>
    <row r="3512" spans="3:12" x14ac:dyDescent="0.2">
      <c r="C3512" s="589"/>
      <c r="D3512" s="590" t="s">
        <v>274</v>
      </c>
      <c r="E3512" s="591">
        <f>(F3512+G3512+H3512+I3512)*112.7+(J3512*119.6)</f>
        <v>0</v>
      </c>
      <c r="F3512" s="3"/>
      <c r="G3512" s="3"/>
      <c r="H3512" s="3"/>
      <c r="I3512" s="3"/>
      <c r="J3512" s="3"/>
      <c r="K3512" s="628">
        <f t="shared" si="172"/>
        <v>0</v>
      </c>
      <c r="L3512" s="630">
        <f t="shared" si="173"/>
        <v>0</v>
      </c>
    </row>
    <row r="3513" spans="3:12" x14ac:dyDescent="0.2">
      <c r="C3513" s="589"/>
      <c r="D3513" s="590" t="s">
        <v>395</v>
      </c>
      <c r="E3513" s="591">
        <f>(F3513+G3513+H3513+I3513)*112.7+(J3513*119.6)</f>
        <v>0</v>
      </c>
      <c r="F3513" s="3"/>
      <c r="G3513" s="3"/>
      <c r="H3513" s="3"/>
      <c r="I3513" s="3"/>
      <c r="J3513" s="3"/>
      <c r="K3513" s="628">
        <f t="shared" si="172"/>
        <v>0</v>
      </c>
      <c r="L3513" s="630">
        <f t="shared" si="173"/>
        <v>0</v>
      </c>
    </row>
    <row r="3514" spans="3:12" x14ac:dyDescent="0.2">
      <c r="C3514" s="683"/>
      <c r="D3514" s="590" t="s">
        <v>112</v>
      </c>
      <c r="E3514" s="591">
        <f>(F3514+G3514+H3514+I3514)*112.7+(J3514*119.6)</f>
        <v>0</v>
      </c>
      <c r="F3514" s="3"/>
      <c r="G3514" s="3"/>
      <c r="H3514" s="3"/>
      <c r="I3514" s="3"/>
      <c r="J3514" s="3"/>
      <c r="K3514" s="628">
        <f t="shared" si="172"/>
        <v>0</v>
      </c>
      <c r="L3514" s="630">
        <f t="shared" si="173"/>
        <v>0</v>
      </c>
    </row>
    <row r="3515" spans="3:12" x14ac:dyDescent="0.2">
      <c r="C3515" s="683"/>
      <c r="D3515" s="590" t="s">
        <v>72</v>
      </c>
      <c r="E3515" s="591">
        <f>(F3515+G3515+H3515+I3515)*112.7+(J3515*119.6)</f>
        <v>0</v>
      </c>
      <c r="F3515" s="3"/>
      <c r="G3515" s="3"/>
      <c r="H3515" s="3"/>
      <c r="I3515" s="3"/>
      <c r="J3515" s="3"/>
      <c r="K3515" s="628">
        <f t="shared" si="172"/>
        <v>0</v>
      </c>
      <c r="L3515" s="630">
        <f t="shared" si="173"/>
        <v>0</v>
      </c>
    </row>
    <row r="3516" spans="3:12" x14ac:dyDescent="0.2">
      <c r="C3516" s="683"/>
      <c r="D3516" s="590" t="s">
        <v>187</v>
      </c>
      <c r="E3516" s="591"/>
      <c r="F3516" s="3"/>
      <c r="G3516" s="3">
        <v>2</v>
      </c>
      <c r="H3516" s="3"/>
      <c r="I3516" s="3"/>
      <c r="J3516" s="3">
        <v>8</v>
      </c>
      <c r="K3516" s="628">
        <f>SUM(F3516:J3516)</f>
        <v>10</v>
      </c>
      <c r="L3516" s="3"/>
    </row>
    <row r="3517" spans="3:12" ht="16" x14ac:dyDescent="0.2">
      <c r="C3517" s="683"/>
      <c r="D3517" s="590"/>
      <c r="E3517" s="592"/>
      <c r="F3517" s="3"/>
      <c r="G3517" s="3"/>
      <c r="H3517" s="3"/>
      <c r="I3517" s="3"/>
      <c r="J3517" s="3"/>
      <c r="K3517" s="628">
        <f>SUM(F3517:J3517)</f>
        <v>0</v>
      </c>
      <c r="L3517" s="3"/>
    </row>
    <row r="3518" spans="3:12" ht="17" thickBot="1" x14ac:dyDescent="0.25">
      <c r="C3518" s="683"/>
      <c r="D3518" s="590"/>
      <c r="E3518" s="624"/>
      <c r="F3518" s="69"/>
      <c r="G3518" s="69"/>
      <c r="H3518" s="69"/>
      <c r="I3518" s="69"/>
      <c r="J3518" s="69"/>
      <c r="K3518" s="629"/>
      <c r="L3518" s="3"/>
    </row>
    <row r="3519" spans="3:12" ht="16" thickBot="1" x14ac:dyDescent="0.25">
      <c r="C3519" s="596"/>
      <c r="D3519" s="623" t="s">
        <v>19</v>
      </c>
      <c r="E3519" s="625">
        <f>SUM(E3493:E3516)</f>
        <v>24967.399999999998</v>
      </c>
      <c r="F3519" s="614">
        <f>SUM(F3493:F3518)</f>
        <v>71</v>
      </c>
      <c r="G3519" s="614">
        <f>SUM(G3493:G3518)</f>
        <v>41</v>
      </c>
      <c r="H3519" s="614">
        <f>SUM(H3493:H3518)</f>
        <v>21</v>
      </c>
      <c r="I3519" s="614">
        <f>SUM(I3493:I3518)</f>
        <v>32</v>
      </c>
      <c r="J3519" s="614">
        <f>SUM(J3493:J3518)</f>
        <v>70</v>
      </c>
      <c r="K3519" s="626">
        <f>SUM(F3519:J3519)</f>
        <v>235</v>
      </c>
      <c r="L3519" s="631">
        <f>SUM(L3493:L3518)</f>
        <v>56.25</v>
      </c>
    </row>
    <row r="3520" spans="3:12" x14ac:dyDescent="0.2">
      <c r="C3520" s="596"/>
      <c r="D3520" s="593" t="s">
        <v>113</v>
      </c>
      <c r="E3520" s="620"/>
      <c r="F3520" s="610">
        <f>F3490-F3519</f>
        <v>11</v>
      </c>
      <c r="G3520" s="610">
        <f>G3490-G3519</f>
        <v>0</v>
      </c>
      <c r="H3520" s="610">
        <f>H3490-H3519</f>
        <v>0</v>
      </c>
      <c r="I3520" s="610">
        <f>I3490-I3519</f>
        <v>0</v>
      </c>
      <c r="J3520" s="610">
        <f>J3490-J3519</f>
        <v>0</v>
      </c>
      <c r="K3520" s="636">
        <f>SUM(F3520:J3520)</f>
        <v>11</v>
      </c>
      <c r="L3520" s="3"/>
    </row>
    <row r="3521" spans="3:12" x14ac:dyDescent="0.2">
      <c r="C3521" s="683"/>
      <c r="D3521" s="593" t="s">
        <v>436</v>
      </c>
      <c r="E3521" s="594"/>
      <c r="F3521" s="581"/>
      <c r="G3521" s="581"/>
      <c r="H3521" s="581"/>
      <c r="I3521" s="581"/>
      <c r="J3521" s="581"/>
      <c r="K3521" s="637">
        <f>K3519+K3520</f>
        <v>246</v>
      </c>
      <c r="L3521" s="3"/>
    </row>
    <row r="3523" spans="3:12" ht="18" x14ac:dyDescent="0.2">
      <c r="C3523" s="685" t="s">
        <v>412</v>
      </c>
      <c r="D3523" s="582">
        <v>45762</v>
      </c>
      <c r="E3523" s="800"/>
      <c r="F3523" s="685" t="s">
        <v>83</v>
      </c>
      <c r="G3523" s="801" t="s">
        <v>64</v>
      </c>
      <c r="H3523" s="802"/>
      <c r="I3523" s="802"/>
      <c r="J3523" s="802"/>
      <c r="K3523" s="803"/>
    </row>
    <row r="3524" spans="3:12" x14ac:dyDescent="0.2">
      <c r="C3524" s="804"/>
      <c r="D3524" s="805"/>
      <c r="E3524" s="800"/>
      <c r="F3524" s="683" t="s">
        <v>93</v>
      </c>
      <c r="G3524" s="683" t="s">
        <v>93</v>
      </c>
      <c r="H3524" s="683"/>
      <c r="I3524" s="806"/>
      <c r="J3524" s="806"/>
      <c r="K3524" s="806"/>
    </row>
    <row r="3525" spans="3:12" x14ac:dyDescent="0.2">
      <c r="C3525" s="804"/>
      <c r="D3525" s="805"/>
      <c r="E3525" s="800"/>
      <c r="F3525" s="683" t="s">
        <v>94</v>
      </c>
      <c r="G3525" s="683" t="s">
        <v>95</v>
      </c>
      <c r="H3525" s="683" t="s">
        <v>96</v>
      </c>
      <c r="I3525" s="806"/>
      <c r="J3525" s="806"/>
      <c r="K3525" s="806"/>
    </row>
    <row r="3526" spans="3:12" x14ac:dyDescent="0.2">
      <c r="C3526" s="804"/>
      <c r="D3526" s="805"/>
      <c r="E3526" s="800"/>
      <c r="F3526" s="683"/>
      <c r="G3526" s="683"/>
      <c r="H3526" s="683"/>
      <c r="I3526" s="806"/>
      <c r="J3526" s="806"/>
      <c r="K3526" s="806"/>
    </row>
    <row r="3527" spans="3:12" ht="16" x14ac:dyDescent="0.2">
      <c r="C3527" s="683"/>
      <c r="D3527" s="583" t="s">
        <v>97</v>
      </c>
      <c r="E3527" s="584"/>
      <c r="F3527" s="581"/>
      <c r="G3527" s="585"/>
      <c r="H3527" s="585"/>
      <c r="I3527" s="586"/>
      <c r="J3527" s="586"/>
      <c r="K3527" s="586"/>
    </row>
    <row r="3528" spans="3:12" ht="26" x14ac:dyDescent="0.2">
      <c r="C3528" s="804"/>
      <c r="D3528" s="587"/>
      <c r="E3528" s="588"/>
      <c r="F3528" s="585" t="s">
        <v>383</v>
      </c>
      <c r="G3528" s="585" t="s">
        <v>384</v>
      </c>
      <c r="H3528" s="585" t="s">
        <v>385</v>
      </c>
      <c r="I3528" s="585" t="s">
        <v>386</v>
      </c>
      <c r="J3528" s="585" t="s">
        <v>387</v>
      </c>
      <c r="K3528" s="585" t="s">
        <v>84</v>
      </c>
    </row>
    <row r="3529" spans="3:12" x14ac:dyDescent="0.2">
      <c r="C3529" s="804"/>
      <c r="D3529" s="684" t="s">
        <v>167</v>
      </c>
      <c r="E3529" s="588"/>
      <c r="F3529" s="580">
        <v>12</v>
      </c>
      <c r="G3529" s="579">
        <v>8</v>
      </c>
      <c r="H3529" s="580"/>
      <c r="I3529" s="580">
        <v>5</v>
      </c>
      <c r="J3529" s="580">
        <v>9</v>
      </c>
      <c r="K3529" s="580">
        <f>SUM(F3529:J3529)</f>
        <v>34</v>
      </c>
    </row>
    <row r="3530" spans="3:12" x14ac:dyDescent="0.2">
      <c r="C3530" s="804"/>
      <c r="D3530" s="684" t="s">
        <v>207</v>
      </c>
      <c r="E3530" s="588"/>
      <c r="F3530" s="618">
        <v>84</v>
      </c>
      <c r="G3530" s="619">
        <v>56</v>
      </c>
      <c r="H3530" s="618"/>
      <c r="I3530" s="618">
        <v>55</v>
      </c>
      <c r="J3530" s="618">
        <v>79</v>
      </c>
      <c r="K3530" s="618">
        <f>SUM(F3530:J3530)</f>
        <v>274</v>
      </c>
    </row>
    <row r="3531" spans="3:12" x14ac:dyDescent="0.2">
      <c r="C3531" s="683"/>
      <c r="D3531" s="684" t="s">
        <v>100</v>
      </c>
      <c r="E3531" s="588"/>
      <c r="F3531" s="581"/>
      <c r="G3531" s="581"/>
      <c r="H3531" s="581"/>
      <c r="I3531" s="581"/>
      <c r="J3531" s="581"/>
      <c r="K3531" s="581">
        <f>SUM(F3531:J3531)</f>
        <v>0</v>
      </c>
    </row>
    <row r="3532" spans="3:12" x14ac:dyDescent="0.2">
      <c r="C3532" s="683"/>
      <c r="D3532" s="684" t="s">
        <v>101</v>
      </c>
      <c r="E3532" s="588"/>
      <c r="F3532" s="581">
        <v>1</v>
      </c>
      <c r="G3532" s="581">
        <v>2</v>
      </c>
      <c r="H3532" s="581"/>
      <c r="I3532" s="581"/>
      <c r="J3532" s="581">
        <v>1</v>
      </c>
      <c r="K3532" s="581">
        <f>SUM(F3532:J3532)</f>
        <v>4</v>
      </c>
    </row>
    <row r="3533" spans="3:12" ht="16" thickBot="1" x14ac:dyDescent="0.25">
      <c r="C3533" s="683"/>
      <c r="D3533" s="597" t="s">
        <v>102</v>
      </c>
      <c r="E3533" s="598"/>
      <c r="F3533" s="599">
        <v>10</v>
      </c>
      <c r="G3533" s="600"/>
      <c r="H3533" s="600"/>
      <c r="I3533" s="600"/>
      <c r="J3533" s="600"/>
      <c r="K3533" s="600">
        <f>SUM(F3533:J3533)</f>
        <v>10</v>
      </c>
    </row>
    <row r="3534" spans="3:12" ht="17" thickBot="1" x14ac:dyDescent="0.25">
      <c r="C3534" s="605"/>
      <c r="D3534" s="612" t="s">
        <v>84</v>
      </c>
      <c r="E3534" s="613"/>
      <c r="F3534" s="614">
        <f t="shared" ref="F3534:K3534" si="174">(F3530+F3533)-F3532-F3531</f>
        <v>93</v>
      </c>
      <c r="G3534" s="615">
        <f t="shared" si="174"/>
        <v>54</v>
      </c>
      <c r="H3534" s="616">
        <f t="shared" si="174"/>
        <v>0</v>
      </c>
      <c r="I3534" s="615">
        <f t="shared" si="174"/>
        <v>55</v>
      </c>
      <c r="J3534" s="622">
        <f t="shared" si="174"/>
        <v>78</v>
      </c>
      <c r="K3534" s="617">
        <f t="shared" si="174"/>
        <v>280</v>
      </c>
    </row>
    <row r="3535" spans="3:12" ht="16" x14ac:dyDescent="0.2">
      <c r="C3535" s="683"/>
      <c r="D3535" s="608"/>
      <c r="E3535" s="609"/>
      <c r="F3535" s="610"/>
      <c r="G3535" s="595"/>
      <c r="H3535" s="611"/>
      <c r="I3535" s="595"/>
      <c r="J3535" s="595"/>
      <c r="K3535" s="595"/>
    </row>
    <row r="3536" spans="3:12" ht="16" thickBot="1" x14ac:dyDescent="0.25">
      <c r="C3536" s="606" t="s">
        <v>388</v>
      </c>
      <c r="D3536" s="607" t="s">
        <v>103</v>
      </c>
      <c r="E3536" s="603" t="s">
        <v>84</v>
      </c>
      <c r="F3536" s="602" t="s">
        <v>78</v>
      </c>
      <c r="G3536" s="602" t="s">
        <v>79</v>
      </c>
      <c r="H3536" s="602" t="s">
        <v>81</v>
      </c>
      <c r="I3536" s="601" t="s">
        <v>316</v>
      </c>
      <c r="J3536" s="601" t="s">
        <v>85</v>
      </c>
      <c r="K3536" s="601" t="s">
        <v>84</v>
      </c>
      <c r="L3536" s="174" t="s">
        <v>389</v>
      </c>
    </row>
    <row r="3537" spans="3:12" x14ac:dyDescent="0.2">
      <c r="C3537" s="589"/>
      <c r="D3537" s="604" t="s">
        <v>105</v>
      </c>
      <c r="E3537" s="591">
        <f>(F3537+G3537+H3537+I3537+J3537)*100+(0*230)</f>
        <v>0</v>
      </c>
      <c r="F3537" s="3"/>
      <c r="G3537" s="3"/>
      <c r="H3537" s="3"/>
      <c r="I3537" s="3"/>
      <c r="J3537" s="3"/>
      <c r="K3537" s="628">
        <f t="shared" ref="K3537:K3559" si="175">SUM(F3537:J3537)</f>
        <v>0</v>
      </c>
      <c r="L3537" s="630">
        <f>K3537/4</f>
        <v>0</v>
      </c>
    </row>
    <row r="3538" spans="3:12" x14ac:dyDescent="0.2">
      <c r="C3538" s="589"/>
      <c r="D3538" s="590" t="s">
        <v>390</v>
      </c>
      <c r="E3538" s="591">
        <f>(F3538+G3538+H3538+I3538+J3538)*120</f>
        <v>0</v>
      </c>
      <c r="F3538" s="3"/>
      <c r="G3538" s="3"/>
      <c r="H3538" s="3"/>
      <c r="I3538" s="3"/>
      <c r="J3538" s="3"/>
      <c r="K3538" s="628">
        <f t="shared" si="175"/>
        <v>0</v>
      </c>
      <c r="L3538" s="630">
        <f t="shared" ref="L3538:L3559" si="176">K3538/4</f>
        <v>0</v>
      </c>
    </row>
    <row r="3539" spans="3:12" x14ac:dyDescent="0.2">
      <c r="C3539" s="589"/>
      <c r="D3539" s="590" t="s">
        <v>391</v>
      </c>
      <c r="E3539" s="591">
        <f>(F3539+G3539+H3539+I3539+J3539)*120</f>
        <v>0</v>
      </c>
      <c r="F3539" s="3"/>
      <c r="G3539" s="3"/>
      <c r="H3539" s="3"/>
      <c r="I3539" s="3"/>
      <c r="J3539" s="3"/>
      <c r="K3539" s="628">
        <f t="shared" si="175"/>
        <v>0</v>
      </c>
      <c r="L3539" s="630">
        <f t="shared" si="176"/>
        <v>0</v>
      </c>
    </row>
    <row r="3540" spans="3:12" x14ac:dyDescent="0.2">
      <c r="C3540" s="589"/>
      <c r="D3540" s="590" t="s">
        <v>392</v>
      </c>
      <c r="E3540" s="591">
        <f>(F3540+G3540+H3540+I3540+J3540)*120</f>
        <v>0</v>
      </c>
      <c r="F3540" s="3"/>
      <c r="G3540" s="3"/>
      <c r="H3540" s="3"/>
      <c r="I3540" s="3"/>
      <c r="J3540" s="3"/>
      <c r="K3540" s="628">
        <f t="shared" si="175"/>
        <v>0</v>
      </c>
      <c r="L3540" s="630">
        <f t="shared" si="176"/>
        <v>0</v>
      </c>
    </row>
    <row r="3541" spans="3:12" x14ac:dyDescent="0.2">
      <c r="C3541" s="589"/>
      <c r="D3541" s="590" t="s">
        <v>425</v>
      </c>
      <c r="E3541" s="591">
        <f>(F3541+G3541+H3541+I3541+J3541)*120</f>
        <v>0</v>
      </c>
      <c r="F3541" s="3"/>
      <c r="G3541" s="3"/>
      <c r="H3541" s="3"/>
      <c r="I3541" s="3"/>
      <c r="J3541" s="3"/>
      <c r="K3541" s="628">
        <f t="shared" si="175"/>
        <v>0</v>
      </c>
      <c r="L3541" s="630">
        <f t="shared" si="176"/>
        <v>0</v>
      </c>
    </row>
    <row r="3542" spans="3:12" x14ac:dyDescent="0.2">
      <c r="C3542" s="589"/>
      <c r="D3542" s="590"/>
      <c r="E3542" s="591"/>
      <c r="F3542" s="3"/>
      <c r="G3542" s="3"/>
      <c r="H3542" s="3"/>
      <c r="I3542" s="3"/>
      <c r="J3542" s="3"/>
      <c r="K3542" s="628">
        <f t="shared" si="175"/>
        <v>0</v>
      </c>
      <c r="L3542" s="630">
        <f t="shared" si="176"/>
        <v>0</v>
      </c>
    </row>
    <row r="3543" spans="3:12" x14ac:dyDescent="0.2">
      <c r="C3543" s="589"/>
      <c r="D3543" s="590" t="s">
        <v>108</v>
      </c>
      <c r="E3543" s="591">
        <f>(F3543+G3543+H3543+J3543)*112.7+(I3543*119.6)</f>
        <v>0</v>
      </c>
      <c r="F3543" s="3"/>
      <c r="G3543" s="3"/>
      <c r="H3543" s="3"/>
      <c r="I3543" s="3"/>
      <c r="J3543" s="3"/>
      <c r="K3543" s="628">
        <f t="shared" si="175"/>
        <v>0</v>
      </c>
      <c r="L3543" s="630">
        <f t="shared" si="176"/>
        <v>0</v>
      </c>
    </row>
    <row r="3544" spans="3:12" x14ac:dyDescent="0.2">
      <c r="C3544" s="589"/>
      <c r="D3544" s="590" t="s">
        <v>393</v>
      </c>
      <c r="E3544" s="591">
        <f>(F3544+G3544+H3544+J3544)*112.7+(I3544*119.6)</f>
        <v>0</v>
      </c>
      <c r="F3544" s="3"/>
      <c r="G3544" s="3"/>
      <c r="H3544" s="3"/>
      <c r="I3544" s="3"/>
      <c r="J3544" s="3"/>
      <c r="K3544" s="628">
        <f t="shared" si="175"/>
        <v>0</v>
      </c>
      <c r="L3544" s="630">
        <f t="shared" si="176"/>
        <v>0</v>
      </c>
    </row>
    <row r="3545" spans="3:12" x14ac:dyDescent="0.2">
      <c r="C3545" s="589"/>
      <c r="D3545" s="590" t="s">
        <v>216</v>
      </c>
      <c r="E3545" s="591">
        <f>(F3545+G3545+H3545+J3545)*112.7+(I3545*119.6)</f>
        <v>0</v>
      </c>
      <c r="F3545" s="3"/>
      <c r="G3545" s="3"/>
      <c r="H3545" s="3"/>
      <c r="I3545" s="3"/>
      <c r="J3545" s="3"/>
      <c r="K3545" s="628">
        <f t="shared" si="175"/>
        <v>0</v>
      </c>
      <c r="L3545" s="630">
        <f t="shared" si="176"/>
        <v>0</v>
      </c>
    </row>
    <row r="3546" spans="3:12" x14ac:dyDescent="0.2">
      <c r="C3546" s="589"/>
      <c r="D3546" s="590"/>
      <c r="E3546" s="591"/>
      <c r="F3546" s="3"/>
      <c r="G3546" s="3"/>
      <c r="H3546" s="3"/>
      <c r="I3546" s="3"/>
      <c r="J3546" s="3"/>
      <c r="K3546" s="628">
        <f t="shared" si="175"/>
        <v>0</v>
      </c>
      <c r="L3546" s="630">
        <f t="shared" si="176"/>
        <v>0</v>
      </c>
    </row>
    <row r="3547" spans="3:12" x14ac:dyDescent="0.2">
      <c r="C3547" s="589"/>
      <c r="D3547" s="590" t="s">
        <v>394</v>
      </c>
      <c r="E3547" s="591">
        <f>(F3547+G3547+H3547+I3547+J3547)*120</f>
        <v>0</v>
      </c>
      <c r="F3547" s="3"/>
      <c r="G3547" s="3"/>
      <c r="H3547" s="3"/>
      <c r="I3547" s="3"/>
      <c r="J3547" s="3"/>
      <c r="K3547" s="628">
        <f t="shared" si="175"/>
        <v>0</v>
      </c>
      <c r="L3547" s="630">
        <f t="shared" si="176"/>
        <v>0</v>
      </c>
    </row>
    <row r="3548" spans="3:12" x14ac:dyDescent="0.2">
      <c r="C3548" s="589"/>
      <c r="D3548" s="590" t="s">
        <v>110</v>
      </c>
      <c r="E3548" s="591">
        <f>(F3548+G3548+H3548+J3548)*112.7+(I3548*119.6)</f>
        <v>0</v>
      </c>
      <c r="F3548" s="3"/>
      <c r="G3548" s="3"/>
      <c r="H3548" s="3"/>
      <c r="I3548" s="3"/>
      <c r="J3548" s="3"/>
      <c r="K3548" s="628">
        <f t="shared" si="175"/>
        <v>0</v>
      </c>
      <c r="L3548" s="630">
        <f t="shared" si="176"/>
        <v>0</v>
      </c>
    </row>
    <row r="3549" spans="3:12" x14ac:dyDescent="0.2">
      <c r="C3549" s="589"/>
      <c r="D3549" s="590"/>
      <c r="E3549" s="591"/>
      <c r="F3549" s="3"/>
      <c r="G3549" s="3"/>
      <c r="H3549" s="3"/>
      <c r="I3549" s="3"/>
      <c r="J3549" s="3"/>
      <c r="K3549" s="628">
        <f t="shared" si="175"/>
        <v>0</v>
      </c>
      <c r="L3549" s="630">
        <f t="shared" si="176"/>
        <v>0</v>
      </c>
    </row>
    <row r="3550" spans="3:12" x14ac:dyDescent="0.2">
      <c r="C3550" s="589"/>
      <c r="D3550" s="590" t="s">
        <v>381</v>
      </c>
      <c r="E3550" s="591">
        <f>(F3550+G3550+H3550+I3550+J3550)*120+(240*0)+(0*45)</f>
        <v>0</v>
      </c>
      <c r="F3550" s="3"/>
      <c r="G3550" s="3"/>
      <c r="H3550" s="3"/>
      <c r="I3550" s="3"/>
      <c r="J3550" s="3"/>
      <c r="K3550" s="628">
        <f t="shared" si="175"/>
        <v>0</v>
      </c>
      <c r="L3550" s="630">
        <f t="shared" si="176"/>
        <v>0</v>
      </c>
    </row>
    <row r="3551" spans="3:12" x14ac:dyDescent="0.2">
      <c r="C3551" s="589"/>
      <c r="D3551" s="590" t="s">
        <v>276</v>
      </c>
      <c r="E3551" s="591">
        <f>(F3551+G3551+H3551+J3551)*112.7+(I3551*119.6)</f>
        <v>0</v>
      </c>
      <c r="F3551" s="3"/>
      <c r="G3551" s="3"/>
      <c r="H3551" s="3"/>
      <c r="I3551" s="3"/>
      <c r="J3551" s="3"/>
      <c r="K3551" s="628">
        <f t="shared" si="175"/>
        <v>0</v>
      </c>
      <c r="L3551" s="630">
        <f t="shared" si="176"/>
        <v>0</v>
      </c>
    </row>
    <row r="3552" spans="3:12" x14ac:dyDescent="0.2">
      <c r="C3552" s="589"/>
      <c r="D3552" s="590"/>
      <c r="E3552" s="591"/>
      <c r="F3552" s="3"/>
      <c r="G3552" s="3"/>
      <c r="H3552" s="3"/>
      <c r="I3552" s="3"/>
      <c r="J3552" s="3"/>
      <c r="K3552" s="628">
        <f t="shared" si="175"/>
        <v>0</v>
      </c>
      <c r="L3552" s="630">
        <f t="shared" si="176"/>
        <v>0</v>
      </c>
    </row>
    <row r="3553" spans="3:12" x14ac:dyDescent="0.2">
      <c r="C3553" s="589"/>
      <c r="D3553" s="590" t="s">
        <v>75</v>
      </c>
      <c r="E3553" s="591">
        <f>(F3553+G3553+H3553+I3553+J3553)*120</f>
        <v>0</v>
      </c>
      <c r="F3553" s="3"/>
      <c r="G3553" s="3"/>
      <c r="H3553" s="3"/>
      <c r="I3553" s="3"/>
      <c r="J3553" s="3"/>
      <c r="K3553" s="628">
        <f t="shared" si="175"/>
        <v>0</v>
      </c>
      <c r="L3553" s="630">
        <f t="shared" si="176"/>
        <v>0</v>
      </c>
    </row>
    <row r="3554" spans="3:12" x14ac:dyDescent="0.2">
      <c r="C3554" s="589"/>
      <c r="D3554" s="590" t="s">
        <v>278</v>
      </c>
      <c r="E3554" s="591">
        <f>(F3554+G3554+H3554+I3554+J3554)*120</f>
        <v>0</v>
      </c>
      <c r="F3554" s="3"/>
      <c r="G3554" s="3"/>
      <c r="H3554" s="3"/>
      <c r="I3554" s="3"/>
      <c r="J3554" s="3"/>
      <c r="K3554" s="628">
        <f t="shared" si="175"/>
        <v>0</v>
      </c>
      <c r="L3554" s="630">
        <f t="shared" si="176"/>
        <v>0</v>
      </c>
    </row>
    <row r="3555" spans="3:12" x14ac:dyDescent="0.2">
      <c r="C3555" s="589" t="s">
        <v>995</v>
      </c>
      <c r="D3555" s="590" t="s">
        <v>270</v>
      </c>
      <c r="E3555" s="591">
        <f>(F3555+G3555+H3555+I3555)*112.7+(J3555*119.6)</f>
        <v>7829.2</v>
      </c>
      <c r="F3555" s="3">
        <v>24</v>
      </c>
      <c r="G3555" s="3">
        <v>10</v>
      </c>
      <c r="H3555" s="3"/>
      <c r="I3555" s="3">
        <v>10</v>
      </c>
      <c r="J3555" s="3">
        <v>24</v>
      </c>
      <c r="K3555" s="628">
        <f t="shared" si="175"/>
        <v>68</v>
      </c>
      <c r="L3555" s="630">
        <f t="shared" si="176"/>
        <v>17</v>
      </c>
    </row>
    <row r="3556" spans="3:12" x14ac:dyDescent="0.2">
      <c r="C3556" s="589" t="s">
        <v>994</v>
      </c>
      <c r="D3556" s="590" t="s">
        <v>274</v>
      </c>
      <c r="E3556" s="591">
        <f>(F3556+G3556+H3556+I3556)*112.7+(J3556*119.6)</f>
        <v>5041.6000000000004</v>
      </c>
      <c r="F3556" s="3">
        <v>12</v>
      </c>
      <c r="G3556" s="3">
        <v>10</v>
      </c>
      <c r="H3556" s="3"/>
      <c r="I3556" s="3">
        <v>10</v>
      </c>
      <c r="J3556" s="3">
        <v>12</v>
      </c>
      <c r="K3556" s="628">
        <f t="shared" si="175"/>
        <v>44</v>
      </c>
      <c r="L3556" s="630">
        <f t="shared" si="176"/>
        <v>11</v>
      </c>
    </row>
    <row r="3557" spans="3:12" x14ac:dyDescent="0.2">
      <c r="C3557" s="589" t="s">
        <v>993</v>
      </c>
      <c r="D3557" s="590" t="s">
        <v>395</v>
      </c>
      <c r="E3557" s="591">
        <f>(F3557+G3557+H3557+I3557)*112.7+(J3557*119.6)</f>
        <v>5041.6000000000004</v>
      </c>
      <c r="F3557" s="3">
        <v>12</v>
      </c>
      <c r="G3557" s="3">
        <v>10</v>
      </c>
      <c r="H3557" s="3"/>
      <c r="I3557" s="3">
        <v>10</v>
      </c>
      <c r="J3557" s="3">
        <v>12</v>
      </c>
      <c r="K3557" s="628">
        <f t="shared" si="175"/>
        <v>44</v>
      </c>
      <c r="L3557" s="630">
        <f t="shared" si="176"/>
        <v>11</v>
      </c>
    </row>
    <row r="3558" spans="3:12" x14ac:dyDescent="0.2">
      <c r="C3558" s="683">
        <v>1177201247</v>
      </c>
      <c r="D3558" s="590" t="s">
        <v>112</v>
      </c>
      <c r="E3558" s="591">
        <f>(F3558+G3558+H3558+I3558)*112.7+(J3558*119.6)</f>
        <v>5041.6000000000004</v>
      </c>
      <c r="F3558" s="3">
        <v>12</v>
      </c>
      <c r="G3558" s="3">
        <v>10</v>
      </c>
      <c r="H3558" s="3"/>
      <c r="I3558" s="3">
        <v>10</v>
      </c>
      <c r="J3558" s="3">
        <v>12</v>
      </c>
      <c r="K3558" s="628">
        <f t="shared" si="175"/>
        <v>44</v>
      </c>
      <c r="L3558" s="630">
        <f t="shared" si="176"/>
        <v>11</v>
      </c>
    </row>
    <row r="3559" spans="3:12" x14ac:dyDescent="0.2">
      <c r="C3559" s="683">
        <v>1177201245</v>
      </c>
      <c r="D3559" s="590" t="s">
        <v>72</v>
      </c>
      <c r="E3559" s="591">
        <f>(F3559+G3559+H3559+I3559)*112.7+(J3559*119.6)</f>
        <v>5140.5</v>
      </c>
      <c r="F3559" s="3">
        <v>15</v>
      </c>
      <c r="G3559" s="3">
        <v>10</v>
      </c>
      <c r="H3559" s="3"/>
      <c r="I3559" s="3">
        <v>10</v>
      </c>
      <c r="J3559" s="3">
        <v>10</v>
      </c>
      <c r="K3559" s="628">
        <f t="shared" si="175"/>
        <v>45</v>
      </c>
      <c r="L3559" s="630">
        <f t="shared" si="176"/>
        <v>11.25</v>
      </c>
    </row>
    <row r="3560" spans="3:12" x14ac:dyDescent="0.2">
      <c r="C3560" s="683"/>
      <c r="D3560" s="590" t="s">
        <v>187</v>
      </c>
      <c r="E3560" s="591"/>
      <c r="F3560" s="3"/>
      <c r="G3560" s="3"/>
      <c r="H3560" s="3"/>
      <c r="I3560" s="3"/>
      <c r="J3560" s="3"/>
      <c r="K3560" s="628">
        <f>SUM(F3560:J3560)</f>
        <v>0</v>
      </c>
      <c r="L3560" s="3"/>
    </row>
    <row r="3561" spans="3:12" ht="16" x14ac:dyDescent="0.2">
      <c r="C3561" s="683"/>
      <c r="D3561" s="590"/>
      <c r="E3561" s="592"/>
      <c r="F3561" s="3"/>
      <c r="G3561" s="3"/>
      <c r="H3561" s="3"/>
      <c r="I3561" s="3"/>
      <c r="J3561" s="3"/>
      <c r="K3561" s="628">
        <f>SUM(F3561:J3561)</f>
        <v>0</v>
      </c>
      <c r="L3561" s="3"/>
    </row>
    <row r="3562" spans="3:12" ht="17" thickBot="1" x14ac:dyDescent="0.25">
      <c r="C3562" s="683"/>
      <c r="D3562" s="590"/>
      <c r="E3562" s="624"/>
      <c r="F3562" s="69"/>
      <c r="G3562" s="69"/>
      <c r="H3562" s="69"/>
      <c r="I3562" s="69"/>
      <c r="J3562" s="69"/>
      <c r="K3562" s="629"/>
      <c r="L3562" s="3"/>
    </row>
    <row r="3563" spans="3:12" ht="16" thickBot="1" x14ac:dyDescent="0.25">
      <c r="C3563" s="596"/>
      <c r="D3563" s="623" t="s">
        <v>19</v>
      </c>
      <c r="E3563" s="625">
        <f>SUM(E3537:E3560)</f>
        <v>28094.5</v>
      </c>
      <c r="F3563" s="614">
        <f>SUM(F3537:F3562)</f>
        <v>75</v>
      </c>
      <c r="G3563" s="614">
        <f>SUM(G3537:G3562)</f>
        <v>50</v>
      </c>
      <c r="H3563" s="614">
        <f>SUM(H3537:H3562)</f>
        <v>0</v>
      </c>
      <c r="I3563" s="614">
        <f>SUM(I3537:I3562)</f>
        <v>50</v>
      </c>
      <c r="J3563" s="614">
        <f>SUM(J3537:J3562)</f>
        <v>70</v>
      </c>
      <c r="K3563" s="626">
        <f>SUM(F3563:J3563)</f>
        <v>245</v>
      </c>
      <c r="L3563" s="631">
        <f>SUM(L3537:L3562)</f>
        <v>61.25</v>
      </c>
    </row>
    <row r="3564" spans="3:12" x14ac:dyDescent="0.2">
      <c r="C3564" s="596"/>
      <c r="D3564" s="593" t="s">
        <v>113</v>
      </c>
      <c r="E3564" s="620"/>
      <c r="F3564" s="610">
        <f>F3534-F3563</f>
        <v>18</v>
      </c>
      <c r="G3564" s="610">
        <f>G3534-G3563</f>
        <v>4</v>
      </c>
      <c r="H3564" s="610">
        <f>H3534-H3563</f>
        <v>0</v>
      </c>
      <c r="I3564" s="610">
        <f>I3534-I3563</f>
        <v>5</v>
      </c>
      <c r="J3564" s="610">
        <f>J3534-J3563</f>
        <v>8</v>
      </c>
      <c r="K3564" s="636">
        <f>SUM(F3564:J3564)</f>
        <v>35</v>
      </c>
      <c r="L3564" s="3"/>
    </row>
    <row r="3565" spans="3:12" x14ac:dyDescent="0.2">
      <c r="C3565" s="683"/>
      <c r="D3565" s="593" t="s">
        <v>436</v>
      </c>
      <c r="E3565" s="594"/>
      <c r="F3565" s="581"/>
      <c r="G3565" s="581"/>
      <c r="H3565" s="581"/>
      <c r="I3565" s="581"/>
      <c r="J3565" s="581"/>
      <c r="K3565" s="637">
        <f>K3563+K3564</f>
        <v>280</v>
      </c>
      <c r="L3565" s="3"/>
    </row>
    <row r="3567" spans="3:12" ht="18" x14ac:dyDescent="0.2">
      <c r="C3567" s="685" t="s">
        <v>412</v>
      </c>
      <c r="D3567" s="582">
        <v>45763</v>
      </c>
      <c r="E3567" s="800"/>
      <c r="F3567" s="685" t="s">
        <v>83</v>
      </c>
      <c r="G3567" s="801" t="s">
        <v>65</v>
      </c>
      <c r="H3567" s="802"/>
      <c r="I3567" s="802"/>
      <c r="J3567" s="802"/>
      <c r="K3567" s="803"/>
    </row>
    <row r="3568" spans="3:12" x14ac:dyDescent="0.2">
      <c r="C3568" s="804"/>
      <c r="D3568" s="805"/>
      <c r="E3568" s="800"/>
      <c r="F3568" s="683" t="s">
        <v>93</v>
      </c>
      <c r="G3568" s="683" t="s">
        <v>93</v>
      </c>
      <c r="H3568" s="683"/>
      <c r="I3568" s="806"/>
      <c r="J3568" s="806"/>
      <c r="K3568" s="806"/>
    </row>
    <row r="3569" spans="3:12" x14ac:dyDescent="0.2">
      <c r="C3569" s="804"/>
      <c r="D3569" s="805"/>
      <c r="E3569" s="800"/>
      <c r="F3569" s="683" t="s">
        <v>94</v>
      </c>
      <c r="G3569" s="683" t="s">
        <v>95</v>
      </c>
      <c r="H3569" s="683" t="s">
        <v>96</v>
      </c>
      <c r="I3569" s="806"/>
      <c r="J3569" s="806"/>
      <c r="K3569" s="806"/>
    </row>
    <row r="3570" spans="3:12" x14ac:dyDescent="0.2">
      <c r="C3570" s="804"/>
      <c r="D3570" s="805"/>
      <c r="E3570" s="800"/>
      <c r="F3570" s="683"/>
      <c r="G3570" s="683"/>
      <c r="H3570" s="683"/>
      <c r="I3570" s="806"/>
      <c r="J3570" s="806"/>
      <c r="K3570" s="806"/>
    </row>
    <row r="3571" spans="3:12" ht="16" x14ac:dyDescent="0.2">
      <c r="C3571" s="683"/>
      <c r="D3571" s="583" t="s">
        <v>97</v>
      </c>
      <c r="E3571" s="584"/>
      <c r="F3571" s="581"/>
      <c r="G3571" s="585"/>
      <c r="H3571" s="585"/>
      <c r="I3571" s="586"/>
      <c r="J3571" s="586"/>
      <c r="K3571" s="586"/>
    </row>
    <row r="3572" spans="3:12" ht="26" x14ac:dyDescent="0.2">
      <c r="C3572" s="804"/>
      <c r="D3572" s="587"/>
      <c r="E3572" s="588"/>
      <c r="F3572" s="585" t="s">
        <v>383</v>
      </c>
      <c r="G3572" s="585" t="s">
        <v>384</v>
      </c>
      <c r="H3572" s="585" t="s">
        <v>385</v>
      </c>
      <c r="I3572" s="585" t="s">
        <v>386</v>
      </c>
      <c r="J3572" s="585" t="s">
        <v>387</v>
      </c>
      <c r="K3572" s="585" t="s">
        <v>84</v>
      </c>
    </row>
    <row r="3573" spans="3:12" x14ac:dyDescent="0.2">
      <c r="C3573" s="804"/>
      <c r="D3573" s="684" t="s">
        <v>167</v>
      </c>
      <c r="E3573" s="588"/>
      <c r="F3573" s="580">
        <v>16</v>
      </c>
      <c r="G3573" s="579">
        <v>9</v>
      </c>
      <c r="H3573" s="580">
        <v>4</v>
      </c>
      <c r="I3573" s="580">
        <v>5</v>
      </c>
      <c r="J3573" s="580">
        <v>8</v>
      </c>
      <c r="K3573" s="580">
        <f>SUM(F3573:J3573)</f>
        <v>42</v>
      </c>
    </row>
    <row r="3574" spans="3:12" x14ac:dyDescent="0.2">
      <c r="C3574" s="804"/>
      <c r="D3574" s="684" t="s">
        <v>207</v>
      </c>
      <c r="E3574" s="588"/>
      <c r="F3574" s="618">
        <f>F3573*7</f>
        <v>112</v>
      </c>
      <c r="G3574" s="619">
        <f>28+33</f>
        <v>61</v>
      </c>
      <c r="H3574" s="618">
        <v>28</v>
      </c>
      <c r="I3574" s="618">
        <v>55</v>
      </c>
      <c r="J3574" s="618">
        <f>45+27</f>
        <v>72</v>
      </c>
      <c r="K3574" s="618">
        <f>SUM(F3574:J3574)</f>
        <v>328</v>
      </c>
    </row>
    <row r="3575" spans="3:12" x14ac:dyDescent="0.2">
      <c r="C3575" s="683"/>
      <c r="D3575" s="684" t="s">
        <v>100</v>
      </c>
      <c r="E3575" s="588"/>
      <c r="F3575" s="581"/>
      <c r="G3575" s="581">
        <v>1</v>
      </c>
      <c r="H3575" s="581"/>
      <c r="I3575" s="581"/>
      <c r="J3575" s="581"/>
      <c r="K3575" s="581">
        <f>SUM(F3575:J3575)</f>
        <v>1</v>
      </c>
    </row>
    <row r="3576" spans="3:12" x14ac:dyDescent="0.2">
      <c r="C3576" s="683"/>
      <c r="D3576" s="684" t="s">
        <v>101</v>
      </c>
      <c r="E3576" s="588"/>
      <c r="F3576" s="581">
        <v>1</v>
      </c>
      <c r="G3576" s="581">
        <v>2</v>
      </c>
      <c r="H3576" s="581">
        <v>1</v>
      </c>
      <c r="I3576" s="581"/>
      <c r="J3576" s="581">
        <v>1</v>
      </c>
      <c r="K3576" s="581">
        <f>SUM(F3576:J3576)</f>
        <v>5</v>
      </c>
    </row>
    <row r="3577" spans="3:12" ht="16" thickBot="1" x14ac:dyDescent="0.25">
      <c r="C3577" s="683"/>
      <c r="D3577" s="597" t="s">
        <v>102</v>
      </c>
      <c r="E3577" s="598"/>
      <c r="F3577" s="599">
        <v>19</v>
      </c>
      <c r="G3577" s="600">
        <v>4</v>
      </c>
      <c r="H3577" s="600"/>
      <c r="I3577" s="600">
        <v>5</v>
      </c>
      <c r="J3577" s="600">
        <v>8</v>
      </c>
      <c r="K3577" s="600">
        <f>SUM(F3577:J3577)</f>
        <v>36</v>
      </c>
    </row>
    <row r="3578" spans="3:12" ht="17" thickBot="1" x14ac:dyDescent="0.25">
      <c r="C3578" s="605"/>
      <c r="D3578" s="612" t="s">
        <v>84</v>
      </c>
      <c r="E3578" s="613"/>
      <c r="F3578" s="614">
        <f t="shared" ref="F3578:K3578" si="177">(F3574+F3577)-F3576-F3575</f>
        <v>130</v>
      </c>
      <c r="G3578" s="615">
        <f t="shared" si="177"/>
        <v>62</v>
      </c>
      <c r="H3578" s="616">
        <f t="shared" si="177"/>
        <v>27</v>
      </c>
      <c r="I3578" s="615">
        <f t="shared" si="177"/>
        <v>60</v>
      </c>
      <c r="J3578" s="622">
        <f t="shared" si="177"/>
        <v>79</v>
      </c>
      <c r="K3578" s="617">
        <f t="shared" si="177"/>
        <v>358</v>
      </c>
    </row>
    <row r="3579" spans="3:12" ht="16" x14ac:dyDescent="0.2">
      <c r="C3579" s="683"/>
      <c r="D3579" s="608"/>
      <c r="E3579" s="609"/>
      <c r="F3579" s="610"/>
      <c r="G3579" s="595"/>
      <c r="H3579" s="611"/>
      <c r="I3579" s="595"/>
      <c r="J3579" s="595"/>
      <c r="K3579" s="595"/>
    </row>
    <row r="3580" spans="3:12" ht="16" thickBot="1" x14ac:dyDescent="0.25">
      <c r="C3580" s="606" t="s">
        <v>388</v>
      </c>
      <c r="D3580" s="607" t="s">
        <v>103</v>
      </c>
      <c r="E3580" s="603" t="s">
        <v>84</v>
      </c>
      <c r="F3580" s="602" t="s">
        <v>78</v>
      </c>
      <c r="G3580" s="602" t="s">
        <v>79</v>
      </c>
      <c r="H3580" s="602" t="s">
        <v>81</v>
      </c>
      <c r="I3580" s="601" t="s">
        <v>316</v>
      </c>
      <c r="J3580" s="601" t="s">
        <v>85</v>
      </c>
      <c r="K3580" s="601" t="s">
        <v>84</v>
      </c>
      <c r="L3580" s="174" t="s">
        <v>389</v>
      </c>
    </row>
    <row r="3581" spans="3:12" x14ac:dyDescent="0.2">
      <c r="C3581" s="589" t="s">
        <v>539</v>
      </c>
      <c r="D3581" s="604" t="s">
        <v>105</v>
      </c>
      <c r="E3581" s="591">
        <f>(F3581+G3581+H3581+I3581+J3581)*100+(0*230)</f>
        <v>8100</v>
      </c>
      <c r="F3581" s="3">
        <v>24</v>
      </c>
      <c r="G3581" s="3">
        <v>12</v>
      </c>
      <c r="H3581" s="3">
        <v>12</v>
      </c>
      <c r="I3581" s="3">
        <v>12</v>
      </c>
      <c r="J3581" s="3">
        <v>21</v>
      </c>
      <c r="K3581" s="628">
        <f t="shared" ref="K3581:K3603" si="178">SUM(F3581:J3581)</f>
        <v>81</v>
      </c>
      <c r="L3581" s="630">
        <f>K3581/4</f>
        <v>20.25</v>
      </c>
    </row>
    <row r="3582" spans="3:12" x14ac:dyDescent="0.2">
      <c r="C3582" s="589"/>
      <c r="D3582" s="590" t="s">
        <v>390</v>
      </c>
      <c r="E3582" s="591">
        <f>(F3582+G3582+H3582+I3582+J3582)*120</f>
        <v>0</v>
      </c>
      <c r="F3582" s="3"/>
      <c r="G3582" s="3"/>
      <c r="H3582" s="3"/>
      <c r="I3582" s="3"/>
      <c r="J3582" s="3"/>
      <c r="K3582" s="628">
        <f t="shared" si="178"/>
        <v>0</v>
      </c>
      <c r="L3582" s="630">
        <f t="shared" ref="L3582:L3603" si="179">K3582/4</f>
        <v>0</v>
      </c>
    </row>
    <row r="3583" spans="3:12" x14ac:dyDescent="0.2">
      <c r="C3583" s="589"/>
      <c r="D3583" s="590" t="s">
        <v>391</v>
      </c>
      <c r="E3583" s="591">
        <f>(F3583+G3583+H3583+I3583+J3583)*120</f>
        <v>0</v>
      </c>
      <c r="F3583" s="3"/>
      <c r="G3583" s="3"/>
      <c r="H3583" s="3"/>
      <c r="I3583" s="3"/>
      <c r="J3583" s="3"/>
      <c r="K3583" s="628">
        <f t="shared" si="178"/>
        <v>0</v>
      </c>
      <c r="L3583" s="630">
        <f t="shared" si="179"/>
        <v>0</v>
      </c>
    </row>
    <row r="3584" spans="3:12" x14ac:dyDescent="0.2">
      <c r="C3584" s="589"/>
      <c r="D3584" s="590" t="s">
        <v>392</v>
      </c>
      <c r="E3584" s="591">
        <f>(F3584+G3584+H3584+I3584+J3584)*120</f>
        <v>0</v>
      </c>
      <c r="F3584" s="3"/>
      <c r="G3584" s="3"/>
      <c r="H3584" s="3"/>
      <c r="I3584" s="3"/>
      <c r="J3584" s="3"/>
      <c r="K3584" s="628">
        <f t="shared" si="178"/>
        <v>0</v>
      </c>
      <c r="L3584" s="630">
        <f t="shared" si="179"/>
        <v>0</v>
      </c>
    </row>
    <row r="3585" spans="3:12" x14ac:dyDescent="0.2">
      <c r="C3585" s="589"/>
      <c r="D3585" s="590" t="s">
        <v>425</v>
      </c>
      <c r="E3585" s="591">
        <f>(F3585+G3585+H3585+I3585+J3585)*120</f>
        <v>0</v>
      </c>
      <c r="F3585" s="3"/>
      <c r="G3585" s="3"/>
      <c r="H3585" s="3"/>
      <c r="I3585" s="3"/>
      <c r="J3585" s="3"/>
      <c r="K3585" s="628">
        <f t="shared" si="178"/>
        <v>0</v>
      </c>
      <c r="L3585" s="630">
        <f t="shared" si="179"/>
        <v>0</v>
      </c>
    </row>
    <row r="3586" spans="3:12" x14ac:dyDescent="0.2">
      <c r="C3586" s="589"/>
      <c r="D3586" s="590"/>
      <c r="E3586" s="591"/>
      <c r="F3586" s="3"/>
      <c r="G3586" s="3"/>
      <c r="H3586" s="3"/>
      <c r="I3586" s="3"/>
      <c r="J3586" s="3"/>
      <c r="K3586" s="628">
        <f t="shared" si="178"/>
        <v>0</v>
      </c>
      <c r="L3586" s="630">
        <f t="shared" si="179"/>
        <v>0</v>
      </c>
    </row>
    <row r="3587" spans="3:12" x14ac:dyDescent="0.2">
      <c r="C3587" s="589" t="s">
        <v>1003</v>
      </c>
      <c r="D3587" s="590" t="s">
        <v>108</v>
      </c>
      <c r="E3587" s="591">
        <f>(F3587+G3587+H3587+J3587)*112.7+(I3587*119.6)</f>
        <v>4577</v>
      </c>
      <c r="F3587" s="3">
        <v>10</v>
      </c>
      <c r="G3587" s="3">
        <v>5</v>
      </c>
      <c r="H3587" s="3">
        <v>5</v>
      </c>
      <c r="I3587" s="3">
        <v>10</v>
      </c>
      <c r="J3587" s="3">
        <v>10</v>
      </c>
      <c r="K3587" s="628">
        <f t="shared" si="178"/>
        <v>40</v>
      </c>
      <c r="L3587" s="630">
        <f t="shared" si="179"/>
        <v>10</v>
      </c>
    </row>
    <row r="3588" spans="3:12" x14ac:dyDescent="0.2">
      <c r="C3588" s="589" t="s">
        <v>1002</v>
      </c>
      <c r="D3588" s="590" t="s">
        <v>393</v>
      </c>
      <c r="E3588" s="591">
        <f>(F3588+G3588+H3588+J3588)*112.7+(I3588*119.6)</f>
        <v>3183.2000000000003</v>
      </c>
      <c r="F3588" s="3">
        <v>8</v>
      </c>
      <c r="G3588" s="3">
        <v>4</v>
      </c>
      <c r="H3588" s="3">
        <v>4</v>
      </c>
      <c r="I3588" s="3">
        <v>4</v>
      </c>
      <c r="J3588" s="3">
        <v>8</v>
      </c>
      <c r="K3588" s="628">
        <f t="shared" si="178"/>
        <v>28</v>
      </c>
      <c r="L3588" s="630">
        <f t="shared" si="179"/>
        <v>7</v>
      </c>
    </row>
    <row r="3589" spans="3:12" x14ac:dyDescent="0.2">
      <c r="C3589" s="589" t="s">
        <v>1001</v>
      </c>
      <c r="D3589" s="590" t="s">
        <v>216</v>
      </c>
      <c r="E3589" s="591">
        <f>(F3589+G3589+H3589+J3589)*112.7+(I3589*119.6)</f>
        <v>3661.6000000000004</v>
      </c>
      <c r="F3589" s="3">
        <v>8</v>
      </c>
      <c r="G3589" s="3">
        <v>8</v>
      </c>
      <c r="H3589" s="3"/>
      <c r="I3589" s="3">
        <v>8</v>
      </c>
      <c r="J3589" s="3">
        <v>8</v>
      </c>
      <c r="K3589" s="628">
        <f t="shared" si="178"/>
        <v>32</v>
      </c>
      <c r="L3589" s="630">
        <f t="shared" si="179"/>
        <v>8</v>
      </c>
    </row>
    <row r="3590" spans="3:12" x14ac:dyDescent="0.2">
      <c r="C3590" s="589"/>
      <c r="D3590" s="590"/>
      <c r="E3590" s="591"/>
      <c r="F3590" s="3"/>
      <c r="G3590" s="3"/>
      <c r="H3590" s="3"/>
      <c r="I3590" s="3"/>
      <c r="J3590" s="3"/>
      <c r="K3590" s="628">
        <f t="shared" si="178"/>
        <v>0</v>
      </c>
      <c r="L3590" s="630">
        <f t="shared" si="179"/>
        <v>0</v>
      </c>
    </row>
    <row r="3591" spans="3:12" x14ac:dyDescent="0.2">
      <c r="C3591" s="589"/>
      <c r="D3591" s="590" t="s">
        <v>394</v>
      </c>
      <c r="E3591" s="591">
        <f>(F3591+G3591+H3591+I3591+J3591)*120</f>
        <v>4200</v>
      </c>
      <c r="F3591" s="3">
        <v>10</v>
      </c>
      <c r="G3591" s="3">
        <v>5</v>
      </c>
      <c r="H3591" s="3">
        <v>5</v>
      </c>
      <c r="I3591" s="3">
        <v>5</v>
      </c>
      <c r="J3591" s="3">
        <v>10</v>
      </c>
      <c r="K3591" s="628">
        <f t="shared" si="178"/>
        <v>35</v>
      </c>
      <c r="L3591" s="630">
        <f t="shared" si="179"/>
        <v>8.75</v>
      </c>
    </row>
    <row r="3592" spans="3:12" x14ac:dyDescent="0.2">
      <c r="C3592" s="589" t="s">
        <v>1004</v>
      </c>
      <c r="D3592" s="590" t="s">
        <v>110</v>
      </c>
      <c r="E3592" s="591">
        <f>(F3592+G3592+H3592+J3592)*112.7+(I3592*119.6)</f>
        <v>11408</v>
      </c>
      <c r="F3592" s="3">
        <v>40</v>
      </c>
      <c r="G3592" s="3">
        <v>20</v>
      </c>
      <c r="H3592" s="3"/>
      <c r="I3592" s="3">
        <v>20</v>
      </c>
      <c r="J3592" s="3">
        <v>20</v>
      </c>
      <c r="K3592" s="628">
        <f t="shared" si="178"/>
        <v>100</v>
      </c>
      <c r="L3592" s="630">
        <f t="shared" si="179"/>
        <v>25</v>
      </c>
    </row>
    <row r="3593" spans="3:12" x14ac:dyDescent="0.2">
      <c r="C3593" s="589"/>
      <c r="D3593" s="590"/>
      <c r="E3593" s="591"/>
      <c r="F3593" s="3"/>
      <c r="G3593" s="3"/>
      <c r="H3593" s="3"/>
      <c r="I3593" s="3"/>
      <c r="J3593" s="3"/>
      <c r="K3593" s="628">
        <f t="shared" si="178"/>
        <v>0</v>
      </c>
      <c r="L3593" s="630">
        <f t="shared" si="179"/>
        <v>0</v>
      </c>
    </row>
    <row r="3594" spans="3:12" x14ac:dyDescent="0.2">
      <c r="C3594" s="589"/>
      <c r="D3594" s="590" t="s">
        <v>381</v>
      </c>
      <c r="E3594" s="591">
        <f>(F3594+G3594+H3594+I3594+J3594)*120+(240*0)+(0*45)</f>
        <v>0</v>
      </c>
      <c r="F3594" s="3"/>
      <c r="G3594" s="3"/>
      <c r="H3594" s="3"/>
      <c r="I3594" s="3"/>
      <c r="J3594" s="3"/>
      <c r="K3594" s="628">
        <f t="shared" si="178"/>
        <v>0</v>
      </c>
      <c r="L3594" s="630">
        <f t="shared" si="179"/>
        <v>0</v>
      </c>
    </row>
    <row r="3595" spans="3:12" x14ac:dyDescent="0.2">
      <c r="C3595" s="589"/>
      <c r="D3595" s="590" t="s">
        <v>276</v>
      </c>
      <c r="E3595" s="591">
        <f>(F3595+G3595+H3595+J3595)*112.7+(I3595*119.6)</f>
        <v>0</v>
      </c>
      <c r="F3595" s="3"/>
      <c r="G3595" s="3"/>
      <c r="H3595" s="3"/>
      <c r="I3595" s="3"/>
      <c r="J3595" s="3"/>
      <c r="K3595" s="628">
        <f t="shared" si="178"/>
        <v>0</v>
      </c>
      <c r="L3595" s="630">
        <f t="shared" si="179"/>
        <v>0</v>
      </c>
    </row>
    <row r="3596" spans="3:12" x14ac:dyDescent="0.2">
      <c r="C3596" s="589"/>
      <c r="D3596" s="590"/>
      <c r="E3596" s="591"/>
      <c r="F3596" s="3"/>
      <c r="G3596" s="3"/>
      <c r="H3596" s="3"/>
      <c r="I3596" s="3"/>
      <c r="J3596" s="3"/>
      <c r="K3596" s="628">
        <f t="shared" si="178"/>
        <v>0</v>
      </c>
      <c r="L3596" s="630">
        <f t="shared" si="179"/>
        <v>0</v>
      </c>
    </row>
    <row r="3597" spans="3:12" x14ac:dyDescent="0.2">
      <c r="C3597" s="589"/>
      <c r="D3597" s="590" t="s">
        <v>75</v>
      </c>
      <c r="E3597" s="591">
        <f>(F3597+G3597+H3597+I3597+J3597)*120</f>
        <v>0</v>
      </c>
      <c r="F3597" s="3"/>
      <c r="G3597" s="3"/>
      <c r="H3597" s="3"/>
      <c r="I3597" s="3"/>
      <c r="J3597" s="3"/>
      <c r="K3597" s="628">
        <f t="shared" si="178"/>
        <v>0</v>
      </c>
      <c r="L3597" s="630">
        <f t="shared" si="179"/>
        <v>0</v>
      </c>
    </row>
    <row r="3598" spans="3:12" x14ac:dyDescent="0.2">
      <c r="C3598" s="589"/>
      <c r="D3598" s="590" t="s">
        <v>278</v>
      </c>
      <c r="E3598" s="591">
        <f>(F3598+G3598+H3598+I3598+J3598)*120</f>
        <v>0</v>
      </c>
      <c r="F3598" s="3"/>
      <c r="G3598" s="3"/>
      <c r="H3598" s="3"/>
      <c r="I3598" s="3"/>
      <c r="J3598" s="3"/>
      <c r="K3598" s="628">
        <f t="shared" si="178"/>
        <v>0</v>
      </c>
      <c r="L3598" s="630">
        <f t="shared" si="179"/>
        <v>0</v>
      </c>
    </row>
    <row r="3599" spans="3:12" x14ac:dyDescent="0.2">
      <c r="C3599" s="589"/>
      <c r="D3599" s="590" t="s">
        <v>270</v>
      </c>
      <c r="E3599" s="591">
        <f>(F3599+G3599+H3599+I3599)*112.7+(J3599*119.6)</f>
        <v>0</v>
      </c>
      <c r="F3599" s="3"/>
      <c r="G3599" s="3"/>
      <c r="H3599" s="3"/>
      <c r="I3599" s="3"/>
      <c r="J3599" s="3"/>
      <c r="K3599" s="628">
        <f t="shared" si="178"/>
        <v>0</v>
      </c>
      <c r="L3599" s="630">
        <f t="shared" si="179"/>
        <v>0</v>
      </c>
    </row>
    <row r="3600" spans="3:12" x14ac:dyDescent="0.2">
      <c r="C3600" s="589"/>
      <c r="D3600" s="590" t="s">
        <v>274</v>
      </c>
      <c r="E3600" s="591">
        <f>(F3600+G3600+H3600+I3600)*112.7+(J3600*119.6)</f>
        <v>0</v>
      </c>
      <c r="F3600" s="3"/>
      <c r="G3600" s="3"/>
      <c r="H3600" s="3"/>
      <c r="I3600" s="3"/>
      <c r="J3600" s="3"/>
      <c r="K3600" s="628">
        <f t="shared" si="178"/>
        <v>0</v>
      </c>
      <c r="L3600" s="630">
        <f t="shared" si="179"/>
        <v>0</v>
      </c>
    </row>
    <row r="3601" spans="3:12" x14ac:dyDescent="0.2">
      <c r="C3601" s="589"/>
      <c r="D3601" s="590" t="s">
        <v>395</v>
      </c>
      <c r="E3601" s="591">
        <f>(F3601+G3601+H3601+I3601)*112.7+(J3601*119.6)</f>
        <v>0</v>
      </c>
      <c r="F3601" s="3"/>
      <c r="G3601" s="3"/>
      <c r="H3601" s="3"/>
      <c r="I3601" s="3"/>
      <c r="J3601" s="3"/>
      <c r="K3601" s="628">
        <f t="shared" si="178"/>
        <v>0</v>
      </c>
      <c r="L3601" s="630">
        <f t="shared" si="179"/>
        <v>0</v>
      </c>
    </row>
    <row r="3602" spans="3:12" x14ac:dyDescent="0.2">
      <c r="C3602" s="683"/>
      <c r="D3602" s="590" t="s">
        <v>112</v>
      </c>
      <c r="E3602" s="591">
        <f>(F3602+G3602+H3602+I3602)*112.7+(J3602*119.6)</f>
        <v>0</v>
      </c>
      <c r="F3602" s="3"/>
      <c r="G3602" s="3"/>
      <c r="H3602" s="3"/>
      <c r="I3602" s="3"/>
      <c r="J3602" s="3"/>
      <c r="K3602" s="628">
        <f t="shared" si="178"/>
        <v>0</v>
      </c>
      <c r="L3602" s="630">
        <f t="shared" si="179"/>
        <v>0</v>
      </c>
    </row>
    <row r="3603" spans="3:12" x14ac:dyDescent="0.2">
      <c r="C3603" s="683"/>
      <c r="D3603" s="590" t="s">
        <v>72</v>
      </c>
      <c r="E3603" s="591">
        <f>(F3603+G3603+H3603+I3603)*112.7+(J3603*119.6)</f>
        <v>0</v>
      </c>
      <c r="F3603" s="3"/>
      <c r="G3603" s="3"/>
      <c r="H3603" s="3"/>
      <c r="I3603" s="3"/>
      <c r="J3603" s="3"/>
      <c r="K3603" s="628">
        <f t="shared" si="178"/>
        <v>0</v>
      </c>
      <c r="L3603" s="630">
        <f t="shared" si="179"/>
        <v>0</v>
      </c>
    </row>
    <row r="3604" spans="3:12" x14ac:dyDescent="0.2">
      <c r="C3604" s="683"/>
      <c r="D3604" s="590" t="s">
        <v>187</v>
      </c>
      <c r="E3604" s="591"/>
      <c r="F3604" s="3">
        <v>1</v>
      </c>
      <c r="G3604" s="3">
        <v>2</v>
      </c>
      <c r="H3604" s="3"/>
      <c r="I3604" s="3">
        <v>1</v>
      </c>
      <c r="J3604" s="3"/>
      <c r="K3604" s="628">
        <f>SUM(F3604:J3604)</f>
        <v>4</v>
      </c>
      <c r="L3604" s="3"/>
    </row>
    <row r="3605" spans="3:12" ht="16" x14ac:dyDescent="0.2">
      <c r="C3605" s="683"/>
      <c r="D3605" s="590" t="s">
        <v>1000</v>
      </c>
      <c r="E3605" s="592"/>
      <c r="F3605" s="3"/>
      <c r="G3605" s="3"/>
      <c r="H3605" s="3"/>
      <c r="I3605" s="3"/>
      <c r="J3605" s="3">
        <v>2</v>
      </c>
      <c r="K3605" s="628">
        <f>SUM(F3605:J3605)</f>
        <v>2</v>
      </c>
      <c r="L3605" s="3"/>
    </row>
    <row r="3606" spans="3:12" ht="17" thickBot="1" x14ac:dyDescent="0.25">
      <c r="C3606" s="683"/>
      <c r="D3606" s="590"/>
      <c r="E3606" s="624"/>
      <c r="F3606" s="69"/>
      <c r="G3606" s="69"/>
      <c r="H3606" s="69"/>
      <c r="I3606" s="69"/>
      <c r="J3606" s="69"/>
      <c r="K3606" s="629"/>
      <c r="L3606" s="3"/>
    </row>
    <row r="3607" spans="3:12" ht="16" thickBot="1" x14ac:dyDescent="0.25">
      <c r="C3607" s="596"/>
      <c r="D3607" s="623" t="s">
        <v>19</v>
      </c>
      <c r="E3607" s="625">
        <f>SUM(E3581:E3604)</f>
        <v>35129.800000000003</v>
      </c>
      <c r="F3607" s="614">
        <f>SUM(F3581:F3606)</f>
        <v>101</v>
      </c>
      <c r="G3607" s="614">
        <f>SUM(G3581:G3606)</f>
        <v>56</v>
      </c>
      <c r="H3607" s="614">
        <f>SUM(H3581:H3606)</f>
        <v>26</v>
      </c>
      <c r="I3607" s="614">
        <f>SUM(I3581:I3606)</f>
        <v>60</v>
      </c>
      <c r="J3607" s="614">
        <f>SUM(J3581:J3606)</f>
        <v>79</v>
      </c>
      <c r="K3607" s="626">
        <f>SUM(F3607:J3607)</f>
        <v>322</v>
      </c>
      <c r="L3607" s="631">
        <f>SUM(L3581:L3606)</f>
        <v>79</v>
      </c>
    </row>
    <row r="3608" spans="3:12" x14ac:dyDescent="0.2">
      <c r="C3608" s="596"/>
      <c r="D3608" s="593" t="s">
        <v>113</v>
      </c>
      <c r="E3608" s="620"/>
      <c r="F3608" s="610">
        <f>F3578-F3607</f>
        <v>29</v>
      </c>
      <c r="G3608" s="610">
        <f>G3578-G3607</f>
        <v>6</v>
      </c>
      <c r="H3608" s="610">
        <f>H3578-H3607</f>
        <v>1</v>
      </c>
      <c r="I3608" s="610">
        <f>I3578-I3607</f>
        <v>0</v>
      </c>
      <c r="J3608" s="610">
        <f>J3578-J3607</f>
        <v>0</v>
      </c>
      <c r="K3608" s="636">
        <f>SUM(F3608:J3608)</f>
        <v>36</v>
      </c>
      <c r="L3608" s="3"/>
    </row>
    <row r="3609" spans="3:12" x14ac:dyDescent="0.2">
      <c r="C3609" s="683"/>
      <c r="D3609" s="593" t="s">
        <v>436</v>
      </c>
      <c r="E3609" s="594"/>
      <c r="F3609" s="581"/>
      <c r="G3609" s="581"/>
      <c r="H3609" s="581"/>
      <c r="I3609" s="581"/>
      <c r="J3609" s="581"/>
      <c r="K3609" s="637">
        <f>K3607+K3608</f>
        <v>358</v>
      </c>
      <c r="L3609" s="3"/>
    </row>
    <row r="3611" spans="3:12" ht="18" x14ac:dyDescent="0.2">
      <c r="C3611" s="685" t="s">
        <v>412</v>
      </c>
      <c r="D3611" s="582">
        <v>45764</v>
      </c>
      <c r="E3611" s="800"/>
      <c r="F3611" s="685" t="s">
        <v>83</v>
      </c>
      <c r="G3611" s="801" t="s">
        <v>66</v>
      </c>
      <c r="H3611" s="802"/>
      <c r="I3611" s="802"/>
      <c r="J3611" s="802"/>
      <c r="K3611" s="803"/>
    </row>
    <row r="3612" spans="3:12" x14ac:dyDescent="0.2">
      <c r="C3612" s="804"/>
      <c r="D3612" s="805"/>
      <c r="E3612" s="800"/>
      <c r="F3612" s="683" t="s">
        <v>93</v>
      </c>
      <c r="G3612" s="683" t="s">
        <v>93</v>
      </c>
      <c r="H3612" s="683"/>
      <c r="I3612" s="806"/>
      <c r="J3612" s="806"/>
      <c r="K3612" s="806"/>
    </row>
    <row r="3613" spans="3:12" x14ac:dyDescent="0.2">
      <c r="C3613" s="804"/>
      <c r="D3613" s="805"/>
      <c r="E3613" s="800"/>
      <c r="F3613" s="683" t="s">
        <v>94</v>
      </c>
      <c r="G3613" s="683" t="s">
        <v>95</v>
      </c>
      <c r="H3613" s="683" t="s">
        <v>96</v>
      </c>
      <c r="I3613" s="806"/>
      <c r="J3613" s="806"/>
      <c r="K3613" s="806"/>
    </row>
    <row r="3614" spans="3:12" x14ac:dyDescent="0.2">
      <c r="C3614" s="804"/>
      <c r="D3614" s="805"/>
      <c r="E3614" s="800"/>
      <c r="F3614" s="683"/>
      <c r="G3614" s="683"/>
      <c r="H3614" s="683"/>
      <c r="I3614" s="806"/>
      <c r="J3614" s="806"/>
      <c r="K3614" s="806"/>
    </row>
    <row r="3615" spans="3:12" ht="16" x14ac:dyDescent="0.2">
      <c r="C3615" s="683"/>
      <c r="D3615" s="583" t="s">
        <v>97</v>
      </c>
      <c r="E3615" s="584"/>
      <c r="F3615" s="581"/>
      <c r="G3615" s="585"/>
      <c r="H3615" s="585"/>
      <c r="I3615" s="586"/>
      <c r="J3615" s="586"/>
      <c r="K3615" s="586"/>
    </row>
    <row r="3616" spans="3:12" ht="26" x14ac:dyDescent="0.2">
      <c r="C3616" s="804"/>
      <c r="D3616" s="587"/>
      <c r="E3616" s="588"/>
      <c r="F3616" s="585" t="s">
        <v>383</v>
      </c>
      <c r="G3616" s="585" t="s">
        <v>384</v>
      </c>
      <c r="H3616" s="585" t="s">
        <v>385</v>
      </c>
      <c r="I3616" s="585" t="s">
        <v>386</v>
      </c>
      <c r="J3616" s="585" t="s">
        <v>387</v>
      </c>
      <c r="K3616" s="585" t="s">
        <v>84</v>
      </c>
    </row>
    <row r="3617" spans="3:12" x14ac:dyDescent="0.2">
      <c r="C3617" s="804"/>
      <c r="D3617" s="684" t="s">
        <v>167</v>
      </c>
      <c r="E3617" s="588"/>
      <c r="F3617" s="580">
        <v>18</v>
      </c>
      <c r="G3617" s="579">
        <v>14</v>
      </c>
      <c r="H3617" s="580"/>
      <c r="I3617" s="580">
        <v>9</v>
      </c>
      <c r="J3617" s="580">
        <v>18</v>
      </c>
      <c r="K3617" s="580">
        <f>SUM(F3617:J3617)</f>
        <v>59</v>
      </c>
    </row>
    <row r="3618" spans="3:12" x14ac:dyDescent="0.2">
      <c r="C3618" s="804"/>
      <c r="D3618" s="684" t="s">
        <v>207</v>
      </c>
      <c r="E3618" s="588"/>
      <c r="F3618" s="618">
        <f>63*2</f>
        <v>126</v>
      </c>
      <c r="G3618" s="619">
        <f>49*2</f>
        <v>98</v>
      </c>
      <c r="H3618" s="618"/>
      <c r="I3618" s="618">
        <v>99</v>
      </c>
      <c r="J3618" s="618">
        <f>81+73</f>
        <v>154</v>
      </c>
      <c r="K3618" s="618">
        <f>SUM(F3618:J3618)</f>
        <v>477</v>
      </c>
    </row>
    <row r="3619" spans="3:12" x14ac:dyDescent="0.2">
      <c r="C3619" s="683"/>
      <c r="D3619" s="684" t="s">
        <v>100</v>
      </c>
      <c r="E3619" s="588"/>
      <c r="F3619" s="581"/>
      <c r="G3619" s="581"/>
      <c r="H3619" s="581"/>
      <c r="I3619" s="581"/>
      <c r="J3619" s="581"/>
      <c r="K3619" s="581">
        <f>SUM(F3619:J3619)</f>
        <v>0</v>
      </c>
    </row>
    <row r="3620" spans="3:12" x14ac:dyDescent="0.2">
      <c r="C3620" s="683"/>
      <c r="D3620" s="684" t="s">
        <v>101</v>
      </c>
      <c r="E3620" s="588"/>
      <c r="F3620" s="581">
        <v>1</v>
      </c>
      <c r="G3620" s="581">
        <v>1</v>
      </c>
      <c r="H3620" s="581"/>
      <c r="I3620" s="581"/>
      <c r="J3620" s="581">
        <v>3</v>
      </c>
      <c r="K3620" s="581">
        <f>SUM(F3620:J3620)</f>
        <v>5</v>
      </c>
    </row>
    <row r="3621" spans="3:12" ht="16" thickBot="1" x14ac:dyDescent="0.25">
      <c r="C3621" s="683"/>
      <c r="D3621" s="597" t="s">
        <v>102</v>
      </c>
      <c r="E3621" s="598"/>
      <c r="F3621" s="599">
        <v>29</v>
      </c>
      <c r="G3621" s="600">
        <v>6</v>
      </c>
      <c r="H3621" s="600">
        <v>1</v>
      </c>
      <c r="I3621" s="600"/>
      <c r="J3621" s="600">
        <v>1</v>
      </c>
      <c r="K3621" s="600">
        <f>SUM(F3621:J3621)</f>
        <v>37</v>
      </c>
    </row>
    <row r="3622" spans="3:12" ht="17" thickBot="1" x14ac:dyDescent="0.25">
      <c r="C3622" s="605"/>
      <c r="D3622" s="612" t="s">
        <v>84</v>
      </c>
      <c r="E3622" s="613"/>
      <c r="F3622" s="614">
        <f t="shared" ref="F3622:K3622" si="180">(F3618+F3621)-F3620-F3619</f>
        <v>154</v>
      </c>
      <c r="G3622" s="615">
        <f t="shared" si="180"/>
        <v>103</v>
      </c>
      <c r="H3622" s="616">
        <f t="shared" si="180"/>
        <v>1</v>
      </c>
      <c r="I3622" s="615">
        <f t="shared" si="180"/>
        <v>99</v>
      </c>
      <c r="J3622" s="622">
        <f t="shared" si="180"/>
        <v>152</v>
      </c>
      <c r="K3622" s="617">
        <f t="shared" si="180"/>
        <v>509</v>
      </c>
    </row>
    <row r="3623" spans="3:12" ht="16" x14ac:dyDescent="0.2">
      <c r="C3623" s="683"/>
      <c r="D3623" s="608"/>
      <c r="E3623" s="609"/>
      <c r="F3623" s="610"/>
      <c r="G3623" s="595"/>
      <c r="H3623" s="611"/>
      <c r="I3623" s="595"/>
      <c r="J3623" s="595"/>
      <c r="K3623" s="595"/>
    </row>
    <row r="3624" spans="3:12" ht="16" thickBot="1" x14ac:dyDescent="0.25">
      <c r="C3624" s="606" t="s">
        <v>388</v>
      </c>
      <c r="D3624" s="607" t="s">
        <v>103</v>
      </c>
      <c r="E3624" s="603" t="s">
        <v>84</v>
      </c>
      <c r="F3624" s="602" t="s">
        <v>78</v>
      </c>
      <c r="G3624" s="602" t="s">
        <v>79</v>
      </c>
      <c r="H3624" s="602" t="s">
        <v>81</v>
      </c>
      <c r="I3624" s="601" t="s">
        <v>316</v>
      </c>
      <c r="J3624" s="601" t="s">
        <v>85</v>
      </c>
      <c r="K3624" s="601" t="s">
        <v>84</v>
      </c>
      <c r="L3624" s="174" t="s">
        <v>389</v>
      </c>
    </row>
    <row r="3625" spans="3:12" x14ac:dyDescent="0.2">
      <c r="C3625" s="589"/>
      <c r="D3625" s="604" t="s">
        <v>105</v>
      </c>
      <c r="E3625" s="591">
        <f>(F3625+G3625+H3625+I3625+J3625)*100+(0*230)</f>
        <v>0</v>
      </c>
      <c r="F3625" s="3"/>
      <c r="G3625" s="3"/>
      <c r="H3625" s="3"/>
      <c r="I3625" s="3"/>
      <c r="J3625" s="3"/>
      <c r="K3625" s="628">
        <f t="shared" ref="K3625:K3647" si="181">SUM(F3625:J3625)</f>
        <v>0</v>
      </c>
      <c r="L3625" s="630">
        <f>K3625/4</f>
        <v>0</v>
      </c>
    </row>
    <row r="3626" spans="3:12" x14ac:dyDescent="0.2">
      <c r="C3626" s="589"/>
      <c r="D3626" s="590" t="s">
        <v>390</v>
      </c>
      <c r="E3626" s="591">
        <f>(F3626+G3626+H3626+I3626+J3626)*120</f>
        <v>0</v>
      </c>
      <c r="F3626" s="3"/>
      <c r="G3626" s="3"/>
      <c r="H3626" s="3"/>
      <c r="I3626" s="3"/>
      <c r="J3626" s="3"/>
      <c r="K3626" s="628">
        <f t="shared" si="181"/>
        <v>0</v>
      </c>
      <c r="L3626" s="630">
        <f t="shared" ref="L3626:L3647" si="182">K3626/4</f>
        <v>0</v>
      </c>
    </row>
    <row r="3627" spans="3:12" x14ac:dyDescent="0.2">
      <c r="C3627" s="589"/>
      <c r="D3627" s="590" t="s">
        <v>391</v>
      </c>
      <c r="E3627" s="591">
        <f>(F3627+G3627+H3627+I3627+J3627)*120</f>
        <v>0</v>
      </c>
      <c r="F3627" s="3"/>
      <c r="G3627" s="3"/>
      <c r="H3627" s="3"/>
      <c r="I3627" s="3"/>
      <c r="J3627" s="3"/>
      <c r="K3627" s="628">
        <f t="shared" si="181"/>
        <v>0</v>
      </c>
      <c r="L3627" s="630">
        <f t="shared" si="182"/>
        <v>0</v>
      </c>
    </row>
    <row r="3628" spans="3:12" x14ac:dyDescent="0.2">
      <c r="C3628" s="589"/>
      <c r="D3628" s="590" t="s">
        <v>392</v>
      </c>
      <c r="E3628" s="591">
        <f>(F3628+G3628+H3628+I3628+J3628)*120</f>
        <v>0</v>
      </c>
      <c r="F3628" s="3"/>
      <c r="G3628" s="3"/>
      <c r="H3628" s="3"/>
      <c r="I3628" s="3"/>
      <c r="J3628" s="3"/>
      <c r="K3628" s="628">
        <f t="shared" si="181"/>
        <v>0</v>
      </c>
      <c r="L3628" s="630">
        <f t="shared" si="182"/>
        <v>0</v>
      </c>
    </row>
    <row r="3629" spans="3:12" x14ac:dyDescent="0.2">
      <c r="C3629" s="589"/>
      <c r="D3629" s="590" t="s">
        <v>425</v>
      </c>
      <c r="E3629" s="591">
        <f>(F3629+G3629+H3629+I3629+J3629)*120</f>
        <v>0</v>
      </c>
      <c r="F3629" s="3"/>
      <c r="G3629" s="3"/>
      <c r="H3629" s="3"/>
      <c r="I3629" s="3"/>
      <c r="J3629" s="3"/>
      <c r="K3629" s="628">
        <f t="shared" si="181"/>
        <v>0</v>
      </c>
      <c r="L3629" s="630">
        <f t="shared" si="182"/>
        <v>0</v>
      </c>
    </row>
    <row r="3630" spans="3:12" x14ac:dyDescent="0.2">
      <c r="C3630" s="589"/>
      <c r="D3630" s="590"/>
      <c r="E3630" s="591"/>
      <c r="F3630" s="3"/>
      <c r="G3630" s="3"/>
      <c r="H3630" s="3"/>
      <c r="I3630" s="3"/>
      <c r="J3630" s="3"/>
      <c r="K3630" s="628">
        <f t="shared" si="181"/>
        <v>0</v>
      </c>
      <c r="L3630" s="630">
        <f t="shared" si="182"/>
        <v>0</v>
      </c>
    </row>
    <row r="3631" spans="3:12" x14ac:dyDescent="0.2">
      <c r="C3631" s="589"/>
      <c r="D3631" s="590" t="s">
        <v>108</v>
      </c>
      <c r="E3631" s="591">
        <f>(F3631+G3631+H3631+J3631)*112.7+(I3631*119.6)</f>
        <v>0</v>
      </c>
      <c r="F3631" s="3"/>
      <c r="G3631" s="3"/>
      <c r="H3631" s="3"/>
      <c r="I3631" s="3"/>
      <c r="J3631" s="3"/>
      <c r="K3631" s="628">
        <f t="shared" si="181"/>
        <v>0</v>
      </c>
      <c r="L3631" s="630">
        <f t="shared" si="182"/>
        <v>0</v>
      </c>
    </row>
    <row r="3632" spans="3:12" x14ac:dyDescent="0.2">
      <c r="C3632" s="589"/>
      <c r="D3632" s="590" t="s">
        <v>393</v>
      </c>
      <c r="E3632" s="591">
        <f>(F3632+G3632+H3632+J3632)*112.7+(I3632*119.6)</f>
        <v>0</v>
      </c>
      <c r="F3632" s="3"/>
      <c r="G3632" s="3"/>
      <c r="H3632" s="3"/>
      <c r="I3632" s="3"/>
      <c r="J3632" s="3"/>
      <c r="K3632" s="628">
        <f t="shared" si="181"/>
        <v>0</v>
      </c>
      <c r="L3632" s="630">
        <f t="shared" si="182"/>
        <v>0</v>
      </c>
    </row>
    <row r="3633" spans="3:12" x14ac:dyDescent="0.2">
      <c r="C3633" s="589"/>
      <c r="D3633" s="590" t="s">
        <v>216</v>
      </c>
      <c r="E3633" s="591">
        <f>(F3633+G3633+H3633+J3633)*112.7+(I3633*119.6)</f>
        <v>0</v>
      </c>
      <c r="F3633" s="3"/>
      <c r="G3633" s="3"/>
      <c r="H3633" s="3"/>
      <c r="I3633" s="3"/>
      <c r="J3633" s="3"/>
      <c r="K3633" s="628">
        <f t="shared" si="181"/>
        <v>0</v>
      </c>
      <c r="L3633" s="630">
        <f t="shared" si="182"/>
        <v>0</v>
      </c>
    </row>
    <row r="3634" spans="3:12" x14ac:dyDescent="0.2">
      <c r="C3634" s="589"/>
      <c r="D3634" s="590"/>
      <c r="E3634" s="591"/>
      <c r="F3634" s="3"/>
      <c r="G3634" s="3"/>
      <c r="H3634" s="3"/>
      <c r="I3634" s="3"/>
      <c r="J3634" s="3"/>
      <c r="K3634" s="628">
        <f t="shared" si="181"/>
        <v>0</v>
      </c>
      <c r="L3634" s="630">
        <f t="shared" si="182"/>
        <v>0</v>
      </c>
    </row>
    <row r="3635" spans="3:12" x14ac:dyDescent="0.2">
      <c r="C3635" s="589"/>
      <c r="D3635" s="590" t="s">
        <v>394</v>
      </c>
      <c r="E3635" s="591">
        <f>(F3635+G3635+H3635+I3635+J3635)*120</f>
        <v>0</v>
      </c>
      <c r="F3635" s="3"/>
      <c r="G3635" s="3"/>
      <c r="H3635" s="3"/>
      <c r="I3635" s="3"/>
      <c r="J3635" s="3"/>
      <c r="K3635" s="628">
        <f t="shared" si="181"/>
        <v>0</v>
      </c>
      <c r="L3635" s="630">
        <f t="shared" si="182"/>
        <v>0</v>
      </c>
    </row>
    <row r="3636" spans="3:12" ht="24" x14ac:dyDescent="0.2">
      <c r="C3636" s="589" t="s">
        <v>1009</v>
      </c>
      <c r="D3636" s="590" t="s">
        <v>110</v>
      </c>
      <c r="E3636" s="591">
        <f>(F3636+G3636+H3636+J3636)*112.7+(I3636*119.6)</f>
        <v>26197</v>
      </c>
      <c r="F3636" s="3">
        <v>79</v>
      </c>
      <c r="G3636" s="3">
        <v>40</v>
      </c>
      <c r="H3636" s="3"/>
      <c r="I3636" s="3">
        <v>40</v>
      </c>
      <c r="J3636" s="3">
        <v>71</v>
      </c>
      <c r="K3636" s="628">
        <f t="shared" si="181"/>
        <v>230</v>
      </c>
      <c r="L3636" s="630">
        <f t="shared" si="182"/>
        <v>57.5</v>
      </c>
    </row>
    <row r="3637" spans="3:12" x14ac:dyDescent="0.2">
      <c r="C3637" s="589"/>
      <c r="D3637" s="590"/>
      <c r="E3637" s="591"/>
      <c r="F3637" s="3"/>
      <c r="G3637" s="3"/>
      <c r="H3637" s="3"/>
      <c r="I3637" s="3"/>
      <c r="J3637" s="3"/>
      <c r="K3637" s="628">
        <f t="shared" si="181"/>
        <v>0</v>
      </c>
      <c r="L3637" s="630">
        <f t="shared" si="182"/>
        <v>0</v>
      </c>
    </row>
    <row r="3638" spans="3:12" x14ac:dyDescent="0.2">
      <c r="C3638" s="589"/>
      <c r="D3638" s="590" t="s">
        <v>381</v>
      </c>
      <c r="E3638" s="591">
        <f>(F3638+G3638+H3638+I3638+J3638)*120+(240*0)+(0*45)</f>
        <v>0</v>
      </c>
      <c r="F3638" s="3"/>
      <c r="G3638" s="3"/>
      <c r="H3638" s="3"/>
      <c r="I3638" s="3"/>
      <c r="J3638" s="3"/>
      <c r="K3638" s="628">
        <f t="shared" si="181"/>
        <v>0</v>
      </c>
      <c r="L3638" s="630">
        <f t="shared" si="182"/>
        <v>0</v>
      </c>
    </row>
    <row r="3639" spans="3:12" x14ac:dyDescent="0.2">
      <c r="C3639" s="589" t="s">
        <v>1008</v>
      </c>
      <c r="D3639" s="590" t="s">
        <v>276</v>
      </c>
      <c r="E3639" s="591">
        <f>(F3639+G3639+H3639+J3639)*112.7+(I3639*119.6)</f>
        <v>4577</v>
      </c>
      <c r="F3639" s="3">
        <v>10</v>
      </c>
      <c r="G3639" s="3">
        <v>10</v>
      </c>
      <c r="H3639" s="3"/>
      <c r="I3639" s="3">
        <v>10</v>
      </c>
      <c r="J3639" s="3">
        <v>10</v>
      </c>
      <c r="K3639" s="628">
        <f t="shared" si="181"/>
        <v>40</v>
      </c>
      <c r="L3639" s="630">
        <f t="shared" si="182"/>
        <v>10</v>
      </c>
    </row>
    <row r="3640" spans="3:12" x14ac:dyDescent="0.2">
      <c r="C3640" s="589"/>
      <c r="D3640" s="590"/>
      <c r="E3640" s="591"/>
      <c r="F3640" s="3"/>
      <c r="G3640" s="3"/>
      <c r="H3640" s="3"/>
      <c r="I3640" s="3"/>
      <c r="J3640" s="3"/>
      <c r="K3640" s="628">
        <f t="shared" si="181"/>
        <v>0</v>
      </c>
      <c r="L3640" s="630">
        <f t="shared" si="182"/>
        <v>0</v>
      </c>
    </row>
    <row r="3641" spans="3:12" x14ac:dyDescent="0.2">
      <c r="C3641" s="589"/>
      <c r="D3641" s="590" t="s">
        <v>75</v>
      </c>
      <c r="E3641" s="591">
        <f>(F3641+G3641+H3641+I3641+J3641)*120</f>
        <v>0</v>
      </c>
      <c r="F3641" s="3"/>
      <c r="G3641" s="3"/>
      <c r="H3641" s="3"/>
      <c r="I3641" s="3"/>
      <c r="J3641" s="3"/>
      <c r="K3641" s="628">
        <f t="shared" si="181"/>
        <v>0</v>
      </c>
      <c r="L3641" s="630">
        <f t="shared" si="182"/>
        <v>0</v>
      </c>
    </row>
    <row r="3642" spans="3:12" x14ac:dyDescent="0.2">
      <c r="C3642" s="589"/>
      <c r="D3642" s="590" t="s">
        <v>278</v>
      </c>
      <c r="E3642" s="591">
        <f>(F3642+G3642+H3642+I3642+J3642)*120</f>
        <v>0</v>
      </c>
      <c r="F3642" s="3"/>
      <c r="G3642" s="3"/>
      <c r="H3642" s="3"/>
      <c r="I3642" s="3"/>
      <c r="J3642" s="3"/>
      <c r="K3642" s="628">
        <f t="shared" si="181"/>
        <v>0</v>
      </c>
      <c r="L3642" s="630">
        <f t="shared" si="182"/>
        <v>0</v>
      </c>
    </row>
    <row r="3643" spans="3:12" x14ac:dyDescent="0.2">
      <c r="C3643" s="589" t="s">
        <v>1011</v>
      </c>
      <c r="D3643" s="590" t="s">
        <v>270</v>
      </c>
      <c r="E3643" s="591">
        <f>(F3643+G3643+H3643+I3643)*112.7+(J3643*119.6)</f>
        <v>8744.6</v>
      </c>
      <c r="F3643" s="3">
        <v>26</v>
      </c>
      <c r="G3643" s="3">
        <v>12</v>
      </c>
      <c r="H3643" s="3"/>
      <c r="I3643" s="3">
        <v>12</v>
      </c>
      <c r="J3643" s="3">
        <v>26</v>
      </c>
      <c r="K3643" s="628">
        <f t="shared" si="181"/>
        <v>76</v>
      </c>
      <c r="L3643" s="630">
        <f t="shared" si="182"/>
        <v>19</v>
      </c>
    </row>
    <row r="3644" spans="3:12" x14ac:dyDescent="0.2">
      <c r="C3644" s="589" t="s">
        <v>1010</v>
      </c>
      <c r="D3644" s="590" t="s">
        <v>274</v>
      </c>
      <c r="E3644" s="591">
        <f>(F3644+G3644+H3644+I3644)*112.7+(J3644*119.6)</f>
        <v>3661.6000000000004</v>
      </c>
      <c r="F3644" s="3">
        <v>8</v>
      </c>
      <c r="G3644" s="3">
        <v>8</v>
      </c>
      <c r="H3644" s="3"/>
      <c r="I3644" s="3">
        <v>8</v>
      </c>
      <c r="J3644" s="3">
        <v>8</v>
      </c>
      <c r="K3644" s="628">
        <f t="shared" si="181"/>
        <v>32</v>
      </c>
      <c r="L3644" s="630">
        <f t="shared" si="182"/>
        <v>8</v>
      </c>
    </row>
    <row r="3645" spans="3:12" x14ac:dyDescent="0.2">
      <c r="C3645" s="589" t="s">
        <v>1007</v>
      </c>
      <c r="D3645" s="590" t="s">
        <v>395</v>
      </c>
      <c r="E3645" s="591">
        <f>(F3645+G3645+H3645+I3645)*112.7+(J3645*119.6)</f>
        <v>4126.2000000000007</v>
      </c>
      <c r="F3645" s="3">
        <v>10</v>
      </c>
      <c r="G3645" s="3">
        <v>8</v>
      </c>
      <c r="H3645" s="3"/>
      <c r="I3645" s="3">
        <v>8</v>
      </c>
      <c r="J3645" s="3">
        <v>10</v>
      </c>
      <c r="K3645" s="628">
        <f t="shared" si="181"/>
        <v>36</v>
      </c>
      <c r="L3645" s="630">
        <f t="shared" si="182"/>
        <v>9</v>
      </c>
    </row>
    <row r="3646" spans="3:12" x14ac:dyDescent="0.2">
      <c r="C3646" s="683">
        <v>1177200775</v>
      </c>
      <c r="D3646" s="590" t="s">
        <v>112</v>
      </c>
      <c r="E3646" s="591">
        <f>(F3646+G3646+H3646+I3646)*112.7+(J3646*119.6)</f>
        <v>4126.2000000000007</v>
      </c>
      <c r="F3646" s="3">
        <v>10</v>
      </c>
      <c r="G3646" s="3">
        <v>8</v>
      </c>
      <c r="H3646" s="3"/>
      <c r="I3646" s="3">
        <v>8</v>
      </c>
      <c r="J3646" s="3">
        <v>10</v>
      </c>
      <c r="K3646" s="628">
        <f t="shared" si="181"/>
        <v>36</v>
      </c>
      <c r="L3646" s="630">
        <f t="shared" si="182"/>
        <v>9</v>
      </c>
    </row>
    <row r="3647" spans="3:12" x14ac:dyDescent="0.2">
      <c r="C3647" s="683">
        <v>1177200769</v>
      </c>
      <c r="D3647" s="590" t="s">
        <v>72</v>
      </c>
      <c r="E3647" s="591">
        <f>(F3647+G3647+H3647+I3647)*112.7+(J3647*119.6)</f>
        <v>4126.2000000000007</v>
      </c>
      <c r="F3647" s="3">
        <v>10</v>
      </c>
      <c r="G3647" s="3">
        <v>8</v>
      </c>
      <c r="H3647" s="3"/>
      <c r="I3647" s="3">
        <v>8</v>
      </c>
      <c r="J3647" s="3">
        <v>10</v>
      </c>
      <c r="K3647" s="628">
        <f t="shared" si="181"/>
        <v>36</v>
      </c>
      <c r="L3647" s="630">
        <f t="shared" si="182"/>
        <v>9</v>
      </c>
    </row>
    <row r="3648" spans="3:12" x14ac:dyDescent="0.2">
      <c r="C3648" s="683"/>
      <c r="D3648" s="590" t="s">
        <v>187</v>
      </c>
      <c r="E3648" s="591"/>
      <c r="F3648" s="3"/>
      <c r="G3648" s="3"/>
      <c r="H3648" s="3"/>
      <c r="I3648" s="3"/>
      <c r="J3648" s="3">
        <v>6</v>
      </c>
      <c r="K3648" s="628">
        <f>SUM(F3648:J3648)</f>
        <v>6</v>
      </c>
      <c r="L3648" s="3"/>
    </row>
    <row r="3649" spans="3:12" ht="16" x14ac:dyDescent="0.2">
      <c r="C3649" s="683"/>
      <c r="D3649" s="590" t="s">
        <v>1006</v>
      </c>
      <c r="E3649" s="592"/>
      <c r="F3649" s="3">
        <v>1</v>
      </c>
      <c r="G3649" s="3">
        <v>1</v>
      </c>
      <c r="H3649" s="3"/>
      <c r="I3649" s="3">
        <v>1</v>
      </c>
      <c r="J3649" s="3">
        <v>1</v>
      </c>
      <c r="K3649" s="628">
        <f>SUM(F3649:J3649)</f>
        <v>4</v>
      </c>
      <c r="L3649" s="3"/>
    </row>
    <row r="3650" spans="3:12" ht="17" thickBot="1" x14ac:dyDescent="0.25">
      <c r="C3650" s="683"/>
      <c r="D3650" s="590"/>
      <c r="E3650" s="624"/>
      <c r="F3650" s="69"/>
      <c r="G3650" s="69"/>
      <c r="H3650" s="69"/>
      <c r="I3650" s="69"/>
      <c r="J3650" s="69"/>
      <c r="K3650" s="629"/>
      <c r="L3650" s="3"/>
    </row>
    <row r="3651" spans="3:12" ht="16" thickBot="1" x14ac:dyDescent="0.25">
      <c r="C3651" s="596"/>
      <c r="D3651" s="623" t="s">
        <v>19</v>
      </c>
      <c r="E3651" s="625">
        <f>SUM(E3625:E3648)</f>
        <v>55558.799999999988</v>
      </c>
      <c r="F3651" s="614">
        <f>SUM(F3625:F3650)</f>
        <v>154</v>
      </c>
      <c r="G3651" s="614">
        <f>SUM(G3625:G3650)</f>
        <v>95</v>
      </c>
      <c r="H3651" s="614">
        <f>SUM(H3625:H3650)</f>
        <v>0</v>
      </c>
      <c r="I3651" s="614">
        <f>SUM(I3625:I3650)</f>
        <v>95</v>
      </c>
      <c r="J3651" s="614">
        <f>SUM(J3625:J3650)</f>
        <v>152</v>
      </c>
      <c r="K3651" s="626">
        <f>SUM(F3651:J3651)</f>
        <v>496</v>
      </c>
      <c r="L3651" s="631">
        <f>SUM(L3625:L3650)</f>
        <v>121.5</v>
      </c>
    </row>
    <row r="3652" spans="3:12" x14ac:dyDescent="0.2">
      <c r="C3652" s="596"/>
      <c r="D3652" s="593" t="s">
        <v>113</v>
      </c>
      <c r="E3652" s="620"/>
      <c r="F3652" s="610">
        <f>F3622-F3651</f>
        <v>0</v>
      </c>
      <c r="G3652" s="610">
        <f>G3622-G3651</f>
        <v>8</v>
      </c>
      <c r="H3652" s="610">
        <f>H3622-H3651</f>
        <v>1</v>
      </c>
      <c r="I3652" s="610">
        <f>I3622-I3651</f>
        <v>4</v>
      </c>
      <c r="J3652" s="610">
        <f>J3622-J3651</f>
        <v>0</v>
      </c>
      <c r="K3652" s="636">
        <f>SUM(F3652:J3652)</f>
        <v>13</v>
      </c>
      <c r="L3652" s="3"/>
    </row>
    <row r="3653" spans="3:12" x14ac:dyDescent="0.2">
      <c r="C3653" s="683"/>
      <c r="D3653" s="593" t="s">
        <v>436</v>
      </c>
      <c r="E3653" s="594"/>
      <c r="F3653" s="581"/>
      <c r="G3653" s="581"/>
      <c r="H3653" s="581"/>
      <c r="I3653" s="581"/>
      <c r="J3653" s="581"/>
      <c r="K3653" s="637">
        <f>K3651+K3652</f>
        <v>509</v>
      </c>
      <c r="L3653" s="3"/>
    </row>
    <row r="3655" spans="3:12" ht="18" x14ac:dyDescent="0.2">
      <c r="C3655" s="685" t="s">
        <v>412</v>
      </c>
      <c r="D3655" s="582">
        <v>45765</v>
      </c>
      <c r="E3655" s="800"/>
      <c r="F3655" s="685" t="s">
        <v>83</v>
      </c>
      <c r="G3655" s="801" t="s">
        <v>67</v>
      </c>
      <c r="H3655" s="802"/>
      <c r="I3655" s="802"/>
      <c r="J3655" s="802"/>
      <c r="K3655" s="803"/>
    </row>
    <row r="3656" spans="3:12" x14ac:dyDescent="0.2">
      <c r="C3656" s="804"/>
      <c r="D3656" s="805"/>
      <c r="E3656" s="800"/>
      <c r="F3656" s="683" t="s">
        <v>93</v>
      </c>
      <c r="G3656" s="683" t="s">
        <v>93</v>
      </c>
      <c r="H3656" s="683"/>
      <c r="I3656" s="806"/>
      <c r="J3656" s="806"/>
      <c r="K3656" s="806"/>
    </row>
    <row r="3657" spans="3:12" x14ac:dyDescent="0.2">
      <c r="C3657" s="804"/>
      <c r="D3657" s="805"/>
      <c r="E3657" s="800"/>
      <c r="F3657" s="683" t="s">
        <v>94</v>
      </c>
      <c r="G3657" s="683" t="s">
        <v>95</v>
      </c>
      <c r="H3657" s="683" t="s">
        <v>96</v>
      </c>
      <c r="I3657" s="806"/>
      <c r="J3657" s="806"/>
      <c r="K3657" s="806"/>
    </row>
    <row r="3658" spans="3:12" x14ac:dyDescent="0.2">
      <c r="C3658" s="804"/>
      <c r="D3658" s="805"/>
      <c r="E3658" s="800"/>
      <c r="F3658" s="683"/>
      <c r="G3658" s="683"/>
      <c r="H3658" s="683"/>
      <c r="I3658" s="806"/>
      <c r="J3658" s="806"/>
      <c r="K3658" s="806"/>
    </row>
    <row r="3659" spans="3:12" ht="16" x14ac:dyDescent="0.2">
      <c r="C3659" s="683"/>
      <c r="D3659" s="583" t="s">
        <v>97</v>
      </c>
      <c r="E3659" s="584"/>
      <c r="F3659" s="581"/>
      <c r="G3659" s="585"/>
      <c r="H3659" s="585"/>
      <c r="I3659" s="586"/>
      <c r="J3659" s="586"/>
      <c r="K3659" s="586"/>
    </row>
    <row r="3660" spans="3:12" ht="26" x14ac:dyDescent="0.2">
      <c r="C3660" s="804"/>
      <c r="D3660" s="587"/>
      <c r="E3660" s="588"/>
      <c r="F3660" s="585" t="s">
        <v>383</v>
      </c>
      <c r="G3660" s="585" t="s">
        <v>384</v>
      </c>
      <c r="H3660" s="585" t="s">
        <v>385</v>
      </c>
      <c r="I3660" s="585" t="s">
        <v>386</v>
      </c>
      <c r="J3660" s="585" t="s">
        <v>387</v>
      </c>
      <c r="K3660" s="585" t="s">
        <v>84</v>
      </c>
    </row>
    <row r="3661" spans="3:12" x14ac:dyDescent="0.2">
      <c r="C3661" s="804"/>
      <c r="D3661" s="684" t="s">
        <v>167</v>
      </c>
      <c r="E3661" s="588"/>
      <c r="F3661" s="580">
        <v>9</v>
      </c>
      <c r="G3661" s="579">
        <v>6</v>
      </c>
      <c r="H3661" s="580">
        <v>4</v>
      </c>
      <c r="I3661" s="580">
        <v>4</v>
      </c>
      <c r="J3661" s="580">
        <v>8</v>
      </c>
      <c r="K3661" s="580">
        <f>SUM(F3661:J3661)</f>
        <v>31</v>
      </c>
    </row>
    <row r="3662" spans="3:12" x14ac:dyDescent="0.2">
      <c r="C3662" s="804"/>
      <c r="D3662" s="684" t="s">
        <v>207</v>
      </c>
      <c r="E3662" s="588"/>
      <c r="F3662" s="618">
        <v>61</v>
      </c>
      <c r="G3662" s="619">
        <v>42</v>
      </c>
      <c r="H3662" s="618">
        <v>28</v>
      </c>
      <c r="I3662" s="618">
        <v>44</v>
      </c>
      <c r="J3662" s="618">
        <v>71</v>
      </c>
      <c r="K3662" s="618">
        <f>SUM(F3662:J3662)</f>
        <v>246</v>
      </c>
    </row>
    <row r="3663" spans="3:12" x14ac:dyDescent="0.2">
      <c r="C3663" s="683"/>
      <c r="D3663" s="684" t="s">
        <v>100</v>
      </c>
      <c r="E3663" s="588"/>
      <c r="F3663" s="581"/>
      <c r="G3663" s="581"/>
      <c r="H3663" s="581"/>
      <c r="I3663" s="581"/>
      <c r="J3663" s="581"/>
      <c r="K3663" s="581">
        <f>SUM(F3663:J3663)</f>
        <v>0</v>
      </c>
    </row>
    <row r="3664" spans="3:12" x14ac:dyDescent="0.2">
      <c r="C3664" s="683"/>
      <c r="D3664" s="684" t="s">
        <v>101</v>
      </c>
      <c r="E3664" s="588"/>
      <c r="F3664" s="581">
        <v>1</v>
      </c>
      <c r="G3664" s="581">
        <v>3</v>
      </c>
      <c r="H3664" s="581"/>
      <c r="I3664" s="581">
        <v>1</v>
      </c>
      <c r="J3664" s="581">
        <v>1</v>
      </c>
      <c r="K3664" s="581">
        <f>SUM(F3664:J3664)</f>
        <v>6</v>
      </c>
    </row>
    <row r="3665" spans="3:12" ht="16" thickBot="1" x14ac:dyDescent="0.25">
      <c r="C3665" s="683"/>
      <c r="D3665" s="597" t="s">
        <v>102</v>
      </c>
      <c r="E3665" s="598"/>
      <c r="F3665" s="599"/>
      <c r="G3665" s="600">
        <v>8</v>
      </c>
      <c r="H3665" s="600">
        <v>1</v>
      </c>
      <c r="I3665" s="600">
        <v>4</v>
      </c>
      <c r="J3665" s="600"/>
      <c r="K3665" s="600">
        <f>SUM(F3665:J3665)</f>
        <v>13</v>
      </c>
    </row>
    <row r="3666" spans="3:12" ht="17" thickBot="1" x14ac:dyDescent="0.25">
      <c r="C3666" s="605"/>
      <c r="D3666" s="612" t="s">
        <v>84</v>
      </c>
      <c r="E3666" s="613"/>
      <c r="F3666" s="614">
        <f t="shared" ref="F3666:K3666" si="183">(F3662+F3665)-F3664-F3663</f>
        <v>60</v>
      </c>
      <c r="G3666" s="615">
        <f t="shared" si="183"/>
        <v>47</v>
      </c>
      <c r="H3666" s="616">
        <f t="shared" si="183"/>
        <v>29</v>
      </c>
      <c r="I3666" s="615">
        <f t="shared" si="183"/>
        <v>47</v>
      </c>
      <c r="J3666" s="622">
        <f t="shared" si="183"/>
        <v>70</v>
      </c>
      <c r="K3666" s="617">
        <f t="shared" si="183"/>
        <v>253</v>
      </c>
    </row>
    <row r="3667" spans="3:12" ht="16" x14ac:dyDescent="0.2">
      <c r="C3667" s="683"/>
      <c r="D3667" s="608"/>
      <c r="E3667" s="609"/>
      <c r="F3667" s="610"/>
      <c r="G3667" s="595"/>
      <c r="H3667" s="611"/>
      <c r="I3667" s="595"/>
      <c r="J3667" s="595"/>
      <c r="K3667" s="595"/>
    </row>
    <row r="3668" spans="3:12" ht="16" thickBot="1" x14ac:dyDescent="0.25">
      <c r="C3668" s="606" t="s">
        <v>388</v>
      </c>
      <c r="D3668" s="607" t="s">
        <v>103</v>
      </c>
      <c r="E3668" s="603" t="s">
        <v>84</v>
      </c>
      <c r="F3668" s="602" t="s">
        <v>78</v>
      </c>
      <c r="G3668" s="602" t="s">
        <v>79</v>
      </c>
      <c r="H3668" s="602" t="s">
        <v>81</v>
      </c>
      <c r="I3668" s="601" t="s">
        <v>316</v>
      </c>
      <c r="J3668" s="601" t="s">
        <v>85</v>
      </c>
      <c r="K3668" s="601" t="s">
        <v>84</v>
      </c>
      <c r="L3668" s="174" t="s">
        <v>389</v>
      </c>
    </row>
    <row r="3669" spans="3:12" x14ac:dyDescent="0.2">
      <c r="C3669" s="589" t="s">
        <v>562</v>
      </c>
      <c r="D3669" s="604" t="s">
        <v>105</v>
      </c>
      <c r="E3669" s="591">
        <f>(F3669+G3669+H3669+I3669+J3669)*100+(0*230)</f>
        <v>6600</v>
      </c>
      <c r="F3669" s="3">
        <v>16</v>
      </c>
      <c r="G3669" s="3">
        <v>15</v>
      </c>
      <c r="H3669" s="3">
        <v>8</v>
      </c>
      <c r="I3669" s="3">
        <v>11</v>
      </c>
      <c r="J3669" s="3">
        <v>16</v>
      </c>
      <c r="K3669" s="628">
        <f t="shared" ref="K3669:K3691" si="184">SUM(F3669:J3669)</f>
        <v>66</v>
      </c>
      <c r="L3669" s="630">
        <f>K3669/4</f>
        <v>16.5</v>
      </c>
    </row>
    <row r="3670" spans="3:12" x14ac:dyDescent="0.2">
      <c r="C3670" s="589"/>
      <c r="D3670" s="590" t="s">
        <v>390</v>
      </c>
      <c r="E3670" s="591">
        <f>(F3670+G3670+H3670+I3670+J3670)*120</f>
        <v>0</v>
      </c>
      <c r="F3670" s="3"/>
      <c r="G3670" s="3"/>
      <c r="H3670" s="3"/>
      <c r="I3670" s="3"/>
      <c r="J3670" s="3"/>
      <c r="K3670" s="628">
        <f t="shared" si="184"/>
        <v>0</v>
      </c>
      <c r="L3670" s="630">
        <f t="shared" ref="L3670:L3691" si="185">K3670/4</f>
        <v>0</v>
      </c>
    </row>
    <row r="3671" spans="3:12" x14ac:dyDescent="0.2">
      <c r="C3671" s="589"/>
      <c r="D3671" s="590" t="s">
        <v>391</v>
      </c>
      <c r="E3671" s="591">
        <f>(F3671+G3671+H3671+I3671+J3671)*120</f>
        <v>0</v>
      </c>
      <c r="F3671" s="3"/>
      <c r="G3671" s="3"/>
      <c r="H3671" s="3"/>
      <c r="I3671" s="3"/>
      <c r="J3671" s="3"/>
      <c r="K3671" s="628">
        <f t="shared" si="184"/>
        <v>0</v>
      </c>
      <c r="L3671" s="630">
        <f t="shared" si="185"/>
        <v>0</v>
      </c>
    </row>
    <row r="3672" spans="3:12" x14ac:dyDescent="0.2">
      <c r="C3672" s="589" t="s">
        <v>765</v>
      </c>
      <c r="D3672" s="590" t="s">
        <v>392</v>
      </c>
      <c r="E3672" s="591">
        <f>(F3672+G3672+H3672+I3672+J3672)*120</f>
        <v>2160</v>
      </c>
      <c r="F3672" s="3">
        <v>5</v>
      </c>
      <c r="G3672" s="3">
        <v>2</v>
      </c>
      <c r="H3672" s="3">
        <v>6</v>
      </c>
      <c r="I3672" s="3"/>
      <c r="J3672" s="3">
        <v>5</v>
      </c>
      <c r="K3672" s="628">
        <f t="shared" si="184"/>
        <v>18</v>
      </c>
      <c r="L3672" s="630">
        <f t="shared" si="185"/>
        <v>4.5</v>
      </c>
    </row>
    <row r="3673" spans="3:12" x14ac:dyDescent="0.2">
      <c r="C3673" s="589"/>
      <c r="D3673" s="590" t="s">
        <v>425</v>
      </c>
      <c r="E3673" s="591">
        <f>(F3673+G3673+H3673+I3673+J3673)*120</f>
        <v>0</v>
      </c>
      <c r="F3673" s="3"/>
      <c r="G3673" s="3"/>
      <c r="H3673" s="3"/>
      <c r="I3673" s="3"/>
      <c r="J3673" s="3"/>
      <c r="K3673" s="628">
        <f t="shared" si="184"/>
        <v>0</v>
      </c>
      <c r="L3673" s="630">
        <f t="shared" si="185"/>
        <v>0</v>
      </c>
    </row>
    <row r="3674" spans="3:12" x14ac:dyDescent="0.2">
      <c r="C3674" s="589"/>
      <c r="D3674" s="590"/>
      <c r="E3674" s="591"/>
      <c r="F3674" s="3"/>
      <c r="G3674" s="3"/>
      <c r="H3674" s="3"/>
      <c r="I3674" s="3"/>
      <c r="J3674" s="3"/>
      <c r="K3674" s="628">
        <f t="shared" si="184"/>
        <v>0</v>
      </c>
      <c r="L3674" s="630">
        <f t="shared" si="185"/>
        <v>0</v>
      </c>
    </row>
    <row r="3675" spans="3:12" x14ac:dyDescent="0.2">
      <c r="C3675" s="589" t="s">
        <v>1014</v>
      </c>
      <c r="D3675" s="590" t="s">
        <v>108</v>
      </c>
      <c r="E3675" s="591">
        <f>(F3675+G3675+H3675+J3675)*112.7+(I3675*119.6)</f>
        <v>7323.2000000000007</v>
      </c>
      <c r="F3675" s="3">
        <v>16</v>
      </c>
      <c r="G3675" s="3">
        <v>8</v>
      </c>
      <c r="H3675" s="3">
        <v>8</v>
      </c>
      <c r="I3675" s="3">
        <v>16</v>
      </c>
      <c r="J3675" s="3">
        <v>16</v>
      </c>
      <c r="K3675" s="628">
        <f t="shared" si="184"/>
        <v>64</v>
      </c>
      <c r="L3675" s="630">
        <f t="shared" si="185"/>
        <v>16</v>
      </c>
    </row>
    <row r="3676" spans="3:12" x14ac:dyDescent="0.2">
      <c r="C3676" s="589" t="s">
        <v>1015</v>
      </c>
      <c r="D3676" s="590" t="s">
        <v>393</v>
      </c>
      <c r="E3676" s="591">
        <f>(F3676+G3676+H3676+J3676)*112.7+(I3676*119.6)</f>
        <v>4098.6000000000004</v>
      </c>
      <c r="F3676" s="3">
        <v>10</v>
      </c>
      <c r="G3676" s="3">
        <v>5</v>
      </c>
      <c r="H3676" s="3">
        <v>5</v>
      </c>
      <c r="I3676" s="3">
        <v>6</v>
      </c>
      <c r="J3676" s="3">
        <v>10</v>
      </c>
      <c r="K3676" s="628">
        <f t="shared" si="184"/>
        <v>36</v>
      </c>
      <c r="L3676" s="630">
        <f t="shared" si="185"/>
        <v>9</v>
      </c>
    </row>
    <row r="3677" spans="3:12" x14ac:dyDescent="0.2">
      <c r="C3677" s="589" t="s">
        <v>1013</v>
      </c>
      <c r="D3677" s="590" t="s">
        <v>216</v>
      </c>
      <c r="E3677" s="591">
        <f>(F3677+G3677+H3677+J3677)*112.7+(I3677*119.6)</f>
        <v>5027.8</v>
      </c>
      <c r="F3677" s="3">
        <v>12</v>
      </c>
      <c r="G3677" s="3">
        <v>10</v>
      </c>
      <c r="H3677" s="3"/>
      <c r="I3677" s="3">
        <v>10</v>
      </c>
      <c r="J3677" s="3">
        <v>12</v>
      </c>
      <c r="K3677" s="628">
        <f t="shared" si="184"/>
        <v>44</v>
      </c>
      <c r="L3677" s="630">
        <f t="shared" si="185"/>
        <v>11</v>
      </c>
    </row>
    <row r="3678" spans="3:12" x14ac:dyDescent="0.2">
      <c r="C3678" s="589"/>
      <c r="D3678" s="590"/>
      <c r="E3678" s="591"/>
      <c r="F3678" s="3"/>
      <c r="G3678" s="3"/>
      <c r="H3678" s="3"/>
      <c r="I3678" s="3"/>
      <c r="J3678" s="3"/>
      <c r="K3678" s="628">
        <f t="shared" si="184"/>
        <v>0</v>
      </c>
      <c r="L3678" s="630">
        <f t="shared" si="185"/>
        <v>0</v>
      </c>
    </row>
    <row r="3679" spans="3:12" x14ac:dyDescent="0.2">
      <c r="C3679" s="589"/>
      <c r="D3679" s="590" t="s">
        <v>394</v>
      </c>
      <c r="E3679" s="591">
        <f>(F3679+G3679+H3679+I3679+J3679)*120</f>
        <v>0</v>
      </c>
      <c r="F3679" s="3"/>
      <c r="G3679" s="3"/>
      <c r="H3679" s="3"/>
      <c r="I3679" s="3"/>
      <c r="J3679" s="3"/>
      <c r="K3679" s="628">
        <f t="shared" si="184"/>
        <v>0</v>
      </c>
      <c r="L3679" s="630">
        <f t="shared" si="185"/>
        <v>0</v>
      </c>
    </row>
    <row r="3680" spans="3:12" x14ac:dyDescent="0.2">
      <c r="C3680" s="589"/>
      <c r="D3680" s="590" t="s">
        <v>110</v>
      </c>
      <c r="E3680" s="591">
        <f>(F3680+G3680+H3680+J3680)*112.7+(I3680*119.6)</f>
        <v>0</v>
      </c>
      <c r="F3680" s="3"/>
      <c r="G3680" s="3"/>
      <c r="H3680" s="3"/>
      <c r="I3680" s="3"/>
      <c r="J3680" s="3"/>
      <c r="K3680" s="628">
        <f t="shared" si="184"/>
        <v>0</v>
      </c>
      <c r="L3680" s="630">
        <f t="shared" si="185"/>
        <v>0</v>
      </c>
    </row>
    <row r="3681" spans="3:12" x14ac:dyDescent="0.2">
      <c r="C3681" s="589"/>
      <c r="D3681" s="590"/>
      <c r="E3681" s="591"/>
      <c r="F3681" s="3"/>
      <c r="G3681" s="3"/>
      <c r="H3681" s="3"/>
      <c r="I3681" s="3"/>
      <c r="J3681" s="3"/>
      <c r="K3681" s="628">
        <f t="shared" si="184"/>
        <v>0</v>
      </c>
      <c r="L3681" s="630">
        <f t="shared" si="185"/>
        <v>0</v>
      </c>
    </row>
    <row r="3682" spans="3:12" x14ac:dyDescent="0.2">
      <c r="C3682" s="589"/>
      <c r="D3682" s="590" t="s">
        <v>381</v>
      </c>
      <c r="E3682" s="591">
        <f>(F3682+G3682+H3682+I3682+J3682)*120+(240*0)+(0*45)</f>
        <v>0</v>
      </c>
      <c r="F3682" s="3"/>
      <c r="G3682" s="3"/>
      <c r="H3682" s="3"/>
      <c r="I3682" s="3"/>
      <c r="J3682" s="3"/>
      <c r="K3682" s="628">
        <f t="shared" si="184"/>
        <v>0</v>
      </c>
      <c r="L3682" s="630">
        <f t="shared" si="185"/>
        <v>0</v>
      </c>
    </row>
    <row r="3683" spans="3:12" x14ac:dyDescent="0.2">
      <c r="C3683" s="589"/>
      <c r="D3683" s="590" t="s">
        <v>276</v>
      </c>
      <c r="E3683" s="591">
        <f>(F3683+G3683+H3683+J3683)*112.7+(I3683*119.6)</f>
        <v>0</v>
      </c>
      <c r="F3683" s="3"/>
      <c r="G3683" s="3"/>
      <c r="H3683" s="3"/>
      <c r="I3683" s="3"/>
      <c r="J3683" s="3"/>
      <c r="K3683" s="628">
        <f t="shared" si="184"/>
        <v>0</v>
      </c>
      <c r="L3683" s="630">
        <f t="shared" si="185"/>
        <v>0</v>
      </c>
    </row>
    <row r="3684" spans="3:12" x14ac:dyDescent="0.2">
      <c r="C3684" s="589"/>
      <c r="D3684" s="590"/>
      <c r="E3684" s="591"/>
      <c r="F3684" s="3"/>
      <c r="G3684" s="3"/>
      <c r="H3684" s="3"/>
      <c r="I3684" s="3"/>
      <c r="J3684" s="3"/>
      <c r="K3684" s="628">
        <f t="shared" si="184"/>
        <v>0</v>
      </c>
      <c r="L3684" s="630">
        <f t="shared" si="185"/>
        <v>0</v>
      </c>
    </row>
    <row r="3685" spans="3:12" x14ac:dyDescent="0.2">
      <c r="C3685" s="589"/>
      <c r="D3685" s="590" t="s">
        <v>75</v>
      </c>
      <c r="E3685" s="591">
        <f>(F3685+G3685+H3685+I3685+J3685)*120</f>
        <v>0</v>
      </c>
      <c r="F3685" s="3"/>
      <c r="G3685" s="3"/>
      <c r="H3685" s="3"/>
      <c r="I3685" s="3"/>
      <c r="J3685" s="3"/>
      <c r="K3685" s="628">
        <f t="shared" si="184"/>
        <v>0</v>
      </c>
      <c r="L3685" s="630">
        <f t="shared" si="185"/>
        <v>0</v>
      </c>
    </row>
    <row r="3686" spans="3:12" x14ac:dyDescent="0.2">
      <c r="C3686" s="589"/>
      <c r="D3686" s="590" t="s">
        <v>278</v>
      </c>
      <c r="E3686" s="591">
        <f>(F3686+G3686+H3686+I3686+J3686)*120</f>
        <v>0</v>
      </c>
      <c r="F3686" s="3"/>
      <c r="G3686" s="3"/>
      <c r="H3686" s="3"/>
      <c r="I3686" s="3"/>
      <c r="J3686" s="3"/>
      <c r="K3686" s="628">
        <f t="shared" si="184"/>
        <v>0</v>
      </c>
      <c r="L3686" s="630">
        <f t="shared" si="185"/>
        <v>0</v>
      </c>
    </row>
    <row r="3687" spans="3:12" x14ac:dyDescent="0.2">
      <c r="C3687" s="589"/>
      <c r="D3687" s="590" t="s">
        <v>270</v>
      </c>
      <c r="E3687" s="591">
        <f>(F3687+G3687+H3687+I3687)*112.7+(J3687*119.6)</f>
        <v>0</v>
      </c>
      <c r="F3687" s="3"/>
      <c r="G3687" s="3"/>
      <c r="H3687" s="3"/>
      <c r="I3687" s="3"/>
      <c r="J3687" s="3"/>
      <c r="K3687" s="628">
        <f t="shared" si="184"/>
        <v>0</v>
      </c>
      <c r="L3687" s="630">
        <f t="shared" si="185"/>
        <v>0</v>
      </c>
    </row>
    <row r="3688" spans="3:12" x14ac:dyDescent="0.2">
      <c r="C3688" s="589"/>
      <c r="D3688" s="590" t="s">
        <v>274</v>
      </c>
      <c r="E3688" s="591">
        <f>(F3688+G3688+H3688+I3688)*112.7+(J3688*119.6)</f>
        <v>0</v>
      </c>
      <c r="F3688" s="3"/>
      <c r="G3688" s="3"/>
      <c r="H3688" s="3"/>
      <c r="I3688" s="3"/>
      <c r="J3688" s="3"/>
      <c r="K3688" s="628">
        <f t="shared" si="184"/>
        <v>0</v>
      </c>
      <c r="L3688" s="630">
        <f t="shared" si="185"/>
        <v>0</v>
      </c>
    </row>
    <row r="3689" spans="3:12" x14ac:dyDescent="0.2">
      <c r="C3689" s="589"/>
      <c r="D3689" s="590" t="s">
        <v>395</v>
      </c>
      <c r="E3689" s="591">
        <f>(F3689+G3689+H3689+I3689)*112.7+(J3689*119.6)</f>
        <v>0</v>
      </c>
      <c r="F3689" s="3"/>
      <c r="G3689" s="3"/>
      <c r="H3689" s="3"/>
      <c r="I3689" s="3"/>
      <c r="J3689" s="3"/>
      <c r="K3689" s="628">
        <f t="shared" si="184"/>
        <v>0</v>
      </c>
      <c r="L3689" s="630">
        <f t="shared" si="185"/>
        <v>0</v>
      </c>
    </row>
    <row r="3690" spans="3:12" x14ac:dyDescent="0.2">
      <c r="C3690" s="683"/>
      <c r="D3690" s="590" t="s">
        <v>112</v>
      </c>
      <c r="E3690" s="591">
        <f>(F3690+G3690+H3690+I3690)*112.7+(J3690*119.6)</f>
        <v>0</v>
      </c>
      <c r="F3690" s="3"/>
      <c r="G3690" s="3"/>
      <c r="H3690" s="3"/>
      <c r="I3690" s="3"/>
      <c r="J3690" s="3"/>
      <c r="K3690" s="628">
        <f t="shared" si="184"/>
        <v>0</v>
      </c>
      <c r="L3690" s="630">
        <f t="shared" si="185"/>
        <v>0</v>
      </c>
    </row>
    <row r="3691" spans="3:12" x14ac:dyDescent="0.2">
      <c r="C3691" s="683"/>
      <c r="D3691" s="590" t="s">
        <v>72</v>
      </c>
      <c r="E3691" s="591">
        <f>(F3691+G3691+H3691+I3691)*112.7+(J3691*119.6)</f>
        <v>0</v>
      </c>
      <c r="F3691" s="3"/>
      <c r="G3691" s="3"/>
      <c r="H3691" s="3"/>
      <c r="I3691" s="3"/>
      <c r="J3691" s="3"/>
      <c r="K3691" s="628">
        <f t="shared" si="184"/>
        <v>0</v>
      </c>
      <c r="L3691" s="630">
        <f t="shared" si="185"/>
        <v>0</v>
      </c>
    </row>
    <row r="3692" spans="3:12" x14ac:dyDescent="0.2">
      <c r="C3692" s="683"/>
      <c r="D3692" s="590" t="s">
        <v>187</v>
      </c>
      <c r="E3692" s="591"/>
      <c r="F3692" s="3">
        <v>1</v>
      </c>
      <c r="G3692" s="3"/>
      <c r="H3692" s="3">
        <v>1</v>
      </c>
      <c r="I3692" s="3"/>
      <c r="J3692" s="3">
        <v>11</v>
      </c>
      <c r="K3692" s="628">
        <f>SUM(F3692:J3692)</f>
        <v>13</v>
      </c>
      <c r="L3692" s="3"/>
    </row>
    <row r="3693" spans="3:12" ht="16" x14ac:dyDescent="0.2">
      <c r="C3693" s="683"/>
      <c r="D3693" s="590"/>
      <c r="E3693" s="592"/>
      <c r="F3693" s="3"/>
      <c r="G3693" s="3"/>
      <c r="H3693" s="3"/>
      <c r="I3693" s="3"/>
      <c r="J3693" s="3"/>
      <c r="K3693" s="628">
        <f>SUM(F3693:J3693)</f>
        <v>0</v>
      </c>
      <c r="L3693" s="3"/>
    </row>
    <row r="3694" spans="3:12" ht="17" thickBot="1" x14ac:dyDescent="0.25">
      <c r="C3694" s="683"/>
      <c r="D3694" s="590"/>
      <c r="E3694" s="624"/>
      <c r="F3694" s="69"/>
      <c r="G3694" s="69"/>
      <c r="H3694" s="69"/>
      <c r="I3694" s="69"/>
      <c r="J3694" s="69"/>
      <c r="K3694" s="629"/>
      <c r="L3694" s="3"/>
    </row>
    <row r="3695" spans="3:12" ht="16" thickBot="1" x14ac:dyDescent="0.25">
      <c r="C3695" s="596"/>
      <c r="D3695" s="623" t="s">
        <v>19</v>
      </c>
      <c r="E3695" s="625">
        <f>SUM(E3669:E3692)</f>
        <v>25209.600000000002</v>
      </c>
      <c r="F3695" s="614">
        <f>SUM(F3669:F3694)</f>
        <v>60</v>
      </c>
      <c r="G3695" s="614">
        <f>SUM(G3669:G3694)</f>
        <v>40</v>
      </c>
      <c r="H3695" s="614">
        <f>SUM(H3669:H3694)</f>
        <v>28</v>
      </c>
      <c r="I3695" s="614">
        <f>SUM(I3669:I3694)</f>
        <v>43</v>
      </c>
      <c r="J3695" s="614">
        <f>SUM(J3669:J3694)</f>
        <v>70</v>
      </c>
      <c r="K3695" s="626">
        <f>SUM(F3695:J3695)</f>
        <v>241</v>
      </c>
      <c r="L3695" s="631">
        <f>SUM(L3669:L3694)</f>
        <v>57</v>
      </c>
    </row>
    <row r="3696" spans="3:12" x14ac:dyDescent="0.2">
      <c r="C3696" s="596"/>
      <c r="D3696" s="593" t="s">
        <v>113</v>
      </c>
      <c r="E3696" s="620"/>
      <c r="F3696" s="610">
        <f>F3666-F3695</f>
        <v>0</v>
      </c>
      <c r="G3696" s="610">
        <f>G3666-G3695</f>
        <v>7</v>
      </c>
      <c r="H3696" s="610">
        <f>H3666-H3695</f>
        <v>1</v>
      </c>
      <c r="I3696" s="610">
        <f>I3666-I3695</f>
        <v>4</v>
      </c>
      <c r="J3696" s="610">
        <f>J3666-J3695</f>
        <v>0</v>
      </c>
      <c r="K3696" s="636">
        <f>SUM(F3696:J3696)</f>
        <v>12</v>
      </c>
      <c r="L3696" s="3"/>
    </row>
    <row r="3697" spans="3:12" x14ac:dyDescent="0.2">
      <c r="C3697" s="683"/>
      <c r="D3697" s="593" t="s">
        <v>436</v>
      </c>
      <c r="E3697" s="594"/>
      <c r="F3697" s="581"/>
      <c r="G3697" s="581"/>
      <c r="H3697" s="581"/>
      <c r="I3697" s="581"/>
      <c r="J3697" s="581"/>
      <c r="K3697" s="637">
        <f>K3695+K3696</f>
        <v>253</v>
      </c>
      <c r="L3697" s="3"/>
    </row>
    <row r="3699" spans="3:12" ht="18" x14ac:dyDescent="0.2">
      <c r="C3699" s="685" t="s">
        <v>412</v>
      </c>
      <c r="D3699" s="582">
        <v>45768</v>
      </c>
      <c r="E3699" s="800"/>
      <c r="F3699" s="685" t="s">
        <v>83</v>
      </c>
      <c r="G3699" s="801" t="s">
        <v>63</v>
      </c>
      <c r="H3699" s="802"/>
      <c r="I3699" s="802"/>
      <c r="J3699" s="802"/>
      <c r="K3699" s="803"/>
    </row>
    <row r="3700" spans="3:12" x14ac:dyDescent="0.2">
      <c r="C3700" s="804"/>
      <c r="D3700" s="805"/>
      <c r="E3700" s="800"/>
      <c r="F3700" s="683" t="s">
        <v>93</v>
      </c>
      <c r="G3700" s="683" t="s">
        <v>93</v>
      </c>
      <c r="H3700" s="683"/>
      <c r="I3700" s="806"/>
      <c r="J3700" s="806"/>
      <c r="K3700" s="806"/>
    </row>
    <row r="3701" spans="3:12" x14ac:dyDescent="0.2">
      <c r="C3701" s="804"/>
      <c r="D3701" s="805"/>
      <c r="E3701" s="800"/>
      <c r="F3701" s="683" t="s">
        <v>94</v>
      </c>
      <c r="G3701" s="683" t="s">
        <v>95</v>
      </c>
      <c r="H3701" s="683" t="s">
        <v>96</v>
      </c>
      <c r="I3701" s="806"/>
      <c r="J3701" s="806"/>
      <c r="K3701" s="806"/>
    </row>
    <row r="3702" spans="3:12" x14ac:dyDescent="0.2">
      <c r="C3702" s="804"/>
      <c r="D3702" s="805"/>
      <c r="E3702" s="800"/>
      <c r="F3702" s="683"/>
      <c r="G3702" s="683"/>
      <c r="H3702" s="683"/>
      <c r="I3702" s="806"/>
      <c r="J3702" s="806"/>
      <c r="K3702" s="806"/>
    </row>
    <row r="3703" spans="3:12" ht="16" x14ac:dyDescent="0.2">
      <c r="C3703" s="683"/>
      <c r="D3703" s="583" t="s">
        <v>97</v>
      </c>
      <c r="E3703" s="584"/>
      <c r="F3703" s="581"/>
      <c r="G3703" s="585"/>
      <c r="H3703" s="585"/>
      <c r="I3703" s="586"/>
      <c r="J3703" s="586"/>
      <c r="K3703" s="586"/>
    </row>
    <row r="3704" spans="3:12" ht="26" x14ac:dyDescent="0.2">
      <c r="C3704" s="804"/>
      <c r="D3704" s="587"/>
      <c r="E3704" s="588"/>
      <c r="F3704" s="585" t="s">
        <v>383</v>
      </c>
      <c r="G3704" s="585" t="s">
        <v>384</v>
      </c>
      <c r="H3704" s="585" t="s">
        <v>385</v>
      </c>
      <c r="I3704" s="585" t="s">
        <v>386</v>
      </c>
      <c r="J3704" s="585" t="s">
        <v>387</v>
      </c>
      <c r="K3704" s="585" t="s">
        <v>84</v>
      </c>
    </row>
    <row r="3705" spans="3:12" x14ac:dyDescent="0.2">
      <c r="C3705" s="804"/>
      <c r="D3705" s="684" t="s">
        <v>167</v>
      </c>
      <c r="E3705" s="588"/>
      <c r="F3705" s="580">
        <v>12</v>
      </c>
      <c r="G3705" s="579">
        <v>6</v>
      </c>
      <c r="H3705" s="580">
        <v>2</v>
      </c>
      <c r="I3705" s="580">
        <v>4</v>
      </c>
      <c r="J3705" s="580">
        <v>8</v>
      </c>
      <c r="K3705" s="580">
        <f>SUM(F3705:J3705)</f>
        <v>32</v>
      </c>
    </row>
    <row r="3706" spans="3:12" x14ac:dyDescent="0.2">
      <c r="C3706" s="804"/>
      <c r="D3706" s="684" t="s">
        <v>207</v>
      </c>
      <c r="E3706" s="588"/>
      <c r="F3706" s="618">
        <v>84</v>
      </c>
      <c r="G3706" s="619">
        <v>42</v>
      </c>
      <c r="H3706" s="618">
        <v>14</v>
      </c>
      <c r="I3706" s="618">
        <v>44</v>
      </c>
      <c r="J3706" s="618">
        <v>70</v>
      </c>
      <c r="K3706" s="618">
        <f>SUM(F3706:J3706)</f>
        <v>254</v>
      </c>
    </row>
    <row r="3707" spans="3:12" x14ac:dyDescent="0.2">
      <c r="C3707" s="683"/>
      <c r="D3707" s="684" t="s">
        <v>100</v>
      </c>
      <c r="E3707" s="588"/>
      <c r="F3707" s="581"/>
      <c r="G3707" s="581"/>
      <c r="H3707" s="581"/>
      <c r="I3707" s="581"/>
      <c r="J3707" s="581">
        <v>8</v>
      </c>
      <c r="K3707" s="581">
        <f>SUM(F3707:J3707)</f>
        <v>8</v>
      </c>
    </row>
    <row r="3708" spans="3:12" x14ac:dyDescent="0.2">
      <c r="C3708" s="683"/>
      <c r="D3708" s="684" t="s">
        <v>101</v>
      </c>
      <c r="E3708" s="588"/>
      <c r="F3708" s="581">
        <v>2</v>
      </c>
      <c r="G3708" s="581">
        <v>1</v>
      </c>
      <c r="H3708" s="581"/>
      <c r="I3708" s="581"/>
      <c r="J3708" s="581"/>
      <c r="K3708" s="581">
        <f>SUM(F3708:J3708)</f>
        <v>3</v>
      </c>
    </row>
    <row r="3709" spans="3:12" ht="16" thickBot="1" x14ac:dyDescent="0.25">
      <c r="C3709" s="683"/>
      <c r="D3709" s="597" t="s">
        <v>102</v>
      </c>
      <c r="E3709" s="598"/>
      <c r="F3709" s="599">
        <v>2</v>
      </c>
      <c r="G3709" s="600">
        <v>7</v>
      </c>
      <c r="H3709" s="600">
        <v>1</v>
      </c>
      <c r="I3709" s="600">
        <v>3</v>
      </c>
      <c r="J3709" s="600"/>
      <c r="K3709" s="600">
        <f>SUM(F3709:J3709)</f>
        <v>13</v>
      </c>
    </row>
    <row r="3710" spans="3:12" ht="17" thickBot="1" x14ac:dyDescent="0.25">
      <c r="C3710" s="605"/>
      <c r="D3710" s="612" t="s">
        <v>84</v>
      </c>
      <c r="E3710" s="613"/>
      <c r="F3710" s="614">
        <f t="shared" ref="F3710:K3710" si="186">(F3706+F3709)-F3708-F3707</f>
        <v>84</v>
      </c>
      <c r="G3710" s="615">
        <f t="shared" si="186"/>
        <v>48</v>
      </c>
      <c r="H3710" s="616">
        <f t="shared" si="186"/>
        <v>15</v>
      </c>
      <c r="I3710" s="615">
        <f t="shared" si="186"/>
        <v>47</v>
      </c>
      <c r="J3710" s="622">
        <f t="shared" si="186"/>
        <v>62</v>
      </c>
      <c r="K3710" s="617">
        <f t="shared" si="186"/>
        <v>256</v>
      </c>
    </row>
    <row r="3711" spans="3:12" ht="16" x14ac:dyDescent="0.2">
      <c r="C3711" s="683"/>
      <c r="D3711" s="608"/>
      <c r="E3711" s="609"/>
      <c r="F3711" s="610"/>
      <c r="G3711" s="595"/>
      <c r="H3711" s="611"/>
      <c r="I3711" s="595"/>
      <c r="J3711" s="595"/>
      <c r="K3711" s="595"/>
    </row>
    <row r="3712" spans="3:12" ht="16" thickBot="1" x14ac:dyDescent="0.25">
      <c r="C3712" s="606" t="s">
        <v>388</v>
      </c>
      <c r="D3712" s="607" t="s">
        <v>103</v>
      </c>
      <c r="E3712" s="603" t="s">
        <v>84</v>
      </c>
      <c r="F3712" s="602" t="s">
        <v>78</v>
      </c>
      <c r="G3712" s="602" t="s">
        <v>79</v>
      </c>
      <c r="H3712" s="602" t="s">
        <v>81</v>
      </c>
      <c r="I3712" s="601" t="s">
        <v>316</v>
      </c>
      <c r="J3712" s="601" t="s">
        <v>85</v>
      </c>
      <c r="K3712" s="601" t="s">
        <v>84</v>
      </c>
      <c r="L3712" s="174" t="s">
        <v>389</v>
      </c>
    </row>
    <row r="3713" spans="3:12" x14ac:dyDescent="0.2">
      <c r="C3713" s="589" t="s">
        <v>563</v>
      </c>
      <c r="D3713" s="604" t="s">
        <v>105</v>
      </c>
      <c r="E3713" s="591">
        <f>(F3713+G3713+H3713+I3713+J3713)*100+(0*230)</f>
        <v>5600</v>
      </c>
      <c r="F3713" s="3">
        <v>28</v>
      </c>
      <c r="G3713" s="3">
        <v>12</v>
      </c>
      <c r="H3713" s="3">
        <v>5</v>
      </c>
      <c r="I3713" s="3">
        <v>7</v>
      </c>
      <c r="J3713" s="3">
        <v>4</v>
      </c>
      <c r="K3713" s="628">
        <f t="shared" ref="K3713:K3735" si="187">SUM(F3713:J3713)</f>
        <v>56</v>
      </c>
      <c r="L3713" s="630">
        <f>K3713/4</f>
        <v>14</v>
      </c>
    </row>
    <row r="3714" spans="3:12" x14ac:dyDescent="0.2">
      <c r="C3714" s="589"/>
      <c r="D3714" s="590" t="s">
        <v>390</v>
      </c>
      <c r="E3714" s="591">
        <f>(F3714+G3714+H3714+I3714+J3714)*120</f>
        <v>0</v>
      </c>
      <c r="F3714" s="3"/>
      <c r="G3714" s="3"/>
      <c r="H3714" s="3"/>
      <c r="I3714" s="3"/>
      <c r="J3714" s="3"/>
      <c r="K3714" s="628">
        <f t="shared" si="187"/>
        <v>0</v>
      </c>
      <c r="L3714" s="630">
        <f t="shared" ref="L3714:L3735" si="188">K3714/4</f>
        <v>0</v>
      </c>
    </row>
    <row r="3715" spans="3:12" x14ac:dyDescent="0.2">
      <c r="C3715" s="589"/>
      <c r="D3715" s="590" t="s">
        <v>391</v>
      </c>
      <c r="E3715" s="591">
        <f>(F3715+G3715+H3715+I3715+J3715)*120</f>
        <v>0</v>
      </c>
      <c r="F3715" s="3"/>
      <c r="G3715" s="3"/>
      <c r="H3715" s="3"/>
      <c r="I3715" s="3"/>
      <c r="J3715" s="3"/>
      <c r="K3715" s="628">
        <f t="shared" si="187"/>
        <v>0</v>
      </c>
      <c r="L3715" s="630">
        <f t="shared" si="188"/>
        <v>0</v>
      </c>
    </row>
    <row r="3716" spans="3:12" x14ac:dyDescent="0.2">
      <c r="C3716" s="589"/>
      <c r="D3716" s="590" t="s">
        <v>392</v>
      </c>
      <c r="E3716" s="591">
        <f>(F3716+G3716+H3716+I3716+J3716)*120</f>
        <v>0</v>
      </c>
      <c r="F3716" s="3"/>
      <c r="G3716" s="3"/>
      <c r="H3716" s="3"/>
      <c r="I3716" s="3"/>
      <c r="J3716" s="3"/>
      <c r="K3716" s="628">
        <f t="shared" si="187"/>
        <v>0</v>
      </c>
      <c r="L3716" s="630">
        <f t="shared" si="188"/>
        <v>0</v>
      </c>
    </row>
    <row r="3717" spans="3:12" x14ac:dyDescent="0.2">
      <c r="C3717" s="589"/>
      <c r="D3717" s="590" t="s">
        <v>425</v>
      </c>
      <c r="E3717" s="591">
        <f>(F3717+G3717+H3717+I3717+J3717)*120</f>
        <v>0</v>
      </c>
      <c r="F3717" s="3"/>
      <c r="G3717" s="3"/>
      <c r="H3717" s="3"/>
      <c r="I3717" s="3"/>
      <c r="J3717" s="3"/>
      <c r="K3717" s="628">
        <f t="shared" si="187"/>
        <v>0</v>
      </c>
      <c r="L3717" s="630">
        <f t="shared" si="188"/>
        <v>0</v>
      </c>
    </row>
    <row r="3718" spans="3:12" x14ac:dyDescent="0.2">
      <c r="C3718" s="589"/>
      <c r="D3718" s="590"/>
      <c r="E3718" s="591"/>
      <c r="F3718" s="3"/>
      <c r="G3718" s="3"/>
      <c r="H3718" s="3"/>
      <c r="I3718" s="3"/>
      <c r="J3718" s="3"/>
      <c r="K3718" s="628">
        <f t="shared" si="187"/>
        <v>0</v>
      </c>
      <c r="L3718" s="630">
        <f t="shared" si="188"/>
        <v>0</v>
      </c>
    </row>
    <row r="3719" spans="3:12" x14ac:dyDescent="0.2">
      <c r="C3719" s="589" t="s">
        <v>1023</v>
      </c>
      <c r="D3719" s="590" t="s">
        <v>108</v>
      </c>
      <c r="E3719" s="591">
        <f>(F3719+G3719+H3719+J3719)*112.7+(I3719*119.6)</f>
        <v>5041.6000000000004</v>
      </c>
      <c r="F3719" s="3">
        <v>10</v>
      </c>
      <c r="G3719" s="3">
        <v>6</v>
      </c>
      <c r="H3719" s="3">
        <v>6</v>
      </c>
      <c r="I3719" s="3">
        <v>12</v>
      </c>
      <c r="J3719" s="3">
        <v>10</v>
      </c>
      <c r="K3719" s="628">
        <f t="shared" si="187"/>
        <v>44</v>
      </c>
      <c r="L3719" s="630">
        <f t="shared" si="188"/>
        <v>11</v>
      </c>
    </row>
    <row r="3720" spans="3:12" x14ac:dyDescent="0.2">
      <c r="C3720" s="589" t="s">
        <v>1022</v>
      </c>
      <c r="D3720" s="590" t="s">
        <v>393</v>
      </c>
      <c r="E3720" s="591">
        <f>(F3720+G3720+H3720+J3720)*112.7+(I3720*119.6)</f>
        <v>2732.4</v>
      </c>
      <c r="F3720" s="3">
        <v>6</v>
      </c>
      <c r="G3720" s="3">
        <v>4</v>
      </c>
      <c r="H3720" s="3">
        <v>4</v>
      </c>
      <c r="I3720" s="3">
        <v>4</v>
      </c>
      <c r="J3720" s="3">
        <v>6</v>
      </c>
      <c r="K3720" s="628">
        <f t="shared" si="187"/>
        <v>24</v>
      </c>
      <c r="L3720" s="630">
        <f t="shared" si="188"/>
        <v>6</v>
      </c>
    </row>
    <row r="3721" spans="3:12" x14ac:dyDescent="0.2">
      <c r="C3721" s="589" t="s">
        <v>1025</v>
      </c>
      <c r="D3721" s="590" t="s">
        <v>216</v>
      </c>
      <c r="E3721" s="591">
        <f>(F3721+G3721+H3721+J3721)*112.7+(I3721*119.6)</f>
        <v>3661.6000000000004</v>
      </c>
      <c r="F3721" s="3">
        <v>8</v>
      </c>
      <c r="G3721" s="3">
        <v>8</v>
      </c>
      <c r="H3721" s="3"/>
      <c r="I3721" s="3">
        <v>8</v>
      </c>
      <c r="J3721" s="3">
        <v>8</v>
      </c>
      <c r="K3721" s="628">
        <f t="shared" si="187"/>
        <v>32</v>
      </c>
      <c r="L3721" s="630">
        <f t="shared" si="188"/>
        <v>8</v>
      </c>
    </row>
    <row r="3722" spans="3:12" x14ac:dyDescent="0.2">
      <c r="C3722" s="589"/>
      <c r="D3722" s="590"/>
      <c r="E3722" s="591"/>
      <c r="F3722" s="3"/>
      <c r="G3722" s="3"/>
      <c r="H3722" s="3"/>
      <c r="I3722" s="3"/>
      <c r="J3722" s="3"/>
      <c r="K3722" s="628">
        <f t="shared" si="187"/>
        <v>0</v>
      </c>
      <c r="L3722" s="630">
        <f t="shared" si="188"/>
        <v>0</v>
      </c>
    </row>
    <row r="3723" spans="3:12" x14ac:dyDescent="0.2">
      <c r="C3723" s="589"/>
      <c r="D3723" s="590" t="s">
        <v>394</v>
      </c>
      <c r="E3723" s="591">
        <f>(F3723+G3723+H3723+I3723+J3723)*120</f>
        <v>0</v>
      </c>
      <c r="F3723" s="3"/>
      <c r="G3723" s="3"/>
      <c r="H3723" s="3"/>
      <c r="I3723" s="3"/>
      <c r="J3723" s="3"/>
      <c r="K3723" s="628">
        <f t="shared" si="187"/>
        <v>0</v>
      </c>
      <c r="L3723" s="630">
        <f t="shared" si="188"/>
        <v>0</v>
      </c>
    </row>
    <row r="3724" spans="3:12" x14ac:dyDescent="0.2">
      <c r="C3724" s="589" t="s">
        <v>1024</v>
      </c>
      <c r="D3724" s="590" t="s">
        <v>110</v>
      </c>
      <c r="E3724" s="591">
        <f>(F3724+G3724+H3724+J3724)*112.7+(I3724*119.6)</f>
        <v>9577.2000000000007</v>
      </c>
      <c r="F3724" s="3">
        <v>26</v>
      </c>
      <c r="G3724" s="3">
        <v>16</v>
      </c>
      <c r="H3724" s="3"/>
      <c r="I3724" s="3">
        <v>16</v>
      </c>
      <c r="J3724" s="3">
        <v>26</v>
      </c>
      <c r="K3724" s="628">
        <f t="shared" si="187"/>
        <v>84</v>
      </c>
      <c r="L3724" s="630">
        <f t="shared" si="188"/>
        <v>21</v>
      </c>
    </row>
    <row r="3725" spans="3:12" x14ac:dyDescent="0.2">
      <c r="C3725" s="589"/>
      <c r="D3725" s="590"/>
      <c r="E3725" s="591"/>
      <c r="F3725" s="3"/>
      <c r="G3725" s="3"/>
      <c r="H3725" s="3"/>
      <c r="I3725" s="3"/>
      <c r="J3725" s="3"/>
      <c r="K3725" s="628">
        <f t="shared" si="187"/>
        <v>0</v>
      </c>
      <c r="L3725" s="630">
        <f t="shared" si="188"/>
        <v>0</v>
      </c>
    </row>
    <row r="3726" spans="3:12" x14ac:dyDescent="0.2">
      <c r="C3726" s="589"/>
      <c r="D3726" s="590" t="s">
        <v>381</v>
      </c>
      <c r="E3726" s="591">
        <f>(F3726+G3726+H3726+I3726+J3726)*120+(240*0)+(0*45)</f>
        <v>0</v>
      </c>
      <c r="F3726" s="3"/>
      <c r="G3726" s="3"/>
      <c r="H3726" s="3"/>
      <c r="I3726" s="3"/>
      <c r="J3726" s="3"/>
      <c r="K3726" s="628">
        <f t="shared" si="187"/>
        <v>0</v>
      </c>
      <c r="L3726" s="630">
        <f t="shared" si="188"/>
        <v>0</v>
      </c>
    </row>
    <row r="3727" spans="3:12" x14ac:dyDescent="0.2">
      <c r="C3727" s="589"/>
      <c r="D3727" s="590" t="s">
        <v>276</v>
      </c>
      <c r="E3727" s="591">
        <f>(F3727+G3727+H3727+J3727)*112.7+(I3727*119.6)</f>
        <v>0</v>
      </c>
      <c r="F3727" s="3"/>
      <c r="G3727" s="3"/>
      <c r="H3727" s="3"/>
      <c r="I3727" s="3"/>
      <c r="J3727" s="3"/>
      <c r="K3727" s="628">
        <f t="shared" si="187"/>
        <v>0</v>
      </c>
      <c r="L3727" s="630">
        <f t="shared" si="188"/>
        <v>0</v>
      </c>
    </row>
    <row r="3728" spans="3:12" x14ac:dyDescent="0.2">
      <c r="C3728" s="589"/>
      <c r="D3728" s="590"/>
      <c r="E3728" s="591"/>
      <c r="F3728" s="3"/>
      <c r="G3728" s="3"/>
      <c r="H3728" s="3"/>
      <c r="I3728" s="3"/>
      <c r="J3728" s="3"/>
      <c r="K3728" s="628">
        <f t="shared" si="187"/>
        <v>0</v>
      </c>
      <c r="L3728" s="630">
        <f t="shared" si="188"/>
        <v>0</v>
      </c>
    </row>
    <row r="3729" spans="3:12" x14ac:dyDescent="0.2">
      <c r="C3729" s="589"/>
      <c r="D3729" s="590" t="s">
        <v>75</v>
      </c>
      <c r="E3729" s="591">
        <f>(F3729+G3729+H3729+I3729+J3729)*120</f>
        <v>0</v>
      </c>
      <c r="F3729" s="3"/>
      <c r="G3729" s="3"/>
      <c r="H3729" s="3"/>
      <c r="I3729" s="3"/>
      <c r="J3729" s="3"/>
      <c r="K3729" s="628">
        <f t="shared" si="187"/>
        <v>0</v>
      </c>
      <c r="L3729" s="630">
        <f t="shared" si="188"/>
        <v>0</v>
      </c>
    </row>
    <row r="3730" spans="3:12" x14ac:dyDescent="0.2">
      <c r="C3730" s="589"/>
      <c r="D3730" s="590" t="s">
        <v>278</v>
      </c>
      <c r="E3730" s="591">
        <f>(F3730+G3730+H3730+I3730+J3730)*120</f>
        <v>0</v>
      </c>
      <c r="F3730" s="3"/>
      <c r="G3730" s="3"/>
      <c r="H3730" s="3"/>
      <c r="I3730" s="3"/>
      <c r="J3730" s="3"/>
      <c r="K3730" s="628">
        <f t="shared" si="187"/>
        <v>0</v>
      </c>
      <c r="L3730" s="630">
        <f t="shared" si="188"/>
        <v>0</v>
      </c>
    </row>
    <row r="3731" spans="3:12" x14ac:dyDescent="0.2">
      <c r="C3731" s="589"/>
      <c r="D3731" s="590" t="s">
        <v>270</v>
      </c>
      <c r="E3731" s="591">
        <f>(F3731+G3731+H3731+I3731)*112.7+(J3731*119.6)</f>
        <v>0</v>
      </c>
      <c r="F3731" s="3"/>
      <c r="G3731" s="3"/>
      <c r="H3731" s="3"/>
      <c r="I3731" s="3"/>
      <c r="J3731" s="3"/>
      <c r="K3731" s="628">
        <f t="shared" si="187"/>
        <v>0</v>
      </c>
      <c r="L3731" s="630">
        <f t="shared" si="188"/>
        <v>0</v>
      </c>
    </row>
    <row r="3732" spans="3:12" x14ac:dyDescent="0.2">
      <c r="C3732" s="589"/>
      <c r="D3732" s="590" t="s">
        <v>274</v>
      </c>
      <c r="E3732" s="591">
        <f>(F3732+G3732+H3732+I3732)*112.7+(J3732*119.6)</f>
        <v>0</v>
      </c>
      <c r="F3732" s="3"/>
      <c r="G3732" s="3"/>
      <c r="H3732" s="3"/>
      <c r="I3732" s="3"/>
      <c r="J3732" s="3"/>
      <c r="K3732" s="628">
        <f t="shared" si="187"/>
        <v>0</v>
      </c>
      <c r="L3732" s="630">
        <f t="shared" si="188"/>
        <v>0</v>
      </c>
    </row>
    <row r="3733" spans="3:12" x14ac:dyDescent="0.2">
      <c r="C3733" s="589"/>
      <c r="D3733" s="590" t="s">
        <v>395</v>
      </c>
      <c r="E3733" s="591">
        <f>(F3733+G3733+H3733+I3733)*112.7+(J3733*119.6)</f>
        <v>0</v>
      </c>
      <c r="F3733" s="3"/>
      <c r="G3733" s="3"/>
      <c r="H3733" s="3"/>
      <c r="I3733" s="3"/>
      <c r="J3733" s="3"/>
      <c r="K3733" s="628">
        <f t="shared" si="187"/>
        <v>0</v>
      </c>
      <c r="L3733" s="630">
        <f t="shared" si="188"/>
        <v>0</v>
      </c>
    </row>
    <row r="3734" spans="3:12" x14ac:dyDescent="0.2">
      <c r="C3734" s="683"/>
      <c r="D3734" s="590" t="s">
        <v>112</v>
      </c>
      <c r="E3734" s="591">
        <f>(F3734+G3734+H3734+I3734)*112.7+(J3734*119.6)</f>
        <v>0</v>
      </c>
      <c r="F3734" s="3"/>
      <c r="G3734" s="3"/>
      <c r="H3734" s="3"/>
      <c r="I3734" s="3"/>
      <c r="J3734" s="3"/>
      <c r="K3734" s="628">
        <f t="shared" si="187"/>
        <v>0</v>
      </c>
      <c r="L3734" s="630">
        <f t="shared" si="188"/>
        <v>0</v>
      </c>
    </row>
    <row r="3735" spans="3:12" x14ac:dyDescent="0.2">
      <c r="C3735" s="683"/>
      <c r="D3735" s="590" t="s">
        <v>72</v>
      </c>
      <c r="E3735" s="591">
        <f>(F3735+G3735+H3735+I3735)*112.7+(J3735*119.6)</f>
        <v>0</v>
      </c>
      <c r="F3735" s="3"/>
      <c r="G3735" s="3"/>
      <c r="H3735" s="3"/>
      <c r="I3735" s="3"/>
      <c r="J3735" s="3"/>
      <c r="K3735" s="628">
        <f t="shared" si="187"/>
        <v>0</v>
      </c>
      <c r="L3735" s="630">
        <f t="shared" si="188"/>
        <v>0</v>
      </c>
    </row>
    <row r="3736" spans="3:12" x14ac:dyDescent="0.2">
      <c r="C3736" s="683"/>
      <c r="D3736" s="590" t="s">
        <v>187</v>
      </c>
      <c r="E3736" s="591"/>
      <c r="F3736" s="3"/>
      <c r="G3736" s="3">
        <v>2</v>
      </c>
      <c r="H3736" s="3"/>
      <c r="I3736" s="3"/>
      <c r="J3736" s="3">
        <v>8</v>
      </c>
      <c r="K3736" s="628">
        <f>SUM(F3736:J3736)</f>
        <v>10</v>
      </c>
      <c r="L3736" s="3"/>
    </row>
    <row r="3737" spans="3:12" ht="16" x14ac:dyDescent="0.2">
      <c r="C3737" s="683"/>
      <c r="D3737" s="590"/>
      <c r="E3737" s="592"/>
      <c r="F3737" s="3"/>
      <c r="G3737" s="3"/>
      <c r="H3737" s="3"/>
      <c r="I3737" s="3"/>
      <c r="J3737" s="3"/>
      <c r="K3737" s="628">
        <f>SUM(F3737:J3737)</f>
        <v>0</v>
      </c>
      <c r="L3737" s="3"/>
    </row>
    <row r="3738" spans="3:12" ht="17" thickBot="1" x14ac:dyDescent="0.25">
      <c r="C3738" s="683"/>
      <c r="D3738" s="590"/>
      <c r="E3738" s="624"/>
      <c r="F3738" s="69"/>
      <c r="G3738" s="69"/>
      <c r="H3738" s="69"/>
      <c r="I3738" s="69"/>
      <c r="J3738" s="69"/>
      <c r="K3738" s="629"/>
      <c r="L3738" s="3"/>
    </row>
    <row r="3739" spans="3:12" ht="16" thickBot="1" x14ac:dyDescent="0.25">
      <c r="C3739" s="596"/>
      <c r="D3739" s="623" t="s">
        <v>19</v>
      </c>
      <c r="E3739" s="625">
        <f>SUM(E3713:E3736)</f>
        <v>26612.799999999999</v>
      </c>
      <c r="F3739" s="614">
        <f>SUM(F3713:F3738)</f>
        <v>78</v>
      </c>
      <c r="G3739" s="614">
        <f>SUM(G3713:G3738)</f>
        <v>48</v>
      </c>
      <c r="H3739" s="614">
        <f>SUM(H3713:H3738)</f>
        <v>15</v>
      </c>
      <c r="I3739" s="614">
        <f>SUM(I3713:I3738)</f>
        <v>47</v>
      </c>
      <c r="J3739" s="614">
        <f>SUM(J3713:J3738)</f>
        <v>62</v>
      </c>
      <c r="K3739" s="626">
        <f>SUM(F3739:J3739)</f>
        <v>250</v>
      </c>
      <c r="L3739" s="631">
        <f>SUM(L3713:L3738)</f>
        <v>60</v>
      </c>
    </row>
    <row r="3740" spans="3:12" x14ac:dyDescent="0.2">
      <c r="C3740" s="596"/>
      <c r="D3740" s="593" t="s">
        <v>113</v>
      </c>
      <c r="E3740" s="620"/>
      <c r="F3740" s="610">
        <f>F3710-F3739</f>
        <v>6</v>
      </c>
      <c r="G3740" s="610">
        <f>G3710-G3739</f>
        <v>0</v>
      </c>
      <c r="H3740" s="610">
        <f>H3710-H3739</f>
        <v>0</v>
      </c>
      <c r="I3740" s="610">
        <f>I3710-I3739</f>
        <v>0</v>
      </c>
      <c r="J3740" s="610">
        <f>J3710-J3739</f>
        <v>0</v>
      </c>
      <c r="K3740" s="636">
        <f>SUM(F3740:J3740)</f>
        <v>6</v>
      </c>
      <c r="L3740" s="3"/>
    </row>
    <row r="3741" spans="3:12" x14ac:dyDescent="0.2">
      <c r="C3741" s="683"/>
      <c r="D3741" s="593" t="s">
        <v>436</v>
      </c>
      <c r="E3741" s="594"/>
      <c r="F3741" s="581"/>
      <c r="G3741" s="581"/>
      <c r="H3741" s="581"/>
      <c r="I3741" s="581"/>
      <c r="J3741" s="581"/>
      <c r="K3741" s="637">
        <f>K3739+K3740</f>
        <v>256</v>
      </c>
      <c r="L3741" s="3"/>
    </row>
    <row r="3743" spans="3:12" ht="18" x14ac:dyDescent="0.2">
      <c r="C3743" s="685" t="s">
        <v>412</v>
      </c>
      <c r="D3743" s="582">
        <v>45769</v>
      </c>
      <c r="E3743" s="800"/>
      <c r="F3743" s="685" t="s">
        <v>83</v>
      </c>
      <c r="G3743" s="801" t="s">
        <v>64</v>
      </c>
      <c r="H3743" s="802"/>
      <c r="I3743" s="802"/>
      <c r="J3743" s="802"/>
      <c r="K3743" s="803"/>
    </row>
    <row r="3744" spans="3:12" x14ac:dyDescent="0.2">
      <c r="C3744" s="804"/>
      <c r="D3744" s="805"/>
      <c r="E3744" s="800"/>
      <c r="F3744" s="683" t="s">
        <v>93</v>
      </c>
      <c r="G3744" s="683" t="s">
        <v>93</v>
      </c>
      <c r="H3744" s="683"/>
      <c r="I3744" s="806"/>
      <c r="J3744" s="806"/>
      <c r="K3744" s="806"/>
    </row>
    <row r="3745" spans="3:12" x14ac:dyDescent="0.2">
      <c r="C3745" s="804"/>
      <c r="D3745" s="805"/>
      <c r="E3745" s="800"/>
      <c r="F3745" s="683" t="s">
        <v>94</v>
      </c>
      <c r="G3745" s="683" t="s">
        <v>95</v>
      </c>
      <c r="H3745" s="683" t="s">
        <v>96</v>
      </c>
      <c r="I3745" s="806"/>
      <c r="J3745" s="806"/>
      <c r="K3745" s="806"/>
    </row>
    <row r="3746" spans="3:12" x14ac:dyDescent="0.2">
      <c r="C3746" s="804"/>
      <c r="D3746" s="805"/>
      <c r="E3746" s="800"/>
      <c r="F3746" s="683"/>
      <c r="G3746" s="683"/>
      <c r="H3746" s="683"/>
      <c r="I3746" s="806"/>
      <c r="J3746" s="806"/>
      <c r="K3746" s="806"/>
    </row>
    <row r="3747" spans="3:12" ht="16" x14ac:dyDescent="0.2">
      <c r="C3747" s="683"/>
      <c r="D3747" s="583" t="s">
        <v>97</v>
      </c>
      <c r="E3747" s="584"/>
      <c r="F3747" s="581"/>
      <c r="G3747" s="585"/>
      <c r="H3747" s="585"/>
      <c r="I3747" s="586"/>
      <c r="J3747" s="586"/>
      <c r="K3747" s="586"/>
    </row>
    <row r="3748" spans="3:12" ht="26" x14ac:dyDescent="0.2">
      <c r="C3748" s="804"/>
      <c r="D3748" s="587"/>
      <c r="E3748" s="588"/>
      <c r="F3748" s="585" t="s">
        <v>383</v>
      </c>
      <c r="G3748" s="585" t="s">
        <v>384</v>
      </c>
      <c r="H3748" s="585" t="s">
        <v>385</v>
      </c>
      <c r="I3748" s="585" t="s">
        <v>386</v>
      </c>
      <c r="J3748" s="585" t="s">
        <v>387</v>
      </c>
      <c r="K3748" s="585" t="s">
        <v>84</v>
      </c>
    </row>
    <row r="3749" spans="3:12" x14ac:dyDescent="0.2">
      <c r="C3749" s="804"/>
      <c r="D3749" s="684" t="s">
        <v>167</v>
      </c>
      <c r="E3749" s="588"/>
      <c r="F3749" s="580">
        <v>12</v>
      </c>
      <c r="G3749" s="579">
        <v>7</v>
      </c>
      <c r="H3749" s="580"/>
      <c r="I3749" s="580">
        <v>5</v>
      </c>
      <c r="J3749" s="580">
        <v>10</v>
      </c>
      <c r="K3749" s="580">
        <f>SUM(F3749:J3749)</f>
        <v>34</v>
      </c>
    </row>
    <row r="3750" spans="3:12" x14ac:dyDescent="0.2">
      <c r="C3750" s="804"/>
      <c r="D3750" s="684" t="s">
        <v>207</v>
      </c>
      <c r="E3750" s="588"/>
      <c r="F3750" s="618">
        <v>84</v>
      </c>
      <c r="G3750" s="619">
        <v>49</v>
      </c>
      <c r="H3750" s="618"/>
      <c r="I3750" s="618">
        <v>55</v>
      </c>
      <c r="J3750" s="618">
        <v>86</v>
      </c>
      <c r="K3750" s="618">
        <f>SUM(F3750:J3750)</f>
        <v>274</v>
      </c>
    </row>
    <row r="3751" spans="3:12" x14ac:dyDescent="0.2">
      <c r="C3751" s="683"/>
      <c r="D3751" s="684" t="s">
        <v>100</v>
      </c>
      <c r="E3751" s="588"/>
      <c r="F3751" s="581"/>
      <c r="G3751" s="581"/>
      <c r="H3751" s="581"/>
      <c r="I3751" s="581"/>
      <c r="J3751" s="581"/>
      <c r="K3751" s="581">
        <f>SUM(F3751:J3751)</f>
        <v>0</v>
      </c>
    </row>
    <row r="3752" spans="3:12" x14ac:dyDescent="0.2">
      <c r="C3752" s="683"/>
      <c r="D3752" s="684" t="s">
        <v>101</v>
      </c>
      <c r="E3752" s="588"/>
      <c r="F3752" s="581"/>
      <c r="G3752" s="581"/>
      <c r="H3752" s="581"/>
      <c r="I3752" s="581">
        <v>1</v>
      </c>
      <c r="J3752" s="581"/>
      <c r="K3752" s="581">
        <f>SUM(F3752:J3752)</f>
        <v>1</v>
      </c>
    </row>
    <row r="3753" spans="3:12" ht="16" thickBot="1" x14ac:dyDescent="0.25">
      <c r="C3753" s="683"/>
      <c r="D3753" s="597" t="s">
        <v>102</v>
      </c>
      <c r="E3753" s="598"/>
      <c r="F3753" s="599">
        <v>6</v>
      </c>
      <c r="G3753" s="600">
        <v>1</v>
      </c>
      <c r="H3753" s="600"/>
      <c r="I3753" s="600"/>
      <c r="J3753" s="600"/>
      <c r="K3753" s="600">
        <f>SUM(F3753:J3753)</f>
        <v>7</v>
      </c>
    </row>
    <row r="3754" spans="3:12" ht="17" thickBot="1" x14ac:dyDescent="0.25">
      <c r="C3754" s="605"/>
      <c r="D3754" s="612" t="s">
        <v>84</v>
      </c>
      <c r="E3754" s="613"/>
      <c r="F3754" s="614">
        <f t="shared" ref="F3754:K3754" si="189">(F3750+F3753)-F3752-F3751</f>
        <v>90</v>
      </c>
      <c r="G3754" s="615">
        <f t="shared" si="189"/>
        <v>50</v>
      </c>
      <c r="H3754" s="616">
        <f t="shared" si="189"/>
        <v>0</v>
      </c>
      <c r="I3754" s="615">
        <f t="shared" si="189"/>
        <v>54</v>
      </c>
      <c r="J3754" s="622">
        <f t="shared" si="189"/>
        <v>86</v>
      </c>
      <c r="K3754" s="617">
        <f t="shared" si="189"/>
        <v>280</v>
      </c>
    </row>
    <row r="3755" spans="3:12" ht="16" x14ac:dyDescent="0.2">
      <c r="C3755" s="683"/>
      <c r="D3755" s="608"/>
      <c r="E3755" s="609"/>
      <c r="F3755" s="610"/>
      <c r="G3755" s="595"/>
      <c r="H3755" s="611"/>
      <c r="I3755" s="595"/>
      <c r="J3755" s="595"/>
      <c r="K3755" s="595"/>
    </row>
    <row r="3756" spans="3:12" ht="16" thickBot="1" x14ac:dyDescent="0.25">
      <c r="C3756" s="606" t="s">
        <v>388</v>
      </c>
      <c r="D3756" s="607" t="s">
        <v>103</v>
      </c>
      <c r="E3756" s="603" t="s">
        <v>84</v>
      </c>
      <c r="F3756" s="602" t="s">
        <v>78</v>
      </c>
      <c r="G3756" s="602" t="s">
        <v>79</v>
      </c>
      <c r="H3756" s="602" t="s">
        <v>81</v>
      </c>
      <c r="I3756" s="601" t="s">
        <v>316</v>
      </c>
      <c r="J3756" s="601" t="s">
        <v>85</v>
      </c>
      <c r="K3756" s="601" t="s">
        <v>84</v>
      </c>
      <c r="L3756" s="174" t="s">
        <v>389</v>
      </c>
    </row>
    <row r="3757" spans="3:12" x14ac:dyDescent="0.2">
      <c r="C3757" s="589"/>
      <c r="D3757" s="604" t="s">
        <v>105</v>
      </c>
      <c r="E3757" s="591">
        <f>(F3757+G3757+H3757+I3757+J3757)*100+(0*230)</f>
        <v>0</v>
      </c>
      <c r="F3757" s="3"/>
      <c r="G3757" s="3"/>
      <c r="H3757" s="3"/>
      <c r="I3757" s="3"/>
      <c r="J3757" s="3"/>
      <c r="K3757" s="628">
        <f t="shared" ref="K3757:K3779" si="190">SUM(F3757:J3757)</f>
        <v>0</v>
      </c>
      <c r="L3757" s="630">
        <f>K3757/4</f>
        <v>0</v>
      </c>
    </row>
    <row r="3758" spans="3:12" x14ac:dyDescent="0.2">
      <c r="C3758" s="589"/>
      <c r="D3758" s="590" t="s">
        <v>390</v>
      </c>
      <c r="E3758" s="591">
        <f>(F3758+G3758+H3758+I3758+J3758)*120</f>
        <v>0</v>
      </c>
      <c r="F3758" s="3"/>
      <c r="G3758" s="3"/>
      <c r="H3758" s="3"/>
      <c r="I3758" s="3"/>
      <c r="J3758" s="3"/>
      <c r="K3758" s="628">
        <f t="shared" si="190"/>
        <v>0</v>
      </c>
      <c r="L3758" s="630">
        <f t="shared" ref="L3758:L3779" si="191">K3758/4</f>
        <v>0</v>
      </c>
    </row>
    <row r="3759" spans="3:12" x14ac:dyDescent="0.2">
      <c r="C3759" s="589"/>
      <c r="D3759" s="590" t="s">
        <v>391</v>
      </c>
      <c r="E3759" s="591">
        <f>(F3759+G3759+H3759+I3759+J3759)*120</f>
        <v>0</v>
      </c>
      <c r="F3759" s="3"/>
      <c r="G3759" s="3"/>
      <c r="H3759" s="3"/>
      <c r="I3759" s="3"/>
      <c r="J3759" s="3"/>
      <c r="K3759" s="628">
        <f t="shared" si="190"/>
        <v>0</v>
      </c>
      <c r="L3759" s="630">
        <f t="shared" si="191"/>
        <v>0</v>
      </c>
    </row>
    <row r="3760" spans="3:12" x14ac:dyDescent="0.2">
      <c r="C3760" s="589"/>
      <c r="D3760" s="590" t="s">
        <v>392</v>
      </c>
      <c r="E3760" s="591">
        <f>(F3760+G3760+H3760+I3760+J3760)*120</f>
        <v>0</v>
      </c>
      <c r="F3760" s="3"/>
      <c r="G3760" s="3"/>
      <c r="H3760" s="3"/>
      <c r="I3760" s="3"/>
      <c r="J3760" s="3"/>
      <c r="K3760" s="628">
        <f t="shared" si="190"/>
        <v>0</v>
      </c>
      <c r="L3760" s="630">
        <f t="shared" si="191"/>
        <v>0</v>
      </c>
    </row>
    <row r="3761" spans="3:12" x14ac:dyDescent="0.2">
      <c r="C3761" s="589"/>
      <c r="D3761" s="590" t="s">
        <v>425</v>
      </c>
      <c r="E3761" s="591">
        <f>(F3761+G3761+H3761+I3761+J3761)*120</f>
        <v>0</v>
      </c>
      <c r="F3761" s="3"/>
      <c r="G3761" s="3"/>
      <c r="H3761" s="3"/>
      <c r="I3761" s="3"/>
      <c r="J3761" s="3"/>
      <c r="K3761" s="628">
        <f t="shared" si="190"/>
        <v>0</v>
      </c>
      <c r="L3761" s="630">
        <f t="shared" si="191"/>
        <v>0</v>
      </c>
    </row>
    <row r="3762" spans="3:12" x14ac:dyDescent="0.2">
      <c r="C3762" s="589"/>
      <c r="D3762" s="590"/>
      <c r="E3762" s="591"/>
      <c r="F3762" s="3"/>
      <c r="G3762" s="3"/>
      <c r="H3762" s="3"/>
      <c r="I3762" s="3"/>
      <c r="J3762" s="3"/>
      <c r="K3762" s="628">
        <f t="shared" si="190"/>
        <v>0</v>
      </c>
      <c r="L3762" s="630">
        <f t="shared" si="191"/>
        <v>0</v>
      </c>
    </row>
    <row r="3763" spans="3:12" x14ac:dyDescent="0.2">
      <c r="C3763" s="589"/>
      <c r="D3763" s="590" t="s">
        <v>108</v>
      </c>
      <c r="E3763" s="591">
        <f>(F3763+G3763+H3763+J3763)*112.7+(I3763*119.6)</f>
        <v>0</v>
      </c>
      <c r="F3763" s="3"/>
      <c r="G3763" s="3"/>
      <c r="H3763" s="3"/>
      <c r="I3763" s="3"/>
      <c r="J3763" s="3"/>
      <c r="K3763" s="628">
        <f t="shared" si="190"/>
        <v>0</v>
      </c>
      <c r="L3763" s="630">
        <f t="shared" si="191"/>
        <v>0</v>
      </c>
    </row>
    <row r="3764" spans="3:12" x14ac:dyDescent="0.2">
      <c r="C3764" s="589"/>
      <c r="D3764" s="590" t="s">
        <v>393</v>
      </c>
      <c r="E3764" s="591">
        <f>(F3764+G3764+H3764+J3764)*112.7+(I3764*119.6)</f>
        <v>0</v>
      </c>
      <c r="F3764" s="3"/>
      <c r="G3764" s="3"/>
      <c r="H3764" s="3"/>
      <c r="I3764" s="3"/>
      <c r="J3764" s="3"/>
      <c r="K3764" s="628">
        <f t="shared" si="190"/>
        <v>0</v>
      </c>
      <c r="L3764" s="630">
        <f t="shared" si="191"/>
        <v>0</v>
      </c>
    </row>
    <row r="3765" spans="3:12" x14ac:dyDescent="0.2">
      <c r="C3765" s="589"/>
      <c r="D3765" s="590" t="s">
        <v>216</v>
      </c>
      <c r="E3765" s="591">
        <f>(F3765+G3765+H3765+J3765)*112.7+(I3765*119.6)</f>
        <v>0</v>
      </c>
      <c r="F3765" s="3"/>
      <c r="G3765" s="3"/>
      <c r="H3765" s="3"/>
      <c r="I3765" s="3"/>
      <c r="J3765" s="3"/>
      <c r="K3765" s="628">
        <f t="shared" si="190"/>
        <v>0</v>
      </c>
      <c r="L3765" s="630">
        <f t="shared" si="191"/>
        <v>0</v>
      </c>
    </row>
    <row r="3766" spans="3:12" x14ac:dyDescent="0.2">
      <c r="C3766" s="589"/>
      <c r="D3766" s="590"/>
      <c r="E3766" s="591"/>
      <c r="F3766" s="3"/>
      <c r="G3766" s="3"/>
      <c r="H3766" s="3"/>
      <c r="I3766" s="3"/>
      <c r="J3766" s="3"/>
      <c r="K3766" s="628">
        <f t="shared" si="190"/>
        <v>0</v>
      </c>
      <c r="L3766" s="630">
        <f t="shared" si="191"/>
        <v>0</v>
      </c>
    </row>
    <row r="3767" spans="3:12" x14ac:dyDescent="0.2">
      <c r="C3767" s="589"/>
      <c r="D3767" s="590" t="s">
        <v>394</v>
      </c>
      <c r="E3767" s="591">
        <f>(F3767+G3767+H3767+I3767+J3767)*120</f>
        <v>0</v>
      </c>
      <c r="F3767" s="3"/>
      <c r="G3767" s="3"/>
      <c r="H3767" s="3"/>
      <c r="I3767" s="3"/>
      <c r="J3767" s="3"/>
      <c r="K3767" s="628">
        <f t="shared" si="190"/>
        <v>0</v>
      </c>
      <c r="L3767" s="630">
        <f t="shared" si="191"/>
        <v>0</v>
      </c>
    </row>
    <row r="3768" spans="3:12" x14ac:dyDescent="0.2">
      <c r="C3768" s="589"/>
      <c r="D3768" s="590" t="s">
        <v>110</v>
      </c>
      <c r="E3768" s="591">
        <f>(F3768+G3768+H3768+J3768)*112.7+(I3768*119.6)</f>
        <v>0</v>
      </c>
      <c r="F3768" s="3"/>
      <c r="G3768" s="3"/>
      <c r="H3768" s="3"/>
      <c r="I3768" s="3"/>
      <c r="J3768" s="3"/>
      <c r="K3768" s="628">
        <f t="shared" si="190"/>
        <v>0</v>
      </c>
      <c r="L3768" s="630">
        <f t="shared" si="191"/>
        <v>0</v>
      </c>
    </row>
    <row r="3769" spans="3:12" x14ac:dyDescent="0.2">
      <c r="C3769" s="589"/>
      <c r="D3769" s="590"/>
      <c r="E3769" s="591"/>
      <c r="F3769" s="3"/>
      <c r="G3769" s="3"/>
      <c r="H3769" s="3"/>
      <c r="I3769" s="3"/>
      <c r="J3769" s="3"/>
      <c r="K3769" s="628">
        <f t="shared" si="190"/>
        <v>0</v>
      </c>
      <c r="L3769" s="630">
        <f t="shared" si="191"/>
        <v>0</v>
      </c>
    </row>
    <row r="3770" spans="3:12" x14ac:dyDescent="0.2">
      <c r="C3770" s="589"/>
      <c r="D3770" s="590" t="s">
        <v>381</v>
      </c>
      <c r="E3770" s="591">
        <f>(F3770+G3770+H3770+I3770+J3770)*120+(240*0)+(0*45)</f>
        <v>0</v>
      </c>
      <c r="F3770" s="3"/>
      <c r="G3770" s="3"/>
      <c r="H3770" s="3"/>
      <c r="I3770" s="3"/>
      <c r="J3770" s="3"/>
      <c r="K3770" s="628">
        <f t="shared" si="190"/>
        <v>0</v>
      </c>
      <c r="L3770" s="630">
        <f t="shared" si="191"/>
        <v>0</v>
      </c>
    </row>
    <row r="3771" spans="3:12" x14ac:dyDescent="0.2">
      <c r="C3771" s="589"/>
      <c r="D3771" s="590" t="s">
        <v>276</v>
      </c>
      <c r="E3771" s="591">
        <f>(F3771+G3771+H3771+J3771)*112.7+(I3771*119.6)</f>
        <v>0</v>
      </c>
      <c r="F3771" s="3"/>
      <c r="G3771" s="3"/>
      <c r="H3771" s="3"/>
      <c r="I3771" s="3"/>
      <c r="J3771" s="3"/>
      <c r="K3771" s="628">
        <f t="shared" si="190"/>
        <v>0</v>
      </c>
      <c r="L3771" s="630">
        <f t="shared" si="191"/>
        <v>0</v>
      </c>
    </row>
    <row r="3772" spans="3:12" x14ac:dyDescent="0.2">
      <c r="C3772" s="589"/>
      <c r="D3772" s="590"/>
      <c r="E3772" s="591"/>
      <c r="F3772" s="3"/>
      <c r="G3772" s="3"/>
      <c r="H3772" s="3"/>
      <c r="I3772" s="3"/>
      <c r="J3772" s="3"/>
      <c r="K3772" s="628">
        <f t="shared" si="190"/>
        <v>0</v>
      </c>
      <c r="L3772" s="630">
        <f t="shared" si="191"/>
        <v>0</v>
      </c>
    </row>
    <row r="3773" spans="3:12" x14ac:dyDescent="0.2">
      <c r="C3773" s="589"/>
      <c r="D3773" s="590" t="s">
        <v>75</v>
      </c>
      <c r="E3773" s="591">
        <f>(F3773+G3773+H3773+I3773+J3773)*120</f>
        <v>0</v>
      </c>
      <c r="F3773" s="3"/>
      <c r="G3773" s="3"/>
      <c r="H3773" s="3"/>
      <c r="I3773" s="3"/>
      <c r="J3773" s="3"/>
      <c r="K3773" s="628">
        <f t="shared" si="190"/>
        <v>0</v>
      </c>
      <c r="L3773" s="630">
        <f t="shared" si="191"/>
        <v>0</v>
      </c>
    </row>
    <row r="3774" spans="3:12" x14ac:dyDescent="0.2">
      <c r="C3774" s="589"/>
      <c r="D3774" s="590" t="s">
        <v>278</v>
      </c>
      <c r="E3774" s="591">
        <f>(F3774+G3774+H3774+I3774+J3774)*120</f>
        <v>0</v>
      </c>
      <c r="F3774" s="3"/>
      <c r="G3774" s="3"/>
      <c r="H3774" s="3"/>
      <c r="I3774" s="3"/>
      <c r="J3774" s="3"/>
      <c r="K3774" s="628">
        <f t="shared" si="190"/>
        <v>0</v>
      </c>
      <c r="L3774" s="630">
        <f t="shared" si="191"/>
        <v>0</v>
      </c>
    </row>
    <row r="3775" spans="3:12" x14ac:dyDescent="0.2">
      <c r="C3775" s="589" t="s">
        <v>1030</v>
      </c>
      <c r="D3775" s="590" t="s">
        <v>270</v>
      </c>
      <c r="E3775" s="591">
        <f>(F3775+G3775+H3775+I3775)*112.7+(J3775*119.6)</f>
        <v>8286.9000000000015</v>
      </c>
      <c r="F3775" s="3">
        <v>27</v>
      </c>
      <c r="G3775" s="3">
        <v>10</v>
      </c>
      <c r="H3775" s="3"/>
      <c r="I3775" s="3">
        <v>10</v>
      </c>
      <c r="J3775" s="3">
        <v>25</v>
      </c>
      <c r="K3775" s="628">
        <f t="shared" si="190"/>
        <v>72</v>
      </c>
      <c r="L3775" s="630">
        <f t="shared" si="191"/>
        <v>18</v>
      </c>
    </row>
    <row r="3776" spans="3:12" x14ac:dyDescent="0.2">
      <c r="C3776" s="589" t="s">
        <v>1029</v>
      </c>
      <c r="D3776" s="590" t="s">
        <v>274</v>
      </c>
      <c r="E3776" s="591">
        <f>(F3776+G3776+H3776+I3776)*112.7+(J3776*119.6)</f>
        <v>4351.6000000000004</v>
      </c>
      <c r="F3776" s="3">
        <v>10</v>
      </c>
      <c r="G3776" s="3">
        <v>8</v>
      </c>
      <c r="H3776" s="3"/>
      <c r="I3776" s="3">
        <v>10</v>
      </c>
      <c r="J3776" s="3">
        <v>10</v>
      </c>
      <c r="K3776" s="628">
        <f t="shared" si="190"/>
        <v>38</v>
      </c>
      <c r="L3776" s="630">
        <f t="shared" si="191"/>
        <v>9.5</v>
      </c>
    </row>
    <row r="3777" spans="3:12" x14ac:dyDescent="0.2">
      <c r="C3777" s="589" t="s">
        <v>1028</v>
      </c>
      <c r="D3777" s="590" t="s">
        <v>395</v>
      </c>
      <c r="E3777" s="591">
        <f>(F3777+G3777+H3777+I3777)*112.7+(J3777*119.6)</f>
        <v>5506.2</v>
      </c>
      <c r="F3777" s="3">
        <v>14</v>
      </c>
      <c r="G3777" s="3">
        <v>10</v>
      </c>
      <c r="H3777" s="3"/>
      <c r="I3777" s="3">
        <v>10</v>
      </c>
      <c r="J3777" s="3">
        <v>14</v>
      </c>
      <c r="K3777" s="628">
        <f t="shared" si="190"/>
        <v>48</v>
      </c>
      <c r="L3777" s="630">
        <f t="shared" si="191"/>
        <v>12</v>
      </c>
    </row>
    <row r="3778" spans="3:12" x14ac:dyDescent="0.2">
      <c r="C3778" s="683">
        <v>1177682385</v>
      </c>
      <c r="D3778" s="590" t="s">
        <v>112</v>
      </c>
      <c r="E3778" s="591">
        <f>(F3778+G3778+H3778+I3778)*112.7+(J3778*119.6)</f>
        <v>5506.2</v>
      </c>
      <c r="F3778" s="3">
        <v>14</v>
      </c>
      <c r="G3778" s="3">
        <v>10</v>
      </c>
      <c r="H3778" s="3"/>
      <c r="I3778" s="3">
        <v>10</v>
      </c>
      <c r="J3778" s="3">
        <v>14</v>
      </c>
      <c r="K3778" s="628">
        <f t="shared" si="190"/>
        <v>48</v>
      </c>
      <c r="L3778" s="630">
        <f t="shared" si="191"/>
        <v>12</v>
      </c>
    </row>
    <row r="3779" spans="3:12" x14ac:dyDescent="0.2">
      <c r="C3779" s="683">
        <v>1177682383</v>
      </c>
      <c r="D3779" s="590" t="s">
        <v>72</v>
      </c>
      <c r="E3779" s="591">
        <f>(F3779+G3779+H3779+I3779)*112.7+(J3779*119.6)</f>
        <v>5506.2</v>
      </c>
      <c r="F3779" s="3">
        <v>14</v>
      </c>
      <c r="G3779" s="3">
        <v>10</v>
      </c>
      <c r="H3779" s="3"/>
      <c r="I3779" s="3">
        <v>10</v>
      </c>
      <c r="J3779" s="3">
        <v>14</v>
      </c>
      <c r="K3779" s="628">
        <f t="shared" si="190"/>
        <v>48</v>
      </c>
      <c r="L3779" s="630">
        <f t="shared" si="191"/>
        <v>12</v>
      </c>
    </row>
    <row r="3780" spans="3:12" x14ac:dyDescent="0.2">
      <c r="C3780" s="683"/>
      <c r="D3780" s="590" t="s">
        <v>187</v>
      </c>
      <c r="E3780" s="591"/>
      <c r="F3780" s="3">
        <v>2</v>
      </c>
      <c r="G3780" s="3"/>
      <c r="H3780" s="3"/>
      <c r="I3780" s="3"/>
      <c r="J3780" s="3">
        <v>8</v>
      </c>
      <c r="K3780" s="628">
        <f>SUM(F3780:J3780)</f>
        <v>10</v>
      </c>
      <c r="L3780" s="3"/>
    </row>
    <row r="3781" spans="3:12" ht="16" x14ac:dyDescent="0.2">
      <c r="C3781" s="683"/>
      <c r="D3781" s="590"/>
      <c r="E3781" s="592"/>
      <c r="F3781" s="3"/>
      <c r="G3781" s="3"/>
      <c r="H3781" s="3"/>
      <c r="I3781" s="3"/>
      <c r="J3781" s="3"/>
      <c r="K3781" s="628">
        <f>SUM(F3781:J3781)</f>
        <v>0</v>
      </c>
      <c r="L3781" s="3"/>
    </row>
    <row r="3782" spans="3:12" ht="17" thickBot="1" x14ac:dyDescent="0.25">
      <c r="C3782" s="683"/>
      <c r="D3782" s="590"/>
      <c r="E3782" s="624"/>
      <c r="F3782" s="69"/>
      <c r="G3782" s="69"/>
      <c r="H3782" s="69"/>
      <c r="I3782" s="69"/>
      <c r="J3782" s="69"/>
      <c r="K3782" s="629"/>
      <c r="L3782" s="3"/>
    </row>
    <row r="3783" spans="3:12" ht="16" thickBot="1" x14ac:dyDescent="0.25">
      <c r="C3783" s="596"/>
      <c r="D3783" s="623" t="s">
        <v>19</v>
      </c>
      <c r="E3783" s="625">
        <f>SUM(E3757:E3780)</f>
        <v>29157.100000000002</v>
      </c>
      <c r="F3783" s="614">
        <f>SUM(F3757:F3782)</f>
        <v>81</v>
      </c>
      <c r="G3783" s="614">
        <f>SUM(G3757:G3782)</f>
        <v>48</v>
      </c>
      <c r="H3783" s="614">
        <f>SUM(H3757:H3782)</f>
        <v>0</v>
      </c>
      <c r="I3783" s="614">
        <f>SUM(I3757:I3782)</f>
        <v>50</v>
      </c>
      <c r="J3783" s="614">
        <f>SUM(J3757:J3782)</f>
        <v>85</v>
      </c>
      <c r="K3783" s="626">
        <f>SUM(F3783:J3783)</f>
        <v>264</v>
      </c>
      <c r="L3783" s="631">
        <f>SUM(L3757:L3782)</f>
        <v>63.5</v>
      </c>
    </row>
    <row r="3784" spans="3:12" x14ac:dyDescent="0.2">
      <c r="C3784" s="596"/>
      <c r="D3784" s="593" t="s">
        <v>113</v>
      </c>
      <c r="E3784" s="620"/>
      <c r="F3784" s="610">
        <f>F3754-F3783</f>
        <v>9</v>
      </c>
      <c r="G3784" s="610">
        <f>G3754-G3783</f>
        <v>2</v>
      </c>
      <c r="H3784" s="610">
        <f>H3754-H3783</f>
        <v>0</v>
      </c>
      <c r="I3784" s="610">
        <f>I3754-I3783</f>
        <v>4</v>
      </c>
      <c r="J3784" s="610">
        <f>J3754-J3783</f>
        <v>1</v>
      </c>
      <c r="K3784" s="636">
        <f>SUM(F3784:J3784)</f>
        <v>16</v>
      </c>
      <c r="L3784" s="3"/>
    </row>
    <row r="3785" spans="3:12" x14ac:dyDescent="0.2">
      <c r="C3785" s="683"/>
      <c r="D3785" s="593" t="s">
        <v>436</v>
      </c>
      <c r="E3785" s="594"/>
      <c r="F3785" s="581"/>
      <c r="G3785" s="581"/>
      <c r="H3785" s="581"/>
      <c r="I3785" s="581"/>
      <c r="J3785" s="581"/>
      <c r="K3785" s="637">
        <f>K3783+K3784</f>
        <v>280</v>
      </c>
      <c r="L3785" s="3"/>
    </row>
    <row r="3787" spans="3:12" ht="18" x14ac:dyDescent="0.2">
      <c r="C3787" s="685" t="s">
        <v>412</v>
      </c>
      <c r="D3787" s="582">
        <v>45770</v>
      </c>
      <c r="E3787" s="800"/>
      <c r="F3787" s="685" t="s">
        <v>83</v>
      </c>
      <c r="G3787" s="801" t="s">
        <v>65</v>
      </c>
      <c r="H3787" s="802"/>
      <c r="I3787" s="802"/>
      <c r="J3787" s="802"/>
      <c r="K3787" s="803"/>
    </row>
    <row r="3788" spans="3:12" x14ac:dyDescent="0.2">
      <c r="C3788" s="804"/>
      <c r="D3788" s="805"/>
      <c r="E3788" s="800"/>
      <c r="F3788" s="683" t="s">
        <v>93</v>
      </c>
      <c r="G3788" s="683" t="s">
        <v>93</v>
      </c>
      <c r="H3788" s="683"/>
      <c r="I3788" s="806"/>
      <c r="J3788" s="806"/>
      <c r="K3788" s="806"/>
    </row>
    <row r="3789" spans="3:12" x14ac:dyDescent="0.2">
      <c r="C3789" s="804"/>
      <c r="D3789" s="805"/>
      <c r="E3789" s="800"/>
      <c r="F3789" s="683" t="s">
        <v>94</v>
      </c>
      <c r="G3789" s="683" t="s">
        <v>95</v>
      </c>
      <c r="H3789" s="683" t="s">
        <v>96</v>
      </c>
      <c r="I3789" s="806"/>
      <c r="J3789" s="806"/>
      <c r="K3789" s="806"/>
    </row>
    <row r="3790" spans="3:12" x14ac:dyDescent="0.2">
      <c r="C3790" s="804"/>
      <c r="D3790" s="805"/>
      <c r="E3790" s="800"/>
      <c r="F3790" s="683"/>
      <c r="G3790" s="683"/>
      <c r="H3790" s="683"/>
      <c r="I3790" s="806"/>
      <c r="J3790" s="806"/>
      <c r="K3790" s="806"/>
    </row>
    <row r="3791" spans="3:12" ht="16" x14ac:dyDescent="0.2">
      <c r="C3791" s="683"/>
      <c r="D3791" s="583" t="s">
        <v>97</v>
      </c>
      <c r="E3791" s="584"/>
      <c r="F3791" s="581"/>
      <c r="G3791" s="585"/>
      <c r="H3791" s="585"/>
      <c r="I3791" s="586"/>
      <c r="J3791" s="586"/>
      <c r="K3791" s="586"/>
    </row>
    <row r="3792" spans="3:12" ht="26" x14ac:dyDescent="0.2">
      <c r="C3792" s="804"/>
      <c r="D3792" s="587"/>
      <c r="E3792" s="588"/>
      <c r="F3792" s="585" t="s">
        <v>383</v>
      </c>
      <c r="G3792" s="585" t="s">
        <v>384</v>
      </c>
      <c r="H3792" s="585" t="s">
        <v>385</v>
      </c>
      <c r="I3792" s="585" t="s">
        <v>386</v>
      </c>
      <c r="J3792" s="585" t="s">
        <v>387</v>
      </c>
      <c r="K3792" s="585" t="s">
        <v>84</v>
      </c>
    </row>
    <row r="3793" spans="3:12" x14ac:dyDescent="0.2">
      <c r="C3793" s="804"/>
      <c r="D3793" s="684" t="s">
        <v>167</v>
      </c>
      <c r="E3793" s="588"/>
      <c r="F3793" s="580">
        <v>15</v>
      </c>
      <c r="G3793" s="579">
        <v>8</v>
      </c>
      <c r="H3793" s="580">
        <v>4</v>
      </c>
      <c r="I3793" s="580">
        <v>5</v>
      </c>
      <c r="J3793" s="580">
        <v>10</v>
      </c>
      <c r="K3793" s="580">
        <f>SUM(F3793:J3793)</f>
        <v>42</v>
      </c>
    </row>
    <row r="3794" spans="3:12" x14ac:dyDescent="0.2">
      <c r="C3794" s="804"/>
      <c r="D3794" s="684" t="s">
        <v>207</v>
      </c>
      <c r="E3794" s="588"/>
      <c r="F3794" s="618">
        <v>105</v>
      </c>
      <c r="G3794" s="619">
        <v>56</v>
      </c>
      <c r="H3794" s="618">
        <v>28</v>
      </c>
      <c r="I3794" s="618">
        <v>55</v>
      </c>
      <c r="J3794" s="618">
        <v>88</v>
      </c>
      <c r="K3794" s="618">
        <f>SUM(F3794:J3794)</f>
        <v>332</v>
      </c>
    </row>
    <row r="3795" spans="3:12" x14ac:dyDescent="0.2">
      <c r="C3795" s="683"/>
      <c r="D3795" s="684" t="s">
        <v>100</v>
      </c>
      <c r="E3795" s="588"/>
      <c r="F3795" s="581"/>
      <c r="G3795" s="581"/>
      <c r="H3795" s="581"/>
      <c r="I3795" s="581"/>
      <c r="J3795" s="581">
        <v>1</v>
      </c>
      <c r="K3795" s="581">
        <f>SUM(F3795:J3795)</f>
        <v>1</v>
      </c>
    </row>
    <row r="3796" spans="3:12" x14ac:dyDescent="0.2">
      <c r="C3796" s="683"/>
      <c r="D3796" s="684" t="s">
        <v>101</v>
      </c>
      <c r="E3796" s="588"/>
      <c r="F3796" s="581"/>
      <c r="G3796" s="581">
        <v>2</v>
      </c>
      <c r="H3796" s="581"/>
      <c r="I3796" s="581"/>
      <c r="J3796" s="581"/>
      <c r="K3796" s="581">
        <f>SUM(F3796:J3796)</f>
        <v>2</v>
      </c>
    </row>
    <row r="3797" spans="3:12" ht="16" thickBot="1" x14ac:dyDescent="0.25">
      <c r="C3797" s="683"/>
      <c r="D3797" s="597" t="s">
        <v>102</v>
      </c>
      <c r="E3797" s="598"/>
      <c r="F3797" s="599">
        <v>10</v>
      </c>
      <c r="G3797" s="600">
        <v>3</v>
      </c>
      <c r="H3797" s="600"/>
      <c r="I3797" s="600">
        <v>5</v>
      </c>
      <c r="J3797" s="600">
        <v>1</v>
      </c>
      <c r="K3797" s="600">
        <f>SUM(F3797:J3797)</f>
        <v>19</v>
      </c>
    </row>
    <row r="3798" spans="3:12" ht="17" thickBot="1" x14ac:dyDescent="0.25">
      <c r="C3798" s="605"/>
      <c r="D3798" s="612" t="s">
        <v>84</v>
      </c>
      <c r="E3798" s="613"/>
      <c r="F3798" s="614">
        <f t="shared" ref="F3798:K3798" si="192">(F3794+F3797)-F3796-F3795</f>
        <v>115</v>
      </c>
      <c r="G3798" s="615">
        <f t="shared" si="192"/>
        <v>57</v>
      </c>
      <c r="H3798" s="616">
        <f t="shared" si="192"/>
        <v>28</v>
      </c>
      <c r="I3798" s="615">
        <f t="shared" si="192"/>
        <v>60</v>
      </c>
      <c r="J3798" s="622">
        <f t="shared" si="192"/>
        <v>88</v>
      </c>
      <c r="K3798" s="617">
        <f t="shared" si="192"/>
        <v>348</v>
      </c>
    </row>
    <row r="3799" spans="3:12" ht="16" x14ac:dyDescent="0.2">
      <c r="C3799" s="683"/>
      <c r="D3799" s="608"/>
      <c r="E3799" s="609"/>
      <c r="F3799" s="610"/>
      <c r="G3799" s="595"/>
      <c r="H3799" s="611"/>
      <c r="I3799" s="595"/>
      <c r="J3799" s="595"/>
      <c r="K3799" s="595"/>
    </row>
    <row r="3800" spans="3:12" ht="16" thickBot="1" x14ac:dyDescent="0.25">
      <c r="C3800" s="606" t="s">
        <v>388</v>
      </c>
      <c r="D3800" s="607" t="s">
        <v>103</v>
      </c>
      <c r="E3800" s="603" t="s">
        <v>84</v>
      </c>
      <c r="F3800" s="602" t="s">
        <v>78</v>
      </c>
      <c r="G3800" s="602" t="s">
        <v>79</v>
      </c>
      <c r="H3800" s="602" t="s">
        <v>81</v>
      </c>
      <c r="I3800" s="601" t="s">
        <v>316</v>
      </c>
      <c r="J3800" s="601" t="s">
        <v>85</v>
      </c>
      <c r="K3800" s="601" t="s">
        <v>84</v>
      </c>
      <c r="L3800" s="174" t="s">
        <v>389</v>
      </c>
    </row>
    <row r="3801" spans="3:12" x14ac:dyDescent="0.2">
      <c r="C3801" s="589" t="s">
        <v>570</v>
      </c>
      <c r="D3801" s="604" t="s">
        <v>105</v>
      </c>
      <c r="E3801" s="591">
        <f>(F3801+G3801+H3801+I3801+J3801)*100+(0*230)</f>
        <v>5200</v>
      </c>
      <c r="F3801" s="3">
        <v>16</v>
      </c>
      <c r="G3801" s="3">
        <v>8</v>
      </c>
      <c r="H3801" s="3">
        <v>6</v>
      </c>
      <c r="I3801" s="3">
        <v>6</v>
      </c>
      <c r="J3801" s="3">
        <v>16</v>
      </c>
      <c r="K3801" s="628">
        <f t="shared" ref="K3801:K3823" si="193">SUM(F3801:J3801)</f>
        <v>52</v>
      </c>
      <c r="L3801" s="630">
        <f>K3801/4</f>
        <v>13</v>
      </c>
    </row>
    <row r="3802" spans="3:12" x14ac:dyDescent="0.2">
      <c r="C3802" s="589" t="s">
        <v>571</v>
      </c>
      <c r="D3802" s="590" t="s">
        <v>390</v>
      </c>
      <c r="E3802" s="591">
        <f>(F3802+G3802+H3802+I3802+J3802)*120</f>
        <v>1440</v>
      </c>
      <c r="F3802" s="3">
        <v>3</v>
      </c>
      <c r="G3802" s="3">
        <v>2</v>
      </c>
      <c r="H3802" s="3">
        <v>2</v>
      </c>
      <c r="I3802" s="3">
        <v>2</v>
      </c>
      <c r="J3802" s="3">
        <v>3</v>
      </c>
      <c r="K3802" s="628">
        <f t="shared" si="193"/>
        <v>12</v>
      </c>
      <c r="L3802" s="630">
        <f t="shared" ref="L3802:L3823" si="194">K3802/4</f>
        <v>3</v>
      </c>
    </row>
    <row r="3803" spans="3:12" x14ac:dyDescent="0.2">
      <c r="C3803" s="589" t="s">
        <v>1033</v>
      </c>
      <c r="D3803" s="590" t="s">
        <v>391</v>
      </c>
      <c r="E3803" s="591">
        <f>(F3803+G3803+H3803+I3803+J3803)*120</f>
        <v>2040</v>
      </c>
      <c r="F3803" s="3">
        <v>1</v>
      </c>
      <c r="G3803" s="3">
        <v>2</v>
      </c>
      <c r="H3803" s="3">
        <v>4</v>
      </c>
      <c r="I3803" s="3">
        <v>5</v>
      </c>
      <c r="J3803" s="3">
        <v>5</v>
      </c>
      <c r="K3803" s="628">
        <f t="shared" si="193"/>
        <v>17</v>
      </c>
      <c r="L3803" s="630">
        <f t="shared" si="194"/>
        <v>4.25</v>
      </c>
    </row>
    <row r="3804" spans="3:12" x14ac:dyDescent="0.2">
      <c r="C3804" s="589"/>
      <c r="D3804" s="590" t="s">
        <v>392</v>
      </c>
      <c r="E3804" s="591">
        <f>(F3804+G3804+H3804+I3804+J3804)*120</f>
        <v>0</v>
      </c>
      <c r="F3804" s="3"/>
      <c r="G3804" s="3"/>
      <c r="H3804" s="3"/>
      <c r="I3804" s="3"/>
      <c r="J3804" s="3"/>
      <c r="K3804" s="628">
        <f t="shared" si="193"/>
        <v>0</v>
      </c>
      <c r="L3804" s="630">
        <f t="shared" si="194"/>
        <v>0</v>
      </c>
    </row>
    <row r="3805" spans="3:12" x14ac:dyDescent="0.2">
      <c r="C3805" s="589"/>
      <c r="D3805" s="590" t="s">
        <v>425</v>
      </c>
      <c r="E3805" s="591">
        <f>(F3805+G3805+H3805+I3805+J3805)*120</f>
        <v>0</v>
      </c>
      <c r="F3805" s="3"/>
      <c r="G3805" s="3"/>
      <c r="H3805" s="3"/>
      <c r="I3805" s="3"/>
      <c r="J3805" s="3"/>
      <c r="K3805" s="628">
        <f t="shared" si="193"/>
        <v>0</v>
      </c>
      <c r="L3805" s="630">
        <f t="shared" si="194"/>
        <v>0</v>
      </c>
    </row>
    <row r="3806" spans="3:12" x14ac:dyDescent="0.2">
      <c r="C3806" s="589"/>
      <c r="D3806" s="590"/>
      <c r="E3806" s="591"/>
      <c r="F3806" s="3"/>
      <c r="G3806" s="3"/>
      <c r="H3806" s="3"/>
      <c r="I3806" s="3"/>
      <c r="J3806" s="3"/>
      <c r="K3806" s="628">
        <f t="shared" si="193"/>
        <v>0</v>
      </c>
      <c r="L3806" s="630">
        <f t="shared" si="194"/>
        <v>0</v>
      </c>
    </row>
    <row r="3807" spans="3:12" x14ac:dyDescent="0.2">
      <c r="C3807" s="589" t="s">
        <v>1036</v>
      </c>
      <c r="D3807" s="590" t="s">
        <v>108</v>
      </c>
      <c r="E3807" s="591">
        <f>(F3807+G3807+H3807+J3807)*112.7+(I3807*119.6)</f>
        <v>4577</v>
      </c>
      <c r="F3807" s="3">
        <v>10</v>
      </c>
      <c r="G3807" s="3">
        <v>5</v>
      </c>
      <c r="H3807" s="3">
        <v>5</v>
      </c>
      <c r="I3807" s="3">
        <v>10</v>
      </c>
      <c r="J3807" s="3">
        <v>10</v>
      </c>
      <c r="K3807" s="628">
        <f t="shared" si="193"/>
        <v>40</v>
      </c>
      <c r="L3807" s="630">
        <f t="shared" si="194"/>
        <v>10</v>
      </c>
    </row>
    <row r="3808" spans="3:12" x14ac:dyDescent="0.2">
      <c r="C3808" s="589" t="s">
        <v>1035</v>
      </c>
      <c r="D3808" s="590" t="s">
        <v>393</v>
      </c>
      <c r="E3808" s="591">
        <f>(F3808+G3808+H3808+J3808)*112.7+(I3808*119.6)</f>
        <v>2732.4</v>
      </c>
      <c r="F3808" s="3">
        <v>6</v>
      </c>
      <c r="G3808" s="3">
        <v>4</v>
      </c>
      <c r="H3808" s="3">
        <v>4</v>
      </c>
      <c r="I3808" s="3">
        <v>4</v>
      </c>
      <c r="J3808" s="3">
        <v>6</v>
      </c>
      <c r="K3808" s="628">
        <f t="shared" si="193"/>
        <v>24</v>
      </c>
      <c r="L3808" s="630">
        <f t="shared" si="194"/>
        <v>6</v>
      </c>
    </row>
    <row r="3809" spans="3:12" x14ac:dyDescent="0.2">
      <c r="C3809" s="589" t="s">
        <v>1034</v>
      </c>
      <c r="D3809" s="590" t="s">
        <v>216</v>
      </c>
      <c r="E3809" s="591">
        <f>(F3809+G3809+H3809+J3809)*112.7+(I3809*119.6)</f>
        <v>2281.6</v>
      </c>
      <c r="F3809" s="3">
        <v>6</v>
      </c>
      <c r="G3809" s="3">
        <v>4</v>
      </c>
      <c r="H3809" s="3"/>
      <c r="I3809" s="3">
        <v>4</v>
      </c>
      <c r="J3809" s="3">
        <v>6</v>
      </c>
      <c r="K3809" s="628">
        <f t="shared" si="193"/>
        <v>20</v>
      </c>
      <c r="L3809" s="630">
        <f t="shared" si="194"/>
        <v>5</v>
      </c>
    </row>
    <row r="3810" spans="3:12" x14ac:dyDescent="0.2">
      <c r="C3810" s="589"/>
      <c r="D3810" s="590"/>
      <c r="E3810" s="591"/>
      <c r="F3810" s="3"/>
      <c r="G3810" s="3"/>
      <c r="H3810" s="3"/>
      <c r="I3810" s="3"/>
      <c r="J3810" s="3"/>
      <c r="K3810" s="628">
        <f t="shared" si="193"/>
        <v>0</v>
      </c>
      <c r="L3810" s="630">
        <f t="shared" si="194"/>
        <v>0</v>
      </c>
    </row>
    <row r="3811" spans="3:12" x14ac:dyDescent="0.2">
      <c r="C3811" s="589" t="s">
        <v>1032</v>
      </c>
      <c r="D3811" s="590" t="s">
        <v>394</v>
      </c>
      <c r="E3811" s="591">
        <f>(F3811+G3811+H3811+I3811+J3811)*120</f>
        <v>4200</v>
      </c>
      <c r="F3811" s="3">
        <v>10</v>
      </c>
      <c r="G3811" s="3">
        <v>5</v>
      </c>
      <c r="H3811" s="3">
        <v>5</v>
      </c>
      <c r="I3811" s="3">
        <v>5</v>
      </c>
      <c r="J3811" s="3">
        <v>10</v>
      </c>
      <c r="K3811" s="628">
        <f t="shared" si="193"/>
        <v>35</v>
      </c>
      <c r="L3811" s="630">
        <f t="shared" si="194"/>
        <v>8.75</v>
      </c>
    </row>
    <row r="3812" spans="3:12" x14ac:dyDescent="0.2">
      <c r="C3812" s="589" t="s">
        <v>1037</v>
      </c>
      <c r="D3812" s="590" t="s">
        <v>110</v>
      </c>
      <c r="E3812" s="591">
        <f>(F3812+G3812+H3812+J3812)*112.7+(I3812*119.6)</f>
        <v>8197.2000000000007</v>
      </c>
      <c r="F3812" s="3">
        <v>30</v>
      </c>
      <c r="G3812" s="3">
        <v>12</v>
      </c>
      <c r="H3812" s="3"/>
      <c r="I3812" s="3">
        <v>12</v>
      </c>
      <c r="J3812" s="3">
        <v>18</v>
      </c>
      <c r="K3812" s="628">
        <f t="shared" si="193"/>
        <v>72</v>
      </c>
      <c r="L3812" s="630">
        <f t="shared" si="194"/>
        <v>18</v>
      </c>
    </row>
    <row r="3813" spans="3:12" x14ac:dyDescent="0.2">
      <c r="C3813" s="589"/>
      <c r="D3813" s="590"/>
      <c r="E3813" s="591"/>
      <c r="F3813" s="3"/>
      <c r="G3813" s="3"/>
      <c r="H3813" s="3"/>
      <c r="I3813" s="3"/>
      <c r="J3813" s="3"/>
      <c r="K3813" s="628">
        <f t="shared" si="193"/>
        <v>0</v>
      </c>
      <c r="L3813" s="630">
        <f t="shared" si="194"/>
        <v>0</v>
      </c>
    </row>
    <row r="3814" spans="3:12" x14ac:dyDescent="0.2">
      <c r="C3814" s="589"/>
      <c r="D3814" s="590" t="s">
        <v>381</v>
      </c>
      <c r="E3814" s="591">
        <f>(F3814+G3814+H3814+I3814+J3814)*120+(240*0)+(0*45)</f>
        <v>0</v>
      </c>
      <c r="F3814" s="3"/>
      <c r="G3814" s="3"/>
      <c r="H3814" s="3"/>
      <c r="I3814" s="3"/>
      <c r="J3814" s="3"/>
      <c r="K3814" s="628">
        <f t="shared" si="193"/>
        <v>0</v>
      </c>
      <c r="L3814" s="630">
        <f t="shared" si="194"/>
        <v>0</v>
      </c>
    </row>
    <row r="3815" spans="3:12" x14ac:dyDescent="0.2">
      <c r="C3815" s="589"/>
      <c r="D3815" s="590" t="s">
        <v>276</v>
      </c>
      <c r="E3815" s="591">
        <f>(F3815+G3815+H3815+J3815)*112.7+(I3815*119.6)</f>
        <v>0</v>
      </c>
      <c r="F3815" s="3"/>
      <c r="G3815" s="3"/>
      <c r="H3815" s="3"/>
      <c r="I3815" s="3"/>
      <c r="J3815" s="3"/>
      <c r="K3815" s="628">
        <f t="shared" si="193"/>
        <v>0</v>
      </c>
      <c r="L3815" s="630">
        <f t="shared" si="194"/>
        <v>0</v>
      </c>
    </row>
    <row r="3816" spans="3:12" x14ac:dyDescent="0.2">
      <c r="C3816" s="589"/>
      <c r="D3816" s="590"/>
      <c r="E3816" s="591"/>
      <c r="F3816" s="3"/>
      <c r="G3816" s="3"/>
      <c r="H3816" s="3"/>
      <c r="I3816" s="3"/>
      <c r="J3816" s="3"/>
      <c r="K3816" s="628">
        <f t="shared" si="193"/>
        <v>0</v>
      </c>
      <c r="L3816" s="630">
        <f t="shared" si="194"/>
        <v>0</v>
      </c>
    </row>
    <row r="3817" spans="3:12" x14ac:dyDescent="0.2">
      <c r="C3817" s="589"/>
      <c r="D3817" s="590" t="s">
        <v>75</v>
      </c>
      <c r="E3817" s="591">
        <f>(F3817+G3817+H3817+I3817+J3817)*120</f>
        <v>0</v>
      </c>
      <c r="F3817" s="3"/>
      <c r="G3817" s="3"/>
      <c r="H3817" s="3"/>
      <c r="I3817" s="3"/>
      <c r="J3817" s="3"/>
      <c r="K3817" s="628">
        <f t="shared" si="193"/>
        <v>0</v>
      </c>
      <c r="L3817" s="630">
        <f t="shared" si="194"/>
        <v>0</v>
      </c>
    </row>
    <row r="3818" spans="3:12" x14ac:dyDescent="0.2">
      <c r="C3818" s="589"/>
      <c r="D3818" s="590" t="s">
        <v>278</v>
      </c>
      <c r="E3818" s="591">
        <f>(F3818+G3818+H3818+I3818+J3818)*120</f>
        <v>0</v>
      </c>
      <c r="F3818" s="3"/>
      <c r="G3818" s="3"/>
      <c r="H3818" s="3"/>
      <c r="I3818" s="3"/>
      <c r="J3818" s="3"/>
      <c r="K3818" s="628">
        <f t="shared" si="193"/>
        <v>0</v>
      </c>
      <c r="L3818" s="630">
        <f t="shared" si="194"/>
        <v>0</v>
      </c>
    </row>
    <row r="3819" spans="3:12" x14ac:dyDescent="0.2">
      <c r="C3819" s="589"/>
      <c r="D3819" s="590" t="s">
        <v>270</v>
      </c>
      <c r="E3819" s="591">
        <f>(F3819+G3819+H3819+I3819)*112.7+(J3819*119.6)</f>
        <v>0</v>
      </c>
      <c r="F3819" s="3"/>
      <c r="G3819" s="3"/>
      <c r="H3819" s="3"/>
      <c r="I3819" s="3"/>
      <c r="J3819" s="3"/>
      <c r="K3819" s="628">
        <f t="shared" si="193"/>
        <v>0</v>
      </c>
      <c r="L3819" s="630">
        <f t="shared" si="194"/>
        <v>0</v>
      </c>
    </row>
    <row r="3820" spans="3:12" x14ac:dyDescent="0.2">
      <c r="C3820" s="589"/>
      <c r="D3820" s="590" t="s">
        <v>274</v>
      </c>
      <c r="E3820" s="591">
        <f>(F3820+G3820+H3820+I3820)*112.7+(J3820*119.6)</f>
        <v>0</v>
      </c>
      <c r="F3820" s="3"/>
      <c r="G3820" s="3"/>
      <c r="H3820" s="3"/>
      <c r="I3820" s="3"/>
      <c r="J3820" s="3"/>
      <c r="K3820" s="628">
        <f t="shared" si="193"/>
        <v>0</v>
      </c>
      <c r="L3820" s="630">
        <f t="shared" si="194"/>
        <v>0</v>
      </c>
    </row>
    <row r="3821" spans="3:12" x14ac:dyDescent="0.2">
      <c r="C3821" s="589"/>
      <c r="D3821" s="590" t="s">
        <v>395</v>
      </c>
      <c r="E3821" s="591">
        <f>(F3821+G3821+H3821+I3821)*112.7+(J3821*119.6)</f>
        <v>0</v>
      </c>
      <c r="F3821" s="3"/>
      <c r="G3821" s="3"/>
      <c r="H3821" s="3"/>
      <c r="I3821" s="3"/>
      <c r="J3821" s="3"/>
      <c r="K3821" s="628">
        <f t="shared" si="193"/>
        <v>0</v>
      </c>
      <c r="L3821" s="630">
        <f t="shared" si="194"/>
        <v>0</v>
      </c>
    </row>
    <row r="3822" spans="3:12" x14ac:dyDescent="0.2">
      <c r="C3822" s="683"/>
      <c r="D3822" s="590" t="s">
        <v>112</v>
      </c>
      <c r="E3822" s="591">
        <f>(F3822+G3822+H3822+I3822)*112.7+(J3822*119.6)</f>
        <v>0</v>
      </c>
      <c r="F3822" s="3"/>
      <c r="G3822" s="3"/>
      <c r="H3822" s="3"/>
      <c r="I3822" s="3"/>
      <c r="J3822" s="3"/>
      <c r="K3822" s="628">
        <f t="shared" si="193"/>
        <v>0</v>
      </c>
      <c r="L3822" s="630">
        <f t="shared" si="194"/>
        <v>0</v>
      </c>
    </row>
    <row r="3823" spans="3:12" x14ac:dyDescent="0.2">
      <c r="C3823" s="683"/>
      <c r="D3823" s="590" t="s">
        <v>72</v>
      </c>
      <c r="E3823" s="591">
        <f>(F3823+G3823+H3823+I3823)*112.7+(J3823*119.6)</f>
        <v>0</v>
      </c>
      <c r="F3823" s="3"/>
      <c r="G3823" s="3"/>
      <c r="H3823" s="3"/>
      <c r="I3823" s="3"/>
      <c r="J3823" s="3"/>
      <c r="K3823" s="628">
        <f t="shared" si="193"/>
        <v>0</v>
      </c>
      <c r="L3823" s="630">
        <f t="shared" si="194"/>
        <v>0</v>
      </c>
    </row>
    <row r="3824" spans="3:12" x14ac:dyDescent="0.2">
      <c r="C3824" s="683"/>
      <c r="D3824" s="590" t="s">
        <v>187</v>
      </c>
      <c r="E3824" s="591"/>
      <c r="F3824" s="3"/>
      <c r="G3824" s="3"/>
      <c r="H3824" s="3"/>
      <c r="I3824" s="3">
        <v>1</v>
      </c>
      <c r="J3824" s="3">
        <v>8</v>
      </c>
      <c r="K3824" s="628">
        <f>SUM(F3824:J3824)</f>
        <v>9</v>
      </c>
      <c r="L3824" s="3"/>
    </row>
    <row r="3825" spans="3:12" ht="16" x14ac:dyDescent="0.2">
      <c r="C3825" s="683"/>
      <c r="D3825" s="590" t="s">
        <v>1031</v>
      </c>
      <c r="E3825" s="592"/>
      <c r="F3825" s="3">
        <v>4</v>
      </c>
      <c r="G3825" s="3">
        <v>3</v>
      </c>
      <c r="H3825" s="3">
        <v>1</v>
      </c>
      <c r="I3825" s="3"/>
      <c r="J3825" s="3"/>
      <c r="K3825" s="628">
        <f>SUM(F3825:J3825)</f>
        <v>8</v>
      </c>
      <c r="L3825" s="3"/>
    </row>
    <row r="3826" spans="3:12" ht="17" thickBot="1" x14ac:dyDescent="0.25">
      <c r="C3826" s="683"/>
      <c r="D3826" s="590"/>
      <c r="E3826" s="624"/>
      <c r="F3826" s="69"/>
      <c r="G3826" s="69"/>
      <c r="H3826" s="69"/>
      <c r="I3826" s="69"/>
      <c r="J3826" s="69"/>
      <c r="K3826" s="629"/>
      <c r="L3826" s="3"/>
    </row>
    <row r="3827" spans="3:12" ht="16" thickBot="1" x14ac:dyDescent="0.25">
      <c r="C3827" s="596"/>
      <c r="D3827" s="623" t="s">
        <v>19</v>
      </c>
      <c r="E3827" s="625">
        <f>SUM(E3801:E3824)</f>
        <v>30668.2</v>
      </c>
      <c r="F3827" s="614">
        <f>SUM(F3801:F3826)</f>
        <v>86</v>
      </c>
      <c r="G3827" s="614">
        <f>SUM(G3801:G3826)</f>
        <v>45</v>
      </c>
      <c r="H3827" s="614">
        <f>SUM(H3801:H3826)</f>
        <v>27</v>
      </c>
      <c r="I3827" s="614">
        <f>SUM(I3801:I3826)</f>
        <v>49</v>
      </c>
      <c r="J3827" s="614">
        <f>SUM(J3801:J3826)</f>
        <v>82</v>
      </c>
      <c r="K3827" s="626">
        <f>SUM(F3827:J3827)</f>
        <v>289</v>
      </c>
      <c r="L3827" s="631">
        <f>SUM(L3801:L3826)</f>
        <v>68</v>
      </c>
    </row>
    <row r="3828" spans="3:12" x14ac:dyDescent="0.2">
      <c r="C3828" s="596"/>
      <c r="D3828" s="593" t="s">
        <v>113</v>
      </c>
      <c r="E3828" s="620"/>
      <c r="F3828" s="610">
        <f>F3798-F3827</f>
        <v>29</v>
      </c>
      <c r="G3828" s="610">
        <f>G3798-G3827</f>
        <v>12</v>
      </c>
      <c r="H3828" s="610">
        <f>H3798-H3827</f>
        <v>1</v>
      </c>
      <c r="I3828" s="610">
        <f>I3798-I3827</f>
        <v>11</v>
      </c>
      <c r="J3828" s="610">
        <f>J3798-J3827</f>
        <v>6</v>
      </c>
      <c r="K3828" s="636">
        <f>SUM(F3828:J3828)</f>
        <v>59</v>
      </c>
      <c r="L3828" s="3"/>
    </row>
    <row r="3829" spans="3:12" x14ac:dyDescent="0.2">
      <c r="C3829" s="683"/>
      <c r="D3829" s="593" t="s">
        <v>436</v>
      </c>
      <c r="E3829" s="594"/>
      <c r="F3829" s="581"/>
      <c r="G3829" s="581"/>
      <c r="H3829" s="581"/>
      <c r="I3829" s="581"/>
      <c r="J3829" s="581"/>
      <c r="K3829" s="637">
        <f>K3827+K3828</f>
        <v>348</v>
      </c>
      <c r="L3829" s="3"/>
    </row>
    <row r="3831" spans="3:12" ht="18" x14ac:dyDescent="0.2">
      <c r="C3831" s="685" t="s">
        <v>412</v>
      </c>
      <c r="D3831" s="582">
        <v>45771</v>
      </c>
      <c r="E3831" s="800"/>
      <c r="F3831" s="685" t="s">
        <v>83</v>
      </c>
      <c r="G3831" s="801" t="s">
        <v>341</v>
      </c>
      <c r="H3831" s="802"/>
      <c r="I3831" s="802"/>
      <c r="J3831" s="802"/>
      <c r="K3831" s="803"/>
    </row>
    <row r="3832" spans="3:12" x14ac:dyDescent="0.2">
      <c r="C3832" s="804"/>
      <c r="D3832" s="805"/>
      <c r="E3832" s="800"/>
      <c r="F3832" s="683" t="s">
        <v>93</v>
      </c>
      <c r="G3832" s="683" t="s">
        <v>93</v>
      </c>
      <c r="H3832" s="683"/>
      <c r="I3832" s="806"/>
      <c r="J3832" s="806"/>
      <c r="K3832" s="806"/>
    </row>
    <row r="3833" spans="3:12" x14ac:dyDescent="0.2">
      <c r="C3833" s="804"/>
      <c r="D3833" s="805"/>
      <c r="E3833" s="800"/>
      <c r="F3833" s="683" t="s">
        <v>94</v>
      </c>
      <c r="G3833" s="683" t="s">
        <v>95</v>
      </c>
      <c r="H3833" s="683" t="s">
        <v>96</v>
      </c>
      <c r="I3833" s="806"/>
      <c r="J3833" s="806"/>
      <c r="K3833" s="806"/>
    </row>
    <row r="3834" spans="3:12" x14ac:dyDescent="0.2">
      <c r="C3834" s="804"/>
      <c r="D3834" s="805"/>
      <c r="E3834" s="800"/>
      <c r="F3834" s="683"/>
      <c r="G3834" s="683"/>
      <c r="H3834" s="683"/>
      <c r="I3834" s="806"/>
      <c r="J3834" s="806"/>
      <c r="K3834" s="806"/>
    </row>
    <row r="3835" spans="3:12" ht="16" x14ac:dyDescent="0.2">
      <c r="C3835" s="683"/>
      <c r="D3835" s="583" t="s">
        <v>97</v>
      </c>
      <c r="E3835" s="584"/>
      <c r="F3835" s="581"/>
      <c r="G3835" s="585"/>
      <c r="H3835" s="585"/>
      <c r="I3835" s="586"/>
      <c r="J3835" s="586"/>
      <c r="K3835" s="586"/>
    </row>
    <row r="3836" spans="3:12" ht="26" x14ac:dyDescent="0.2">
      <c r="C3836" s="804"/>
      <c r="D3836" s="587"/>
      <c r="E3836" s="588"/>
      <c r="F3836" s="585" t="s">
        <v>383</v>
      </c>
      <c r="G3836" s="585" t="s">
        <v>384</v>
      </c>
      <c r="H3836" s="585" t="s">
        <v>385</v>
      </c>
      <c r="I3836" s="585" t="s">
        <v>386</v>
      </c>
      <c r="J3836" s="585" t="s">
        <v>387</v>
      </c>
      <c r="K3836" s="585" t="s">
        <v>84</v>
      </c>
    </row>
    <row r="3837" spans="3:12" x14ac:dyDescent="0.2">
      <c r="C3837" s="804"/>
      <c r="D3837" s="684" t="s">
        <v>167</v>
      </c>
      <c r="E3837" s="588"/>
      <c r="F3837" s="580"/>
      <c r="G3837" s="579"/>
      <c r="H3837" s="580"/>
      <c r="I3837" s="580"/>
      <c r="J3837" s="580"/>
      <c r="K3837" s="580">
        <f>SUM(F3837:J3837)</f>
        <v>0</v>
      </c>
    </row>
    <row r="3838" spans="3:12" x14ac:dyDescent="0.2">
      <c r="C3838" s="804"/>
      <c r="D3838" s="684" t="s">
        <v>207</v>
      </c>
      <c r="E3838" s="588"/>
      <c r="F3838" s="618"/>
      <c r="G3838" s="619"/>
      <c r="H3838" s="618"/>
      <c r="I3838" s="618"/>
      <c r="J3838" s="618"/>
      <c r="K3838" s="618">
        <f>SUM(F3838:J3838)</f>
        <v>0</v>
      </c>
    </row>
    <row r="3839" spans="3:12" x14ac:dyDescent="0.2">
      <c r="C3839" s="683"/>
      <c r="D3839" s="684" t="s">
        <v>100</v>
      </c>
      <c r="E3839" s="588"/>
      <c r="F3839" s="581"/>
      <c r="G3839" s="581"/>
      <c r="H3839" s="581"/>
      <c r="I3839" s="581"/>
      <c r="J3839" s="581"/>
      <c r="K3839" s="581">
        <f>SUM(F3839:J3839)</f>
        <v>0</v>
      </c>
    </row>
    <row r="3840" spans="3:12" x14ac:dyDescent="0.2">
      <c r="C3840" s="683"/>
      <c r="D3840" s="684" t="s">
        <v>101</v>
      </c>
      <c r="E3840" s="588"/>
      <c r="F3840" s="581"/>
      <c r="G3840" s="581"/>
      <c r="H3840" s="581"/>
      <c r="I3840" s="581"/>
      <c r="J3840" s="581"/>
      <c r="K3840" s="581">
        <f>SUM(F3840:J3840)</f>
        <v>0</v>
      </c>
    </row>
    <row r="3841" spans="3:12" ht="16" thickBot="1" x14ac:dyDescent="0.25">
      <c r="C3841" s="683"/>
      <c r="D3841" s="597" t="s">
        <v>102</v>
      </c>
      <c r="E3841" s="598"/>
      <c r="F3841" s="599">
        <v>29</v>
      </c>
      <c r="G3841" s="600">
        <v>12</v>
      </c>
      <c r="H3841" s="600">
        <v>1</v>
      </c>
      <c r="I3841" s="600">
        <v>11</v>
      </c>
      <c r="J3841" s="600">
        <v>6</v>
      </c>
      <c r="K3841" s="600">
        <f>SUM(F3841:J3841)</f>
        <v>59</v>
      </c>
    </row>
    <row r="3842" spans="3:12" ht="17" thickBot="1" x14ac:dyDescent="0.25">
      <c r="C3842" s="605"/>
      <c r="D3842" s="612" t="s">
        <v>84</v>
      </c>
      <c r="E3842" s="613"/>
      <c r="F3842" s="614">
        <f t="shared" ref="F3842:K3842" si="195">(F3838+F3841)-F3840-F3839</f>
        <v>29</v>
      </c>
      <c r="G3842" s="615">
        <f t="shared" si="195"/>
        <v>12</v>
      </c>
      <c r="H3842" s="616">
        <f t="shared" si="195"/>
        <v>1</v>
      </c>
      <c r="I3842" s="615">
        <f t="shared" si="195"/>
        <v>11</v>
      </c>
      <c r="J3842" s="622">
        <f t="shared" si="195"/>
        <v>6</v>
      </c>
      <c r="K3842" s="617">
        <f t="shared" si="195"/>
        <v>59</v>
      </c>
    </row>
    <row r="3843" spans="3:12" ht="16" x14ac:dyDescent="0.2">
      <c r="C3843" s="683"/>
      <c r="D3843" s="608"/>
      <c r="E3843" s="609"/>
      <c r="F3843" s="610"/>
      <c r="G3843" s="595"/>
      <c r="H3843" s="611"/>
      <c r="I3843" s="595"/>
      <c r="J3843" s="595"/>
      <c r="K3843" s="595"/>
    </row>
    <row r="3844" spans="3:12" ht="16" thickBot="1" x14ac:dyDescent="0.25">
      <c r="C3844" s="606" t="s">
        <v>388</v>
      </c>
      <c r="D3844" s="607" t="s">
        <v>103</v>
      </c>
      <c r="E3844" s="603" t="s">
        <v>84</v>
      </c>
      <c r="F3844" s="602" t="s">
        <v>78</v>
      </c>
      <c r="G3844" s="602" t="s">
        <v>79</v>
      </c>
      <c r="H3844" s="602" t="s">
        <v>81</v>
      </c>
      <c r="I3844" s="601" t="s">
        <v>316</v>
      </c>
      <c r="J3844" s="601" t="s">
        <v>85</v>
      </c>
      <c r="K3844" s="601" t="s">
        <v>84</v>
      </c>
      <c r="L3844" s="174" t="s">
        <v>389</v>
      </c>
    </row>
    <row r="3845" spans="3:12" x14ac:dyDescent="0.2">
      <c r="C3845" s="589" t="s">
        <v>1038</v>
      </c>
      <c r="D3845" s="604" t="s">
        <v>105</v>
      </c>
      <c r="E3845" s="591">
        <f>(F3845+G3845+H3845+I3845+J3845)*100+(5*230)</f>
        <v>3350</v>
      </c>
      <c r="F3845" s="3">
        <v>15</v>
      </c>
      <c r="G3845" s="3">
        <v>3</v>
      </c>
      <c r="H3845" s="3">
        <v>1</v>
      </c>
      <c r="I3845" s="3">
        <v>3</v>
      </c>
      <c r="J3845" s="3"/>
      <c r="K3845" s="628">
        <f t="shared" ref="K3845:K3867" si="196">SUM(F3845:J3845)</f>
        <v>22</v>
      </c>
      <c r="L3845" s="630">
        <f>K3845/4</f>
        <v>5.5</v>
      </c>
    </row>
    <row r="3846" spans="3:12" x14ac:dyDescent="0.2">
      <c r="C3846" s="589"/>
      <c r="D3846" s="590" t="s">
        <v>390</v>
      </c>
      <c r="E3846" s="591">
        <f>(F3846+G3846+H3846+I3846+J3846)*120</f>
        <v>0</v>
      </c>
      <c r="F3846" s="3"/>
      <c r="G3846" s="3"/>
      <c r="H3846" s="3"/>
      <c r="I3846" s="3"/>
      <c r="J3846" s="3"/>
      <c r="K3846" s="628">
        <f t="shared" si="196"/>
        <v>0</v>
      </c>
      <c r="L3846" s="630">
        <f t="shared" ref="L3846:L3867" si="197">K3846/4</f>
        <v>0</v>
      </c>
    </row>
    <row r="3847" spans="3:12" x14ac:dyDescent="0.2">
      <c r="C3847" s="589"/>
      <c r="D3847" s="590" t="s">
        <v>391</v>
      </c>
      <c r="E3847" s="591">
        <f>(F3847+G3847+H3847+I3847+J3847)*120</f>
        <v>0</v>
      </c>
      <c r="F3847" s="3"/>
      <c r="G3847" s="3"/>
      <c r="H3847" s="3"/>
      <c r="I3847" s="3"/>
      <c r="J3847" s="3"/>
      <c r="K3847" s="628">
        <f t="shared" si="196"/>
        <v>0</v>
      </c>
      <c r="L3847" s="630">
        <f t="shared" si="197"/>
        <v>0</v>
      </c>
    </row>
    <row r="3848" spans="3:12" x14ac:dyDescent="0.2">
      <c r="C3848" s="589"/>
      <c r="D3848" s="590" t="s">
        <v>392</v>
      </c>
      <c r="E3848" s="591">
        <f>(F3848+G3848+H3848+I3848+J3848)*120</f>
        <v>0</v>
      </c>
      <c r="F3848" s="3"/>
      <c r="G3848" s="3"/>
      <c r="H3848" s="3"/>
      <c r="I3848" s="3"/>
      <c r="J3848" s="3"/>
      <c r="K3848" s="628">
        <f t="shared" si="196"/>
        <v>0</v>
      </c>
      <c r="L3848" s="630">
        <f t="shared" si="197"/>
        <v>0</v>
      </c>
    </row>
    <row r="3849" spans="3:12" x14ac:dyDescent="0.2">
      <c r="C3849" s="589"/>
      <c r="D3849" s="590" t="s">
        <v>425</v>
      </c>
      <c r="E3849" s="591">
        <f>(F3849+G3849+H3849+I3849+J3849)*120</f>
        <v>0</v>
      </c>
      <c r="F3849" s="3"/>
      <c r="G3849" s="3"/>
      <c r="H3849" s="3"/>
      <c r="I3849" s="3"/>
      <c r="J3849" s="3"/>
      <c r="K3849" s="628">
        <f t="shared" si="196"/>
        <v>0</v>
      </c>
      <c r="L3849" s="630">
        <f t="shared" si="197"/>
        <v>0</v>
      </c>
    </row>
    <row r="3850" spans="3:12" x14ac:dyDescent="0.2">
      <c r="C3850" s="589"/>
      <c r="D3850" s="590"/>
      <c r="E3850" s="591"/>
      <c r="F3850" s="3"/>
      <c r="G3850" s="3"/>
      <c r="H3850" s="3"/>
      <c r="I3850" s="3"/>
      <c r="J3850" s="3"/>
      <c r="K3850" s="628">
        <f t="shared" si="196"/>
        <v>0</v>
      </c>
      <c r="L3850" s="630">
        <f t="shared" si="197"/>
        <v>0</v>
      </c>
    </row>
    <row r="3851" spans="3:12" x14ac:dyDescent="0.2">
      <c r="C3851" s="589"/>
      <c r="D3851" s="590" t="s">
        <v>108</v>
      </c>
      <c r="E3851" s="591">
        <f>(F3851+G3851+H3851+J3851)*112.7+(I3851*119.6)</f>
        <v>0</v>
      </c>
      <c r="F3851" s="3"/>
      <c r="G3851" s="3"/>
      <c r="H3851" s="3"/>
      <c r="I3851" s="3"/>
      <c r="J3851" s="3"/>
      <c r="K3851" s="628">
        <f t="shared" si="196"/>
        <v>0</v>
      </c>
      <c r="L3851" s="630">
        <f t="shared" si="197"/>
        <v>0</v>
      </c>
    </row>
    <row r="3852" spans="3:12" x14ac:dyDescent="0.2">
      <c r="C3852" s="589"/>
      <c r="D3852" s="590" t="s">
        <v>393</v>
      </c>
      <c r="E3852" s="591">
        <f>(F3852+G3852+H3852+J3852)*112.7+(I3852*119.6)</f>
        <v>0</v>
      </c>
      <c r="F3852" s="3"/>
      <c r="G3852" s="3"/>
      <c r="H3852" s="3"/>
      <c r="I3852" s="3"/>
      <c r="J3852" s="3"/>
      <c r="K3852" s="628">
        <f t="shared" si="196"/>
        <v>0</v>
      </c>
      <c r="L3852" s="630">
        <f t="shared" si="197"/>
        <v>0</v>
      </c>
    </row>
    <row r="3853" spans="3:12" x14ac:dyDescent="0.2">
      <c r="C3853" s="589"/>
      <c r="D3853" s="590" t="s">
        <v>216</v>
      </c>
      <c r="E3853" s="591">
        <f>(F3853+G3853+H3853+J3853)*112.7+(I3853*119.6)</f>
        <v>0</v>
      </c>
      <c r="F3853" s="3"/>
      <c r="G3853" s="3"/>
      <c r="H3853" s="3"/>
      <c r="I3853" s="3"/>
      <c r="J3853" s="3"/>
      <c r="K3853" s="628">
        <f t="shared" si="196"/>
        <v>0</v>
      </c>
      <c r="L3853" s="630">
        <f t="shared" si="197"/>
        <v>0</v>
      </c>
    </row>
    <row r="3854" spans="3:12" x14ac:dyDescent="0.2">
      <c r="C3854" s="589"/>
      <c r="D3854" s="590"/>
      <c r="E3854" s="591"/>
      <c r="F3854" s="3"/>
      <c r="G3854" s="3"/>
      <c r="H3854" s="3"/>
      <c r="I3854" s="3"/>
      <c r="J3854" s="3"/>
      <c r="K3854" s="628">
        <f t="shared" si="196"/>
        <v>0</v>
      </c>
      <c r="L3854" s="630">
        <f t="shared" si="197"/>
        <v>0</v>
      </c>
    </row>
    <row r="3855" spans="3:12" x14ac:dyDescent="0.2">
      <c r="C3855" s="589"/>
      <c r="D3855" s="590" t="s">
        <v>394</v>
      </c>
      <c r="E3855" s="591">
        <f>(F3855+G3855+H3855+I3855+J3855)*120</f>
        <v>0</v>
      </c>
      <c r="F3855" s="3"/>
      <c r="G3855" s="3"/>
      <c r="H3855" s="3"/>
      <c r="I3855" s="3"/>
      <c r="J3855" s="3"/>
      <c r="K3855" s="628">
        <f t="shared" si="196"/>
        <v>0</v>
      </c>
      <c r="L3855" s="630">
        <f t="shared" si="197"/>
        <v>0</v>
      </c>
    </row>
    <row r="3856" spans="3:12" x14ac:dyDescent="0.2">
      <c r="C3856" s="589"/>
      <c r="D3856" s="590" t="s">
        <v>110</v>
      </c>
      <c r="E3856" s="591">
        <f>(F3856+G3856+H3856+J3856)*112.7+(I3856*119.6)</f>
        <v>0</v>
      </c>
      <c r="F3856" s="3"/>
      <c r="G3856" s="3"/>
      <c r="H3856" s="3"/>
      <c r="I3856" s="3"/>
      <c r="J3856" s="3"/>
      <c r="K3856" s="628">
        <f t="shared" si="196"/>
        <v>0</v>
      </c>
      <c r="L3856" s="630">
        <f t="shared" si="197"/>
        <v>0</v>
      </c>
    </row>
    <row r="3857" spans="3:12" x14ac:dyDescent="0.2">
      <c r="C3857" s="589"/>
      <c r="D3857" s="590"/>
      <c r="E3857" s="591"/>
      <c r="F3857" s="3"/>
      <c r="G3857" s="3"/>
      <c r="H3857" s="3"/>
      <c r="I3857" s="3"/>
      <c r="J3857" s="3"/>
      <c r="K3857" s="628">
        <f t="shared" si="196"/>
        <v>0</v>
      </c>
      <c r="L3857" s="630">
        <f t="shared" si="197"/>
        <v>0</v>
      </c>
    </row>
    <row r="3858" spans="3:12" x14ac:dyDescent="0.2">
      <c r="C3858" s="589"/>
      <c r="D3858" s="590" t="s">
        <v>381</v>
      </c>
      <c r="E3858" s="591">
        <f>(F3858+G3858+H3858+I3858+J3858)*120+(240*0)+(0*45)</f>
        <v>0</v>
      </c>
      <c r="F3858" s="3"/>
      <c r="G3858" s="3"/>
      <c r="H3858" s="3"/>
      <c r="I3858" s="3"/>
      <c r="J3858" s="3"/>
      <c r="K3858" s="628">
        <f t="shared" si="196"/>
        <v>0</v>
      </c>
      <c r="L3858" s="630">
        <f t="shared" si="197"/>
        <v>0</v>
      </c>
    </row>
    <row r="3859" spans="3:12" x14ac:dyDescent="0.2">
      <c r="C3859" s="589" t="s">
        <v>1039</v>
      </c>
      <c r="D3859" s="590" t="s">
        <v>276</v>
      </c>
      <c r="E3859" s="591">
        <f>(F3859+G3859+H3859+J3859)*112.7+(I3859*119.6)</f>
        <v>4112.3999999999996</v>
      </c>
      <c r="F3859" s="3">
        <v>14</v>
      </c>
      <c r="G3859" s="3">
        <v>8</v>
      </c>
      <c r="H3859" s="3"/>
      <c r="I3859" s="3">
        <v>8</v>
      </c>
      <c r="J3859" s="3">
        <v>6</v>
      </c>
      <c r="K3859" s="628">
        <f t="shared" si="196"/>
        <v>36</v>
      </c>
      <c r="L3859" s="630">
        <f t="shared" si="197"/>
        <v>9</v>
      </c>
    </row>
    <row r="3860" spans="3:12" x14ac:dyDescent="0.2">
      <c r="C3860" s="589"/>
      <c r="D3860" s="590"/>
      <c r="E3860" s="591"/>
      <c r="F3860" s="3"/>
      <c r="G3860" s="3"/>
      <c r="H3860" s="3"/>
      <c r="I3860" s="3"/>
      <c r="J3860" s="3"/>
      <c r="K3860" s="628">
        <f t="shared" si="196"/>
        <v>0</v>
      </c>
      <c r="L3860" s="630">
        <f t="shared" si="197"/>
        <v>0</v>
      </c>
    </row>
    <row r="3861" spans="3:12" x14ac:dyDescent="0.2">
      <c r="C3861" s="589"/>
      <c r="D3861" s="590" t="s">
        <v>75</v>
      </c>
      <c r="E3861" s="591">
        <f>(F3861+G3861+H3861+I3861+J3861)*120</f>
        <v>0</v>
      </c>
      <c r="F3861" s="3"/>
      <c r="G3861" s="3"/>
      <c r="H3861" s="3"/>
      <c r="I3861" s="3"/>
      <c r="J3861" s="3"/>
      <c r="K3861" s="628">
        <f t="shared" si="196"/>
        <v>0</v>
      </c>
      <c r="L3861" s="630">
        <f t="shared" si="197"/>
        <v>0</v>
      </c>
    </row>
    <row r="3862" spans="3:12" x14ac:dyDescent="0.2">
      <c r="C3862" s="589"/>
      <c r="D3862" s="590" t="s">
        <v>278</v>
      </c>
      <c r="E3862" s="591">
        <f>(F3862+G3862+H3862+I3862+J3862)*120</f>
        <v>0</v>
      </c>
      <c r="F3862" s="3"/>
      <c r="G3862" s="3"/>
      <c r="H3862" s="3"/>
      <c r="I3862" s="3"/>
      <c r="J3862" s="3"/>
      <c r="K3862" s="628">
        <f t="shared" si="196"/>
        <v>0</v>
      </c>
      <c r="L3862" s="630">
        <f t="shared" si="197"/>
        <v>0</v>
      </c>
    </row>
    <row r="3863" spans="3:12" x14ac:dyDescent="0.2">
      <c r="C3863" s="589"/>
      <c r="D3863" s="590" t="s">
        <v>270</v>
      </c>
      <c r="E3863" s="591">
        <f>(F3863+G3863+H3863+I3863)*112.7+(J3863*119.6)</f>
        <v>0</v>
      </c>
      <c r="F3863" s="3"/>
      <c r="G3863" s="3"/>
      <c r="H3863" s="3"/>
      <c r="I3863" s="3"/>
      <c r="J3863" s="3"/>
      <c r="K3863" s="628">
        <f t="shared" si="196"/>
        <v>0</v>
      </c>
      <c r="L3863" s="630">
        <f t="shared" si="197"/>
        <v>0</v>
      </c>
    </row>
    <row r="3864" spans="3:12" x14ac:dyDescent="0.2">
      <c r="C3864" s="589"/>
      <c r="D3864" s="590" t="s">
        <v>274</v>
      </c>
      <c r="E3864" s="591">
        <f>(F3864+G3864+H3864+I3864)*112.7+(J3864*119.6)</f>
        <v>0</v>
      </c>
      <c r="F3864" s="3"/>
      <c r="G3864" s="3"/>
      <c r="H3864" s="3"/>
      <c r="I3864" s="3"/>
      <c r="J3864" s="3"/>
      <c r="K3864" s="628">
        <f t="shared" si="196"/>
        <v>0</v>
      </c>
      <c r="L3864" s="630">
        <f t="shared" si="197"/>
        <v>0</v>
      </c>
    </row>
    <row r="3865" spans="3:12" x14ac:dyDescent="0.2">
      <c r="C3865" s="589"/>
      <c r="D3865" s="590" t="s">
        <v>395</v>
      </c>
      <c r="E3865" s="591">
        <f>(F3865+G3865+H3865+I3865)*112.7+(J3865*119.6)</f>
        <v>0</v>
      </c>
      <c r="F3865" s="3"/>
      <c r="G3865" s="3"/>
      <c r="H3865" s="3"/>
      <c r="I3865" s="3"/>
      <c r="J3865" s="3"/>
      <c r="K3865" s="628">
        <f t="shared" si="196"/>
        <v>0</v>
      </c>
      <c r="L3865" s="630">
        <f t="shared" si="197"/>
        <v>0</v>
      </c>
    </row>
    <row r="3866" spans="3:12" x14ac:dyDescent="0.2">
      <c r="C3866" s="683"/>
      <c r="D3866" s="590" t="s">
        <v>112</v>
      </c>
      <c r="E3866" s="591">
        <f>(F3866+G3866+H3866+I3866)*112.7+(J3866*119.6)</f>
        <v>0</v>
      </c>
      <c r="F3866" s="3"/>
      <c r="G3866" s="3"/>
      <c r="H3866" s="3"/>
      <c r="I3866" s="3"/>
      <c r="J3866" s="3"/>
      <c r="K3866" s="628">
        <f t="shared" si="196"/>
        <v>0</v>
      </c>
      <c r="L3866" s="630">
        <f t="shared" si="197"/>
        <v>0</v>
      </c>
    </row>
    <row r="3867" spans="3:12" x14ac:dyDescent="0.2">
      <c r="C3867" s="683"/>
      <c r="D3867" s="590" t="s">
        <v>72</v>
      </c>
      <c r="E3867" s="591">
        <f>(F3867+G3867+H3867+I3867)*112.7+(J3867*119.6)</f>
        <v>0</v>
      </c>
      <c r="F3867" s="3"/>
      <c r="G3867" s="3"/>
      <c r="H3867" s="3"/>
      <c r="I3867" s="3"/>
      <c r="J3867" s="3"/>
      <c r="K3867" s="628">
        <f t="shared" si="196"/>
        <v>0</v>
      </c>
      <c r="L3867" s="630">
        <f t="shared" si="197"/>
        <v>0</v>
      </c>
    </row>
    <row r="3868" spans="3:12" x14ac:dyDescent="0.2">
      <c r="C3868" s="683"/>
      <c r="D3868" s="590" t="s">
        <v>187</v>
      </c>
      <c r="E3868" s="591"/>
      <c r="F3868" s="3"/>
      <c r="G3868" s="3">
        <v>1</v>
      </c>
      <c r="H3868" s="3"/>
      <c r="I3868" s="3"/>
      <c r="J3868" s="3"/>
      <c r="K3868" s="628">
        <f>SUM(F3868:J3868)</f>
        <v>1</v>
      </c>
      <c r="L3868" s="3"/>
    </row>
    <row r="3869" spans="3:12" ht="16" x14ac:dyDescent="0.2">
      <c r="C3869" s="683"/>
      <c r="D3869" s="590"/>
      <c r="E3869" s="592"/>
      <c r="F3869" s="3"/>
      <c r="G3869" s="3"/>
      <c r="H3869" s="3"/>
      <c r="I3869" s="3"/>
      <c r="J3869" s="3"/>
      <c r="K3869" s="628">
        <f>SUM(F3869:J3869)</f>
        <v>0</v>
      </c>
      <c r="L3869" s="3"/>
    </row>
    <row r="3870" spans="3:12" ht="17" thickBot="1" x14ac:dyDescent="0.25">
      <c r="C3870" s="683"/>
      <c r="D3870" s="590"/>
      <c r="E3870" s="624"/>
      <c r="F3870" s="69"/>
      <c r="G3870" s="69"/>
      <c r="H3870" s="69"/>
      <c r="I3870" s="69"/>
      <c r="J3870" s="69"/>
      <c r="K3870" s="629"/>
      <c r="L3870" s="3"/>
    </row>
    <row r="3871" spans="3:12" ht="16" thickBot="1" x14ac:dyDescent="0.25">
      <c r="C3871" s="596"/>
      <c r="D3871" s="623" t="s">
        <v>19</v>
      </c>
      <c r="E3871" s="625">
        <f>SUM(E3845:E3868)</f>
        <v>7462.4</v>
      </c>
      <c r="F3871" s="614">
        <f>SUM(F3845:F3870)</f>
        <v>29</v>
      </c>
      <c r="G3871" s="614">
        <f>SUM(G3845:G3870)</f>
        <v>12</v>
      </c>
      <c r="H3871" s="614">
        <f>SUM(H3845:H3870)</f>
        <v>1</v>
      </c>
      <c r="I3871" s="614">
        <f>SUM(I3845:I3870)</f>
        <v>11</v>
      </c>
      <c r="J3871" s="614">
        <f>SUM(J3845:J3870)</f>
        <v>6</v>
      </c>
      <c r="K3871" s="626">
        <f>SUM(F3871:J3871)</f>
        <v>59</v>
      </c>
      <c r="L3871" s="631">
        <f>SUM(L3845:L3870)</f>
        <v>14.5</v>
      </c>
    </row>
    <row r="3872" spans="3:12" x14ac:dyDescent="0.2">
      <c r="C3872" s="596"/>
      <c r="D3872" s="593" t="s">
        <v>113</v>
      </c>
      <c r="E3872" s="620"/>
      <c r="F3872" s="610">
        <f>F3842-F3871</f>
        <v>0</v>
      </c>
      <c r="G3872" s="610">
        <f>G3842-G3871</f>
        <v>0</v>
      </c>
      <c r="H3872" s="610">
        <f>H3842-H3871</f>
        <v>0</v>
      </c>
      <c r="I3872" s="610">
        <f>I3842-I3871</f>
        <v>0</v>
      </c>
      <c r="J3872" s="610">
        <f>J3842-J3871</f>
        <v>0</v>
      </c>
      <c r="K3872" s="636">
        <f>SUM(F3872:J3872)</f>
        <v>0</v>
      </c>
      <c r="L3872" s="3"/>
    </row>
    <row r="3873" spans="3:12" x14ac:dyDescent="0.2">
      <c r="C3873" s="683"/>
      <c r="D3873" s="593" t="s">
        <v>436</v>
      </c>
      <c r="E3873" s="594"/>
      <c r="F3873" s="581"/>
      <c r="G3873" s="581"/>
      <c r="H3873" s="581"/>
      <c r="I3873" s="581"/>
      <c r="J3873" s="581"/>
      <c r="K3873" s="637">
        <f>K3871+K3872</f>
        <v>59</v>
      </c>
      <c r="L3873" s="3"/>
    </row>
    <row r="3875" spans="3:12" ht="18" x14ac:dyDescent="0.2">
      <c r="C3875" s="685" t="s">
        <v>412</v>
      </c>
      <c r="D3875" s="582">
        <v>45772</v>
      </c>
      <c r="E3875" s="800"/>
      <c r="F3875" s="685" t="s">
        <v>83</v>
      </c>
      <c r="G3875" s="801" t="s">
        <v>67</v>
      </c>
      <c r="H3875" s="802"/>
      <c r="I3875" s="802"/>
      <c r="J3875" s="802"/>
      <c r="K3875" s="803"/>
    </row>
    <row r="3876" spans="3:12" x14ac:dyDescent="0.2">
      <c r="C3876" s="804"/>
      <c r="D3876" s="805"/>
      <c r="E3876" s="800"/>
      <c r="F3876" s="683" t="s">
        <v>93</v>
      </c>
      <c r="G3876" s="683" t="s">
        <v>93</v>
      </c>
      <c r="H3876" s="683"/>
      <c r="I3876" s="806"/>
      <c r="J3876" s="806"/>
      <c r="K3876" s="806"/>
    </row>
    <row r="3877" spans="3:12" x14ac:dyDescent="0.2">
      <c r="C3877" s="804"/>
      <c r="D3877" s="805"/>
      <c r="E3877" s="800"/>
      <c r="F3877" s="683" t="s">
        <v>94</v>
      </c>
      <c r="G3877" s="683" t="s">
        <v>95</v>
      </c>
      <c r="H3877" s="683" t="s">
        <v>96</v>
      </c>
      <c r="I3877" s="806"/>
      <c r="J3877" s="806"/>
      <c r="K3877" s="806"/>
    </row>
    <row r="3878" spans="3:12" x14ac:dyDescent="0.2">
      <c r="C3878" s="804"/>
      <c r="D3878" s="805"/>
      <c r="E3878" s="800"/>
      <c r="F3878" s="683"/>
      <c r="G3878" s="683"/>
      <c r="H3878" s="683"/>
      <c r="I3878" s="806"/>
      <c r="J3878" s="806"/>
      <c r="K3878" s="806"/>
    </row>
    <row r="3879" spans="3:12" ht="16" x14ac:dyDescent="0.2">
      <c r="C3879" s="683"/>
      <c r="D3879" s="583" t="s">
        <v>97</v>
      </c>
      <c r="E3879" s="584"/>
      <c r="F3879" s="581"/>
      <c r="G3879" s="585"/>
      <c r="H3879" s="585"/>
      <c r="I3879" s="586"/>
      <c r="J3879" s="586"/>
      <c r="K3879" s="586"/>
    </row>
    <row r="3880" spans="3:12" ht="26" x14ac:dyDescent="0.2">
      <c r="C3880" s="804"/>
      <c r="D3880" s="587"/>
      <c r="E3880" s="588"/>
      <c r="F3880" s="585" t="s">
        <v>383</v>
      </c>
      <c r="G3880" s="585" t="s">
        <v>384</v>
      </c>
      <c r="H3880" s="585" t="s">
        <v>385</v>
      </c>
      <c r="I3880" s="585" t="s">
        <v>386</v>
      </c>
      <c r="J3880" s="585" t="s">
        <v>387</v>
      </c>
      <c r="K3880" s="585" t="s">
        <v>84</v>
      </c>
    </row>
    <row r="3881" spans="3:12" x14ac:dyDescent="0.2">
      <c r="C3881" s="804"/>
      <c r="D3881" s="684" t="s">
        <v>167</v>
      </c>
      <c r="E3881" s="588"/>
      <c r="F3881" s="580">
        <v>13</v>
      </c>
      <c r="G3881" s="579">
        <v>7</v>
      </c>
      <c r="H3881" s="580">
        <v>3</v>
      </c>
      <c r="I3881" s="580">
        <v>4</v>
      </c>
      <c r="J3881" s="580">
        <v>8</v>
      </c>
      <c r="K3881" s="580">
        <f>SUM(F3881:J3881)</f>
        <v>35</v>
      </c>
    </row>
    <row r="3882" spans="3:12" x14ac:dyDescent="0.2">
      <c r="C3882" s="804"/>
      <c r="D3882" s="684" t="s">
        <v>207</v>
      </c>
      <c r="E3882" s="588"/>
      <c r="F3882" s="618">
        <v>91</v>
      </c>
      <c r="G3882" s="619">
        <v>48</v>
      </c>
      <c r="H3882" s="618">
        <v>21</v>
      </c>
      <c r="I3882" s="618">
        <v>44</v>
      </c>
      <c r="J3882" s="618">
        <v>70</v>
      </c>
      <c r="K3882" s="618">
        <f>SUM(F3882:J3882)</f>
        <v>274</v>
      </c>
    </row>
    <row r="3883" spans="3:12" x14ac:dyDescent="0.2">
      <c r="C3883" s="683"/>
      <c r="D3883" s="684" t="s">
        <v>100</v>
      </c>
      <c r="E3883" s="588"/>
      <c r="F3883" s="581"/>
      <c r="G3883" s="581"/>
      <c r="H3883" s="581"/>
      <c r="I3883" s="581"/>
      <c r="J3883" s="581"/>
      <c r="K3883" s="581">
        <f>SUM(F3883:J3883)</f>
        <v>0</v>
      </c>
    </row>
    <row r="3884" spans="3:12" x14ac:dyDescent="0.2">
      <c r="C3884" s="683"/>
      <c r="D3884" s="684" t="s">
        <v>101</v>
      </c>
      <c r="E3884" s="588"/>
      <c r="F3884" s="581"/>
      <c r="G3884" s="581">
        <v>1</v>
      </c>
      <c r="H3884" s="581">
        <v>1</v>
      </c>
      <c r="I3884" s="581"/>
      <c r="J3884" s="581">
        <v>1</v>
      </c>
      <c r="K3884" s="581">
        <f>SUM(F3884:J3884)</f>
        <v>3</v>
      </c>
    </row>
    <row r="3885" spans="3:12" ht="16" thickBot="1" x14ac:dyDescent="0.25">
      <c r="C3885" s="683"/>
      <c r="D3885" s="597" t="s">
        <v>102</v>
      </c>
      <c r="E3885" s="598"/>
      <c r="F3885" s="599"/>
      <c r="G3885" s="600"/>
      <c r="H3885" s="600">
        <v>1</v>
      </c>
      <c r="I3885" s="600"/>
      <c r="J3885" s="600"/>
      <c r="K3885" s="600">
        <f>SUM(F3885:J3885)</f>
        <v>1</v>
      </c>
    </row>
    <row r="3886" spans="3:12" ht="17" thickBot="1" x14ac:dyDescent="0.25">
      <c r="C3886" s="605"/>
      <c r="D3886" s="612" t="s">
        <v>84</v>
      </c>
      <c r="E3886" s="613"/>
      <c r="F3886" s="614">
        <f t="shared" ref="F3886:K3886" si="198">(F3882+F3885)-F3884-F3883</f>
        <v>91</v>
      </c>
      <c r="G3886" s="615">
        <f t="shared" si="198"/>
        <v>47</v>
      </c>
      <c r="H3886" s="616">
        <f t="shared" si="198"/>
        <v>21</v>
      </c>
      <c r="I3886" s="615">
        <f t="shared" si="198"/>
        <v>44</v>
      </c>
      <c r="J3886" s="622">
        <f t="shared" si="198"/>
        <v>69</v>
      </c>
      <c r="K3886" s="617">
        <f t="shared" si="198"/>
        <v>272</v>
      </c>
    </row>
    <row r="3887" spans="3:12" ht="16" x14ac:dyDescent="0.2">
      <c r="C3887" s="683"/>
      <c r="D3887" s="608"/>
      <c r="E3887" s="609"/>
      <c r="F3887" s="610"/>
      <c r="G3887" s="595"/>
      <c r="H3887" s="611"/>
      <c r="I3887" s="595"/>
      <c r="J3887" s="595"/>
      <c r="K3887" s="595"/>
    </row>
    <row r="3888" spans="3:12" ht="16" thickBot="1" x14ac:dyDescent="0.25">
      <c r="C3888" s="606" t="s">
        <v>388</v>
      </c>
      <c r="D3888" s="607" t="s">
        <v>103</v>
      </c>
      <c r="E3888" s="603" t="s">
        <v>84</v>
      </c>
      <c r="F3888" s="602" t="s">
        <v>78</v>
      </c>
      <c r="G3888" s="602" t="s">
        <v>79</v>
      </c>
      <c r="H3888" s="602" t="s">
        <v>81</v>
      </c>
      <c r="I3888" s="601" t="s">
        <v>316</v>
      </c>
      <c r="J3888" s="601" t="s">
        <v>85</v>
      </c>
      <c r="K3888" s="601" t="s">
        <v>84</v>
      </c>
      <c r="L3888" s="174" t="s">
        <v>389</v>
      </c>
    </row>
    <row r="3889" spans="3:12" x14ac:dyDescent="0.2">
      <c r="C3889" s="589" t="s">
        <v>1041</v>
      </c>
      <c r="D3889" s="604" t="s">
        <v>105</v>
      </c>
      <c r="E3889" s="591">
        <f>(F3889+G3889+H3889+I3889+J3889)*100+(0*230)</f>
        <v>4900</v>
      </c>
      <c r="F3889" s="3">
        <v>20</v>
      </c>
      <c r="G3889" s="3">
        <v>10</v>
      </c>
      <c r="H3889" s="3">
        <v>5</v>
      </c>
      <c r="I3889" s="3">
        <v>4</v>
      </c>
      <c r="J3889" s="3">
        <v>10</v>
      </c>
      <c r="K3889" s="628">
        <f t="shared" ref="K3889:K3911" si="199">SUM(F3889:J3889)</f>
        <v>49</v>
      </c>
      <c r="L3889" s="630">
        <f>K3889/4</f>
        <v>12.25</v>
      </c>
    </row>
    <row r="3890" spans="3:12" x14ac:dyDescent="0.2">
      <c r="C3890" s="589" t="s">
        <v>1042</v>
      </c>
      <c r="D3890" s="590" t="s">
        <v>390</v>
      </c>
      <c r="E3890" s="591">
        <f>(F3890+G3890+H3890+I3890+J3890)*120</f>
        <v>1200</v>
      </c>
      <c r="F3890" s="3">
        <v>2</v>
      </c>
      <c r="G3890" s="3">
        <v>2</v>
      </c>
      <c r="H3890" s="3">
        <v>2</v>
      </c>
      <c r="I3890" s="3">
        <v>2</v>
      </c>
      <c r="J3890" s="3">
        <v>2</v>
      </c>
      <c r="K3890" s="628">
        <f t="shared" si="199"/>
        <v>10</v>
      </c>
      <c r="L3890" s="630">
        <f t="shared" ref="L3890:L3911" si="200">K3890/4</f>
        <v>2.5</v>
      </c>
    </row>
    <row r="3891" spans="3:12" x14ac:dyDescent="0.2">
      <c r="C3891" s="589"/>
      <c r="D3891" s="590" t="s">
        <v>391</v>
      </c>
      <c r="E3891" s="591">
        <f>(F3891+G3891+H3891+I3891+J3891)*120</f>
        <v>0</v>
      </c>
      <c r="F3891" s="3"/>
      <c r="G3891" s="3"/>
      <c r="H3891" s="3"/>
      <c r="I3891" s="3"/>
      <c r="J3891" s="3"/>
      <c r="K3891" s="628">
        <f t="shared" si="199"/>
        <v>0</v>
      </c>
      <c r="L3891" s="630">
        <f t="shared" si="200"/>
        <v>0</v>
      </c>
    </row>
    <row r="3892" spans="3:12" x14ac:dyDescent="0.2">
      <c r="C3892" s="589" t="s">
        <v>765</v>
      </c>
      <c r="D3892" s="590" t="s">
        <v>392</v>
      </c>
      <c r="E3892" s="591">
        <f>(F3892+G3892+H3892+I3892+J3892)*120</f>
        <v>2040</v>
      </c>
      <c r="F3892" s="3">
        <v>5</v>
      </c>
      <c r="G3892" s="3">
        <v>2</v>
      </c>
      <c r="H3892" s="3">
        <v>5</v>
      </c>
      <c r="I3892" s="3"/>
      <c r="J3892" s="3">
        <v>5</v>
      </c>
      <c r="K3892" s="628">
        <f t="shared" si="199"/>
        <v>17</v>
      </c>
      <c r="L3892" s="630">
        <f t="shared" si="200"/>
        <v>4.25</v>
      </c>
    </row>
    <row r="3893" spans="3:12" x14ac:dyDescent="0.2">
      <c r="C3893" s="589"/>
      <c r="D3893" s="590" t="s">
        <v>425</v>
      </c>
      <c r="E3893" s="591">
        <f>(F3893+G3893+H3893+I3893+J3893)*120</f>
        <v>0</v>
      </c>
      <c r="F3893" s="3"/>
      <c r="G3893" s="3"/>
      <c r="H3893" s="3"/>
      <c r="I3893" s="3"/>
      <c r="J3893" s="3"/>
      <c r="K3893" s="628">
        <f t="shared" si="199"/>
        <v>0</v>
      </c>
      <c r="L3893" s="630">
        <f t="shared" si="200"/>
        <v>0</v>
      </c>
    </row>
    <row r="3894" spans="3:12" x14ac:dyDescent="0.2">
      <c r="C3894" s="589"/>
      <c r="D3894" s="590"/>
      <c r="E3894" s="591"/>
      <c r="F3894" s="3"/>
      <c r="G3894" s="3"/>
      <c r="H3894" s="3"/>
      <c r="I3894" s="3"/>
      <c r="J3894" s="3"/>
      <c r="K3894" s="628">
        <f t="shared" si="199"/>
        <v>0</v>
      </c>
      <c r="L3894" s="630">
        <f t="shared" si="200"/>
        <v>0</v>
      </c>
    </row>
    <row r="3895" spans="3:12" x14ac:dyDescent="0.2">
      <c r="C3895" s="589" t="s">
        <v>1044</v>
      </c>
      <c r="D3895" s="590" t="s">
        <v>108</v>
      </c>
      <c r="E3895" s="591">
        <f>(F3895+G3895+H3895+J3895)*112.7+(I3895*119.6)</f>
        <v>5027.8</v>
      </c>
      <c r="F3895" s="3">
        <v>12</v>
      </c>
      <c r="G3895" s="3">
        <v>5</v>
      </c>
      <c r="H3895" s="3">
        <v>5</v>
      </c>
      <c r="I3895" s="3">
        <v>10</v>
      </c>
      <c r="J3895" s="3">
        <v>12</v>
      </c>
      <c r="K3895" s="628">
        <f t="shared" si="199"/>
        <v>44</v>
      </c>
      <c r="L3895" s="630">
        <f t="shared" si="200"/>
        <v>11</v>
      </c>
    </row>
    <row r="3896" spans="3:12" x14ac:dyDescent="0.2">
      <c r="C3896" s="589" t="s">
        <v>1043</v>
      </c>
      <c r="D3896" s="590" t="s">
        <v>393</v>
      </c>
      <c r="E3896" s="591">
        <f>(F3896+G3896+H3896+J3896)*112.7+(I3896*119.6)</f>
        <v>2732.4</v>
      </c>
      <c r="F3896" s="3">
        <v>6</v>
      </c>
      <c r="G3896" s="3">
        <v>4</v>
      </c>
      <c r="H3896" s="3">
        <v>4</v>
      </c>
      <c r="I3896" s="3">
        <v>4</v>
      </c>
      <c r="J3896" s="3">
        <v>6</v>
      </c>
      <c r="K3896" s="628">
        <f t="shared" si="199"/>
        <v>24</v>
      </c>
      <c r="L3896" s="630">
        <f t="shared" si="200"/>
        <v>6</v>
      </c>
    </row>
    <row r="3897" spans="3:12" x14ac:dyDescent="0.2">
      <c r="C3897" s="589" t="s">
        <v>1046</v>
      </c>
      <c r="D3897" s="590" t="s">
        <v>216</v>
      </c>
      <c r="E3897" s="591">
        <f>(F3897+G3897+H3897+J3897)*112.7+(I3897*119.6)</f>
        <v>2281.6</v>
      </c>
      <c r="F3897" s="3">
        <v>6</v>
      </c>
      <c r="G3897" s="3">
        <v>4</v>
      </c>
      <c r="H3897" s="3"/>
      <c r="I3897" s="3">
        <v>4</v>
      </c>
      <c r="J3897" s="3">
        <v>6</v>
      </c>
      <c r="K3897" s="628">
        <f t="shared" si="199"/>
        <v>20</v>
      </c>
      <c r="L3897" s="630">
        <f t="shared" si="200"/>
        <v>5</v>
      </c>
    </row>
    <row r="3898" spans="3:12" x14ac:dyDescent="0.2">
      <c r="C3898" s="589"/>
      <c r="D3898" s="590"/>
      <c r="E3898" s="591"/>
      <c r="F3898" s="3"/>
      <c r="G3898" s="3"/>
      <c r="H3898" s="3"/>
      <c r="I3898" s="3"/>
      <c r="J3898" s="3"/>
      <c r="K3898" s="628">
        <f t="shared" si="199"/>
        <v>0</v>
      </c>
      <c r="L3898" s="630">
        <f t="shared" si="200"/>
        <v>0</v>
      </c>
    </row>
    <row r="3899" spans="3:12" x14ac:dyDescent="0.2">
      <c r="C3899" s="589"/>
      <c r="D3899" s="590" t="s">
        <v>394</v>
      </c>
      <c r="E3899" s="591">
        <f>(F3899+G3899+H3899+I3899+J3899)*120</f>
        <v>0</v>
      </c>
      <c r="F3899" s="3"/>
      <c r="G3899" s="3"/>
      <c r="H3899" s="3"/>
      <c r="I3899" s="3"/>
      <c r="J3899" s="3"/>
      <c r="K3899" s="628">
        <f t="shared" si="199"/>
        <v>0</v>
      </c>
      <c r="L3899" s="630">
        <f t="shared" si="200"/>
        <v>0</v>
      </c>
    </row>
    <row r="3900" spans="3:12" x14ac:dyDescent="0.2">
      <c r="C3900" s="589" t="s">
        <v>1045</v>
      </c>
      <c r="D3900" s="590" t="s">
        <v>110</v>
      </c>
      <c r="E3900" s="591">
        <f>(F3900+G3900+H3900+J3900)*112.7+(I3900*119.6)</f>
        <v>11408</v>
      </c>
      <c r="F3900" s="3">
        <v>40</v>
      </c>
      <c r="G3900" s="3">
        <v>20</v>
      </c>
      <c r="H3900" s="3"/>
      <c r="I3900" s="3">
        <v>20</v>
      </c>
      <c r="J3900" s="3">
        <v>20</v>
      </c>
      <c r="K3900" s="628">
        <f t="shared" si="199"/>
        <v>100</v>
      </c>
      <c r="L3900" s="630">
        <f t="shared" si="200"/>
        <v>25</v>
      </c>
    </row>
    <row r="3901" spans="3:12" x14ac:dyDescent="0.2">
      <c r="C3901" s="589"/>
      <c r="D3901" s="590"/>
      <c r="E3901" s="591"/>
      <c r="F3901" s="3"/>
      <c r="G3901" s="3"/>
      <c r="H3901" s="3"/>
      <c r="I3901" s="3"/>
      <c r="J3901" s="3"/>
      <c r="K3901" s="628">
        <f t="shared" si="199"/>
        <v>0</v>
      </c>
      <c r="L3901" s="630">
        <f t="shared" si="200"/>
        <v>0</v>
      </c>
    </row>
    <row r="3902" spans="3:12" x14ac:dyDescent="0.2">
      <c r="C3902" s="589"/>
      <c r="D3902" s="590" t="s">
        <v>381</v>
      </c>
      <c r="E3902" s="591">
        <f>(F3902+G3902+H3902+I3902+J3902)*120+(240*0)+(0*45)</f>
        <v>0</v>
      </c>
      <c r="F3902" s="3"/>
      <c r="G3902" s="3"/>
      <c r="H3902" s="3"/>
      <c r="I3902" s="3"/>
      <c r="J3902" s="3"/>
      <c r="K3902" s="628">
        <f t="shared" si="199"/>
        <v>0</v>
      </c>
      <c r="L3902" s="630">
        <f t="shared" si="200"/>
        <v>0</v>
      </c>
    </row>
    <row r="3903" spans="3:12" x14ac:dyDescent="0.2">
      <c r="C3903" s="589"/>
      <c r="D3903" s="590" t="s">
        <v>276</v>
      </c>
      <c r="E3903" s="591">
        <f>(F3903+G3903+H3903+J3903)*112.7+(I3903*119.6)</f>
        <v>0</v>
      </c>
      <c r="F3903" s="3"/>
      <c r="G3903" s="3"/>
      <c r="H3903" s="3"/>
      <c r="I3903" s="3"/>
      <c r="J3903" s="3"/>
      <c r="K3903" s="628">
        <f t="shared" si="199"/>
        <v>0</v>
      </c>
      <c r="L3903" s="630">
        <f t="shared" si="200"/>
        <v>0</v>
      </c>
    </row>
    <row r="3904" spans="3:12" x14ac:dyDescent="0.2">
      <c r="C3904" s="589"/>
      <c r="D3904" s="590"/>
      <c r="E3904" s="591"/>
      <c r="F3904" s="3"/>
      <c r="G3904" s="3"/>
      <c r="H3904" s="3"/>
      <c r="I3904" s="3"/>
      <c r="J3904" s="3"/>
      <c r="K3904" s="628">
        <f t="shared" si="199"/>
        <v>0</v>
      </c>
      <c r="L3904" s="630">
        <f t="shared" si="200"/>
        <v>0</v>
      </c>
    </row>
    <row r="3905" spans="3:12" x14ac:dyDescent="0.2">
      <c r="C3905" s="589"/>
      <c r="D3905" s="590" t="s">
        <v>75</v>
      </c>
      <c r="E3905" s="591">
        <f>(F3905+G3905+H3905+I3905+J3905)*120</f>
        <v>0</v>
      </c>
      <c r="F3905" s="3"/>
      <c r="G3905" s="3"/>
      <c r="H3905" s="3"/>
      <c r="I3905" s="3"/>
      <c r="J3905" s="3"/>
      <c r="K3905" s="628">
        <f t="shared" si="199"/>
        <v>0</v>
      </c>
      <c r="L3905" s="630">
        <f t="shared" si="200"/>
        <v>0</v>
      </c>
    </row>
    <row r="3906" spans="3:12" x14ac:dyDescent="0.2">
      <c r="C3906" s="589"/>
      <c r="D3906" s="590" t="s">
        <v>278</v>
      </c>
      <c r="E3906" s="591">
        <f>(F3906+G3906+H3906+I3906+J3906)*120</f>
        <v>0</v>
      </c>
      <c r="F3906" s="3"/>
      <c r="G3906" s="3"/>
      <c r="H3906" s="3"/>
      <c r="I3906" s="3"/>
      <c r="J3906" s="3"/>
      <c r="K3906" s="628">
        <f t="shared" si="199"/>
        <v>0</v>
      </c>
      <c r="L3906" s="630">
        <f t="shared" si="200"/>
        <v>0</v>
      </c>
    </row>
    <row r="3907" spans="3:12" x14ac:dyDescent="0.2">
      <c r="C3907" s="589"/>
      <c r="D3907" s="590" t="s">
        <v>270</v>
      </c>
      <c r="E3907" s="591">
        <f>(F3907+G3907+H3907+I3907)*112.7+(J3907*119.6)</f>
        <v>0</v>
      </c>
      <c r="F3907" s="3"/>
      <c r="G3907" s="3"/>
      <c r="H3907" s="3"/>
      <c r="I3907" s="3"/>
      <c r="J3907" s="3"/>
      <c r="K3907" s="628">
        <f t="shared" si="199"/>
        <v>0</v>
      </c>
      <c r="L3907" s="630">
        <f t="shared" si="200"/>
        <v>0</v>
      </c>
    </row>
    <row r="3908" spans="3:12" x14ac:dyDescent="0.2">
      <c r="C3908" s="589"/>
      <c r="D3908" s="590" t="s">
        <v>274</v>
      </c>
      <c r="E3908" s="591">
        <f>(F3908+G3908+H3908+I3908)*112.7+(J3908*119.6)</f>
        <v>0</v>
      </c>
      <c r="F3908" s="3"/>
      <c r="G3908" s="3"/>
      <c r="H3908" s="3"/>
      <c r="I3908" s="3"/>
      <c r="J3908" s="3"/>
      <c r="K3908" s="628">
        <f t="shared" si="199"/>
        <v>0</v>
      </c>
      <c r="L3908" s="630">
        <f t="shared" si="200"/>
        <v>0</v>
      </c>
    </row>
    <row r="3909" spans="3:12" x14ac:dyDescent="0.2">
      <c r="C3909" s="589"/>
      <c r="D3909" s="590" t="s">
        <v>395</v>
      </c>
      <c r="E3909" s="591">
        <f>(F3909+G3909+H3909+I3909)*112.7+(J3909*119.6)</f>
        <v>0</v>
      </c>
      <c r="F3909" s="3"/>
      <c r="G3909" s="3"/>
      <c r="H3909" s="3"/>
      <c r="I3909" s="3"/>
      <c r="J3909" s="3"/>
      <c r="K3909" s="628">
        <f t="shared" si="199"/>
        <v>0</v>
      </c>
      <c r="L3909" s="630">
        <f t="shared" si="200"/>
        <v>0</v>
      </c>
    </row>
    <row r="3910" spans="3:12" x14ac:dyDescent="0.2">
      <c r="C3910" s="683"/>
      <c r="D3910" s="590" t="s">
        <v>112</v>
      </c>
      <c r="E3910" s="591">
        <f>(F3910+G3910+H3910+I3910)*112.7+(J3910*119.6)</f>
        <v>0</v>
      </c>
      <c r="F3910" s="3"/>
      <c r="G3910" s="3"/>
      <c r="H3910" s="3"/>
      <c r="I3910" s="3"/>
      <c r="J3910" s="3"/>
      <c r="K3910" s="628">
        <f t="shared" si="199"/>
        <v>0</v>
      </c>
      <c r="L3910" s="630">
        <f t="shared" si="200"/>
        <v>0</v>
      </c>
    </row>
    <row r="3911" spans="3:12" x14ac:dyDescent="0.2">
      <c r="C3911" s="683"/>
      <c r="D3911" s="590" t="s">
        <v>72</v>
      </c>
      <c r="E3911" s="591">
        <f>(F3911+G3911+H3911+I3911)*112.7+(J3911*119.6)</f>
        <v>0</v>
      </c>
      <c r="F3911" s="3"/>
      <c r="G3911" s="3"/>
      <c r="H3911" s="3"/>
      <c r="I3911" s="3"/>
      <c r="J3911" s="3"/>
      <c r="K3911" s="628">
        <f t="shared" si="199"/>
        <v>0</v>
      </c>
      <c r="L3911" s="630">
        <f t="shared" si="200"/>
        <v>0</v>
      </c>
    </row>
    <row r="3912" spans="3:12" x14ac:dyDescent="0.2">
      <c r="C3912" s="683"/>
      <c r="D3912" s="590" t="s">
        <v>187</v>
      </c>
      <c r="E3912" s="591"/>
      <c r="F3912" s="3"/>
      <c r="G3912" s="3"/>
      <c r="H3912" s="3"/>
      <c r="I3912" s="3"/>
      <c r="J3912" s="3">
        <v>8</v>
      </c>
      <c r="K3912" s="628">
        <f>SUM(F3912:J3912)</f>
        <v>8</v>
      </c>
      <c r="L3912" s="3"/>
    </row>
    <row r="3913" spans="3:12" ht="16" x14ac:dyDescent="0.2">
      <c r="C3913" s="683"/>
      <c r="D3913" s="590"/>
      <c r="E3913" s="592"/>
      <c r="F3913" s="3"/>
      <c r="G3913" s="3"/>
      <c r="H3913" s="3"/>
      <c r="I3913" s="3"/>
      <c r="J3913" s="3"/>
      <c r="K3913" s="628">
        <f>SUM(F3913:J3913)</f>
        <v>0</v>
      </c>
      <c r="L3913" s="3"/>
    </row>
    <row r="3914" spans="3:12" ht="17" thickBot="1" x14ac:dyDescent="0.25">
      <c r="C3914" s="683"/>
      <c r="D3914" s="590"/>
      <c r="E3914" s="624"/>
      <c r="F3914" s="69"/>
      <c r="G3914" s="69"/>
      <c r="H3914" s="69"/>
      <c r="I3914" s="69"/>
      <c r="J3914" s="69"/>
      <c r="K3914" s="629"/>
      <c r="L3914" s="3"/>
    </row>
    <row r="3915" spans="3:12" ht="16" thickBot="1" x14ac:dyDescent="0.25">
      <c r="C3915" s="596"/>
      <c r="D3915" s="623" t="s">
        <v>19</v>
      </c>
      <c r="E3915" s="625">
        <f>SUM(E3889:E3912)</f>
        <v>29589.8</v>
      </c>
      <c r="F3915" s="614">
        <f>SUM(F3889:F3914)</f>
        <v>91</v>
      </c>
      <c r="G3915" s="614">
        <f>SUM(G3889:G3914)</f>
        <v>47</v>
      </c>
      <c r="H3915" s="614">
        <f>SUM(H3889:H3914)</f>
        <v>21</v>
      </c>
      <c r="I3915" s="614">
        <f>SUM(I3889:I3914)</f>
        <v>44</v>
      </c>
      <c r="J3915" s="614">
        <f>SUM(J3889:J3914)</f>
        <v>69</v>
      </c>
      <c r="K3915" s="626">
        <f>SUM(F3915:J3915)</f>
        <v>272</v>
      </c>
      <c r="L3915" s="631">
        <f>SUM(L3889:L3914)</f>
        <v>66</v>
      </c>
    </row>
    <row r="3916" spans="3:12" x14ac:dyDescent="0.2">
      <c r="C3916" s="596"/>
      <c r="D3916" s="593" t="s">
        <v>113</v>
      </c>
      <c r="E3916" s="620"/>
      <c r="F3916" s="610">
        <f>F3886-F3915</f>
        <v>0</v>
      </c>
      <c r="G3916" s="610">
        <f>G3886-G3915</f>
        <v>0</v>
      </c>
      <c r="H3916" s="610">
        <f>H3886-H3915</f>
        <v>0</v>
      </c>
      <c r="I3916" s="610">
        <f>I3886-I3915</f>
        <v>0</v>
      </c>
      <c r="J3916" s="610">
        <f>J3886-J3915</f>
        <v>0</v>
      </c>
      <c r="K3916" s="636">
        <f>SUM(F3916:J3916)</f>
        <v>0</v>
      </c>
      <c r="L3916" s="3"/>
    </row>
    <row r="3917" spans="3:12" x14ac:dyDescent="0.2">
      <c r="C3917" s="683"/>
      <c r="D3917" s="593" t="s">
        <v>436</v>
      </c>
      <c r="E3917" s="594"/>
      <c r="F3917" s="581"/>
      <c r="G3917" s="581"/>
      <c r="H3917" s="581"/>
      <c r="I3917" s="581"/>
      <c r="J3917" s="581"/>
      <c r="K3917" s="637">
        <f>K3915+K3916</f>
        <v>272</v>
      </c>
      <c r="L3917" s="3"/>
    </row>
    <row r="3920" spans="3:12" ht="18" x14ac:dyDescent="0.2">
      <c r="C3920" s="685" t="s">
        <v>412</v>
      </c>
      <c r="D3920" s="582">
        <v>45775</v>
      </c>
      <c r="E3920" s="800"/>
      <c r="F3920" s="685" t="s">
        <v>83</v>
      </c>
      <c r="G3920" s="801" t="s">
        <v>63</v>
      </c>
      <c r="H3920" s="802"/>
      <c r="I3920" s="802"/>
      <c r="J3920" s="802"/>
      <c r="K3920" s="803"/>
    </row>
    <row r="3921" spans="3:12" x14ac:dyDescent="0.2">
      <c r="C3921" s="804"/>
      <c r="D3921" s="805"/>
      <c r="E3921" s="800"/>
      <c r="F3921" s="683" t="s">
        <v>93</v>
      </c>
      <c r="G3921" s="683" t="s">
        <v>93</v>
      </c>
      <c r="H3921" s="683"/>
      <c r="I3921" s="806"/>
      <c r="J3921" s="806"/>
      <c r="K3921" s="806"/>
    </row>
    <row r="3922" spans="3:12" x14ac:dyDescent="0.2">
      <c r="C3922" s="804"/>
      <c r="D3922" s="805"/>
      <c r="E3922" s="800"/>
      <c r="F3922" s="683" t="s">
        <v>94</v>
      </c>
      <c r="G3922" s="683" t="s">
        <v>95</v>
      </c>
      <c r="H3922" s="683" t="s">
        <v>96</v>
      </c>
      <c r="I3922" s="806"/>
      <c r="J3922" s="806"/>
      <c r="K3922" s="806"/>
    </row>
    <row r="3923" spans="3:12" x14ac:dyDescent="0.2">
      <c r="C3923" s="804"/>
      <c r="D3923" s="805"/>
      <c r="E3923" s="800"/>
      <c r="F3923" s="683"/>
      <c r="G3923" s="683"/>
      <c r="H3923" s="683"/>
      <c r="I3923" s="806"/>
      <c r="J3923" s="806"/>
      <c r="K3923" s="806"/>
    </row>
    <row r="3924" spans="3:12" ht="16" x14ac:dyDescent="0.2">
      <c r="C3924" s="683"/>
      <c r="D3924" s="583" t="s">
        <v>97</v>
      </c>
      <c r="E3924" s="584"/>
      <c r="F3924" s="581"/>
      <c r="G3924" s="585"/>
      <c r="H3924" s="585"/>
      <c r="I3924" s="586"/>
      <c r="J3924" s="586"/>
      <c r="K3924" s="586"/>
    </row>
    <row r="3925" spans="3:12" ht="26" x14ac:dyDescent="0.2">
      <c r="C3925" s="804"/>
      <c r="D3925" s="587"/>
      <c r="E3925" s="588"/>
      <c r="F3925" s="585" t="s">
        <v>383</v>
      </c>
      <c r="G3925" s="585" t="s">
        <v>384</v>
      </c>
      <c r="H3925" s="585" t="s">
        <v>385</v>
      </c>
      <c r="I3925" s="585" t="s">
        <v>386</v>
      </c>
      <c r="J3925" s="585" t="s">
        <v>387</v>
      </c>
      <c r="K3925" s="585" t="s">
        <v>84</v>
      </c>
    </row>
    <row r="3926" spans="3:12" x14ac:dyDescent="0.2">
      <c r="C3926" s="804"/>
      <c r="D3926" s="684" t="s">
        <v>167</v>
      </c>
      <c r="E3926" s="588"/>
      <c r="F3926" s="580">
        <v>11</v>
      </c>
      <c r="G3926" s="579">
        <v>7</v>
      </c>
      <c r="H3926" s="580">
        <v>3</v>
      </c>
      <c r="I3926" s="580">
        <v>4</v>
      </c>
      <c r="J3926" s="580">
        <v>9</v>
      </c>
      <c r="K3926" s="580">
        <f>SUM(F3926:J3926)</f>
        <v>34</v>
      </c>
    </row>
    <row r="3927" spans="3:12" x14ac:dyDescent="0.2">
      <c r="C3927" s="804"/>
      <c r="D3927" s="684" t="s">
        <v>207</v>
      </c>
      <c r="E3927" s="588"/>
      <c r="F3927" s="618">
        <v>77</v>
      </c>
      <c r="G3927" s="619">
        <v>49</v>
      </c>
      <c r="H3927" s="618">
        <v>21</v>
      </c>
      <c r="I3927" s="618">
        <v>44</v>
      </c>
      <c r="J3927" s="618">
        <v>79</v>
      </c>
      <c r="K3927" s="618">
        <f>SUM(F3927:J3927)</f>
        <v>270</v>
      </c>
    </row>
    <row r="3928" spans="3:12" x14ac:dyDescent="0.2">
      <c r="C3928" s="683"/>
      <c r="D3928" s="684" t="s">
        <v>100</v>
      </c>
      <c r="E3928" s="588"/>
      <c r="F3928" s="581"/>
      <c r="G3928" s="581"/>
      <c r="H3928" s="581"/>
      <c r="I3928" s="581"/>
      <c r="J3928" s="581"/>
      <c r="K3928" s="581">
        <f>SUM(F3928:J3928)</f>
        <v>0</v>
      </c>
    </row>
    <row r="3929" spans="3:12" x14ac:dyDescent="0.2">
      <c r="C3929" s="683"/>
      <c r="D3929" s="684" t="s">
        <v>101</v>
      </c>
      <c r="E3929" s="588"/>
      <c r="F3929" s="581"/>
      <c r="G3929" s="581">
        <v>1</v>
      </c>
      <c r="H3929" s="581"/>
      <c r="I3929" s="581"/>
      <c r="J3929" s="581"/>
      <c r="K3929" s="581">
        <f>SUM(F3929:J3929)</f>
        <v>1</v>
      </c>
    </row>
    <row r="3930" spans="3:12" ht="16" thickBot="1" x14ac:dyDescent="0.25">
      <c r="C3930" s="683"/>
      <c r="D3930" s="597" t="s">
        <v>102</v>
      </c>
      <c r="E3930" s="598"/>
      <c r="F3930" s="599">
        <v>1</v>
      </c>
      <c r="G3930" s="600">
        <v>1</v>
      </c>
      <c r="H3930" s="600"/>
      <c r="I3930" s="600">
        <v>1</v>
      </c>
      <c r="J3930" s="600"/>
      <c r="K3930" s="600">
        <f>SUM(F3930:J3930)</f>
        <v>3</v>
      </c>
    </row>
    <row r="3931" spans="3:12" ht="17" thickBot="1" x14ac:dyDescent="0.25">
      <c r="C3931" s="605"/>
      <c r="D3931" s="612" t="s">
        <v>84</v>
      </c>
      <c r="E3931" s="613"/>
      <c r="F3931" s="614">
        <f t="shared" ref="F3931:K3931" si="201">(F3927+F3930)-F3929-F3928</f>
        <v>78</v>
      </c>
      <c r="G3931" s="615">
        <f t="shared" si="201"/>
        <v>49</v>
      </c>
      <c r="H3931" s="616">
        <f t="shared" si="201"/>
        <v>21</v>
      </c>
      <c r="I3931" s="615">
        <f t="shared" si="201"/>
        <v>45</v>
      </c>
      <c r="J3931" s="622">
        <f t="shared" si="201"/>
        <v>79</v>
      </c>
      <c r="K3931" s="617">
        <f t="shared" si="201"/>
        <v>272</v>
      </c>
    </row>
    <row r="3932" spans="3:12" ht="16" x14ac:dyDescent="0.2">
      <c r="C3932" s="683"/>
      <c r="D3932" s="608"/>
      <c r="E3932" s="609"/>
      <c r="F3932" s="610"/>
      <c r="G3932" s="595"/>
      <c r="H3932" s="611"/>
      <c r="I3932" s="595"/>
      <c r="J3932" s="595"/>
      <c r="K3932" s="595"/>
    </row>
    <row r="3933" spans="3:12" ht="16" thickBot="1" x14ac:dyDescent="0.25">
      <c r="C3933" s="606" t="s">
        <v>388</v>
      </c>
      <c r="D3933" s="607" t="s">
        <v>103</v>
      </c>
      <c r="E3933" s="603" t="s">
        <v>84</v>
      </c>
      <c r="F3933" s="602" t="s">
        <v>78</v>
      </c>
      <c r="G3933" s="602" t="s">
        <v>79</v>
      </c>
      <c r="H3933" s="602" t="s">
        <v>81</v>
      </c>
      <c r="I3933" s="601" t="s">
        <v>316</v>
      </c>
      <c r="J3933" s="601" t="s">
        <v>85</v>
      </c>
      <c r="K3933" s="601" t="s">
        <v>84</v>
      </c>
      <c r="L3933" s="174" t="s">
        <v>389</v>
      </c>
    </row>
    <row r="3934" spans="3:12" x14ac:dyDescent="0.2">
      <c r="C3934" s="589" t="s">
        <v>1051</v>
      </c>
      <c r="D3934" s="604" t="s">
        <v>105</v>
      </c>
      <c r="E3934" s="591">
        <f>(F3934+G3934+H3934+I3934+J3934)*100+(0*230)</f>
        <v>6800</v>
      </c>
      <c r="F3934" s="3">
        <v>20</v>
      </c>
      <c r="G3934" s="3">
        <v>12</v>
      </c>
      <c r="H3934" s="3">
        <v>8</v>
      </c>
      <c r="I3934" s="3">
        <v>8</v>
      </c>
      <c r="J3934" s="3">
        <v>20</v>
      </c>
      <c r="K3934" s="628">
        <f t="shared" ref="K3934:K3956" si="202">SUM(F3934:J3934)</f>
        <v>68</v>
      </c>
      <c r="L3934" s="630">
        <f>K3934/4</f>
        <v>17</v>
      </c>
    </row>
    <row r="3935" spans="3:12" x14ac:dyDescent="0.2">
      <c r="C3935" s="589"/>
      <c r="D3935" s="590" t="s">
        <v>390</v>
      </c>
      <c r="E3935" s="591">
        <f>(F3935+G3935+H3935+I3935+J3935)*120</f>
        <v>0</v>
      </c>
      <c r="F3935" s="3"/>
      <c r="G3935" s="3"/>
      <c r="H3935" s="3"/>
      <c r="I3935" s="3"/>
      <c r="J3935" s="3"/>
      <c r="K3935" s="628">
        <f t="shared" si="202"/>
        <v>0</v>
      </c>
      <c r="L3935" s="630">
        <f t="shared" ref="L3935:L3956" si="203">K3935/4</f>
        <v>0</v>
      </c>
    </row>
    <row r="3936" spans="3:12" x14ac:dyDescent="0.2">
      <c r="C3936" s="589" t="s">
        <v>1052</v>
      </c>
      <c r="D3936" s="590" t="s">
        <v>391</v>
      </c>
      <c r="E3936" s="591">
        <f>(F3936+G3936+H3936+I3936+J3936)*120</f>
        <v>3000</v>
      </c>
      <c r="F3936" s="3">
        <v>5</v>
      </c>
      <c r="G3936" s="3">
        <v>5</v>
      </c>
      <c r="H3936" s="3">
        <v>5</v>
      </c>
      <c r="I3936" s="3">
        <v>5</v>
      </c>
      <c r="J3936" s="3">
        <v>5</v>
      </c>
      <c r="K3936" s="628">
        <f t="shared" si="202"/>
        <v>25</v>
      </c>
      <c r="L3936" s="630">
        <f t="shared" si="203"/>
        <v>6.25</v>
      </c>
    </row>
    <row r="3937" spans="3:12" x14ac:dyDescent="0.2">
      <c r="C3937" s="589"/>
      <c r="D3937" s="590" t="s">
        <v>392</v>
      </c>
      <c r="E3937" s="591">
        <f>(F3937+G3937+H3937+I3937+J3937)*120</f>
        <v>0</v>
      </c>
      <c r="F3937" s="3"/>
      <c r="G3937" s="3"/>
      <c r="H3937" s="3"/>
      <c r="I3937" s="3"/>
      <c r="J3937" s="3"/>
      <c r="K3937" s="628">
        <f t="shared" si="202"/>
        <v>0</v>
      </c>
      <c r="L3937" s="630">
        <f t="shared" si="203"/>
        <v>0</v>
      </c>
    </row>
    <row r="3938" spans="3:12" x14ac:dyDescent="0.2">
      <c r="C3938" s="589"/>
      <c r="D3938" s="590" t="s">
        <v>425</v>
      </c>
      <c r="E3938" s="591">
        <f>(F3938+G3938+H3938+I3938+J3938)*120</f>
        <v>0</v>
      </c>
      <c r="F3938" s="3"/>
      <c r="G3938" s="3"/>
      <c r="H3938" s="3"/>
      <c r="I3938" s="3"/>
      <c r="J3938" s="3"/>
      <c r="K3938" s="628">
        <f t="shared" si="202"/>
        <v>0</v>
      </c>
      <c r="L3938" s="630">
        <f t="shared" si="203"/>
        <v>0</v>
      </c>
    </row>
    <row r="3939" spans="3:12" x14ac:dyDescent="0.2">
      <c r="C3939" s="589"/>
      <c r="D3939" s="590"/>
      <c r="E3939" s="591"/>
      <c r="F3939" s="3"/>
      <c r="G3939" s="3"/>
      <c r="H3939" s="3"/>
      <c r="I3939" s="3"/>
      <c r="J3939" s="3"/>
      <c r="K3939" s="628">
        <f t="shared" si="202"/>
        <v>0</v>
      </c>
      <c r="L3939" s="630">
        <f t="shared" si="203"/>
        <v>0</v>
      </c>
    </row>
    <row r="3940" spans="3:12" x14ac:dyDescent="0.2">
      <c r="C3940" s="589" t="s">
        <v>1055</v>
      </c>
      <c r="D3940" s="590" t="s">
        <v>108</v>
      </c>
      <c r="E3940" s="591">
        <f>(F3940+G3940+H3940+J3940)*112.7+(I3940*119.6)</f>
        <v>3661.6000000000004</v>
      </c>
      <c r="F3940" s="3">
        <v>8</v>
      </c>
      <c r="G3940" s="3">
        <v>4</v>
      </c>
      <c r="H3940" s="3">
        <v>4</v>
      </c>
      <c r="I3940" s="3">
        <v>8</v>
      </c>
      <c r="J3940" s="3">
        <v>8</v>
      </c>
      <c r="K3940" s="628">
        <f t="shared" si="202"/>
        <v>32</v>
      </c>
      <c r="L3940" s="630">
        <f t="shared" si="203"/>
        <v>8</v>
      </c>
    </row>
    <row r="3941" spans="3:12" x14ac:dyDescent="0.2">
      <c r="C3941" s="589" t="s">
        <v>1054</v>
      </c>
      <c r="D3941" s="590" t="s">
        <v>393</v>
      </c>
      <c r="E3941" s="591">
        <f>(F3941+G3941+H3941+J3941)*112.7+(I3941*119.6)</f>
        <v>2732.4</v>
      </c>
      <c r="F3941" s="3">
        <v>6</v>
      </c>
      <c r="G3941" s="3">
        <v>4</v>
      </c>
      <c r="H3941" s="3">
        <v>4</v>
      </c>
      <c r="I3941" s="3">
        <v>4</v>
      </c>
      <c r="J3941" s="3">
        <v>6</v>
      </c>
      <c r="K3941" s="628">
        <f t="shared" si="202"/>
        <v>24</v>
      </c>
      <c r="L3941" s="630">
        <f t="shared" si="203"/>
        <v>6</v>
      </c>
    </row>
    <row r="3942" spans="3:12" x14ac:dyDescent="0.2">
      <c r="C3942" s="589" t="s">
        <v>1053</v>
      </c>
      <c r="D3942" s="590" t="s">
        <v>216</v>
      </c>
      <c r="E3942" s="591">
        <f>(F3942+G3942+H3942+J3942)*112.7+(I3942*119.6)</f>
        <v>2281.6</v>
      </c>
      <c r="F3942" s="3">
        <v>6</v>
      </c>
      <c r="G3942" s="3">
        <v>4</v>
      </c>
      <c r="H3942" s="3"/>
      <c r="I3942" s="3">
        <v>4</v>
      </c>
      <c r="J3942" s="3">
        <v>6</v>
      </c>
      <c r="K3942" s="628">
        <f t="shared" si="202"/>
        <v>20</v>
      </c>
      <c r="L3942" s="630">
        <f t="shared" si="203"/>
        <v>5</v>
      </c>
    </row>
    <row r="3943" spans="3:12" x14ac:dyDescent="0.2">
      <c r="C3943" s="589"/>
      <c r="D3943" s="590"/>
      <c r="E3943" s="591"/>
      <c r="F3943" s="3"/>
      <c r="G3943" s="3"/>
      <c r="H3943" s="3"/>
      <c r="I3943" s="3"/>
      <c r="J3943" s="3"/>
      <c r="K3943" s="628">
        <f t="shared" si="202"/>
        <v>0</v>
      </c>
      <c r="L3943" s="630">
        <f t="shared" si="203"/>
        <v>0</v>
      </c>
    </row>
    <row r="3944" spans="3:12" x14ac:dyDescent="0.2">
      <c r="C3944" s="589"/>
      <c r="D3944" s="590" t="s">
        <v>394</v>
      </c>
      <c r="E3944" s="591">
        <f>(F3944+G3944+H3944+I3944+J3944)*120</f>
        <v>0</v>
      </c>
      <c r="F3944" s="3"/>
      <c r="G3944" s="3"/>
      <c r="H3944" s="3"/>
      <c r="I3944" s="3"/>
      <c r="J3944" s="3"/>
      <c r="K3944" s="628">
        <f t="shared" si="202"/>
        <v>0</v>
      </c>
      <c r="L3944" s="630">
        <f t="shared" si="203"/>
        <v>0</v>
      </c>
    </row>
    <row r="3945" spans="3:12" x14ac:dyDescent="0.2">
      <c r="C3945" s="589" t="s">
        <v>1056</v>
      </c>
      <c r="D3945" s="590" t="s">
        <v>110</v>
      </c>
      <c r="E3945" s="591">
        <f>(F3945+G3945+H3945+J3945)*112.7+(I3945*119.6)</f>
        <v>9577.2000000000007</v>
      </c>
      <c r="F3945" s="3">
        <v>30</v>
      </c>
      <c r="G3945" s="3">
        <v>16</v>
      </c>
      <c r="H3945" s="3"/>
      <c r="I3945" s="3">
        <v>16</v>
      </c>
      <c r="J3945" s="3">
        <v>22</v>
      </c>
      <c r="K3945" s="628">
        <f t="shared" si="202"/>
        <v>84</v>
      </c>
      <c r="L3945" s="630">
        <f t="shared" si="203"/>
        <v>21</v>
      </c>
    </row>
    <row r="3946" spans="3:12" x14ac:dyDescent="0.2">
      <c r="C3946" s="589"/>
      <c r="D3946" s="590"/>
      <c r="E3946" s="591"/>
      <c r="F3946" s="3"/>
      <c r="G3946" s="3"/>
      <c r="H3946" s="3"/>
      <c r="I3946" s="3"/>
      <c r="J3946" s="3"/>
      <c r="K3946" s="628">
        <f t="shared" si="202"/>
        <v>0</v>
      </c>
      <c r="L3946" s="630">
        <f t="shared" si="203"/>
        <v>0</v>
      </c>
    </row>
    <row r="3947" spans="3:12" x14ac:dyDescent="0.2">
      <c r="C3947" s="589"/>
      <c r="D3947" s="590" t="s">
        <v>381</v>
      </c>
      <c r="E3947" s="591">
        <f>(F3947+G3947+H3947+I3947+J3947)*120+(240*0)+(0*45)</f>
        <v>0</v>
      </c>
      <c r="F3947" s="3"/>
      <c r="G3947" s="3"/>
      <c r="H3947" s="3"/>
      <c r="I3947" s="3"/>
      <c r="J3947" s="3"/>
      <c r="K3947" s="628">
        <f t="shared" si="202"/>
        <v>0</v>
      </c>
      <c r="L3947" s="630">
        <f t="shared" si="203"/>
        <v>0</v>
      </c>
    </row>
    <row r="3948" spans="3:12" x14ac:dyDescent="0.2">
      <c r="C3948" s="589"/>
      <c r="D3948" s="590" t="s">
        <v>276</v>
      </c>
      <c r="E3948" s="591">
        <f>(F3948+G3948+H3948+J3948)*112.7+(I3948*119.6)</f>
        <v>0</v>
      </c>
      <c r="F3948" s="3"/>
      <c r="G3948" s="3"/>
      <c r="H3948" s="3"/>
      <c r="I3948" s="3"/>
      <c r="J3948" s="3"/>
      <c r="K3948" s="628">
        <f t="shared" si="202"/>
        <v>0</v>
      </c>
      <c r="L3948" s="630">
        <f t="shared" si="203"/>
        <v>0</v>
      </c>
    </row>
    <row r="3949" spans="3:12" x14ac:dyDescent="0.2">
      <c r="C3949" s="589"/>
      <c r="D3949" s="590"/>
      <c r="E3949" s="591"/>
      <c r="F3949" s="3"/>
      <c r="G3949" s="3"/>
      <c r="H3949" s="3"/>
      <c r="I3949" s="3"/>
      <c r="J3949" s="3"/>
      <c r="K3949" s="628">
        <f t="shared" si="202"/>
        <v>0</v>
      </c>
      <c r="L3949" s="630">
        <f t="shared" si="203"/>
        <v>0</v>
      </c>
    </row>
    <row r="3950" spans="3:12" x14ac:dyDescent="0.2">
      <c r="C3950" s="589"/>
      <c r="D3950" s="590" t="s">
        <v>75</v>
      </c>
      <c r="E3950" s="591">
        <f>(F3950+G3950+H3950+I3950+J3950)*120</f>
        <v>0</v>
      </c>
      <c r="F3950" s="3"/>
      <c r="G3950" s="3"/>
      <c r="H3950" s="3"/>
      <c r="I3950" s="3"/>
      <c r="J3950" s="3"/>
      <c r="K3950" s="628">
        <f t="shared" si="202"/>
        <v>0</v>
      </c>
      <c r="L3950" s="630">
        <f t="shared" si="203"/>
        <v>0</v>
      </c>
    </row>
    <row r="3951" spans="3:12" x14ac:dyDescent="0.2">
      <c r="C3951" s="589"/>
      <c r="D3951" s="590" t="s">
        <v>278</v>
      </c>
      <c r="E3951" s="591">
        <f>(F3951+G3951+H3951+I3951+J3951)*120</f>
        <v>0</v>
      </c>
      <c r="F3951" s="3"/>
      <c r="G3951" s="3"/>
      <c r="H3951" s="3"/>
      <c r="I3951" s="3"/>
      <c r="J3951" s="3"/>
      <c r="K3951" s="628">
        <f t="shared" si="202"/>
        <v>0</v>
      </c>
      <c r="L3951" s="630">
        <f t="shared" si="203"/>
        <v>0</v>
      </c>
    </row>
    <row r="3952" spans="3:12" x14ac:dyDescent="0.2">
      <c r="C3952" s="589"/>
      <c r="D3952" s="590" t="s">
        <v>270</v>
      </c>
      <c r="E3952" s="591">
        <f>(F3952+G3952+H3952+I3952)*112.7+(J3952*119.6)</f>
        <v>0</v>
      </c>
      <c r="F3952" s="3"/>
      <c r="G3952" s="3"/>
      <c r="H3952" s="3"/>
      <c r="I3952" s="3"/>
      <c r="J3952" s="3"/>
      <c r="K3952" s="628">
        <f t="shared" si="202"/>
        <v>0</v>
      </c>
      <c r="L3952" s="630">
        <f t="shared" si="203"/>
        <v>0</v>
      </c>
    </row>
    <row r="3953" spans="3:12" x14ac:dyDescent="0.2">
      <c r="C3953" s="589"/>
      <c r="D3953" s="590" t="s">
        <v>274</v>
      </c>
      <c r="E3953" s="591">
        <f>(F3953+G3953+H3953+I3953)*112.7+(J3953*119.6)</f>
        <v>0</v>
      </c>
      <c r="F3953" s="3"/>
      <c r="G3953" s="3"/>
      <c r="H3953" s="3"/>
      <c r="I3953" s="3"/>
      <c r="J3953" s="3"/>
      <c r="K3953" s="628">
        <f t="shared" si="202"/>
        <v>0</v>
      </c>
      <c r="L3953" s="630">
        <f t="shared" si="203"/>
        <v>0</v>
      </c>
    </row>
    <row r="3954" spans="3:12" x14ac:dyDescent="0.2">
      <c r="C3954" s="589"/>
      <c r="D3954" s="590" t="s">
        <v>395</v>
      </c>
      <c r="E3954" s="591">
        <f>(F3954+G3954+H3954+I3954)*112.7+(J3954*119.6)</f>
        <v>0</v>
      </c>
      <c r="F3954" s="3"/>
      <c r="G3954" s="3"/>
      <c r="H3954" s="3"/>
      <c r="I3954" s="3"/>
      <c r="J3954" s="3"/>
      <c r="K3954" s="628">
        <f t="shared" si="202"/>
        <v>0</v>
      </c>
      <c r="L3954" s="630">
        <f t="shared" si="203"/>
        <v>0</v>
      </c>
    </row>
    <row r="3955" spans="3:12" x14ac:dyDescent="0.2">
      <c r="C3955" s="683"/>
      <c r="D3955" s="590" t="s">
        <v>112</v>
      </c>
      <c r="E3955" s="591">
        <f>(F3955+G3955+H3955+I3955)*112.7+(J3955*119.6)</f>
        <v>0</v>
      </c>
      <c r="F3955" s="3"/>
      <c r="G3955" s="3"/>
      <c r="H3955" s="3"/>
      <c r="I3955" s="3"/>
      <c r="J3955" s="3"/>
      <c r="K3955" s="628">
        <f t="shared" si="202"/>
        <v>0</v>
      </c>
      <c r="L3955" s="630">
        <f t="shared" si="203"/>
        <v>0</v>
      </c>
    </row>
    <row r="3956" spans="3:12" x14ac:dyDescent="0.2">
      <c r="C3956" s="683"/>
      <c r="D3956" s="590" t="s">
        <v>72</v>
      </c>
      <c r="E3956" s="591">
        <f>(F3956+G3956+H3956+I3956)*112.7+(J3956*119.6)</f>
        <v>0</v>
      </c>
      <c r="F3956" s="3"/>
      <c r="G3956" s="3"/>
      <c r="H3956" s="3"/>
      <c r="I3956" s="3"/>
      <c r="J3956" s="3"/>
      <c r="K3956" s="628">
        <f t="shared" si="202"/>
        <v>0</v>
      </c>
      <c r="L3956" s="630">
        <f t="shared" si="203"/>
        <v>0</v>
      </c>
    </row>
    <row r="3957" spans="3:12" x14ac:dyDescent="0.2">
      <c r="C3957" s="683"/>
      <c r="D3957" s="590" t="s">
        <v>187</v>
      </c>
      <c r="E3957" s="591"/>
      <c r="F3957" s="3"/>
      <c r="G3957" s="3">
        <v>1</v>
      </c>
      <c r="H3957" s="3"/>
      <c r="I3957" s="3"/>
      <c r="J3957" s="3">
        <v>10</v>
      </c>
      <c r="K3957" s="628">
        <f>SUM(F3957:J3957)</f>
        <v>11</v>
      </c>
      <c r="L3957" s="3"/>
    </row>
    <row r="3958" spans="3:12" ht="16" x14ac:dyDescent="0.2">
      <c r="C3958" s="683"/>
      <c r="D3958" s="590"/>
      <c r="E3958" s="592"/>
      <c r="F3958" s="3"/>
      <c r="G3958" s="3"/>
      <c r="H3958" s="3"/>
      <c r="I3958" s="3"/>
      <c r="J3958" s="3"/>
      <c r="K3958" s="628">
        <f>SUM(F3958:J3958)</f>
        <v>0</v>
      </c>
      <c r="L3958" s="3"/>
    </row>
    <row r="3959" spans="3:12" ht="17" thickBot="1" x14ac:dyDescent="0.25">
      <c r="C3959" s="683"/>
      <c r="D3959" s="590"/>
      <c r="E3959" s="624"/>
      <c r="F3959" s="69"/>
      <c r="G3959" s="69"/>
      <c r="H3959" s="69"/>
      <c r="I3959" s="69"/>
      <c r="J3959" s="69"/>
      <c r="K3959" s="629"/>
      <c r="L3959" s="3"/>
    </row>
    <row r="3960" spans="3:12" ht="16" thickBot="1" x14ac:dyDescent="0.25">
      <c r="C3960" s="596"/>
      <c r="D3960" s="623" t="s">
        <v>19</v>
      </c>
      <c r="E3960" s="625">
        <f>SUM(E3934:E3957)</f>
        <v>28052.799999999999</v>
      </c>
      <c r="F3960" s="614">
        <f>SUM(F3934:F3959)</f>
        <v>75</v>
      </c>
      <c r="G3960" s="614">
        <f>SUM(G3934:G3959)</f>
        <v>46</v>
      </c>
      <c r="H3960" s="614">
        <f>SUM(H3934:H3959)</f>
        <v>21</v>
      </c>
      <c r="I3960" s="614">
        <f>SUM(I3934:I3959)</f>
        <v>45</v>
      </c>
      <c r="J3960" s="614">
        <f>SUM(J3934:J3959)</f>
        <v>77</v>
      </c>
      <c r="K3960" s="626">
        <f>SUM(F3960:J3960)</f>
        <v>264</v>
      </c>
      <c r="L3960" s="631">
        <f>SUM(L3934:L3959)</f>
        <v>63.25</v>
      </c>
    </row>
    <row r="3961" spans="3:12" x14ac:dyDescent="0.2">
      <c r="C3961" s="596"/>
      <c r="D3961" s="593" t="s">
        <v>113</v>
      </c>
      <c r="E3961" s="620"/>
      <c r="F3961" s="610">
        <f>F3931-F3960</f>
        <v>3</v>
      </c>
      <c r="G3961" s="610">
        <f>G3931-G3960</f>
        <v>3</v>
      </c>
      <c r="H3961" s="610">
        <f>H3931-H3960</f>
        <v>0</v>
      </c>
      <c r="I3961" s="610">
        <f>I3931-I3960</f>
        <v>0</v>
      </c>
      <c r="J3961" s="610">
        <f>J3931-J3960</f>
        <v>2</v>
      </c>
      <c r="K3961" s="636">
        <f>SUM(F3961:J3961)</f>
        <v>8</v>
      </c>
      <c r="L3961" s="3"/>
    </row>
    <row r="3962" spans="3:12" x14ac:dyDescent="0.2">
      <c r="C3962" s="683"/>
      <c r="D3962" s="593" t="s">
        <v>436</v>
      </c>
      <c r="E3962" s="594"/>
      <c r="F3962" s="581"/>
      <c r="G3962" s="581"/>
      <c r="H3962" s="581"/>
      <c r="I3962" s="581"/>
      <c r="J3962" s="581"/>
      <c r="K3962" s="637">
        <f>K3960+K3961</f>
        <v>272</v>
      </c>
      <c r="L3962" s="3"/>
    </row>
    <row r="3964" spans="3:12" ht="18" x14ac:dyDescent="0.2">
      <c r="C3964" s="685" t="s">
        <v>412</v>
      </c>
      <c r="D3964" s="582">
        <v>45776</v>
      </c>
      <c r="E3964" s="800"/>
      <c r="F3964" s="685" t="s">
        <v>83</v>
      </c>
      <c r="G3964" s="801" t="s">
        <v>64</v>
      </c>
      <c r="H3964" s="802"/>
      <c r="I3964" s="802"/>
      <c r="J3964" s="802"/>
      <c r="K3964" s="803"/>
    </row>
    <row r="3965" spans="3:12" x14ac:dyDescent="0.2">
      <c r="C3965" s="804"/>
      <c r="D3965" s="805"/>
      <c r="E3965" s="800"/>
      <c r="F3965" s="683" t="s">
        <v>93</v>
      </c>
      <c r="G3965" s="683" t="s">
        <v>93</v>
      </c>
      <c r="H3965" s="683"/>
      <c r="I3965" s="806"/>
      <c r="J3965" s="806"/>
      <c r="K3965" s="806"/>
    </row>
    <row r="3966" spans="3:12" x14ac:dyDescent="0.2">
      <c r="C3966" s="804"/>
      <c r="D3966" s="805"/>
      <c r="E3966" s="800"/>
      <c r="F3966" s="683" t="s">
        <v>94</v>
      </c>
      <c r="G3966" s="683" t="s">
        <v>95</v>
      </c>
      <c r="H3966" s="683" t="s">
        <v>96</v>
      </c>
      <c r="I3966" s="806"/>
      <c r="J3966" s="806"/>
      <c r="K3966" s="806"/>
    </row>
    <row r="3967" spans="3:12" x14ac:dyDescent="0.2">
      <c r="C3967" s="804"/>
      <c r="D3967" s="805"/>
      <c r="E3967" s="800"/>
      <c r="F3967" s="683"/>
      <c r="G3967" s="683"/>
      <c r="H3967" s="683"/>
      <c r="I3967" s="806"/>
      <c r="J3967" s="806"/>
      <c r="K3967" s="806"/>
    </row>
    <row r="3968" spans="3:12" ht="16" x14ac:dyDescent="0.2">
      <c r="C3968" s="683"/>
      <c r="D3968" s="583" t="s">
        <v>97</v>
      </c>
      <c r="E3968" s="584"/>
      <c r="F3968" s="581"/>
      <c r="G3968" s="585"/>
      <c r="H3968" s="585"/>
      <c r="I3968" s="586"/>
      <c r="J3968" s="586"/>
      <c r="K3968" s="586"/>
    </row>
    <row r="3969" spans="3:12" ht="26" x14ac:dyDescent="0.2">
      <c r="C3969" s="804"/>
      <c r="D3969" s="587"/>
      <c r="E3969" s="588"/>
      <c r="F3969" s="585" t="s">
        <v>383</v>
      </c>
      <c r="G3969" s="585" t="s">
        <v>384</v>
      </c>
      <c r="H3969" s="585" t="s">
        <v>385</v>
      </c>
      <c r="I3969" s="585" t="s">
        <v>386</v>
      </c>
      <c r="J3969" s="585" t="s">
        <v>387</v>
      </c>
      <c r="K3969" s="585" t="s">
        <v>84</v>
      </c>
    </row>
    <row r="3970" spans="3:12" x14ac:dyDescent="0.2">
      <c r="C3970" s="804"/>
      <c r="D3970" s="684" t="s">
        <v>167</v>
      </c>
      <c r="E3970" s="588"/>
      <c r="F3970" s="580">
        <v>11</v>
      </c>
      <c r="G3970" s="579">
        <v>8</v>
      </c>
      <c r="H3970" s="580"/>
      <c r="I3970" s="580">
        <v>5</v>
      </c>
      <c r="J3970" s="580">
        <v>10</v>
      </c>
      <c r="K3970" s="580">
        <f>SUM(F3970:J3970)</f>
        <v>34</v>
      </c>
    </row>
    <row r="3971" spans="3:12" x14ac:dyDescent="0.2">
      <c r="C3971" s="804"/>
      <c r="D3971" s="684" t="s">
        <v>207</v>
      </c>
      <c r="E3971" s="588"/>
      <c r="F3971" s="618">
        <v>77</v>
      </c>
      <c r="G3971" s="619">
        <v>56</v>
      </c>
      <c r="H3971" s="618"/>
      <c r="I3971" s="618">
        <v>55</v>
      </c>
      <c r="J3971" s="618">
        <v>88</v>
      </c>
      <c r="K3971" s="618">
        <f>SUM(F3971:J3971)</f>
        <v>276</v>
      </c>
    </row>
    <row r="3972" spans="3:12" x14ac:dyDescent="0.2">
      <c r="C3972" s="683"/>
      <c r="D3972" s="684" t="s">
        <v>100</v>
      </c>
      <c r="E3972" s="588"/>
      <c r="F3972" s="581"/>
      <c r="G3972" s="581"/>
      <c r="H3972" s="581"/>
      <c r="I3972" s="581"/>
      <c r="J3972" s="581"/>
      <c r="K3972" s="581">
        <f>SUM(F3972:J3972)</f>
        <v>0</v>
      </c>
    </row>
    <row r="3973" spans="3:12" x14ac:dyDescent="0.2">
      <c r="C3973" s="683"/>
      <c r="D3973" s="684" t="s">
        <v>101</v>
      </c>
      <c r="E3973" s="588"/>
      <c r="F3973" s="581">
        <v>1</v>
      </c>
      <c r="G3973" s="581">
        <v>1</v>
      </c>
      <c r="H3973" s="581"/>
      <c r="I3973" s="581"/>
      <c r="J3973" s="581">
        <v>1</v>
      </c>
      <c r="K3973" s="581">
        <f>SUM(F3973:J3973)</f>
        <v>3</v>
      </c>
    </row>
    <row r="3974" spans="3:12" ht="16" thickBot="1" x14ac:dyDescent="0.25">
      <c r="C3974" s="683"/>
      <c r="D3974" s="597" t="s">
        <v>102</v>
      </c>
      <c r="E3974" s="598"/>
      <c r="F3974" s="599">
        <v>3</v>
      </c>
      <c r="G3974" s="600">
        <v>3</v>
      </c>
      <c r="H3974" s="600"/>
      <c r="I3974" s="600"/>
      <c r="J3974" s="600">
        <v>2</v>
      </c>
      <c r="K3974" s="600">
        <f>SUM(F3974:J3974)</f>
        <v>8</v>
      </c>
    </row>
    <row r="3975" spans="3:12" ht="17" thickBot="1" x14ac:dyDescent="0.25">
      <c r="C3975" s="605"/>
      <c r="D3975" s="612" t="s">
        <v>84</v>
      </c>
      <c r="E3975" s="613"/>
      <c r="F3975" s="614">
        <f t="shared" ref="F3975:K3975" si="204">(F3971+F3974)-F3973-F3972</f>
        <v>79</v>
      </c>
      <c r="G3975" s="615">
        <f t="shared" si="204"/>
        <v>58</v>
      </c>
      <c r="H3975" s="616">
        <f t="shared" si="204"/>
        <v>0</v>
      </c>
      <c r="I3975" s="615">
        <f t="shared" si="204"/>
        <v>55</v>
      </c>
      <c r="J3975" s="622">
        <f t="shared" si="204"/>
        <v>89</v>
      </c>
      <c r="K3975" s="617">
        <f t="shared" si="204"/>
        <v>281</v>
      </c>
    </row>
    <row r="3976" spans="3:12" ht="16" x14ac:dyDescent="0.2">
      <c r="C3976" s="683"/>
      <c r="D3976" s="608"/>
      <c r="E3976" s="609"/>
      <c r="F3976" s="610"/>
      <c r="G3976" s="595"/>
      <c r="H3976" s="611"/>
      <c r="I3976" s="595"/>
      <c r="J3976" s="595"/>
      <c r="K3976" s="595"/>
    </row>
    <row r="3977" spans="3:12" ht="16" thickBot="1" x14ac:dyDescent="0.25">
      <c r="C3977" s="606" t="s">
        <v>388</v>
      </c>
      <c r="D3977" s="607" t="s">
        <v>103</v>
      </c>
      <c r="E3977" s="603" t="s">
        <v>84</v>
      </c>
      <c r="F3977" s="602" t="s">
        <v>78</v>
      </c>
      <c r="G3977" s="602" t="s">
        <v>79</v>
      </c>
      <c r="H3977" s="602" t="s">
        <v>81</v>
      </c>
      <c r="I3977" s="601" t="s">
        <v>316</v>
      </c>
      <c r="J3977" s="601" t="s">
        <v>85</v>
      </c>
      <c r="K3977" s="601" t="s">
        <v>84</v>
      </c>
      <c r="L3977" s="174" t="s">
        <v>389</v>
      </c>
    </row>
    <row r="3978" spans="3:12" x14ac:dyDescent="0.2">
      <c r="C3978" s="589"/>
      <c r="D3978" s="604" t="s">
        <v>105</v>
      </c>
      <c r="E3978" s="591">
        <f>(F3978+G3978+H3978+I3978+J3978)*100+(0*230)</f>
        <v>0</v>
      </c>
      <c r="F3978" s="3"/>
      <c r="G3978" s="3"/>
      <c r="H3978" s="3"/>
      <c r="I3978" s="3"/>
      <c r="J3978" s="3"/>
      <c r="K3978" s="628">
        <f t="shared" ref="K3978:K4000" si="205">SUM(F3978:J3978)</f>
        <v>0</v>
      </c>
      <c r="L3978" s="630">
        <f>K3978/4</f>
        <v>0</v>
      </c>
    </row>
    <row r="3979" spans="3:12" x14ac:dyDescent="0.2">
      <c r="C3979" s="589"/>
      <c r="D3979" s="590" t="s">
        <v>390</v>
      </c>
      <c r="E3979" s="591">
        <f>(F3979+G3979+H3979+I3979+J3979)*120</f>
        <v>0</v>
      </c>
      <c r="F3979" s="3"/>
      <c r="G3979" s="3"/>
      <c r="H3979" s="3"/>
      <c r="I3979" s="3"/>
      <c r="J3979" s="3"/>
      <c r="K3979" s="628">
        <f t="shared" si="205"/>
        <v>0</v>
      </c>
      <c r="L3979" s="630">
        <f t="shared" ref="L3979:L4000" si="206">K3979/4</f>
        <v>0</v>
      </c>
    </row>
    <row r="3980" spans="3:12" x14ac:dyDescent="0.2">
      <c r="C3980" s="589"/>
      <c r="D3980" s="590" t="s">
        <v>391</v>
      </c>
      <c r="E3980" s="591">
        <f>(F3980+G3980+H3980+I3980+J3980)*120</f>
        <v>0</v>
      </c>
      <c r="F3980" s="3"/>
      <c r="G3980" s="3"/>
      <c r="H3980" s="3"/>
      <c r="I3980" s="3"/>
      <c r="J3980" s="3"/>
      <c r="K3980" s="628">
        <f t="shared" si="205"/>
        <v>0</v>
      </c>
      <c r="L3980" s="630">
        <f t="shared" si="206"/>
        <v>0</v>
      </c>
    </row>
    <row r="3981" spans="3:12" x14ac:dyDescent="0.2">
      <c r="C3981" s="589"/>
      <c r="D3981" s="590" t="s">
        <v>392</v>
      </c>
      <c r="E3981" s="591">
        <f>(F3981+G3981+H3981+I3981+J3981)*120</f>
        <v>0</v>
      </c>
      <c r="F3981" s="3"/>
      <c r="G3981" s="3"/>
      <c r="H3981" s="3"/>
      <c r="I3981" s="3"/>
      <c r="J3981" s="3"/>
      <c r="K3981" s="628">
        <f t="shared" si="205"/>
        <v>0</v>
      </c>
      <c r="L3981" s="630">
        <f t="shared" si="206"/>
        <v>0</v>
      </c>
    </row>
    <row r="3982" spans="3:12" x14ac:dyDescent="0.2">
      <c r="C3982" s="589"/>
      <c r="D3982" s="590" t="s">
        <v>425</v>
      </c>
      <c r="E3982" s="591">
        <f>(F3982+G3982+H3982+I3982+J3982)*120</f>
        <v>0</v>
      </c>
      <c r="F3982" s="3"/>
      <c r="G3982" s="3"/>
      <c r="H3982" s="3"/>
      <c r="I3982" s="3"/>
      <c r="J3982" s="3"/>
      <c r="K3982" s="628">
        <f t="shared" si="205"/>
        <v>0</v>
      </c>
      <c r="L3982" s="630">
        <f t="shared" si="206"/>
        <v>0</v>
      </c>
    </row>
    <row r="3983" spans="3:12" x14ac:dyDescent="0.2">
      <c r="C3983" s="589"/>
      <c r="D3983" s="590"/>
      <c r="E3983" s="591"/>
      <c r="F3983" s="3"/>
      <c r="G3983" s="3"/>
      <c r="H3983" s="3"/>
      <c r="I3983" s="3"/>
      <c r="J3983" s="3"/>
      <c r="K3983" s="628">
        <f t="shared" si="205"/>
        <v>0</v>
      </c>
      <c r="L3983" s="630">
        <f t="shared" si="206"/>
        <v>0</v>
      </c>
    </row>
    <row r="3984" spans="3:12" x14ac:dyDescent="0.2">
      <c r="C3984" s="589"/>
      <c r="D3984" s="590" t="s">
        <v>108</v>
      </c>
      <c r="E3984" s="591">
        <f>(F3984+G3984+H3984+J3984)*112.7+(I3984*119.6)</f>
        <v>0</v>
      </c>
      <c r="F3984" s="3"/>
      <c r="G3984" s="3"/>
      <c r="H3984" s="3"/>
      <c r="I3984" s="3"/>
      <c r="J3984" s="3"/>
      <c r="K3984" s="628">
        <f t="shared" si="205"/>
        <v>0</v>
      </c>
      <c r="L3984" s="630">
        <f t="shared" si="206"/>
        <v>0</v>
      </c>
    </row>
    <row r="3985" spans="3:12" x14ac:dyDescent="0.2">
      <c r="C3985" s="589"/>
      <c r="D3985" s="590" t="s">
        <v>393</v>
      </c>
      <c r="E3985" s="591">
        <f>(F3985+G3985+H3985+J3985)*112.7+(I3985*119.6)</f>
        <v>0</v>
      </c>
      <c r="F3985" s="3"/>
      <c r="G3985" s="3"/>
      <c r="H3985" s="3"/>
      <c r="I3985" s="3"/>
      <c r="J3985" s="3"/>
      <c r="K3985" s="628">
        <f t="shared" si="205"/>
        <v>0</v>
      </c>
      <c r="L3985" s="630">
        <f t="shared" si="206"/>
        <v>0</v>
      </c>
    </row>
    <row r="3986" spans="3:12" x14ac:dyDescent="0.2">
      <c r="C3986" s="589"/>
      <c r="D3986" s="590" t="s">
        <v>216</v>
      </c>
      <c r="E3986" s="591">
        <f>(F3986+G3986+H3986+J3986)*112.7+(I3986*119.6)</f>
        <v>0</v>
      </c>
      <c r="F3986" s="3"/>
      <c r="G3986" s="3"/>
      <c r="H3986" s="3"/>
      <c r="I3986" s="3"/>
      <c r="J3986" s="3"/>
      <c r="K3986" s="628">
        <f t="shared" si="205"/>
        <v>0</v>
      </c>
      <c r="L3986" s="630">
        <f t="shared" si="206"/>
        <v>0</v>
      </c>
    </row>
    <row r="3987" spans="3:12" x14ac:dyDescent="0.2">
      <c r="C3987" s="589"/>
      <c r="D3987" s="590"/>
      <c r="E3987" s="591"/>
      <c r="F3987" s="3"/>
      <c r="G3987" s="3"/>
      <c r="H3987" s="3"/>
      <c r="I3987" s="3"/>
      <c r="J3987" s="3"/>
      <c r="K3987" s="628">
        <f t="shared" si="205"/>
        <v>0</v>
      </c>
      <c r="L3987" s="630">
        <f t="shared" si="206"/>
        <v>0</v>
      </c>
    </row>
    <row r="3988" spans="3:12" x14ac:dyDescent="0.2">
      <c r="C3988" s="589"/>
      <c r="D3988" s="590" t="s">
        <v>394</v>
      </c>
      <c r="E3988" s="591">
        <f>(F3988+G3988+H3988+I3988+J3988)*120</f>
        <v>0</v>
      </c>
      <c r="F3988" s="3"/>
      <c r="G3988" s="3"/>
      <c r="H3988" s="3"/>
      <c r="I3988" s="3"/>
      <c r="J3988" s="3"/>
      <c r="K3988" s="628">
        <f t="shared" si="205"/>
        <v>0</v>
      </c>
      <c r="L3988" s="630">
        <f t="shared" si="206"/>
        <v>0</v>
      </c>
    </row>
    <row r="3989" spans="3:12" x14ac:dyDescent="0.2">
      <c r="C3989" s="589"/>
      <c r="D3989" s="590" t="s">
        <v>110</v>
      </c>
      <c r="E3989" s="591">
        <f>(F3989+G3989+H3989+J3989)*112.7+(I3989*119.6)</f>
        <v>0</v>
      </c>
      <c r="F3989" s="3"/>
      <c r="G3989" s="3"/>
      <c r="H3989" s="3"/>
      <c r="I3989" s="3"/>
      <c r="J3989" s="3"/>
      <c r="K3989" s="628">
        <f t="shared" si="205"/>
        <v>0</v>
      </c>
      <c r="L3989" s="630">
        <f t="shared" si="206"/>
        <v>0</v>
      </c>
    </row>
    <row r="3990" spans="3:12" x14ac:dyDescent="0.2">
      <c r="C3990" s="589"/>
      <c r="D3990" s="590"/>
      <c r="E3990" s="591"/>
      <c r="F3990" s="3"/>
      <c r="G3990" s="3"/>
      <c r="H3990" s="3"/>
      <c r="I3990" s="3"/>
      <c r="J3990" s="3"/>
      <c r="K3990" s="628">
        <f t="shared" si="205"/>
        <v>0</v>
      </c>
      <c r="L3990" s="630">
        <f t="shared" si="206"/>
        <v>0</v>
      </c>
    </row>
    <row r="3991" spans="3:12" x14ac:dyDescent="0.2">
      <c r="C3991" s="589"/>
      <c r="D3991" s="590" t="s">
        <v>381</v>
      </c>
      <c r="E3991" s="591">
        <f>(F3991+G3991+H3991+I3991+J3991)*120+(240*0)+(0*45)</f>
        <v>0</v>
      </c>
      <c r="F3991" s="3"/>
      <c r="G3991" s="3"/>
      <c r="H3991" s="3"/>
      <c r="I3991" s="3"/>
      <c r="J3991" s="3"/>
      <c r="K3991" s="628">
        <f t="shared" si="205"/>
        <v>0</v>
      </c>
      <c r="L3991" s="630">
        <f t="shared" si="206"/>
        <v>0</v>
      </c>
    </row>
    <row r="3992" spans="3:12" x14ac:dyDescent="0.2">
      <c r="C3992" s="589"/>
      <c r="D3992" s="590" t="s">
        <v>276</v>
      </c>
      <c r="E3992" s="591">
        <f>(F3992+G3992+H3992+J3992)*112.7+(I3992*119.6)</f>
        <v>0</v>
      </c>
      <c r="F3992" s="3"/>
      <c r="G3992" s="3"/>
      <c r="H3992" s="3"/>
      <c r="I3992" s="3"/>
      <c r="J3992" s="3"/>
      <c r="K3992" s="628">
        <f t="shared" si="205"/>
        <v>0</v>
      </c>
      <c r="L3992" s="630">
        <f t="shared" si="206"/>
        <v>0</v>
      </c>
    </row>
    <row r="3993" spans="3:12" x14ac:dyDescent="0.2">
      <c r="C3993" s="589"/>
      <c r="D3993" s="590"/>
      <c r="E3993" s="591"/>
      <c r="F3993" s="3"/>
      <c r="G3993" s="3"/>
      <c r="H3993" s="3"/>
      <c r="I3993" s="3"/>
      <c r="J3993" s="3"/>
      <c r="K3993" s="628">
        <f t="shared" si="205"/>
        <v>0</v>
      </c>
      <c r="L3993" s="630">
        <f t="shared" si="206"/>
        <v>0</v>
      </c>
    </row>
    <row r="3994" spans="3:12" x14ac:dyDescent="0.2">
      <c r="C3994" s="589"/>
      <c r="D3994" s="590" t="s">
        <v>75</v>
      </c>
      <c r="E3994" s="591">
        <f>(F3994+G3994+H3994+I3994+J3994)*120</f>
        <v>0</v>
      </c>
      <c r="F3994" s="3"/>
      <c r="G3994" s="3"/>
      <c r="H3994" s="3"/>
      <c r="I3994" s="3"/>
      <c r="J3994" s="3"/>
      <c r="K3994" s="628">
        <f t="shared" si="205"/>
        <v>0</v>
      </c>
      <c r="L3994" s="630">
        <f t="shared" si="206"/>
        <v>0</v>
      </c>
    </row>
    <row r="3995" spans="3:12" x14ac:dyDescent="0.2">
      <c r="C3995" s="589"/>
      <c r="D3995" s="590" t="s">
        <v>278</v>
      </c>
      <c r="E3995" s="591">
        <f>(F3995+G3995+H3995+I3995+J3995)*120</f>
        <v>0</v>
      </c>
      <c r="F3995" s="3"/>
      <c r="G3995" s="3"/>
      <c r="H3995" s="3"/>
      <c r="I3995" s="3"/>
      <c r="J3995" s="3"/>
      <c r="K3995" s="628">
        <f t="shared" si="205"/>
        <v>0</v>
      </c>
      <c r="L3995" s="630">
        <f t="shared" si="206"/>
        <v>0</v>
      </c>
    </row>
    <row r="3996" spans="3:12" x14ac:dyDescent="0.2">
      <c r="C3996" s="589" t="s">
        <v>1062</v>
      </c>
      <c r="D3996" s="590" t="s">
        <v>270</v>
      </c>
      <c r="E3996" s="591">
        <f>(F3996+G3996+H3996+I3996)*112.7+(J3996*119.6)</f>
        <v>8293.7999999999993</v>
      </c>
      <c r="F3996" s="3">
        <v>26</v>
      </c>
      <c r="G3996" s="3">
        <v>10</v>
      </c>
      <c r="H3996" s="3"/>
      <c r="I3996" s="3">
        <v>10</v>
      </c>
      <c r="J3996" s="3">
        <v>26</v>
      </c>
      <c r="K3996" s="628">
        <f t="shared" si="205"/>
        <v>72</v>
      </c>
      <c r="L3996" s="630">
        <f t="shared" si="206"/>
        <v>18</v>
      </c>
    </row>
    <row r="3997" spans="3:12" x14ac:dyDescent="0.2">
      <c r="C3997" s="589" t="s">
        <v>1061</v>
      </c>
      <c r="D3997" s="590" t="s">
        <v>274</v>
      </c>
      <c r="E3997" s="591">
        <f>(F3997+G3997+H3997+I3997)*112.7+(J3997*119.6)</f>
        <v>4351.6000000000004</v>
      </c>
      <c r="F3997" s="3">
        <v>10</v>
      </c>
      <c r="G3997" s="3">
        <v>8</v>
      </c>
      <c r="H3997" s="3"/>
      <c r="I3997" s="3">
        <v>10</v>
      </c>
      <c r="J3997" s="3">
        <v>10</v>
      </c>
      <c r="K3997" s="628">
        <f t="shared" si="205"/>
        <v>38</v>
      </c>
      <c r="L3997" s="630">
        <f t="shared" si="206"/>
        <v>9.5</v>
      </c>
    </row>
    <row r="3998" spans="3:12" x14ac:dyDescent="0.2">
      <c r="C3998" s="589" t="s">
        <v>1060</v>
      </c>
      <c r="D3998" s="590" t="s">
        <v>395</v>
      </c>
      <c r="E3998" s="591">
        <f>(F3998+G3998+H3998+I3998)*112.7+(J3998*119.6)</f>
        <v>5506.2</v>
      </c>
      <c r="F3998" s="3">
        <v>14</v>
      </c>
      <c r="G3998" s="3">
        <v>10</v>
      </c>
      <c r="H3998" s="3"/>
      <c r="I3998" s="3">
        <v>10</v>
      </c>
      <c r="J3998" s="3">
        <v>14</v>
      </c>
      <c r="K3998" s="628">
        <f t="shared" si="205"/>
        <v>48</v>
      </c>
      <c r="L3998" s="630">
        <f t="shared" si="206"/>
        <v>12</v>
      </c>
    </row>
    <row r="3999" spans="3:12" x14ac:dyDescent="0.2">
      <c r="C3999" s="683">
        <v>1178147977</v>
      </c>
      <c r="D3999" s="590" t="s">
        <v>112</v>
      </c>
      <c r="E3999" s="591">
        <f>(F3999+G3999+H3999+I3999)*112.7+(J3999*119.6)</f>
        <v>5506.2</v>
      </c>
      <c r="F3999" s="3">
        <v>14</v>
      </c>
      <c r="G3999" s="3">
        <v>10</v>
      </c>
      <c r="H3999" s="3"/>
      <c r="I3999" s="3">
        <v>10</v>
      </c>
      <c r="J3999" s="3">
        <v>14</v>
      </c>
      <c r="K3999" s="628">
        <f t="shared" si="205"/>
        <v>48</v>
      </c>
      <c r="L3999" s="630">
        <f t="shared" si="206"/>
        <v>12</v>
      </c>
    </row>
    <row r="4000" spans="3:12" x14ac:dyDescent="0.2">
      <c r="C4000" s="683">
        <v>1178147975</v>
      </c>
      <c r="D4000" s="590" t="s">
        <v>72</v>
      </c>
      <c r="E4000" s="591">
        <f>(F4000+G4000+H4000+I4000)*112.7+(J4000*119.6)</f>
        <v>5041.6000000000004</v>
      </c>
      <c r="F4000" s="3">
        <v>12</v>
      </c>
      <c r="G4000" s="3">
        <v>10</v>
      </c>
      <c r="H4000" s="3"/>
      <c r="I4000" s="3">
        <v>10</v>
      </c>
      <c r="J4000" s="3">
        <v>12</v>
      </c>
      <c r="K4000" s="628">
        <f t="shared" si="205"/>
        <v>44</v>
      </c>
      <c r="L4000" s="630">
        <f t="shared" si="206"/>
        <v>11</v>
      </c>
    </row>
    <row r="4001" spans="3:12" x14ac:dyDescent="0.2">
      <c r="C4001" s="683"/>
      <c r="D4001" s="590" t="s">
        <v>187</v>
      </c>
      <c r="E4001" s="591"/>
      <c r="F4001" s="3"/>
      <c r="G4001" s="3"/>
      <c r="H4001" s="3"/>
      <c r="I4001" s="3"/>
      <c r="J4001" s="3">
        <v>8</v>
      </c>
      <c r="K4001" s="628">
        <f>SUM(F4001:J4001)</f>
        <v>8</v>
      </c>
      <c r="L4001" s="3"/>
    </row>
    <row r="4002" spans="3:12" ht="16" x14ac:dyDescent="0.2">
      <c r="C4002" s="683"/>
      <c r="D4002" s="590"/>
      <c r="E4002" s="592"/>
      <c r="F4002" s="3"/>
      <c r="G4002" s="3"/>
      <c r="H4002" s="3"/>
      <c r="I4002" s="3"/>
      <c r="J4002" s="3"/>
      <c r="K4002" s="628">
        <f>SUM(F4002:J4002)</f>
        <v>0</v>
      </c>
      <c r="L4002" s="3"/>
    </row>
    <row r="4003" spans="3:12" ht="17" thickBot="1" x14ac:dyDescent="0.25">
      <c r="C4003" s="683"/>
      <c r="D4003" s="590"/>
      <c r="E4003" s="624"/>
      <c r="F4003" s="69"/>
      <c r="G4003" s="69"/>
      <c r="H4003" s="69"/>
      <c r="I4003" s="69"/>
      <c r="J4003" s="69"/>
      <c r="K4003" s="629"/>
      <c r="L4003" s="3"/>
    </row>
    <row r="4004" spans="3:12" ht="16" thickBot="1" x14ac:dyDescent="0.25">
      <c r="C4004" s="596"/>
      <c r="D4004" s="623" t="s">
        <v>19</v>
      </c>
      <c r="E4004" s="625">
        <f>SUM(E3978:E4001)</f>
        <v>28699.4</v>
      </c>
      <c r="F4004" s="614">
        <f>SUM(F3978:F4003)</f>
        <v>76</v>
      </c>
      <c r="G4004" s="614">
        <f>SUM(G3978:G4003)</f>
        <v>48</v>
      </c>
      <c r="H4004" s="614">
        <f>SUM(H3978:H4003)</f>
        <v>0</v>
      </c>
      <c r="I4004" s="614">
        <f>SUM(I3978:I4003)</f>
        <v>50</v>
      </c>
      <c r="J4004" s="614">
        <f>SUM(J3978:J4003)</f>
        <v>84</v>
      </c>
      <c r="K4004" s="626">
        <f>SUM(F4004:J4004)</f>
        <v>258</v>
      </c>
      <c r="L4004" s="631">
        <f>SUM(L3978:L4003)</f>
        <v>62.5</v>
      </c>
    </row>
    <row r="4005" spans="3:12" x14ac:dyDescent="0.2">
      <c r="C4005" s="596"/>
      <c r="D4005" s="593" t="s">
        <v>113</v>
      </c>
      <c r="E4005" s="620"/>
      <c r="F4005" s="610">
        <f>F3975-F4004</f>
        <v>3</v>
      </c>
      <c r="G4005" s="610">
        <f>G3975-G4004</f>
        <v>10</v>
      </c>
      <c r="H4005" s="610">
        <f>H3975-H4004</f>
        <v>0</v>
      </c>
      <c r="I4005" s="610">
        <f>I3975-I4004</f>
        <v>5</v>
      </c>
      <c r="J4005" s="610">
        <f>J3975-J4004</f>
        <v>5</v>
      </c>
      <c r="K4005" s="636">
        <f>SUM(F4005:J4005)</f>
        <v>23</v>
      </c>
      <c r="L4005" s="3"/>
    </row>
    <row r="4006" spans="3:12" x14ac:dyDescent="0.2">
      <c r="C4006" s="683"/>
      <c r="D4006" s="593" t="s">
        <v>436</v>
      </c>
      <c r="E4006" s="594"/>
      <c r="F4006" s="581"/>
      <c r="G4006" s="581"/>
      <c r="H4006" s="581"/>
      <c r="I4006" s="581"/>
      <c r="J4006" s="581"/>
      <c r="K4006" s="637">
        <f>K4004+K4005</f>
        <v>281</v>
      </c>
      <c r="L4006" s="3"/>
    </row>
    <row r="4008" spans="3:12" ht="18" x14ac:dyDescent="0.2">
      <c r="C4008" s="685" t="s">
        <v>412</v>
      </c>
      <c r="D4008" s="582">
        <v>45777</v>
      </c>
      <c r="E4008" s="800"/>
      <c r="F4008" s="685" t="s">
        <v>83</v>
      </c>
      <c r="G4008" s="801" t="s">
        <v>65</v>
      </c>
      <c r="H4008" s="802"/>
      <c r="I4008" s="802"/>
      <c r="J4008" s="802"/>
      <c r="K4008" s="803"/>
    </row>
    <row r="4009" spans="3:12" x14ac:dyDescent="0.2">
      <c r="C4009" s="804"/>
      <c r="D4009" s="805"/>
      <c r="E4009" s="800"/>
      <c r="F4009" s="683" t="s">
        <v>93</v>
      </c>
      <c r="G4009" s="683" t="s">
        <v>93</v>
      </c>
      <c r="H4009" s="683"/>
      <c r="I4009" s="806"/>
      <c r="J4009" s="806"/>
      <c r="K4009" s="806"/>
    </row>
    <row r="4010" spans="3:12" x14ac:dyDescent="0.2">
      <c r="C4010" s="804"/>
      <c r="D4010" s="805"/>
      <c r="E4010" s="800"/>
      <c r="F4010" s="683" t="s">
        <v>94</v>
      </c>
      <c r="G4010" s="683" t="s">
        <v>95</v>
      </c>
      <c r="H4010" s="683" t="s">
        <v>96</v>
      </c>
      <c r="I4010" s="806"/>
      <c r="J4010" s="806"/>
      <c r="K4010" s="806"/>
    </row>
    <row r="4011" spans="3:12" x14ac:dyDescent="0.2">
      <c r="C4011" s="804"/>
      <c r="D4011" s="805"/>
      <c r="E4011" s="800"/>
      <c r="F4011" s="683"/>
      <c r="G4011" s="683"/>
      <c r="H4011" s="683"/>
      <c r="I4011" s="806"/>
      <c r="J4011" s="806"/>
      <c r="K4011" s="806"/>
    </row>
    <row r="4012" spans="3:12" ht="16" x14ac:dyDescent="0.2">
      <c r="C4012" s="683"/>
      <c r="D4012" s="583" t="s">
        <v>97</v>
      </c>
      <c r="E4012" s="584"/>
      <c r="F4012" s="581"/>
      <c r="G4012" s="585"/>
      <c r="H4012" s="585"/>
      <c r="I4012" s="586"/>
      <c r="J4012" s="586"/>
      <c r="K4012" s="586"/>
    </row>
    <row r="4013" spans="3:12" ht="26" x14ac:dyDescent="0.2">
      <c r="C4013" s="804"/>
      <c r="D4013" s="587"/>
      <c r="E4013" s="588"/>
      <c r="F4013" s="585" t="s">
        <v>383</v>
      </c>
      <c r="G4013" s="585" t="s">
        <v>384</v>
      </c>
      <c r="H4013" s="585" t="s">
        <v>385</v>
      </c>
      <c r="I4013" s="585" t="s">
        <v>386</v>
      </c>
      <c r="J4013" s="585" t="s">
        <v>387</v>
      </c>
      <c r="K4013" s="585" t="s">
        <v>84</v>
      </c>
    </row>
    <row r="4014" spans="3:12" x14ac:dyDescent="0.2">
      <c r="C4014" s="804"/>
      <c r="D4014" s="684" t="s">
        <v>167</v>
      </c>
      <c r="E4014" s="588"/>
      <c r="F4014" s="580">
        <v>12</v>
      </c>
      <c r="G4014" s="579">
        <v>5</v>
      </c>
      <c r="H4014" s="580">
        <v>4</v>
      </c>
      <c r="I4014" s="580">
        <v>4</v>
      </c>
      <c r="J4014" s="580">
        <v>10</v>
      </c>
      <c r="K4014" s="580">
        <f>SUM(F4014:J4014)</f>
        <v>35</v>
      </c>
    </row>
    <row r="4015" spans="3:12" x14ac:dyDescent="0.2">
      <c r="C4015" s="804"/>
      <c r="D4015" s="684" t="s">
        <v>207</v>
      </c>
      <c r="E4015" s="588"/>
      <c r="F4015" s="618">
        <v>84</v>
      </c>
      <c r="G4015" s="619">
        <v>35</v>
      </c>
      <c r="H4015" s="618">
        <v>28</v>
      </c>
      <c r="I4015" s="618">
        <v>44</v>
      </c>
      <c r="J4015" s="618">
        <v>88</v>
      </c>
      <c r="K4015" s="618">
        <f>SUM(F4015:J4015)</f>
        <v>279</v>
      </c>
    </row>
    <row r="4016" spans="3:12" x14ac:dyDescent="0.2">
      <c r="C4016" s="683"/>
      <c r="D4016" s="684" t="s">
        <v>100</v>
      </c>
      <c r="E4016" s="588"/>
      <c r="F4016" s="581"/>
      <c r="G4016" s="581"/>
      <c r="H4016" s="581"/>
      <c r="I4016" s="581"/>
      <c r="J4016" s="581"/>
      <c r="K4016" s="581">
        <f>SUM(F4016:J4016)</f>
        <v>0</v>
      </c>
    </row>
    <row r="4017" spans="3:12" x14ac:dyDescent="0.2">
      <c r="C4017" s="683"/>
      <c r="D4017" s="684" t="s">
        <v>101</v>
      </c>
      <c r="E4017" s="588"/>
      <c r="F4017" s="581">
        <v>1</v>
      </c>
      <c r="G4017" s="581">
        <v>2</v>
      </c>
      <c r="H4017" s="581"/>
      <c r="I4017" s="581">
        <v>1</v>
      </c>
      <c r="J4017" s="581">
        <v>1</v>
      </c>
      <c r="K4017" s="581">
        <f>SUM(F4017:J4017)</f>
        <v>5</v>
      </c>
    </row>
    <row r="4018" spans="3:12" ht="16" thickBot="1" x14ac:dyDescent="0.25">
      <c r="C4018" s="683"/>
      <c r="D4018" s="597" t="s">
        <v>102</v>
      </c>
      <c r="E4018" s="598"/>
      <c r="F4018" s="599">
        <v>3</v>
      </c>
      <c r="G4018" s="600">
        <v>10</v>
      </c>
      <c r="H4018" s="600"/>
      <c r="I4018" s="600">
        <v>5</v>
      </c>
      <c r="J4018" s="600">
        <v>5</v>
      </c>
      <c r="K4018" s="600">
        <f>SUM(F4018:J4018)</f>
        <v>23</v>
      </c>
    </row>
    <row r="4019" spans="3:12" ht="17" thickBot="1" x14ac:dyDescent="0.25">
      <c r="C4019" s="605"/>
      <c r="D4019" s="612" t="s">
        <v>84</v>
      </c>
      <c r="E4019" s="613"/>
      <c r="F4019" s="614">
        <f t="shared" ref="F4019:K4019" si="207">(F4015+F4018)-F4017-F4016</f>
        <v>86</v>
      </c>
      <c r="G4019" s="615">
        <f t="shared" si="207"/>
        <v>43</v>
      </c>
      <c r="H4019" s="616">
        <f t="shared" si="207"/>
        <v>28</v>
      </c>
      <c r="I4019" s="615">
        <f t="shared" si="207"/>
        <v>48</v>
      </c>
      <c r="J4019" s="622">
        <f t="shared" si="207"/>
        <v>92</v>
      </c>
      <c r="K4019" s="617">
        <f t="shared" si="207"/>
        <v>297</v>
      </c>
    </row>
    <row r="4020" spans="3:12" ht="16" x14ac:dyDescent="0.2">
      <c r="C4020" s="683"/>
      <c r="D4020" s="608"/>
      <c r="E4020" s="609"/>
      <c r="F4020" s="610"/>
      <c r="G4020" s="595"/>
      <c r="H4020" s="611"/>
      <c r="I4020" s="595"/>
      <c r="J4020" s="595"/>
      <c r="K4020" s="595"/>
    </row>
    <row r="4021" spans="3:12" ht="16" thickBot="1" x14ac:dyDescent="0.25">
      <c r="C4021" s="606" t="s">
        <v>388</v>
      </c>
      <c r="D4021" s="607" t="s">
        <v>103</v>
      </c>
      <c r="E4021" s="603" t="s">
        <v>84</v>
      </c>
      <c r="F4021" s="602" t="s">
        <v>78</v>
      </c>
      <c r="G4021" s="602" t="s">
        <v>79</v>
      </c>
      <c r="H4021" s="602" t="s">
        <v>81</v>
      </c>
      <c r="I4021" s="601" t="s">
        <v>316</v>
      </c>
      <c r="J4021" s="601" t="s">
        <v>85</v>
      </c>
      <c r="K4021" s="601" t="s">
        <v>84</v>
      </c>
      <c r="L4021" s="174" t="s">
        <v>389</v>
      </c>
    </row>
    <row r="4022" spans="3:12" x14ac:dyDescent="0.2">
      <c r="C4022" s="589" t="s">
        <v>1065</v>
      </c>
      <c r="D4022" s="604" t="s">
        <v>105</v>
      </c>
      <c r="E4022" s="591">
        <f>(F4022+G4022+H4022+I4022+J4022)*100+(0*230)</f>
        <v>5500</v>
      </c>
      <c r="F4022" s="3">
        <v>16</v>
      </c>
      <c r="G4022" s="3">
        <v>5</v>
      </c>
      <c r="H4022" s="3">
        <v>10</v>
      </c>
      <c r="I4022" s="3">
        <v>8</v>
      </c>
      <c r="J4022" s="3">
        <v>16</v>
      </c>
      <c r="K4022" s="628">
        <f t="shared" ref="K4022:K4044" si="208">SUM(F4022:J4022)</f>
        <v>55</v>
      </c>
      <c r="L4022" s="630">
        <f>K4022/4</f>
        <v>13.75</v>
      </c>
    </row>
    <row r="4023" spans="3:12" x14ac:dyDescent="0.2">
      <c r="C4023" s="589"/>
      <c r="D4023" s="590" t="s">
        <v>390</v>
      </c>
      <c r="E4023" s="591">
        <f>(F4023+G4023+H4023+I4023+J4023)*120</f>
        <v>0</v>
      </c>
      <c r="F4023" s="3"/>
      <c r="G4023" s="3"/>
      <c r="H4023" s="3"/>
      <c r="I4023" s="3"/>
      <c r="J4023" s="3"/>
      <c r="K4023" s="628">
        <f t="shared" si="208"/>
        <v>0</v>
      </c>
      <c r="L4023" s="630">
        <f t="shared" ref="L4023:L4044" si="209">K4023/4</f>
        <v>0</v>
      </c>
    </row>
    <row r="4024" spans="3:12" x14ac:dyDescent="0.2">
      <c r="C4024" s="589"/>
      <c r="D4024" s="590" t="s">
        <v>391</v>
      </c>
      <c r="E4024" s="591">
        <f>(F4024+G4024+H4024+I4024+J4024)*120</f>
        <v>0</v>
      </c>
      <c r="F4024" s="3"/>
      <c r="G4024" s="3"/>
      <c r="H4024" s="3"/>
      <c r="I4024" s="3"/>
      <c r="J4024" s="3"/>
      <c r="K4024" s="628">
        <f t="shared" si="208"/>
        <v>0</v>
      </c>
      <c r="L4024" s="630">
        <f t="shared" si="209"/>
        <v>0</v>
      </c>
    </row>
    <row r="4025" spans="3:12" x14ac:dyDescent="0.2">
      <c r="C4025" s="589" t="s">
        <v>519</v>
      </c>
      <c r="D4025" s="590" t="s">
        <v>392</v>
      </c>
      <c r="E4025" s="591">
        <f>(F4025+G4025+H4025+I4025+J4025)*120</f>
        <v>2040</v>
      </c>
      <c r="F4025" s="3">
        <v>5</v>
      </c>
      <c r="G4025" s="3">
        <v>2</v>
      </c>
      <c r="H4025" s="3">
        <v>5</v>
      </c>
      <c r="I4025" s="3"/>
      <c r="J4025" s="3">
        <v>5</v>
      </c>
      <c r="K4025" s="628">
        <f t="shared" si="208"/>
        <v>17</v>
      </c>
      <c r="L4025" s="630">
        <f t="shared" si="209"/>
        <v>4.25</v>
      </c>
    </row>
    <row r="4026" spans="3:12" x14ac:dyDescent="0.2">
      <c r="C4026" s="589"/>
      <c r="D4026" s="590" t="s">
        <v>425</v>
      </c>
      <c r="E4026" s="591">
        <f>(F4026+G4026+H4026+I4026+J4026)*120</f>
        <v>0</v>
      </c>
      <c r="F4026" s="3"/>
      <c r="G4026" s="3"/>
      <c r="H4026" s="3"/>
      <c r="I4026" s="3"/>
      <c r="J4026" s="3"/>
      <c r="K4026" s="628">
        <f t="shared" si="208"/>
        <v>0</v>
      </c>
      <c r="L4026" s="630">
        <f t="shared" si="209"/>
        <v>0</v>
      </c>
    </row>
    <row r="4027" spans="3:12" x14ac:dyDescent="0.2">
      <c r="C4027" s="589"/>
      <c r="D4027" s="590"/>
      <c r="E4027" s="591"/>
      <c r="F4027" s="3"/>
      <c r="G4027" s="3"/>
      <c r="H4027" s="3"/>
      <c r="I4027" s="3"/>
      <c r="J4027" s="3"/>
      <c r="K4027" s="628">
        <f t="shared" si="208"/>
        <v>0</v>
      </c>
      <c r="L4027" s="630">
        <f t="shared" si="209"/>
        <v>0</v>
      </c>
    </row>
    <row r="4028" spans="3:12" x14ac:dyDescent="0.2">
      <c r="C4028" s="589" t="s">
        <v>1069</v>
      </c>
      <c r="D4028" s="590" t="s">
        <v>108</v>
      </c>
      <c r="E4028" s="591">
        <f>(F4028+G4028+H4028+J4028)*112.7+(I4028*119.6)</f>
        <v>3661.6000000000004</v>
      </c>
      <c r="F4028" s="3">
        <v>8</v>
      </c>
      <c r="G4028" s="3">
        <v>4</v>
      </c>
      <c r="H4028" s="3">
        <v>4</v>
      </c>
      <c r="I4028" s="3">
        <v>8</v>
      </c>
      <c r="J4028" s="3">
        <v>8</v>
      </c>
      <c r="K4028" s="628">
        <f t="shared" si="208"/>
        <v>32</v>
      </c>
      <c r="L4028" s="630">
        <f t="shared" si="209"/>
        <v>8</v>
      </c>
    </row>
    <row r="4029" spans="3:12" x14ac:dyDescent="0.2">
      <c r="C4029" s="589" t="s">
        <v>1068</v>
      </c>
      <c r="D4029" s="590" t="s">
        <v>393</v>
      </c>
      <c r="E4029" s="591">
        <f>(F4029+G4029+H4029+J4029)*112.7+(I4029*119.6)</f>
        <v>2507</v>
      </c>
      <c r="F4029" s="3">
        <v>6</v>
      </c>
      <c r="G4029" s="3">
        <v>3</v>
      </c>
      <c r="H4029" s="3">
        <v>3</v>
      </c>
      <c r="I4029" s="3">
        <v>4</v>
      </c>
      <c r="J4029" s="3">
        <v>6</v>
      </c>
      <c r="K4029" s="628">
        <f t="shared" si="208"/>
        <v>22</v>
      </c>
      <c r="L4029" s="630">
        <f t="shared" si="209"/>
        <v>5.5</v>
      </c>
    </row>
    <row r="4030" spans="3:12" x14ac:dyDescent="0.2">
      <c r="C4030" s="589" t="s">
        <v>1067</v>
      </c>
      <c r="D4030" s="590" t="s">
        <v>216</v>
      </c>
      <c r="E4030" s="591">
        <f>(F4030+G4030+H4030+J4030)*112.7+(I4030*119.6)</f>
        <v>2281.6</v>
      </c>
      <c r="F4030" s="3">
        <v>6</v>
      </c>
      <c r="G4030" s="3">
        <v>4</v>
      </c>
      <c r="H4030" s="3"/>
      <c r="I4030" s="3">
        <v>4</v>
      </c>
      <c r="J4030" s="3">
        <v>6</v>
      </c>
      <c r="K4030" s="628">
        <f t="shared" si="208"/>
        <v>20</v>
      </c>
      <c r="L4030" s="630">
        <f t="shared" si="209"/>
        <v>5</v>
      </c>
    </row>
    <row r="4031" spans="3:12" x14ac:dyDescent="0.2">
      <c r="C4031" s="589"/>
      <c r="D4031" s="590"/>
      <c r="E4031" s="591"/>
      <c r="F4031" s="3"/>
      <c r="G4031" s="3"/>
      <c r="H4031" s="3"/>
      <c r="I4031" s="3"/>
      <c r="J4031" s="3"/>
      <c r="K4031" s="628">
        <f t="shared" si="208"/>
        <v>0</v>
      </c>
      <c r="L4031" s="630">
        <f t="shared" si="209"/>
        <v>0</v>
      </c>
    </row>
    <row r="4032" spans="3:12" x14ac:dyDescent="0.2">
      <c r="C4032" s="589" t="s">
        <v>1066</v>
      </c>
      <c r="D4032" s="590" t="s">
        <v>394</v>
      </c>
      <c r="E4032" s="591">
        <f>(F4032+G4032+H4032+I4032+J4032)*120</f>
        <v>4200</v>
      </c>
      <c r="F4032" s="3">
        <v>10</v>
      </c>
      <c r="G4032" s="3">
        <v>5</v>
      </c>
      <c r="H4032" s="3">
        <v>5</v>
      </c>
      <c r="I4032" s="3">
        <v>5</v>
      </c>
      <c r="J4032" s="3">
        <v>10</v>
      </c>
      <c r="K4032" s="628">
        <f t="shared" si="208"/>
        <v>35</v>
      </c>
      <c r="L4032" s="630">
        <f t="shared" si="209"/>
        <v>8.75</v>
      </c>
    </row>
    <row r="4033" spans="3:12" x14ac:dyDescent="0.2">
      <c r="C4033" s="589" t="s">
        <v>1070</v>
      </c>
      <c r="D4033" s="590" t="s">
        <v>110</v>
      </c>
      <c r="E4033" s="591">
        <f>(F4033+G4033+H4033+J4033)*112.7+(I4033*119.6)</f>
        <v>8197.2000000000007</v>
      </c>
      <c r="F4033" s="3">
        <v>24</v>
      </c>
      <c r="G4033" s="3">
        <v>12</v>
      </c>
      <c r="H4033" s="3"/>
      <c r="I4033" s="3">
        <v>12</v>
      </c>
      <c r="J4033" s="3">
        <v>24</v>
      </c>
      <c r="K4033" s="628">
        <f t="shared" si="208"/>
        <v>72</v>
      </c>
      <c r="L4033" s="630">
        <f t="shared" si="209"/>
        <v>18</v>
      </c>
    </row>
    <row r="4034" spans="3:12" x14ac:dyDescent="0.2">
      <c r="C4034" s="589"/>
      <c r="D4034" s="590"/>
      <c r="E4034" s="591"/>
      <c r="F4034" s="3"/>
      <c r="G4034" s="3"/>
      <c r="H4034" s="3"/>
      <c r="I4034" s="3"/>
      <c r="J4034" s="3"/>
      <c r="K4034" s="628">
        <f t="shared" si="208"/>
        <v>0</v>
      </c>
      <c r="L4034" s="630">
        <f t="shared" si="209"/>
        <v>0</v>
      </c>
    </row>
    <row r="4035" spans="3:12" x14ac:dyDescent="0.2">
      <c r="C4035" s="589"/>
      <c r="D4035" s="590" t="s">
        <v>381</v>
      </c>
      <c r="E4035" s="591">
        <f>(F4035+G4035+H4035+I4035+J4035)*120+(240*0)+(0*45)</f>
        <v>0</v>
      </c>
      <c r="F4035" s="3"/>
      <c r="G4035" s="3"/>
      <c r="H4035" s="3"/>
      <c r="I4035" s="3"/>
      <c r="J4035" s="3"/>
      <c r="K4035" s="628">
        <f t="shared" si="208"/>
        <v>0</v>
      </c>
      <c r="L4035" s="630">
        <f t="shared" si="209"/>
        <v>0</v>
      </c>
    </row>
    <row r="4036" spans="3:12" x14ac:dyDescent="0.2">
      <c r="C4036" s="589"/>
      <c r="D4036" s="590" t="s">
        <v>276</v>
      </c>
      <c r="E4036" s="591">
        <f>(F4036+G4036+H4036+J4036)*112.7+(I4036*119.6)</f>
        <v>0</v>
      </c>
      <c r="F4036" s="3"/>
      <c r="G4036" s="3"/>
      <c r="H4036" s="3"/>
      <c r="I4036" s="3"/>
      <c r="J4036" s="3"/>
      <c r="K4036" s="628">
        <f t="shared" si="208"/>
        <v>0</v>
      </c>
      <c r="L4036" s="630">
        <f t="shared" si="209"/>
        <v>0</v>
      </c>
    </row>
    <row r="4037" spans="3:12" x14ac:dyDescent="0.2">
      <c r="C4037" s="589"/>
      <c r="D4037" s="590"/>
      <c r="E4037" s="591"/>
      <c r="F4037" s="3"/>
      <c r="G4037" s="3"/>
      <c r="H4037" s="3"/>
      <c r="I4037" s="3"/>
      <c r="J4037" s="3"/>
      <c r="K4037" s="628">
        <f t="shared" si="208"/>
        <v>0</v>
      </c>
      <c r="L4037" s="630">
        <f t="shared" si="209"/>
        <v>0</v>
      </c>
    </row>
    <row r="4038" spans="3:12" x14ac:dyDescent="0.2">
      <c r="C4038" s="589"/>
      <c r="D4038" s="590" t="s">
        <v>75</v>
      </c>
      <c r="E4038" s="591">
        <f>(F4038+G4038+H4038+I4038+J4038)*120</f>
        <v>0</v>
      </c>
      <c r="F4038" s="3"/>
      <c r="G4038" s="3"/>
      <c r="H4038" s="3"/>
      <c r="I4038" s="3"/>
      <c r="J4038" s="3"/>
      <c r="K4038" s="628">
        <f t="shared" si="208"/>
        <v>0</v>
      </c>
      <c r="L4038" s="630">
        <f t="shared" si="209"/>
        <v>0</v>
      </c>
    </row>
    <row r="4039" spans="3:12" x14ac:dyDescent="0.2">
      <c r="C4039" s="589"/>
      <c r="D4039" s="590" t="s">
        <v>278</v>
      </c>
      <c r="E4039" s="591">
        <f>(F4039+G4039+H4039+I4039+J4039)*120</f>
        <v>0</v>
      </c>
      <c r="F4039" s="3"/>
      <c r="G4039" s="3"/>
      <c r="H4039" s="3"/>
      <c r="I4039" s="3"/>
      <c r="J4039" s="3"/>
      <c r="K4039" s="628">
        <f t="shared" si="208"/>
        <v>0</v>
      </c>
      <c r="L4039" s="630">
        <f t="shared" si="209"/>
        <v>0</v>
      </c>
    </row>
    <row r="4040" spans="3:12" x14ac:dyDescent="0.2">
      <c r="C4040" s="589"/>
      <c r="D4040" s="590" t="s">
        <v>270</v>
      </c>
      <c r="E4040" s="591">
        <f>(F4040+G4040+H4040+I4040)*112.7+(J4040*119.6)</f>
        <v>0</v>
      </c>
      <c r="F4040" s="3"/>
      <c r="G4040" s="3"/>
      <c r="H4040" s="3"/>
      <c r="I4040" s="3"/>
      <c r="J4040" s="3"/>
      <c r="K4040" s="628">
        <f t="shared" si="208"/>
        <v>0</v>
      </c>
      <c r="L4040" s="630">
        <f t="shared" si="209"/>
        <v>0</v>
      </c>
    </row>
    <row r="4041" spans="3:12" x14ac:dyDescent="0.2">
      <c r="C4041" s="589"/>
      <c r="D4041" s="590" t="s">
        <v>274</v>
      </c>
      <c r="E4041" s="591">
        <f>(F4041+G4041+H4041+I4041)*112.7+(J4041*119.6)</f>
        <v>0</v>
      </c>
      <c r="F4041" s="3"/>
      <c r="G4041" s="3"/>
      <c r="H4041" s="3"/>
      <c r="I4041" s="3"/>
      <c r="J4041" s="3"/>
      <c r="K4041" s="628">
        <f t="shared" si="208"/>
        <v>0</v>
      </c>
      <c r="L4041" s="630">
        <f t="shared" si="209"/>
        <v>0</v>
      </c>
    </row>
    <row r="4042" spans="3:12" x14ac:dyDescent="0.2">
      <c r="C4042" s="589"/>
      <c r="D4042" s="590" t="s">
        <v>395</v>
      </c>
      <c r="E4042" s="591">
        <f>(F4042+G4042+H4042+I4042)*112.7+(J4042*119.6)</f>
        <v>0</v>
      </c>
      <c r="F4042" s="3"/>
      <c r="G4042" s="3"/>
      <c r="H4042" s="3"/>
      <c r="I4042" s="3"/>
      <c r="J4042" s="3"/>
      <c r="K4042" s="628">
        <f t="shared" si="208"/>
        <v>0</v>
      </c>
      <c r="L4042" s="630">
        <f t="shared" si="209"/>
        <v>0</v>
      </c>
    </row>
    <row r="4043" spans="3:12" x14ac:dyDescent="0.2">
      <c r="C4043" s="683"/>
      <c r="D4043" s="590" t="s">
        <v>112</v>
      </c>
      <c r="E4043" s="591">
        <f>(F4043+G4043+H4043+I4043)*112.7+(J4043*119.6)</f>
        <v>0</v>
      </c>
      <c r="F4043" s="3"/>
      <c r="G4043" s="3"/>
      <c r="H4043" s="3"/>
      <c r="I4043" s="3"/>
      <c r="J4043" s="3"/>
      <c r="K4043" s="628">
        <f t="shared" si="208"/>
        <v>0</v>
      </c>
      <c r="L4043" s="630">
        <f t="shared" si="209"/>
        <v>0</v>
      </c>
    </row>
    <row r="4044" spans="3:12" x14ac:dyDescent="0.2">
      <c r="C4044" s="683"/>
      <c r="D4044" s="590" t="s">
        <v>72</v>
      </c>
      <c r="E4044" s="591">
        <f>(F4044+G4044+H4044+I4044)*112.7+(J4044*119.6)</f>
        <v>0</v>
      </c>
      <c r="F4044" s="3"/>
      <c r="G4044" s="3"/>
      <c r="H4044" s="3"/>
      <c r="I4044" s="3"/>
      <c r="J4044" s="3"/>
      <c r="K4044" s="628">
        <f t="shared" si="208"/>
        <v>0</v>
      </c>
      <c r="L4044" s="630">
        <f t="shared" si="209"/>
        <v>0</v>
      </c>
    </row>
    <row r="4045" spans="3:12" x14ac:dyDescent="0.2">
      <c r="C4045" s="683"/>
      <c r="D4045" s="590" t="s">
        <v>187</v>
      </c>
      <c r="E4045" s="591"/>
      <c r="F4045" s="3"/>
      <c r="G4045" s="3">
        <v>1</v>
      </c>
      <c r="H4045" s="3"/>
      <c r="I4045" s="3"/>
      <c r="J4045" s="3">
        <v>10</v>
      </c>
      <c r="K4045" s="628">
        <f>SUM(F4045:J4045)</f>
        <v>11</v>
      </c>
      <c r="L4045" s="3"/>
    </row>
    <row r="4046" spans="3:12" ht="16" x14ac:dyDescent="0.2">
      <c r="C4046" s="683"/>
      <c r="D4046" s="590" t="s">
        <v>647</v>
      </c>
      <c r="E4046" s="592"/>
      <c r="F4046" s="3"/>
      <c r="G4046" s="3"/>
      <c r="H4046" s="3">
        <v>1</v>
      </c>
      <c r="I4046" s="3"/>
      <c r="J4046" s="3">
        <v>2</v>
      </c>
      <c r="K4046" s="628">
        <f>SUM(F4046:J4046)</f>
        <v>3</v>
      </c>
      <c r="L4046" s="3"/>
    </row>
    <row r="4047" spans="3:12" ht="17" thickBot="1" x14ac:dyDescent="0.25">
      <c r="C4047" s="683"/>
      <c r="D4047" s="590"/>
      <c r="E4047" s="624"/>
      <c r="F4047" s="69"/>
      <c r="G4047" s="69"/>
      <c r="H4047" s="69"/>
      <c r="I4047" s="69"/>
      <c r="J4047" s="69"/>
      <c r="K4047" s="629"/>
      <c r="L4047" s="3"/>
    </row>
    <row r="4048" spans="3:12" ht="16" thickBot="1" x14ac:dyDescent="0.25">
      <c r="C4048" s="596"/>
      <c r="D4048" s="623" t="s">
        <v>19</v>
      </c>
      <c r="E4048" s="625">
        <f>SUM(E4022:E4045)</f>
        <v>28387.4</v>
      </c>
      <c r="F4048" s="614">
        <f>SUM(F4022:F4047)</f>
        <v>75</v>
      </c>
      <c r="G4048" s="614">
        <f>SUM(G4022:G4047)</f>
        <v>36</v>
      </c>
      <c r="H4048" s="614">
        <f>SUM(H4022:H4047)</f>
        <v>28</v>
      </c>
      <c r="I4048" s="614">
        <f>SUM(I4022:I4047)</f>
        <v>41</v>
      </c>
      <c r="J4048" s="614">
        <f>SUM(J4022:J4047)</f>
        <v>87</v>
      </c>
      <c r="K4048" s="626">
        <f>SUM(F4048:J4048)</f>
        <v>267</v>
      </c>
      <c r="L4048" s="631">
        <f>SUM(L4022:L4047)</f>
        <v>63.25</v>
      </c>
    </row>
    <row r="4049" spans="3:12" x14ac:dyDescent="0.2">
      <c r="C4049" s="596"/>
      <c r="D4049" s="593" t="s">
        <v>113</v>
      </c>
      <c r="E4049" s="620"/>
      <c r="F4049" s="610">
        <f>F4019-F4048</f>
        <v>11</v>
      </c>
      <c r="G4049" s="610">
        <f>G4019-G4048</f>
        <v>7</v>
      </c>
      <c r="H4049" s="610">
        <f>H4019-H4048</f>
        <v>0</v>
      </c>
      <c r="I4049" s="610">
        <f>I4019-I4048</f>
        <v>7</v>
      </c>
      <c r="J4049" s="610">
        <f>J4019-J4048</f>
        <v>5</v>
      </c>
      <c r="K4049" s="636">
        <f>SUM(F4049:J4049)</f>
        <v>30</v>
      </c>
      <c r="L4049" s="3"/>
    </row>
    <row r="4050" spans="3:12" x14ac:dyDescent="0.2">
      <c r="C4050" s="683"/>
      <c r="D4050" s="593" t="s">
        <v>436</v>
      </c>
      <c r="E4050" s="594"/>
      <c r="F4050" s="581"/>
      <c r="G4050" s="581"/>
      <c r="H4050" s="581"/>
      <c r="I4050" s="581"/>
      <c r="J4050" s="581"/>
      <c r="K4050" s="637">
        <f>K4048+K4049</f>
        <v>297</v>
      </c>
      <c r="L4050" s="3"/>
    </row>
    <row r="4052" spans="3:12" ht="18" x14ac:dyDescent="0.2">
      <c r="C4052" s="685" t="s">
        <v>412</v>
      </c>
      <c r="D4052" s="582">
        <v>45778</v>
      </c>
      <c r="E4052" s="800"/>
      <c r="F4052" s="685" t="s">
        <v>83</v>
      </c>
      <c r="G4052" s="801" t="s">
        <v>66</v>
      </c>
      <c r="H4052" s="802"/>
      <c r="I4052" s="802"/>
      <c r="J4052" s="802"/>
      <c r="K4052" s="803"/>
    </row>
    <row r="4053" spans="3:12" x14ac:dyDescent="0.2">
      <c r="C4053" s="804"/>
      <c r="D4053" s="805"/>
      <c r="E4053" s="800"/>
      <c r="F4053" s="683" t="s">
        <v>93</v>
      </c>
      <c r="G4053" s="683" t="s">
        <v>93</v>
      </c>
      <c r="H4053" s="683"/>
      <c r="I4053" s="806"/>
      <c r="J4053" s="806"/>
      <c r="K4053" s="806"/>
    </row>
    <row r="4054" spans="3:12" x14ac:dyDescent="0.2">
      <c r="C4054" s="804"/>
      <c r="D4054" s="805"/>
      <c r="E4054" s="800"/>
      <c r="F4054" s="683" t="s">
        <v>94</v>
      </c>
      <c r="G4054" s="683" t="s">
        <v>95</v>
      </c>
      <c r="H4054" s="683" t="s">
        <v>96</v>
      </c>
      <c r="I4054" s="806"/>
      <c r="J4054" s="806"/>
      <c r="K4054" s="806"/>
    </row>
    <row r="4055" spans="3:12" x14ac:dyDescent="0.2">
      <c r="C4055" s="804"/>
      <c r="D4055" s="805"/>
      <c r="E4055" s="800"/>
      <c r="F4055" s="683"/>
      <c r="G4055" s="683"/>
      <c r="H4055" s="683"/>
      <c r="I4055" s="806"/>
      <c r="J4055" s="806"/>
      <c r="K4055" s="806"/>
    </row>
    <row r="4056" spans="3:12" ht="16" x14ac:dyDescent="0.2">
      <c r="C4056" s="683"/>
      <c r="D4056" s="583" t="s">
        <v>97</v>
      </c>
      <c r="E4056" s="584"/>
      <c r="F4056" s="581"/>
      <c r="G4056" s="585"/>
      <c r="H4056" s="585"/>
      <c r="I4056" s="586"/>
      <c r="J4056" s="586"/>
      <c r="K4056" s="586"/>
    </row>
    <row r="4057" spans="3:12" ht="26" x14ac:dyDescent="0.2">
      <c r="C4057" s="804"/>
      <c r="D4057" s="587"/>
      <c r="E4057" s="588"/>
      <c r="F4057" s="585" t="s">
        <v>383</v>
      </c>
      <c r="G4057" s="585" t="s">
        <v>384</v>
      </c>
      <c r="H4057" s="585" t="s">
        <v>385</v>
      </c>
      <c r="I4057" s="585" t="s">
        <v>386</v>
      </c>
      <c r="J4057" s="585" t="s">
        <v>387</v>
      </c>
      <c r="K4057" s="585" t="s">
        <v>84</v>
      </c>
    </row>
    <row r="4058" spans="3:12" x14ac:dyDescent="0.2">
      <c r="C4058" s="804"/>
      <c r="D4058" s="684" t="s">
        <v>167</v>
      </c>
      <c r="E4058" s="588"/>
      <c r="F4058" s="580"/>
      <c r="G4058" s="579"/>
      <c r="H4058" s="580"/>
      <c r="I4058" s="580"/>
      <c r="J4058" s="580"/>
      <c r="K4058" s="580">
        <f>SUM(F4058:J4058)</f>
        <v>0</v>
      </c>
    </row>
    <row r="4059" spans="3:12" x14ac:dyDescent="0.2">
      <c r="C4059" s="804"/>
      <c r="D4059" s="684" t="s">
        <v>207</v>
      </c>
      <c r="E4059" s="588"/>
      <c r="F4059" s="618"/>
      <c r="G4059" s="619"/>
      <c r="H4059" s="618"/>
      <c r="I4059" s="618"/>
      <c r="J4059" s="618"/>
      <c r="K4059" s="618">
        <f>SUM(F4059:J4059)</f>
        <v>0</v>
      </c>
    </row>
    <row r="4060" spans="3:12" x14ac:dyDescent="0.2">
      <c r="C4060" s="683"/>
      <c r="D4060" s="684" t="s">
        <v>100</v>
      </c>
      <c r="E4060" s="588"/>
      <c r="F4060" s="581"/>
      <c r="G4060" s="581"/>
      <c r="H4060" s="581"/>
      <c r="I4060" s="581"/>
      <c r="J4060" s="581"/>
      <c r="K4060" s="581">
        <f>SUM(F4060:J4060)</f>
        <v>0</v>
      </c>
    </row>
    <row r="4061" spans="3:12" x14ac:dyDescent="0.2">
      <c r="C4061" s="683"/>
      <c r="D4061" s="684" t="s">
        <v>101</v>
      </c>
      <c r="E4061" s="588"/>
      <c r="F4061" s="581"/>
      <c r="G4061" s="581"/>
      <c r="H4061" s="581"/>
      <c r="I4061" s="581"/>
      <c r="J4061" s="581"/>
      <c r="K4061" s="581">
        <f>SUM(F4061:J4061)</f>
        <v>0</v>
      </c>
    </row>
    <row r="4062" spans="3:12" ht="16" thickBot="1" x14ac:dyDescent="0.25">
      <c r="C4062" s="683"/>
      <c r="D4062" s="597" t="s">
        <v>102</v>
      </c>
      <c r="E4062" s="598"/>
      <c r="F4062" s="599">
        <v>11</v>
      </c>
      <c r="G4062" s="600">
        <v>7</v>
      </c>
      <c r="H4062" s="600"/>
      <c r="I4062" s="600">
        <v>7</v>
      </c>
      <c r="J4062" s="600">
        <v>5</v>
      </c>
      <c r="K4062" s="600">
        <f>SUM(F4062:J4062)</f>
        <v>30</v>
      </c>
    </row>
    <row r="4063" spans="3:12" ht="17" thickBot="1" x14ac:dyDescent="0.25">
      <c r="C4063" s="605"/>
      <c r="D4063" s="612" t="s">
        <v>84</v>
      </c>
      <c r="E4063" s="613"/>
      <c r="F4063" s="614">
        <f t="shared" ref="F4063:K4063" si="210">(F4059+F4062)-F4061-F4060</f>
        <v>11</v>
      </c>
      <c r="G4063" s="615">
        <f t="shared" si="210"/>
        <v>7</v>
      </c>
      <c r="H4063" s="616">
        <f t="shared" si="210"/>
        <v>0</v>
      </c>
      <c r="I4063" s="615">
        <f t="shared" si="210"/>
        <v>7</v>
      </c>
      <c r="J4063" s="622">
        <f t="shared" si="210"/>
        <v>5</v>
      </c>
      <c r="K4063" s="617">
        <f t="shared" si="210"/>
        <v>30</v>
      </c>
    </row>
    <row r="4064" spans="3:12" ht="16" x14ac:dyDescent="0.2">
      <c r="C4064" s="683"/>
      <c r="D4064" s="608"/>
      <c r="E4064" s="609"/>
      <c r="F4064" s="610"/>
      <c r="G4064" s="595"/>
      <c r="H4064" s="611"/>
      <c r="I4064" s="595"/>
      <c r="J4064" s="595"/>
      <c r="K4064" s="595"/>
    </row>
    <row r="4065" spans="3:12" ht="16" thickBot="1" x14ac:dyDescent="0.25">
      <c r="C4065" s="606" t="s">
        <v>388</v>
      </c>
      <c r="D4065" s="607" t="s">
        <v>103</v>
      </c>
      <c r="E4065" s="603" t="s">
        <v>84</v>
      </c>
      <c r="F4065" s="602" t="s">
        <v>78</v>
      </c>
      <c r="G4065" s="602" t="s">
        <v>79</v>
      </c>
      <c r="H4065" s="602" t="s">
        <v>81</v>
      </c>
      <c r="I4065" s="601" t="s">
        <v>316</v>
      </c>
      <c r="J4065" s="601" t="s">
        <v>85</v>
      </c>
      <c r="K4065" s="601" t="s">
        <v>84</v>
      </c>
      <c r="L4065" s="174" t="s">
        <v>389</v>
      </c>
    </row>
    <row r="4066" spans="3:12" x14ac:dyDescent="0.2">
      <c r="C4066" s="589"/>
      <c r="D4066" s="604" t="s">
        <v>105</v>
      </c>
      <c r="E4066" s="591">
        <f>(F4066+G4066+H4066+I4066+J4066)*100+(0*230)</f>
        <v>0</v>
      </c>
      <c r="F4066" s="3"/>
      <c r="G4066" s="3"/>
      <c r="H4066" s="3"/>
      <c r="I4066" s="3"/>
      <c r="J4066" s="3"/>
      <c r="K4066" s="628">
        <f t="shared" ref="K4066:K4088" si="211">SUM(F4066:J4066)</f>
        <v>0</v>
      </c>
      <c r="L4066" s="630">
        <f>K4066/4</f>
        <v>0</v>
      </c>
    </row>
    <row r="4067" spans="3:12" x14ac:dyDescent="0.2">
      <c r="C4067" s="589"/>
      <c r="D4067" s="590" t="s">
        <v>390</v>
      </c>
      <c r="E4067" s="591">
        <f>(F4067+G4067+H4067+I4067+J4067)*120</f>
        <v>0</v>
      </c>
      <c r="F4067" s="3"/>
      <c r="G4067" s="3"/>
      <c r="H4067" s="3"/>
      <c r="I4067" s="3"/>
      <c r="J4067" s="3"/>
      <c r="K4067" s="628">
        <f t="shared" si="211"/>
        <v>0</v>
      </c>
      <c r="L4067" s="630">
        <f t="shared" ref="L4067:L4088" si="212">K4067/4</f>
        <v>0</v>
      </c>
    </row>
    <row r="4068" spans="3:12" x14ac:dyDescent="0.2">
      <c r="C4068" s="589"/>
      <c r="D4068" s="590" t="s">
        <v>391</v>
      </c>
      <c r="E4068" s="591">
        <f>(F4068+G4068+H4068+I4068+J4068)*120</f>
        <v>0</v>
      </c>
      <c r="F4068" s="3"/>
      <c r="G4068" s="3"/>
      <c r="H4068" s="3"/>
      <c r="I4068" s="3"/>
      <c r="J4068" s="3"/>
      <c r="K4068" s="628">
        <f t="shared" si="211"/>
        <v>0</v>
      </c>
      <c r="L4068" s="630">
        <f t="shared" si="212"/>
        <v>0</v>
      </c>
    </row>
    <row r="4069" spans="3:12" x14ac:dyDescent="0.2">
      <c r="C4069" s="589"/>
      <c r="D4069" s="590" t="s">
        <v>392</v>
      </c>
      <c r="E4069" s="591">
        <f>(F4069+G4069+H4069+I4069+J4069)*120</f>
        <v>0</v>
      </c>
      <c r="F4069" s="3"/>
      <c r="G4069" s="3"/>
      <c r="H4069" s="3"/>
      <c r="I4069" s="3"/>
      <c r="J4069" s="3"/>
      <c r="K4069" s="628">
        <f t="shared" si="211"/>
        <v>0</v>
      </c>
      <c r="L4069" s="630">
        <f t="shared" si="212"/>
        <v>0</v>
      </c>
    </row>
    <row r="4070" spans="3:12" x14ac:dyDescent="0.2">
      <c r="C4070" s="589"/>
      <c r="D4070" s="590" t="s">
        <v>425</v>
      </c>
      <c r="E4070" s="591">
        <f>(F4070+G4070+H4070+I4070+J4070)*120</f>
        <v>0</v>
      </c>
      <c r="F4070" s="3"/>
      <c r="G4070" s="3"/>
      <c r="H4070" s="3"/>
      <c r="I4070" s="3"/>
      <c r="J4070" s="3"/>
      <c r="K4070" s="628">
        <f t="shared" si="211"/>
        <v>0</v>
      </c>
      <c r="L4070" s="630">
        <f t="shared" si="212"/>
        <v>0</v>
      </c>
    </row>
    <row r="4071" spans="3:12" x14ac:dyDescent="0.2">
      <c r="C4071" s="589"/>
      <c r="D4071" s="590"/>
      <c r="E4071" s="591"/>
      <c r="F4071" s="3"/>
      <c r="G4071" s="3"/>
      <c r="H4071" s="3"/>
      <c r="I4071" s="3"/>
      <c r="J4071" s="3"/>
      <c r="K4071" s="628">
        <f t="shared" si="211"/>
        <v>0</v>
      </c>
      <c r="L4071" s="630">
        <f t="shared" si="212"/>
        <v>0</v>
      </c>
    </row>
    <row r="4072" spans="3:12" x14ac:dyDescent="0.2">
      <c r="C4072" s="589"/>
      <c r="D4072" s="590" t="s">
        <v>108</v>
      </c>
      <c r="E4072" s="591">
        <f>(F4072+G4072+H4072+J4072)*112.7+(I4072*119.6)</f>
        <v>0</v>
      </c>
      <c r="F4072" s="3"/>
      <c r="G4072" s="3"/>
      <c r="H4072" s="3"/>
      <c r="I4072" s="3"/>
      <c r="J4072" s="3"/>
      <c r="K4072" s="628">
        <f t="shared" si="211"/>
        <v>0</v>
      </c>
      <c r="L4072" s="630">
        <f t="shared" si="212"/>
        <v>0</v>
      </c>
    </row>
    <row r="4073" spans="3:12" x14ac:dyDescent="0.2">
      <c r="C4073" s="589"/>
      <c r="D4073" s="590" t="s">
        <v>393</v>
      </c>
      <c r="E4073" s="591">
        <f>(F4073+G4073+H4073+J4073)*112.7+(I4073*119.6)</f>
        <v>0</v>
      </c>
      <c r="F4073" s="3"/>
      <c r="G4073" s="3"/>
      <c r="H4073" s="3"/>
      <c r="I4073" s="3"/>
      <c r="J4073" s="3"/>
      <c r="K4073" s="628">
        <f t="shared" si="211"/>
        <v>0</v>
      </c>
      <c r="L4073" s="630">
        <f t="shared" si="212"/>
        <v>0</v>
      </c>
    </row>
    <row r="4074" spans="3:12" x14ac:dyDescent="0.2">
      <c r="C4074" s="589"/>
      <c r="D4074" s="590" t="s">
        <v>216</v>
      </c>
      <c r="E4074" s="591">
        <f>(F4074+G4074+H4074+J4074)*112.7+(I4074*119.6)</f>
        <v>0</v>
      </c>
      <c r="F4074" s="3"/>
      <c r="G4074" s="3"/>
      <c r="H4074" s="3"/>
      <c r="I4074" s="3"/>
      <c r="J4074" s="3"/>
      <c r="K4074" s="628">
        <f t="shared" si="211"/>
        <v>0</v>
      </c>
      <c r="L4074" s="630">
        <f t="shared" si="212"/>
        <v>0</v>
      </c>
    </row>
    <row r="4075" spans="3:12" x14ac:dyDescent="0.2">
      <c r="C4075" s="589"/>
      <c r="D4075" s="590"/>
      <c r="E4075" s="591"/>
      <c r="F4075" s="3"/>
      <c r="G4075" s="3"/>
      <c r="H4075" s="3"/>
      <c r="I4075" s="3"/>
      <c r="J4075" s="3"/>
      <c r="K4075" s="628">
        <f t="shared" si="211"/>
        <v>0</v>
      </c>
      <c r="L4075" s="630">
        <f t="shared" si="212"/>
        <v>0</v>
      </c>
    </row>
    <row r="4076" spans="3:12" x14ac:dyDescent="0.2">
      <c r="C4076" s="589"/>
      <c r="D4076" s="590" t="s">
        <v>394</v>
      </c>
      <c r="E4076" s="591">
        <f>(F4076+G4076+H4076+I4076+J4076)*120</f>
        <v>0</v>
      </c>
      <c r="F4076" s="3"/>
      <c r="G4076" s="3"/>
      <c r="H4076" s="3"/>
      <c r="I4076" s="3"/>
      <c r="J4076" s="3"/>
      <c r="K4076" s="628">
        <f t="shared" si="211"/>
        <v>0</v>
      </c>
      <c r="L4076" s="630">
        <f t="shared" si="212"/>
        <v>0</v>
      </c>
    </row>
    <row r="4077" spans="3:12" x14ac:dyDescent="0.2">
      <c r="C4077" s="589"/>
      <c r="D4077" s="590" t="s">
        <v>110</v>
      </c>
      <c r="E4077" s="591">
        <f>(F4077+G4077+H4077+J4077)*112.7+(I4077*119.6)</f>
        <v>0</v>
      </c>
      <c r="F4077" s="3"/>
      <c r="G4077" s="3"/>
      <c r="H4077" s="3"/>
      <c r="I4077" s="3"/>
      <c r="J4077" s="3"/>
      <c r="K4077" s="628">
        <f t="shared" si="211"/>
        <v>0</v>
      </c>
      <c r="L4077" s="630">
        <f t="shared" si="212"/>
        <v>0</v>
      </c>
    </row>
    <row r="4078" spans="3:12" x14ac:dyDescent="0.2">
      <c r="C4078" s="589"/>
      <c r="D4078" s="590"/>
      <c r="E4078" s="591"/>
      <c r="F4078" s="3"/>
      <c r="G4078" s="3"/>
      <c r="H4078" s="3"/>
      <c r="I4078" s="3"/>
      <c r="J4078" s="3"/>
      <c r="K4078" s="628">
        <f t="shared" si="211"/>
        <v>0</v>
      </c>
      <c r="L4078" s="630">
        <f t="shared" si="212"/>
        <v>0</v>
      </c>
    </row>
    <row r="4079" spans="3:12" x14ac:dyDescent="0.2">
      <c r="C4079" s="589"/>
      <c r="D4079" s="590" t="s">
        <v>381</v>
      </c>
      <c r="E4079" s="591">
        <f>(F4079+G4079+H4079+I4079+J4079)*120+(240*0)+(0*45)</f>
        <v>0</v>
      </c>
      <c r="F4079" s="3"/>
      <c r="G4079" s="3"/>
      <c r="H4079" s="3"/>
      <c r="I4079" s="3"/>
      <c r="J4079" s="3"/>
      <c r="K4079" s="628">
        <f t="shared" si="211"/>
        <v>0</v>
      </c>
      <c r="L4079" s="630">
        <f t="shared" si="212"/>
        <v>0</v>
      </c>
    </row>
    <row r="4080" spans="3:12" x14ac:dyDescent="0.2">
      <c r="C4080" s="589" t="s">
        <v>1071</v>
      </c>
      <c r="D4080" s="590" t="s">
        <v>276</v>
      </c>
      <c r="E4080" s="591">
        <f>(F4080+G4080+H4080+J4080)*112.7+(I4080*119.6)</f>
        <v>3429.2999999999997</v>
      </c>
      <c r="F4080" s="3">
        <v>11</v>
      </c>
      <c r="G4080" s="3">
        <v>7</v>
      </c>
      <c r="H4080" s="3"/>
      <c r="I4080" s="3">
        <v>7</v>
      </c>
      <c r="J4080" s="3">
        <v>5</v>
      </c>
      <c r="K4080" s="628">
        <f t="shared" si="211"/>
        <v>30</v>
      </c>
      <c r="L4080" s="630">
        <f t="shared" si="212"/>
        <v>7.5</v>
      </c>
    </row>
    <row r="4081" spans="3:12" x14ac:dyDescent="0.2">
      <c r="C4081" s="589"/>
      <c r="D4081" s="590"/>
      <c r="E4081" s="591"/>
      <c r="F4081" s="3"/>
      <c r="G4081" s="3"/>
      <c r="H4081" s="3"/>
      <c r="I4081" s="3"/>
      <c r="J4081" s="3"/>
      <c r="K4081" s="628">
        <f t="shared" si="211"/>
        <v>0</v>
      </c>
      <c r="L4081" s="630">
        <f t="shared" si="212"/>
        <v>0</v>
      </c>
    </row>
    <row r="4082" spans="3:12" x14ac:dyDescent="0.2">
      <c r="C4082" s="589"/>
      <c r="D4082" s="590" t="s">
        <v>75</v>
      </c>
      <c r="E4082" s="591">
        <f>(F4082+G4082+H4082+I4082+J4082)*120</f>
        <v>0</v>
      </c>
      <c r="F4082" s="3"/>
      <c r="G4082" s="3"/>
      <c r="H4082" s="3"/>
      <c r="I4082" s="3"/>
      <c r="J4082" s="3"/>
      <c r="K4082" s="628">
        <f t="shared" si="211"/>
        <v>0</v>
      </c>
      <c r="L4082" s="630">
        <f t="shared" si="212"/>
        <v>0</v>
      </c>
    </row>
    <row r="4083" spans="3:12" x14ac:dyDescent="0.2">
      <c r="C4083" s="589"/>
      <c r="D4083" s="590" t="s">
        <v>278</v>
      </c>
      <c r="E4083" s="591">
        <f>(F4083+G4083+H4083+I4083+J4083)*120</f>
        <v>0</v>
      </c>
      <c r="F4083" s="3"/>
      <c r="G4083" s="3"/>
      <c r="H4083" s="3"/>
      <c r="I4083" s="3"/>
      <c r="J4083" s="3"/>
      <c r="K4083" s="628">
        <f t="shared" si="211"/>
        <v>0</v>
      </c>
      <c r="L4083" s="630">
        <f t="shared" si="212"/>
        <v>0</v>
      </c>
    </row>
    <row r="4084" spans="3:12" x14ac:dyDescent="0.2">
      <c r="C4084" s="589"/>
      <c r="D4084" s="590" t="s">
        <v>270</v>
      </c>
      <c r="E4084" s="591">
        <f>(F4084+G4084+H4084+I4084)*112.7+(J4084*119.6)</f>
        <v>0</v>
      </c>
      <c r="F4084" s="3"/>
      <c r="G4084" s="3"/>
      <c r="H4084" s="3"/>
      <c r="I4084" s="3"/>
      <c r="J4084" s="3"/>
      <c r="K4084" s="628">
        <f t="shared" si="211"/>
        <v>0</v>
      </c>
      <c r="L4084" s="630">
        <f t="shared" si="212"/>
        <v>0</v>
      </c>
    </row>
    <row r="4085" spans="3:12" x14ac:dyDescent="0.2">
      <c r="C4085" s="589"/>
      <c r="D4085" s="590" t="s">
        <v>274</v>
      </c>
      <c r="E4085" s="591">
        <f>(F4085+G4085+H4085+I4085)*112.7+(J4085*119.6)</f>
        <v>0</v>
      </c>
      <c r="F4085" s="3"/>
      <c r="G4085" s="3"/>
      <c r="H4085" s="3"/>
      <c r="I4085" s="3"/>
      <c r="J4085" s="3"/>
      <c r="K4085" s="628">
        <f t="shared" si="211"/>
        <v>0</v>
      </c>
      <c r="L4085" s="630">
        <f t="shared" si="212"/>
        <v>0</v>
      </c>
    </row>
    <row r="4086" spans="3:12" x14ac:dyDescent="0.2">
      <c r="C4086" s="589"/>
      <c r="D4086" s="590" t="s">
        <v>395</v>
      </c>
      <c r="E4086" s="591">
        <f>(F4086+G4086+H4086+I4086)*112.7+(J4086*119.6)</f>
        <v>0</v>
      </c>
      <c r="F4086" s="3"/>
      <c r="G4086" s="3"/>
      <c r="H4086" s="3"/>
      <c r="I4086" s="3"/>
      <c r="J4086" s="3"/>
      <c r="K4086" s="628">
        <f t="shared" si="211"/>
        <v>0</v>
      </c>
      <c r="L4086" s="630">
        <f t="shared" si="212"/>
        <v>0</v>
      </c>
    </row>
    <row r="4087" spans="3:12" x14ac:dyDescent="0.2">
      <c r="C4087" s="683"/>
      <c r="D4087" s="590" t="s">
        <v>112</v>
      </c>
      <c r="E4087" s="591">
        <f>(F4087+G4087+H4087+I4087)*112.7+(J4087*119.6)</f>
        <v>0</v>
      </c>
      <c r="F4087" s="3"/>
      <c r="G4087" s="3"/>
      <c r="H4087" s="3"/>
      <c r="I4087" s="3"/>
      <c r="J4087" s="3"/>
      <c r="K4087" s="628">
        <f t="shared" si="211"/>
        <v>0</v>
      </c>
      <c r="L4087" s="630">
        <f t="shared" si="212"/>
        <v>0</v>
      </c>
    </row>
    <row r="4088" spans="3:12" x14ac:dyDescent="0.2">
      <c r="C4088" s="683"/>
      <c r="D4088" s="590" t="s">
        <v>72</v>
      </c>
      <c r="E4088" s="591">
        <f>(F4088+G4088+H4088+I4088)*112.7+(J4088*119.6)</f>
        <v>0</v>
      </c>
      <c r="F4088" s="3"/>
      <c r="G4088" s="3"/>
      <c r="H4088" s="3"/>
      <c r="I4088" s="3"/>
      <c r="J4088" s="3"/>
      <c r="K4088" s="628">
        <f t="shared" si="211"/>
        <v>0</v>
      </c>
      <c r="L4088" s="630">
        <f t="shared" si="212"/>
        <v>0</v>
      </c>
    </row>
    <row r="4089" spans="3:12" x14ac:dyDescent="0.2">
      <c r="C4089" s="683"/>
      <c r="D4089" s="590" t="s">
        <v>187</v>
      </c>
      <c r="E4089" s="591"/>
      <c r="F4089" s="3"/>
      <c r="G4089" s="3"/>
      <c r="H4089" s="3"/>
      <c r="I4089" s="3"/>
      <c r="J4089" s="3"/>
      <c r="K4089" s="628">
        <f>SUM(F4089:J4089)</f>
        <v>0</v>
      </c>
      <c r="L4089" s="3"/>
    </row>
    <row r="4090" spans="3:12" ht="16" x14ac:dyDescent="0.2">
      <c r="C4090" s="683"/>
      <c r="D4090" s="590" t="s">
        <v>647</v>
      </c>
      <c r="E4090" s="592"/>
      <c r="F4090" s="3"/>
      <c r="G4090" s="3"/>
      <c r="H4090" s="3"/>
      <c r="I4090" s="3"/>
      <c r="J4090" s="3"/>
      <c r="K4090" s="628">
        <f>SUM(F4090:J4090)</f>
        <v>0</v>
      </c>
      <c r="L4090" s="3"/>
    </row>
    <row r="4091" spans="3:12" ht="17" thickBot="1" x14ac:dyDescent="0.25">
      <c r="C4091" s="683"/>
      <c r="D4091" s="590"/>
      <c r="E4091" s="624"/>
      <c r="F4091" s="69"/>
      <c r="G4091" s="69"/>
      <c r="H4091" s="69"/>
      <c r="I4091" s="69"/>
      <c r="J4091" s="69"/>
      <c r="K4091" s="629"/>
      <c r="L4091" s="3"/>
    </row>
    <row r="4092" spans="3:12" ht="16" thickBot="1" x14ac:dyDescent="0.25">
      <c r="C4092" s="596"/>
      <c r="D4092" s="623" t="s">
        <v>19</v>
      </c>
      <c r="E4092" s="625">
        <f>SUM(E4066:E4089)</f>
        <v>3429.2999999999997</v>
      </c>
      <c r="F4092" s="614">
        <f>SUM(F4066:F4091)</f>
        <v>11</v>
      </c>
      <c r="G4092" s="614">
        <f>SUM(G4066:G4091)</f>
        <v>7</v>
      </c>
      <c r="H4092" s="614">
        <f>SUM(H4066:H4091)</f>
        <v>0</v>
      </c>
      <c r="I4092" s="614">
        <f>SUM(I4066:I4091)</f>
        <v>7</v>
      </c>
      <c r="J4092" s="614">
        <f>SUM(J4066:J4091)</f>
        <v>5</v>
      </c>
      <c r="K4092" s="626">
        <f>SUM(F4092:J4092)</f>
        <v>30</v>
      </c>
      <c r="L4092" s="631">
        <f>SUM(L4066:L4091)</f>
        <v>7.5</v>
      </c>
    </row>
    <row r="4093" spans="3:12" x14ac:dyDescent="0.2">
      <c r="C4093" s="596"/>
      <c r="D4093" s="593" t="s">
        <v>113</v>
      </c>
      <c r="E4093" s="620"/>
      <c r="F4093" s="610">
        <f>F4063-F4092</f>
        <v>0</v>
      </c>
      <c r="G4093" s="610">
        <f>G4063-G4092</f>
        <v>0</v>
      </c>
      <c r="H4093" s="610">
        <f>H4063-H4092</f>
        <v>0</v>
      </c>
      <c r="I4093" s="610">
        <f>I4063-I4092</f>
        <v>0</v>
      </c>
      <c r="J4093" s="610">
        <f>J4063-J4092</f>
        <v>0</v>
      </c>
      <c r="K4093" s="636">
        <f>SUM(F4093:J4093)</f>
        <v>0</v>
      </c>
      <c r="L4093" s="3"/>
    </row>
    <row r="4094" spans="3:12" x14ac:dyDescent="0.2">
      <c r="C4094" s="683"/>
      <c r="D4094" s="593" t="s">
        <v>436</v>
      </c>
      <c r="E4094" s="594"/>
      <c r="F4094" s="581"/>
      <c r="G4094" s="581"/>
      <c r="H4094" s="581"/>
      <c r="I4094" s="581"/>
      <c r="J4094" s="581"/>
      <c r="K4094" s="637">
        <f>K4092+K4093</f>
        <v>30</v>
      </c>
      <c r="L4094" s="3"/>
    </row>
    <row r="4096" spans="3:12" ht="18" x14ac:dyDescent="0.2">
      <c r="C4096" s="685" t="s">
        <v>412</v>
      </c>
      <c r="D4096" s="582">
        <v>45779</v>
      </c>
      <c r="E4096" s="800"/>
      <c r="F4096" s="685" t="s">
        <v>83</v>
      </c>
      <c r="G4096" s="801" t="s">
        <v>67</v>
      </c>
      <c r="H4096" s="802"/>
      <c r="I4096" s="802"/>
      <c r="J4096" s="802"/>
      <c r="K4096" s="803"/>
    </row>
    <row r="4097" spans="3:12" x14ac:dyDescent="0.2">
      <c r="C4097" s="804"/>
      <c r="D4097" s="805"/>
      <c r="E4097" s="800"/>
      <c r="F4097" s="683" t="s">
        <v>93</v>
      </c>
      <c r="G4097" s="683" t="s">
        <v>93</v>
      </c>
      <c r="H4097" s="683"/>
      <c r="I4097" s="806"/>
      <c r="J4097" s="806"/>
      <c r="K4097" s="806"/>
    </row>
    <row r="4098" spans="3:12" x14ac:dyDescent="0.2">
      <c r="C4098" s="804"/>
      <c r="D4098" s="805"/>
      <c r="E4098" s="800"/>
      <c r="F4098" s="683" t="s">
        <v>94</v>
      </c>
      <c r="G4098" s="683" t="s">
        <v>95</v>
      </c>
      <c r="H4098" s="683" t="s">
        <v>96</v>
      </c>
      <c r="I4098" s="806"/>
      <c r="J4098" s="806"/>
      <c r="K4098" s="806"/>
    </row>
    <row r="4099" spans="3:12" x14ac:dyDescent="0.2">
      <c r="C4099" s="804"/>
      <c r="D4099" s="805"/>
      <c r="E4099" s="800"/>
      <c r="F4099" s="683"/>
      <c r="G4099" s="683"/>
      <c r="H4099" s="683"/>
      <c r="I4099" s="806"/>
      <c r="J4099" s="806"/>
      <c r="K4099" s="806"/>
    </row>
    <row r="4100" spans="3:12" ht="16" x14ac:dyDescent="0.2">
      <c r="C4100" s="683"/>
      <c r="D4100" s="583" t="s">
        <v>97</v>
      </c>
      <c r="E4100" s="584"/>
      <c r="F4100" s="581"/>
      <c r="G4100" s="585"/>
      <c r="H4100" s="585"/>
      <c r="I4100" s="586"/>
      <c r="J4100" s="586"/>
      <c r="K4100" s="586"/>
    </row>
    <row r="4101" spans="3:12" ht="26" x14ac:dyDescent="0.2">
      <c r="C4101" s="804"/>
      <c r="D4101" s="587"/>
      <c r="E4101" s="588"/>
      <c r="F4101" s="585" t="s">
        <v>383</v>
      </c>
      <c r="G4101" s="585" t="s">
        <v>384</v>
      </c>
      <c r="H4101" s="585" t="s">
        <v>385</v>
      </c>
      <c r="I4101" s="585" t="s">
        <v>386</v>
      </c>
      <c r="J4101" s="585" t="s">
        <v>387</v>
      </c>
      <c r="K4101" s="585" t="s">
        <v>84</v>
      </c>
    </row>
    <row r="4102" spans="3:12" x14ac:dyDescent="0.2">
      <c r="C4102" s="804"/>
      <c r="D4102" s="684" t="s">
        <v>167</v>
      </c>
      <c r="E4102" s="588"/>
      <c r="F4102" s="580">
        <v>16</v>
      </c>
      <c r="G4102" s="579">
        <v>9</v>
      </c>
      <c r="H4102" s="580">
        <v>4</v>
      </c>
      <c r="I4102" s="580">
        <v>5</v>
      </c>
      <c r="J4102" s="580">
        <v>11</v>
      </c>
      <c r="K4102" s="580">
        <f>SUM(F4102:J4102)</f>
        <v>45</v>
      </c>
    </row>
    <row r="4103" spans="3:12" x14ac:dyDescent="0.2">
      <c r="C4103" s="804"/>
      <c r="D4103" s="684" t="s">
        <v>207</v>
      </c>
      <c r="E4103" s="588"/>
      <c r="F4103" s="618">
        <v>112</v>
      </c>
      <c r="G4103" s="619">
        <v>62</v>
      </c>
      <c r="H4103" s="618">
        <v>28</v>
      </c>
      <c r="I4103" s="618">
        <v>55</v>
      </c>
      <c r="J4103" s="618">
        <v>102</v>
      </c>
      <c r="K4103" s="618">
        <f>SUM(F4103:J4103)</f>
        <v>359</v>
      </c>
    </row>
    <row r="4104" spans="3:12" x14ac:dyDescent="0.2">
      <c r="C4104" s="683"/>
      <c r="D4104" s="684" t="s">
        <v>100</v>
      </c>
      <c r="E4104" s="588"/>
      <c r="F4104" s="581"/>
      <c r="G4104" s="581"/>
      <c r="H4104" s="581"/>
      <c r="I4104" s="581"/>
      <c r="J4104" s="581"/>
      <c r="K4104" s="581">
        <f>SUM(F4104:J4104)</f>
        <v>0</v>
      </c>
    </row>
    <row r="4105" spans="3:12" x14ac:dyDescent="0.2">
      <c r="C4105" s="683"/>
      <c r="D4105" s="684" t="s">
        <v>101</v>
      </c>
      <c r="E4105" s="588"/>
      <c r="F4105" s="581"/>
      <c r="G4105" s="581"/>
      <c r="H4105" s="581">
        <v>1</v>
      </c>
      <c r="I4105" s="581"/>
      <c r="J4105" s="581"/>
      <c r="K4105" s="581">
        <f>SUM(F4105:J4105)</f>
        <v>1</v>
      </c>
    </row>
    <row r="4106" spans="3:12" ht="16" thickBot="1" x14ac:dyDescent="0.25">
      <c r="C4106" s="683"/>
      <c r="D4106" s="597" t="s">
        <v>102</v>
      </c>
      <c r="E4106" s="598"/>
      <c r="F4106" s="599"/>
      <c r="G4106" s="600"/>
      <c r="H4106" s="600"/>
      <c r="I4106" s="600"/>
      <c r="J4106" s="600"/>
      <c r="K4106" s="600">
        <f>SUM(F4106:J4106)</f>
        <v>0</v>
      </c>
    </row>
    <row r="4107" spans="3:12" ht="17" thickBot="1" x14ac:dyDescent="0.25">
      <c r="C4107" s="605"/>
      <c r="D4107" s="612" t="s">
        <v>84</v>
      </c>
      <c r="E4107" s="613"/>
      <c r="F4107" s="614">
        <f t="shared" ref="F4107:K4107" si="213">(F4103+F4106)-F4105-F4104</f>
        <v>112</v>
      </c>
      <c r="G4107" s="615">
        <f t="shared" si="213"/>
        <v>62</v>
      </c>
      <c r="H4107" s="616">
        <f t="shared" si="213"/>
        <v>27</v>
      </c>
      <c r="I4107" s="615">
        <f t="shared" si="213"/>
        <v>55</v>
      </c>
      <c r="J4107" s="622">
        <f t="shared" si="213"/>
        <v>102</v>
      </c>
      <c r="K4107" s="617">
        <f t="shared" si="213"/>
        <v>358</v>
      </c>
    </row>
    <row r="4108" spans="3:12" ht="16" x14ac:dyDescent="0.2">
      <c r="C4108" s="683"/>
      <c r="D4108" s="608"/>
      <c r="E4108" s="609"/>
      <c r="F4108" s="610"/>
      <c r="G4108" s="595"/>
      <c r="H4108" s="611"/>
      <c r="I4108" s="595"/>
      <c r="J4108" s="595"/>
      <c r="K4108" s="595"/>
    </row>
    <row r="4109" spans="3:12" ht="16" thickBot="1" x14ac:dyDescent="0.25">
      <c r="C4109" s="606" t="s">
        <v>388</v>
      </c>
      <c r="D4109" s="607" t="s">
        <v>103</v>
      </c>
      <c r="E4109" s="603" t="s">
        <v>84</v>
      </c>
      <c r="F4109" s="602" t="s">
        <v>78</v>
      </c>
      <c r="G4109" s="602" t="s">
        <v>79</v>
      </c>
      <c r="H4109" s="602" t="s">
        <v>81</v>
      </c>
      <c r="I4109" s="601" t="s">
        <v>316</v>
      </c>
      <c r="J4109" s="601" t="s">
        <v>85</v>
      </c>
      <c r="K4109" s="601" t="s">
        <v>84</v>
      </c>
      <c r="L4109" s="174" t="s">
        <v>389</v>
      </c>
    </row>
    <row r="4110" spans="3:12" x14ac:dyDescent="0.2">
      <c r="C4110" s="589" t="s">
        <v>1072</v>
      </c>
      <c r="D4110" s="604" t="s">
        <v>105</v>
      </c>
      <c r="E4110" s="591">
        <f>(F4110+G4110+H4110+I4110+J4110)*100+(0*230)</f>
        <v>8600</v>
      </c>
      <c r="F4110" s="3">
        <v>25</v>
      </c>
      <c r="G4110" s="3">
        <v>13</v>
      </c>
      <c r="H4110" s="3">
        <v>12</v>
      </c>
      <c r="I4110" s="3">
        <v>8</v>
      </c>
      <c r="J4110" s="3">
        <v>28</v>
      </c>
      <c r="K4110" s="628">
        <f t="shared" ref="K4110:K4132" si="214">SUM(F4110:J4110)</f>
        <v>86</v>
      </c>
      <c r="L4110" s="630">
        <f>K4110/4</f>
        <v>21.5</v>
      </c>
    </row>
    <row r="4111" spans="3:12" x14ac:dyDescent="0.2">
      <c r="C4111" s="589"/>
      <c r="D4111" s="590" t="s">
        <v>390</v>
      </c>
      <c r="E4111" s="591">
        <f>(F4111+G4111+H4111+I4111+J4111)*120</f>
        <v>0</v>
      </c>
      <c r="F4111" s="3"/>
      <c r="G4111" s="3"/>
      <c r="H4111" s="3"/>
      <c r="I4111" s="3"/>
      <c r="J4111" s="3"/>
      <c r="K4111" s="628">
        <f t="shared" si="214"/>
        <v>0</v>
      </c>
      <c r="L4111" s="630">
        <f t="shared" ref="L4111:L4132" si="215">K4111/4</f>
        <v>0</v>
      </c>
    </row>
    <row r="4112" spans="3:12" x14ac:dyDescent="0.2">
      <c r="C4112" s="589"/>
      <c r="D4112" s="590" t="s">
        <v>391</v>
      </c>
      <c r="E4112" s="591">
        <f>(F4112+G4112+H4112+I4112+J4112)*120</f>
        <v>0</v>
      </c>
      <c r="F4112" s="3"/>
      <c r="G4112" s="3"/>
      <c r="H4112" s="3"/>
      <c r="I4112" s="3"/>
      <c r="J4112" s="3"/>
      <c r="K4112" s="628">
        <f t="shared" si="214"/>
        <v>0</v>
      </c>
      <c r="L4112" s="630">
        <f t="shared" si="215"/>
        <v>0</v>
      </c>
    </row>
    <row r="4113" spans="3:12" x14ac:dyDescent="0.2">
      <c r="C4113" s="589" t="s">
        <v>520</v>
      </c>
      <c r="D4113" s="590" t="s">
        <v>392</v>
      </c>
      <c r="E4113" s="591">
        <f>(F4113+G4113+H4113+I4113+J4113)*120</f>
        <v>2040</v>
      </c>
      <c r="F4113" s="3">
        <v>5</v>
      </c>
      <c r="G4113" s="3">
        <v>2</v>
      </c>
      <c r="H4113" s="3">
        <v>5</v>
      </c>
      <c r="I4113" s="3"/>
      <c r="J4113" s="3">
        <v>5</v>
      </c>
      <c r="K4113" s="628">
        <f t="shared" si="214"/>
        <v>17</v>
      </c>
      <c r="L4113" s="630">
        <f t="shared" si="215"/>
        <v>4.25</v>
      </c>
    </row>
    <row r="4114" spans="3:12" x14ac:dyDescent="0.2">
      <c r="C4114" s="589"/>
      <c r="D4114" s="590" t="s">
        <v>425</v>
      </c>
      <c r="E4114" s="591">
        <f>(F4114+G4114+H4114+I4114+J4114)*120</f>
        <v>0</v>
      </c>
      <c r="F4114" s="3"/>
      <c r="G4114" s="3"/>
      <c r="H4114" s="3"/>
      <c r="I4114" s="3"/>
      <c r="J4114" s="3"/>
      <c r="K4114" s="628">
        <f t="shared" si="214"/>
        <v>0</v>
      </c>
      <c r="L4114" s="630">
        <f t="shared" si="215"/>
        <v>0</v>
      </c>
    </row>
    <row r="4115" spans="3:12" x14ac:dyDescent="0.2">
      <c r="C4115" s="589"/>
      <c r="D4115" s="590"/>
      <c r="E4115" s="591"/>
      <c r="F4115" s="3"/>
      <c r="G4115" s="3"/>
      <c r="H4115" s="3"/>
      <c r="I4115" s="3"/>
      <c r="J4115" s="3"/>
      <c r="K4115" s="628">
        <f t="shared" si="214"/>
        <v>0</v>
      </c>
      <c r="L4115" s="630">
        <f t="shared" si="215"/>
        <v>0</v>
      </c>
    </row>
    <row r="4116" spans="3:12" x14ac:dyDescent="0.2">
      <c r="C4116" s="589" t="s">
        <v>1075</v>
      </c>
      <c r="D4116" s="590" t="s">
        <v>108</v>
      </c>
      <c r="E4116" s="591">
        <f>(F4116+G4116+H4116+J4116)*112.7+(I4116*119.6)</f>
        <v>5943.2</v>
      </c>
      <c r="F4116" s="3">
        <v>14</v>
      </c>
      <c r="G4116" s="3">
        <v>6</v>
      </c>
      <c r="H4116" s="3">
        <v>6</v>
      </c>
      <c r="I4116" s="3">
        <v>12</v>
      </c>
      <c r="J4116" s="3">
        <v>14</v>
      </c>
      <c r="K4116" s="628">
        <f t="shared" si="214"/>
        <v>52</v>
      </c>
      <c r="L4116" s="630">
        <f t="shared" si="215"/>
        <v>13</v>
      </c>
    </row>
    <row r="4117" spans="3:12" x14ac:dyDescent="0.2">
      <c r="C4117" s="589" t="s">
        <v>1074</v>
      </c>
      <c r="D4117" s="590" t="s">
        <v>393</v>
      </c>
      <c r="E4117" s="591">
        <f>(F4117+G4117+H4117+J4117)*112.7+(I4117*119.6)</f>
        <v>3183.2000000000003</v>
      </c>
      <c r="F4117" s="3">
        <v>8</v>
      </c>
      <c r="G4117" s="3">
        <v>4</v>
      </c>
      <c r="H4117" s="3">
        <v>4</v>
      </c>
      <c r="I4117" s="3">
        <v>4</v>
      </c>
      <c r="J4117" s="3">
        <v>8</v>
      </c>
      <c r="K4117" s="628">
        <f t="shared" si="214"/>
        <v>28</v>
      </c>
      <c r="L4117" s="630">
        <f t="shared" si="215"/>
        <v>7</v>
      </c>
    </row>
    <row r="4118" spans="3:12" x14ac:dyDescent="0.2">
      <c r="C4118" s="589" t="s">
        <v>1073</v>
      </c>
      <c r="D4118" s="590" t="s">
        <v>216</v>
      </c>
      <c r="E4118" s="591">
        <f>(F4118+G4118+H4118+J4118)*112.7+(I4118*119.6)</f>
        <v>3661.6000000000004</v>
      </c>
      <c r="F4118" s="3">
        <v>8</v>
      </c>
      <c r="G4118" s="3">
        <v>8</v>
      </c>
      <c r="H4118" s="3"/>
      <c r="I4118" s="3">
        <v>8</v>
      </c>
      <c r="J4118" s="3">
        <v>8</v>
      </c>
      <c r="K4118" s="628">
        <f t="shared" si="214"/>
        <v>32</v>
      </c>
      <c r="L4118" s="630">
        <f t="shared" si="215"/>
        <v>8</v>
      </c>
    </row>
    <row r="4119" spans="3:12" x14ac:dyDescent="0.2">
      <c r="C4119" s="589"/>
      <c r="D4119" s="590"/>
      <c r="E4119" s="591"/>
      <c r="F4119" s="3"/>
      <c r="G4119" s="3"/>
      <c r="H4119" s="3"/>
      <c r="I4119" s="3"/>
      <c r="J4119" s="3"/>
      <c r="K4119" s="628">
        <f t="shared" si="214"/>
        <v>0</v>
      </c>
      <c r="L4119" s="630">
        <f t="shared" si="215"/>
        <v>0</v>
      </c>
    </row>
    <row r="4120" spans="3:12" x14ac:dyDescent="0.2">
      <c r="C4120" s="589"/>
      <c r="D4120" s="590" t="s">
        <v>394</v>
      </c>
      <c r="E4120" s="591">
        <f>(F4120+G4120+H4120+I4120+J4120)*120</f>
        <v>0</v>
      </c>
      <c r="F4120" s="3"/>
      <c r="G4120" s="3"/>
      <c r="H4120" s="3"/>
      <c r="I4120" s="3"/>
      <c r="J4120" s="3"/>
      <c r="K4120" s="628">
        <f t="shared" si="214"/>
        <v>0</v>
      </c>
      <c r="L4120" s="630">
        <f t="shared" si="215"/>
        <v>0</v>
      </c>
    </row>
    <row r="4121" spans="3:12" x14ac:dyDescent="0.2">
      <c r="C4121" s="589" t="s">
        <v>1076</v>
      </c>
      <c r="D4121" s="590" t="s">
        <v>110</v>
      </c>
      <c r="E4121" s="591">
        <f>(F4121+G4121+H4121+J4121)*112.7+(I4121*119.6)</f>
        <v>13211.2</v>
      </c>
      <c r="F4121" s="3">
        <v>50</v>
      </c>
      <c r="G4121" s="3">
        <v>24</v>
      </c>
      <c r="H4121" s="3"/>
      <c r="I4121" s="3">
        <v>20</v>
      </c>
      <c r="J4121" s="3">
        <v>22</v>
      </c>
      <c r="K4121" s="628">
        <f t="shared" si="214"/>
        <v>116</v>
      </c>
      <c r="L4121" s="630">
        <f t="shared" si="215"/>
        <v>29</v>
      </c>
    </row>
    <row r="4122" spans="3:12" x14ac:dyDescent="0.2">
      <c r="C4122" s="589"/>
      <c r="D4122" s="590"/>
      <c r="E4122" s="591"/>
      <c r="F4122" s="3"/>
      <c r="G4122" s="3"/>
      <c r="H4122" s="3"/>
      <c r="I4122" s="3"/>
      <c r="J4122" s="3"/>
      <c r="K4122" s="628">
        <f t="shared" si="214"/>
        <v>0</v>
      </c>
      <c r="L4122" s="630">
        <f t="shared" si="215"/>
        <v>0</v>
      </c>
    </row>
    <row r="4123" spans="3:12" x14ac:dyDescent="0.2">
      <c r="C4123" s="589"/>
      <c r="D4123" s="590" t="s">
        <v>381</v>
      </c>
      <c r="E4123" s="591">
        <f>(F4123+G4123+H4123+I4123+J4123)*120+(240*0)+(0*45)</f>
        <v>0</v>
      </c>
      <c r="F4123" s="3"/>
      <c r="G4123" s="3"/>
      <c r="H4123" s="3"/>
      <c r="I4123" s="3"/>
      <c r="J4123" s="3"/>
      <c r="K4123" s="628">
        <f t="shared" si="214"/>
        <v>0</v>
      </c>
      <c r="L4123" s="630">
        <f t="shared" si="215"/>
        <v>0</v>
      </c>
    </row>
    <row r="4124" spans="3:12" x14ac:dyDescent="0.2">
      <c r="C4124" s="589"/>
      <c r="D4124" s="590" t="s">
        <v>276</v>
      </c>
      <c r="E4124" s="591">
        <f>(F4124+G4124+H4124+J4124)*112.7+(I4124*119.6)</f>
        <v>0</v>
      </c>
      <c r="F4124" s="3"/>
      <c r="G4124" s="3"/>
      <c r="H4124" s="3"/>
      <c r="I4124" s="3"/>
      <c r="J4124" s="3"/>
      <c r="K4124" s="628">
        <f t="shared" si="214"/>
        <v>0</v>
      </c>
      <c r="L4124" s="630">
        <f t="shared" si="215"/>
        <v>0</v>
      </c>
    </row>
    <row r="4125" spans="3:12" x14ac:dyDescent="0.2">
      <c r="C4125" s="589"/>
      <c r="D4125" s="590"/>
      <c r="E4125" s="591"/>
      <c r="F4125" s="3"/>
      <c r="G4125" s="3"/>
      <c r="H4125" s="3"/>
      <c r="I4125" s="3"/>
      <c r="J4125" s="3"/>
      <c r="K4125" s="628">
        <f t="shared" si="214"/>
        <v>0</v>
      </c>
      <c r="L4125" s="630">
        <f t="shared" si="215"/>
        <v>0</v>
      </c>
    </row>
    <row r="4126" spans="3:12" x14ac:dyDescent="0.2">
      <c r="C4126" s="589"/>
      <c r="D4126" s="590" t="s">
        <v>75</v>
      </c>
      <c r="E4126" s="591">
        <f>(F4126+G4126+H4126+I4126+J4126)*120</f>
        <v>0</v>
      </c>
      <c r="F4126" s="3"/>
      <c r="G4126" s="3"/>
      <c r="H4126" s="3"/>
      <c r="I4126" s="3"/>
      <c r="J4126" s="3"/>
      <c r="K4126" s="628">
        <f t="shared" si="214"/>
        <v>0</v>
      </c>
      <c r="L4126" s="630">
        <f t="shared" si="215"/>
        <v>0</v>
      </c>
    </row>
    <row r="4127" spans="3:12" x14ac:dyDescent="0.2">
      <c r="C4127" s="589"/>
      <c r="D4127" s="590" t="s">
        <v>278</v>
      </c>
      <c r="E4127" s="591">
        <f>(F4127+G4127+H4127+I4127+J4127)*120</f>
        <v>0</v>
      </c>
      <c r="F4127" s="3"/>
      <c r="G4127" s="3"/>
      <c r="H4127" s="3"/>
      <c r="I4127" s="3"/>
      <c r="J4127" s="3"/>
      <c r="K4127" s="628">
        <f t="shared" si="214"/>
        <v>0</v>
      </c>
      <c r="L4127" s="630">
        <f t="shared" si="215"/>
        <v>0</v>
      </c>
    </row>
    <row r="4128" spans="3:12" x14ac:dyDescent="0.2">
      <c r="C4128" s="589"/>
      <c r="D4128" s="590" t="s">
        <v>270</v>
      </c>
      <c r="E4128" s="591">
        <f>(F4128+G4128+H4128+I4128)*112.7+(J4128*119.6)</f>
        <v>0</v>
      </c>
      <c r="F4128" s="3"/>
      <c r="G4128" s="3"/>
      <c r="H4128" s="3"/>
      <c r="I4128" s="3"/>
      <c r="J4128" s="3"/>
      <c r="K4128" s="628">
        <f t="shared" si="214"/>
        <v>0</v>
      </c>
      <c r="L4128" s="630">
        <f t="shared" si="215"/>
        <v>0</v>
      </c>
    </row>
    <row r="4129" spans="3:12" x14ac:dyDescent="0.2">
      <c r="C4129" s="589"/>
      <c r="D4129" s="590" t="s">
        <v>274</v>
      </c>
      <c r="E4129" s="591">
        <f>(F4129+G4129+H4129+I4129)*112.7+(J4129*119.6)</f>
        <v>0</v>
      </c>
      <c r="F4129" s="3"/>
      <c r="G4129" s="3"/>
      <c r="H4129" s="3"/>
      <c r="I4129" s="3"/>
      <c r="J4129" s="3"/>
      <c r="K4129" s="628">
        <f t="shared" si="214"/>
        <v>0</v>
      </c>
      <c r="L4129" s="630">
        <f t="shared" si="215"/>
        <v>0</v>
      </c>
    </row>
    <row r="4130" spans="3:12" x14ac:dyDescent="0.2">
      <c r="C4130" s="589"/>
      <c r="D4130" s="590" t="s">
        <v>395</v>
      </c>
      <c r="E4130" s="591">
        <f>(F4130+G4130+H4130+I4130)*112.7+(J4130*119.6)</f>
        <v>0</v>
      </c>
      <c r="F4130" s="3"/>
      <c r="G4130" s="3"/>
      <c r="H4130" s="3"/>
      <c r="I4130" s="3"/>
      <c r="J4130" s="3"/>
      <c r="K4130" s="628">
        <f t="shared" si="214"/>
        <v>0</v>
      </c>
      <c r="L4130" s="630">
        <f t="shared" si="215"/>
        <v>0</v>
      </c>
    </row>
    <row r="4131" spans="3:12" x14ac:dyDescent="0.2">
      <c r="C4131" s="683"/>
      <c r="D4131" s="590" t="s">
        <v>112</v>
      </c>
      <c r="E4131" s="591">
        <f>(F4131+G4131+H4131+I4131)*112.7+(J4131*119.6)</f>
        <v>0</v>
      </c>
      <c r="F4131" s="3"/>
      <c r="G4131" s="3"/>
      <c r="H4131" s="3"/>
      <c r="I4131" s="3"/>
      <c r="J4131" s="3"/>
      <c r="K4131" s="628">
        <f t="shared" si="214"/>
        <v>0</v>
      </c>
      <c r="L4131" s="630">
        <f t="shared" si="215"/>
        <v>0</v>
      </c>
    </row>
    <row r="4132" spans="3:12" x14ac:dyDescent="0.2">
      <c r="C4132" s="683"/>
      <c r="D4132" s="590" t="s">
        <v>72</v>
      </c>
      <c r="E4132" s="591">
        <f>(F4132+G4132+H4132+I4132)*112.7+(J4132*119.6)</f>
        <v>0</v>
      </c>
      <c r="F4132" s="3"/>
      <c r="G4132" s="3"/>
      <c r="H4132" s="3"/>
      <c r="I4132" s="3"/>
      <c r="J4132" s="3"/>
      <c r="K4132" s="628">
        <f t="shared" si="214"/>
        <v>0</v>
      </c>
      <c r="L4132" s="630">
        <f t="shared" si="215"/>
        <v>0</v>
      </c>
    </row>
    <row r="4133" spans="3:12" x14ac:dyDescent="0.2">
      <c r="C4133" s="683"/>
      <c r="D4133" s="590" t="s">
        <v>187</v>
      </c>
      <c r="E4133" s="591"/>
      <c r="F4133" s="3">
        <v>2</v>
      </c>
      <c r="G4133" s="3">
        <v>5</v>
      </c>
      <c r="H4133" s="3"/>
      <c r="I4133" s="3">
        <v>1</v>
      </c>
      <c r="J4133" s="3">
        <v>16</v>
      </c>
      <c r="K4133" s="628">
        <f>SUM(F4133:J4133)</f>
        <v>24</v>
      </c>
      <c r="L4133" s="3"/>
    </row>
    <row r="4134" spans="3:12" ht="16" x14ac:dyDescent="0.2">
      <c r="C4134" s="683"/>
      <c r="D4134" s="590" t="s">
        <v>647</v>
      </c>
      <c r="E4134" s="592"/>
      <c r="F4134" s="3"/>
      <c r="G4134" s="3"/>
      <c r="H4134" s="3"/>
      <c r="I4134" s="3"/>
      <c r="J4134" s="3"/>
      <c r="K4134" s="628">
        <f>SUM(F4134:J4134)</f>
        <v>0</v>
      </c>
      <c r="L4134" s="3"/>
    </row>
    <row r="4135" spans="3:12" ht="17" thickBot="1" x14ac:dyDescent="0.25">
      <c r="C4135" s="683"/>
      <c r="D4135" s="590"/>
      <c r="E4135" s="624"/>
      <c r="F4135" s="69"/>
      <c r="G4135" s="69"/>
      <c r="H4135" s="69"/>
      <c r="I4135" s="69"/>
      <c r="J4135" s="69"/>
      <c r="K4135" s="629"/>
      <c r="L4135" s="3"/>
    </row>
    <row r="4136" spans="3:12" ht="16" thickBot="1" x14ac:dyDescent="0.25">
      <c r="C4136" s="596"/>
      <c r="D4136" s="623" t="s">
        <v>19</v>
      </c>
      <c r="E4136" s="625">
        <f>SUM(E4110:E4133)</f>
        <v>36639.199999999997</v>
      </c>
      <c r="F4136" s="614">
        <f>SUM(F4110:F4135)</f>
        <v>112</v>
      </c>
      <c r="G4136" s="614">
        <f>SUM(G4110:G4135)</f>
        <v>62</v>
      </c>
      <c r="H4136" s="614">
        <f>SUM(H4110:H4135)</f>
        <v>27</v>
      </c>
      <c r="I4136" s="614">
        <f>SUM(I4110:I4135)</f>
        <v>53</v>
      </c>
      <c r="J4136" s="614">
        <f>SUM(J4110:J4135)</f>
        <v>101</v>
      </c>
      <c r="K4136" s="626">
        <f>SUM(F4136:J4136)</f>
        <v>355</v>
      </c>
      <c r="L4136" s="631">
        <f>SUM(L4110:L4135)</f>
        <v>82.75</v>
      </c>
    </row>
    <row r="4137" spans="3:12" x14ac:dyDescent="0.2">
      <c r="C4137" s="596"/>
      <c r="D4137" s="593" t="s">
        <v>113</v>
      </c>
      <c r="E4137" s="620"/>
      <c r="F4137" s="610">
        <f>F4107-F4136</f>
        <v>0</v>
      </c>
      <c r="G4137" s="610">
        <f>G4107-G4136</f>
        <v>0</v>
      </c>
      <c r="H4137" s="610">
        <f>H4107-H4136</f>
        <v>0</v>
      </c>
      <c r="I4137" s="610">
        <f>I4107-I4136</f>
        <v>2</v>
      </c>
      <c r="J4137" s="610">
        <f>J4107-J4136</f>
        <v>1</v>
      </c>
      <c r="K4137" s="636">
        <f>SUM(F4137:J4137)</f>
        <v>3</v>
      </c>
      <c r="L4137" s="3"/>
    </row>
    <row r="4138" spans="3:12" x14ac:dyDescent="0.2">
      <c r="C4138" s="683"/>
      <c r="D4138" s="593" t="s">
        <v>436</v>
      </c>
      <c r="E4138" s="594"/>
      <c r="F4138" s="581"/>
      <c r="G4138" s="581"/>
      <c r="H4138" s="581"/>
      <c r="I4138" s="581"/>
      <c r="J4138" s="581"/>
      <c r="K4138" s="637">
        <f>K4136+K4137</f>
        <v>358</v>
      </c>
      <c r="L4138" s="3"/>
    </row>
    <row r="4140" spans="3:12" ht="18" x14ac:dyDescent="0.2">
      <c r="C4140" s="685" t="s">
        <v>412</v>
      </c>
      <c r="D4140" s="582">
        <v>45780</v>
      </c>
      <c r="E4140" s="800"/>
      <c r="F4140" s="685" t="s">
        <v>83</v>
      </c>
      <c r="G4140" s="801" t="s">
        <v>68</v>
      </c>
      <c r="H4140" s="802"/>
      <c r="I4140" s="802"/>
      <c r="J4140" s="802"/>
      <c r="K4140" s="803"/>
    </row>
    <row r="4141" spans="3:12" x14ac:dyDescent="0.2">
      <c r="C4141" s="804"/>
      <c r="D4141" s="805"/>
      <c r="E4141" s="800"/>
      <c r="F4141" s="683" t="s">
        <v>93</v>
      </c>
      <c r="G4141" s="683" t="s">
        <v>93</v>
      </c>
      <c r="H4141" s="683"/>
      <c r="I4141" s="806"/>
      <c r="J4141" s="806"/>
      <c r="K4141" s="806"/>
    </row>
    <row r="4142" spans="3:12" x14ac:dyDescent="0.2">
      <c r="C4142" s="804"/>
      <c r="D4142" s="805"/>
      <c r="E4142" s="800"/>
      <c r="F4142" s="683" t="s">
        <v>94</v>
      </c>
      <c r="G4142" s="683" t="s">
        <v>95</v>
      </c>
      <c r="H4142" s="683" t="s">
        <v>96</v>
      </c>
      <c r="I4142" s="806"/>
      <c r="J4142" s="806"/>
      <c r="K4142" s="806"/>
    </row>
    <row r="4143" spans="3:12" x14ac:dyDescent="0.2">
      <c r="C4143" s="804"/>
      <c r="D4143" s="805"/>
      <c r="E4143" s="800"/>
      <c r="F4143" s="683"/>
      <c r="G4143" s="683"/>
      <c r="H4143" s="683"/>
      <c r="I4143" s="806"/>
      <c r="J4143" s="806"/>
      <c r="K4143" s="806"/>
    </row>
    <row r="4144" spans="3:12" ht="16" x14ac:dyDescent="0.2">
      <c r="C4144" s="683"/>
      <c r="D4144" s="583" t="s">
        <v>97</v>
      </c>
      <c r="E4144" s="584"/>
      <c r="F4144" s="581"/>
      <c r="G4144" s="585"/>
      <c r="H4144" s="585"/>
      <c r="I4144" s="586"/>
      <c r="J4144" s="586"/>
      <c r="K4144" s="586"/>
    </row>
    <row r="4145" spans="3:12" ht="26" x14ac:dyDescent="0.2">
      <c r="C4145" s="804"/>
      <c r="D4145" s="587"/>
      <c r="E4145" s="588"/>
      <c r="F4145" s="585" t="s">
        <v>383</v>
      </c>
      <c r="G4145" s="585" t="s">
        <v>384</v>
      </c>
      <c r="H4145" s="585" t="s">
        <v>385</v>
      </c>
      <c r="I4145" s="585" t="s">
        <v>386</v>
      </c>
      <c r="J4145" s="585" t="s">
        <v>387</v>
      </c>
      <c r="K4145" s="585" t="s">
        <v>84</v>
      </c>
    </row>
    <row r="4146" spans="3:12" x14ac:dyDescent="0.2">
      <c r="C4146" s="804"/>
      <c r="D4146" s="684" t="s">
        <v>167</v>
      </c>
      <c r="E4146" s="588"/>
      <c r="F4146" s="580">
        <v>10</v>
      </c>
      <c r="G4146" s="579">
        <v>5</v>
      </c>
      <c r="H4146" s="580">
        <v>1</v>
      </c>
      <c r="I4146" s="580">
        <v>3</v>
      </c>
      <c r="J4146" s="580">
        <v>4</v>
      </c>
      <c r="K4146" s="580">
        <f>SUM(F4146:J4146)</f>
        <v>23</v>
      </c>
    </row>
    <row r="4147" spans="3:12" x14ac:dyDescent="0.2">
      <c r="C4147" s="804"/>
      <c r="D4147" s="684" t="s">
        <v>207</v>
      </c>
      <c r="E4147" s="588"/>
      <c r="F4147" s="618">
        <v>70</v>
      </c>
      <c r="G4147" s="619">
        <v>35</v>
      </c>
      <c r="H4147" s="618">
        <v>7</v>
      </c>
      <c r="I4147" s="618">
        <v>33</v>
      </c>
      <c r="J4147" s="618">
        <v>35</v>
      </c>
      <c r="K4147" s="618">
        <f>SUM(F4147:J4147)</f>
        <v>180</v>
      </c>
    </row>
    <row r="4148" spans="3:12" x14ac:dyDescent="0.2">
      <c r="C4148" s="683"/>
      <c r="D4148" s="684" t="s">
        <v>100</v>
      </c>
      <c r="E4148" s="588"/>
      <c r="F4148" s="581"/>
      <c r="G4148" s="581"/>
      <c r="H4148" s="581"/>
      <c r="I4148" s="581"/>
      <c r="J4148" s="581"/>
      <c r="K4148" s="581">
        <f>SUM(F4148:J4148)</f>
        <v>0</v>
      </c>
    </row>
    <row r="4149" spans="3:12" x14ac:dyDescent="0.2">
      <c r="C4149" s="683"/>
      <c r="D4149" s="684" t="s">
        <v>101</v>
      </c>
      <c r="E4149" s="588"/>
      <c r="F4149" s="581">
        <v>3</v>
      </c>
      <c r="G4149" s="581">
        <v>1</v>
      </c>
      <c r="H4149" s="581"/>
      <c r="I4149" s="581"/>
      <c r="J4149" s="581">
        <v>1</v>
      </c>
      <c r="K4149" s="581">
        <f>SUM(F4149:J4149)</f>
        <v>5</v>
      </c>
    </row>
    <row r="4150" spans="3:12" ht="16" thickBot="1" x14ac:dyDescent="0.25">
      <c r="C4150" s="683"/>
      <c r="D4150" s="597" t="s">
        <v>102</v>
      </c>
      <c r="E4150" s="598"/>
      <c r="F4150" s="599"/>
      <c r="G4150" s="600"/>
      <c r="H4150" s="600"/>
      <c r="I4150" s="600">
        <v>1</v>
      </c>
      <c r="J4150" s="600">
        <v>1</v>
      </c>
      <c r="K4150" s="600">
        <f>SUM(F4150:J4150)</f>
        <v>2</v>
      </c>
    </row>
    <row r="4151" spans="3:12" ht="17" thickBot="1" x14ac:dyDescent="0.25">
      <c r="C4151" s="605"/>
      <c r="D4151" s="612" t="s">
        <v>84</v>
      </c>
      <c r="E4151" s="613"/>
      <c r="F4151" s="614">
        <f t="shared" ref="F4151:K4151" si="216">(F4147+F4150)-F4149-F4148</f>
        <v>67</v>
      </c>
      <c r="G4151" s="615">
        <f t="shared" si="216"/>
        <v>34</v>
      </c>
      <c r="H4151" s="616">
        <f t="shared" si="216"/>
        <v>7</v>
      </c>
      <c r="I4151" s="615">
        <f t="shared" si="216"/>
        <v>34</v>
      </c>
      <c r="J4151" s="622">
        <f t="shared" si="216"/>
        <v>35</v>
      </c>
      <c r="K4151" s="617">
        <f t="shared" si="216"/>
        <v>177</v>
      </c>
    </row>
    <row r="4152" spans="3:12" ht="16" x14ac:dyDescent="0.2">
      <c r="C4152" s="683"/>
      <c r="D4152" s="608"/>
      <c r="E4152" s="609"/>
      <c r="F4152" s="610"/>
      <c r="G4152" s="595"/>
      <c r="H4152" s="611"/>
      <c r="I4152" s="595"/>
      <c r="J4152" s="595"/>
      <c r="K4152" s="595"/>
    </row>
    <row r="4153" spans="3:12" ht="16" thickBot="1" x14ac:dyDescent="0.25">
      <c r="C4153" s="606" t="s">
        <v>388</v>
      </c>
      <c r="D4153" s="607" t="s">
        <v>103</v>
      </c>
      <c r="E4153" s="603" t="s">
        <v>84</v>
      </c>
      <c r="F4153" s="602" t="s">
        <v>78</v>
      </c>
      <c r="G4153" s="602" t="s">
        <v>79</v>
      </c>
      <c r="H4153" s="602" t="s">
        <v>81</v>
      </c>
      <c r="I4153" s="601" t="s">
        <v>316</v>
      </c>
      <c r="J4153" s="601" t="s">
        <v>85</v>
      </c>
      <c r="K4153" s="601" t="s">
        <v>84</v>
      </c>
      <c r="L4153" s="174" t="s">
        <v>389</v>
      </c>
    </row>
    <row r="4154" spans="3:12" x14ac:dyDescent="0.2">
      <c r="C4154" s="589" t="s">
        <v>1080</v>
      </c>
      <c r="D4154" s="604" t="s">
        <v>105</v>
      </c>
      <c r="E4154" s="591">
        <f>(F4154+G4154+H4154+I4154+J4154)*100+(0*230)</f>
        <v>5100</v>
      </c>
      <c r="F4154" s="3">
        <v>16</v>
      </c>
      <c r="G4154" s="3">
        <v>12</v>
      </c>
      <c r="H4154" s="3">
        <v>7</v>
      </c>
      <c r="I4154" s="3">
        <v>10</v>
      </c>
      <c r="J4154" s="3">
        <v>6</v>
      </c>
      <c r="K4154" s="628">
        <f t="shared" ref="K4154:K4176" si="217">SUM(F4154:J4154)</f>
        <v>51</v>
      </c>
      <c r="L4154" s="630">
        <f>K4154/4</f>
        <v>12.75</v>
      </c>
    </row>
    <row r="4155" spans="3:12" x14ac:dyDescent="0.2">
      <c r="C4155" s="589"/>
      <c r="D4155" s="590" t="s">
        <v>390</v>
      </c>
      <c r="E4155" s="591">
        <f>(F4155+G4155+H4155+I4155+J4155)*120</f>
        <v>0</v>
      </c>
      <c r="F4155" s="3"/>
      <c r="G4155" s="3"/>
      <c r="H4155" s="3"/>
      <c r="I4155" s="3"/>
      <c r="J4155" s="3"/>
      <c r="K4155" s="628">
        <f t="shared" si="217"/>
        <v>0</v>
      </c>
      <c r="L4155" s="630">
        <f t="shared" ref="L4155:L4176" si="218">K4155/4</f>
        <v>0</v>
      </c>
    </row>
    <row r="4156" spans="3:12" x14ac:dyDescent="0.2">
      <c r="C4156" s="589"/>
      <c r="D4156" s="590" t="s">
        <v>391</v>
      </c>
      <c r="E4156" s="591">
        <f>(F4156+G4156+H4156+I4156+J4156)*120</f>
        <v>0</v>
      </c>
      <c r="F4156" s="3"/>
      <c r="G4156" s="3"/>
      <c r="H4156" s="3"/>
      <c r="I4156" s="3"/>
      <c r="J4156" s="3"/>
      <c r="K4156" s="628">
        <f t="shared" si="217"/>
        <v>0</v>
      </c>
      <c r="L4156" s="630">
        <f t="shared" si="218"/>
        <v>0</v>
      </c>
    </row>
    <row r="4157" spans="3:12" x14ac:dyDescent="0.2">
      <c r="C4157" s="589"/>
      <c r="D4157" s="590" t="s">
        <v>392</v>
      </c>
      <c r="E4157" s="591">
        <f>(F4157+G4157+H4157+I4157+J4157)*120</f>
        <v>0</v>
      </c>
      <c r="F4157" s="3"/>
      <c r="G4157" s="3"/>
      <c r="H4157" s="3"/>
      <c r="I4157" s="3"/>
      <c r="J4157" s="3"/>
      <c r="K4157" s="628">
        <f t="shared" si="217"/>
        <v>0</v>
      </c>
      <c r="L4157" s="630">
        <f t="shared" si="218"/>
        <v>0</v>
      </c>
    </row>
    <row r="4158" spans="3:12" x14ac:dyDescent="0.2">
      <c r="C4158" s="589"/>
      <c r="D4158" s="590" t="s">
        <v>425</v>
      </c>
      <c r="E4158" s="591">
        <f>(F4158+G4158+H4158+I4158+J4158)*120</f>
        <v>0</v>
      </c>
      <c r="F4158" s="3"/>
      <c r="G4158" s="3"/>
      <c r="H4158" s="3"/>
      <c r="I4158" s="3"/>
      <c r="J4158" s="3"/>
      <c r="K4158" s="628">
        <f t="shared" si="217"/>
        <v>0</v>
      </c>
      <c r="L4158" s="630">
        <f t="shared" si="218"/>
        <v>0</v>
      </c>
    </row>
    <row r="4159" spans="3:12" x14ac:dyDescent="0.2">
      <c r="C4159" s="589"/>
      <c r="D4159" s="590"/>
      <c r="E4159" s="591"/>
      <c r="F4159" s="3"/>
      <c r="G4159" s="3"/>
      <c r="H4159" s="3"/>
      <c r="I4159" s="3"/>
      <c r="J4159" s="3"/>
      <c r="K4159" s="628">
        <f t="shared" si="217"/>
        <v>0</v>
      </c>
      <c r="L4159" s="630">
        <f t="shared" si="218"/>
        <v>0</v>
      </c>
    </row>
    <row r="4160" spans="3:12" x14ac:dyDescent="0.2">
      <c r="C4160" s="589"/>
      <c r="D4160" s="590" t="s">
        <v>108</v>
      </c>
      <c r="E4160" s="591">
        <f>(F4160+G4160+H4160+J4160)*112.7+(I4160*119.6)</f>
        <v>0</v>
      </c>
      <c r="F4160" s="3"/>
      <c r="G4160" s="3"/>
      <c r="H4160" s="3"/>
      <c r="I4160" s="3"/>
      <c r="J4160" s="3"/>
      <c r="K4160" s="628">
        <f t="shared" si="217"/>
        <v>0</v>
      </c>
      <c r="L4160" s="630">
        <f t="shared" si="218"/>
        <v>0</v>
      </c>
    </row>
    <row r="4161" spans="3:12" x14ac:dyDescent="0.2">
      <c r="C4161" s="589"/>
      <c r="D4161" s="590" t="s">
        <v>393</v>
      </c>
      <c r="E4161" s="591">
        <f>(F4161+G4161+H4161+J4161)*112.7+(I4161*119.6)</f>
        <v>0</v>
      </c>
      <c r="F4161" s="3"/>
      <c r="G4161" s="3"/>
      <c r="H4161" s="3"/>
      <c r="I4161" s="3"/>
      <c r="J4161" s="3"/>
      <c r="K4161" s="628">
        <f t="shared" si="217"/>
        <v>0</v>
      </c>
      <c r="L4161" s="630">
        <f t="shared" si="218"/>
        <v>0</v>
      </c>
    </row>
    <row r="4162" spans="3:12" x14ac:dyDescent="0.2">
      <c r="C4162" s="589"/>
      <c r="D4162" s="590" t="s">
        <v>216</v>
      </c>
      <c r="E4162" s="591">
        <f>(F4162+G4162+H4162+J4162)*112.7+(I4162*119.6)</f>
        <v>0</v>
      </c>
      <c r="F4162" s="3"/>
      <c r="G4162" s="3"/>
      <c r="H4162" s="3"/>
      <c r="I4162" s="3"/>
      <c r="J4162" s="3"/>
      <c r="K4162" s="628">
        <f t="shared" si="217"/>
        <v>0</v>
      </c>
      <c r="L4162" s="630">
        <f t="shared" si="218"/>
        <v>0</v>
      </c>
    </row>
    <row r="4163" spans="3:12" x14ac:dyDescent="0.2">
      <c r="C4163" s="589"/>
      <c r="D4163" s="590"/>
      <c r="E4163" s="591"/>
      <c r="F4163" s="3"/>
      <c r="G4163" s="3"/>
      <c r="H4163" s="3"/>
      <c r="I4163" s="3"/>
      <c r="J4163" s="3"/>
      <c r="K4163" s="628">
        <f t="shared" si="217"/>
        <v>0</v>
      </c>
      <c r="L4163" s="630">
        <f t="shared" si="218"/>
        <v>0</v>
      </c>
    </row>
    <row r="4164" spans="3:12" x14ac:dyDescent="0.2">
      <c r="C4164" s="589"/>
      <c r="D4164" s="590" t="s">
        <v>394</v>
      </c>
      <c r="E4164" s="591">
        <f>(F4164+G4164+H4164+I4164+J4164)*120</f>
        <v>0</v>
      </c>
      <c r="F4164" s="3"/>
      <c r="G4164" s="3"/>
      <c r="H4164" s="3"/>
      <c r="I4164" s="3"/>
      <c r="J4164" s="3"/>
      <c r="K4164" s="628">
        <f t="shared" si="217"/>
        <v>0</v>
      </c>
      <c r="L4164" s="630">
        <f t="shared" si="218"/>
        <v>0</v>
      </c>
    </row>
    <row r="4165" spans="3:12" x14ac:dyDescent="0.2">
      <c r="C4165" s="589" t="s">
        <v>1081</v>
      </c>
      <c r="D4165" s="590" t="s">
        <v>110</v>
      </c>
      <c r="E4165" s="591">
        <f>(F4165+G4165+H4165+J4165)*112.7+(I4165*119.6)</f>
        <v>13464.2</v>
      </c>
      <c r="F4165" s="3">
        <v>51</v>
      </c>
      <c r="G4165" s="3">
        <v>22</v>
      </c>
      <c r="H4165" s="3"/>
      <c r="I4165" s="3">
        <v>24</v>
      </c>
      <c r="J4165" s="3">
        <v>21</v>
      </c>
      <c r="K4165" s="628">
        <f t="shared" si="217"/>
        <v>118</v>
      </c>
      <c r="L4165" s="630">
        <f t="shared" si="218"/>
        <v>29.5</v>
      </c>
    </row>
    <row r="4166" spans="3:12" x14ac:dyDescent="0.2">
      <c r="C4166" s="589"/>
      <c r="D4166" s="590"/>
      <c r="E4166" s="591"/>
      <c r="F4166" s="3"/>
      <c r="G4166" s="3"/>
      <c r="H4166" s="3"/>
      <c r="I4166" s="3"/>
      <c r="J4166" s="3"/>
      <c r="K4166" s="628">
        <f t="shared" si="217"/>
        <v>0</v>
      </c>
      <c r="L4166" s="630">
        <f t="shared" si="218"/>
        <v>0</v>
      </c>
    </row>
    <row r="4167" spans="3:12" x14ac:dyDescent="0.2">
      <c r="C4167" s="589"/>
      <c r="D4167" s="590" t="s">
        <v>381</v>
      </c>
      <c r="E4167" s="591">
        <f>(F4167+G4167+H4167+I4167+J4167)*120+(240*0)+(0*45)</f>
        <v>0</v>
      </c>
      <c r="F4167" s="3"/>
      <c r="G4167" s="3"/>
      <c r="H4167" s="3"/>
      <c r="I4167" s="3"/>
      <c r="J4167" s="3"/>
      <c r="K4167" s="628">
        <f t="shared" si="217"/>
        <v>0</v>
      </c>
      <c r="L4167" s="630">
        <f t="shared" si="218"/>
        <v>0</v>
      </c>
    </row>
    <row r="4168" spans="3:12" x14ac:dyDescent="0.2">
      <c r="C4168" s="589"/>
      <c r="D4168" s="590" t="s">
        <v>276</v>
      </c>
      <c r="E4168" s="591">
        <f>(F4168+G4168+H4168+J4168)*112.7+(I4168*119.6)</f>
        <v>0</v>
      </c>
      <c r="F4168" s="3"/>
      <c r="G4168" s="3"/>
      <c r="H4168" s="3"/>
      <c r="I4168" s="3"/>
      <c r="J4168" s="3"/>
      <c r="K4168" s="628">
        <f t="shared" si="217"/>
        <v>0</v>
      </c>
      <c r="L4168" s="630">
        <f t="shared" si="218"/>
        <v>0</v>
      </c>
    </row>
    <row r="4169" spans="3:12" x14ac:dyDescent="0.2">
      <c r="C4169" s="589"/>
      <c r="D4169" s="590"/>
      <c r="E4169" s="591"/>
      <c r="F4169" s="3"/>
      <c r="G4169" s="3"/>
      <c r="H4169" s="3"/>
      <c r="I4169" s="3"/>
      <c r="J4169" s="3"/>
      <c r="K4169" s="628">
        <f t="shared" si="217"/>
        <v>0</v>
      </c>
      <c r="L4169" s="630">
        <f t="shared" si="218"/>
        <v>0</v>
      </c>
    </row>
    <row r="4170" spans="3:12" x14ac:dyDescent="0.2">
      <c r="C4170" s="589"/>
      <c r="D4170" s="590" t="s">
        <v>75</v>
      </c>
      <c r="E4170" s="591">
        <f>(F4170+G4170+H4170+I4170+J4170)*120</f>
        <v>0</v>
      </c>
      <c r="F4170" s="3"/>
      <c r="G4170" s="3"/>
      <c r="H4170" s="3"/>
      <c r="I4170" s="3"/>
      <c r="J4170" s="3"/>
      <c r="K4170" s="628">
        <f t="shared" si="217"/>
        <v>0</v>
      </c>
      <c r="L4170" s="630">
        <f t="shared" si="218"/>
        <v>0</v>
      </c>
    </row>
    <row r="4171" spans="3:12" x14ac:dyDescent="0.2">
      <c r="C4171" s="589"/>
      <c r="D4171" s="590" t="s">
        <v>278</v>
      </c>
      <c r="E4171" s="591">
        <f>(F4171+G4171+H4171+I4171+J4171)*120</f>
        <v>0</v>
      </c>
      <c r="F4171" s="3"/>
      <c r="G4171" s="3"/>
      <c r="H4171" s="3"/>
      <c r="I4171" s="3"/>
      <c r="J4171" s="3"/>
      <c r="K4171" s="628">
        <f t="shared" si="217"/>
        <v>0</v>
      </c>
      <c r="L4171" s="630">
        <f t="shared" si="218"/>
        <v>0</v>
      </c>
    </row>
    <row r="4172" spans="3:12" x14ac:dyDescent="0.2">
      <c r="C4172" s="589"/>
      <c r="D4172" s="590" t="s">
        <v>270</v>
      </c>
      <c r="E4172" s="591">
        <f>(F4172+G4172+H4172+I4172)*112.7+(J4172*119.6)</f>
        <v>0</v>
      </c>
      <c r="F4172" s="3"/>
      <c r="G4172" s="3"/>
      <c r="H4172" s="3"/>
      <c r="I4172" s="3"/>
      <c r="J4172" s="3"/>
      <c r="K4172" s="628">
        <f t="shared" si="217"/>
        <v>0</v>
      </c>
      <c r="L4172" s="630">
        <f t="shared" si="218"/>
        <v>0</v>
      </c>
    </row>
    <row r="4173" spans="3:12" x14ac:dyDescent="0.2">
      <c r="C4173" s="589"/>
      <c r="D4173" s="590" t="s">
        <v>274</v>
      </c>
      <c r="E4173" s="591">
        <f>(F4173+G4173+H4173+I4173)*112.7+(J4173*119.6)</f>
        <v>0</v>
      </c>
      <c r="F4173" s="3"/>
      <c r="G4173" s="3"/>
      <c r="H4173" s="3"/>
      <c r="I4173" s="3"/>
      <c r="J4173" s="3"/>
      <c r="K4173" s="628">
        <f t="shared" si="217"/>
        <v>0</v>
      </c>
      <c r="L4173" s="630">
        <f t="shared" si="218"/>
        <v>0</v>
      </c>
    </row>
    <row r="4174" spans="3:12" x14ac:dyDescent="0.2">
      <c r="C4174" s="589"/>
      <c r="D4174" s="590" t="s">
        <v>395</v>
      </c>
      <c r="E4174" s="591">
        <f>(F4174+G4174+H4174+I4174)*112.7+(J4174*119.6)</f>
        <v>0</v>
      </c>
      <c r="F4174" s="3"/>
      <c r="G4174" s="3"/>
      <c r="H4174" s="3"/>
      <c r="I4174" s="3"/>
      <c r="J4174" s="3"/>
      <c r="K4174" s="628">
        <f t="shared" si="217"/>
        <v>0</v>
      </c>
      <c r="L4174" s="630">
        <f t="shared" si="218"/>
        <v>0</v>
      </c>
    </row>
    <row r="4175" spans="3:12" x14ac:dyDescent="0.2">
      <c r="C4175" s="683"/>
      <c r="D4175" s="590" t="s">
        <v>112</v>
      </c>
      <c r="E4175" s="591">
        <f>(F4175+G4175+H4175+I4175)*112.7+(J4175*119.6)</f>
        <v>0</v>
      </c>
      <c r="F4175" s="3"/>
      <c r="G4175" s="3"/>
      <c r="H4175" s="3"/>
      <c r="I4175" s="3"/>
      <c r="J4175" s="3"/>
      <c r="K4175" s="628">
        <f t="shared" si="217"/>
        <v>0</v>
      </c>
      <c r="L4175" s="630">
        <f t="shared" si="218"/>
        <v>0</v>
      </c>
    </row>
    <row r="4176" spans="3:12" x14ac:dyDescent="0.2">
      <c r="C4176" s="683"/>
      <c r="D4176" s="590" t="s">
        <v>72</v>
      </c>
      <c r="E4176" s="591">
        <f>(F4176+G4176+H4176+I4176)*112.7+(J4176*119.6)</f>
        <v>0</v>
      </c>
      <c r="F4176" s="3"/>
      <c r="G4176" s="3"/>
      <c r="H4176" s="3"/>
      <c r="I4176" s="3"/>
      <c r="J4176" s="3"/>
      <c r="K4176" s="628">
        <f t="shared" si="217"/>
        <v>0</v>
      </c>
      <c r="L4176" s="630">
        <f t="shared" si="218"/>
        <v>0</v>
      </c>
    </row>
    <row r="4177" spans="3:12" x14ac:dyDescent="0.2">
      <c r="C4177" s="683"/>
      <c r="D4177" s="590" t="s">
        <v>187</v>
      </c>
      <c r="E4177" s="591"/>
      <c r="F4177" s="3"/>
      <c r="G4177" s="3"/>
      <c r="H4177" s="3"/>
      <c r="I4177" s="3"/>
      <c r="J4177" s="3">
        <v>8</v>
      </c>
      <c r="K4177" s="628">
        <f>SUM(F4177:J4177)</f>
        <v>8</v>
      </c>
      <c r="L4177" s="3"/>
    </row>
    <row r="4178" spans="3:12" ht="16" x14ac:dyDescent="0.2">
      <c r="C4178" s="683"/>
      <c r="D4178" s="590" t="s">
        <v>647</v>
      </c>
      <c r="E4178" s="592"/>
      <c r="F4178" s="3"/>
      <c r="G4178" s="3"/>
      <c r="H4178" s="3"/>
      <c r="I4178" s="3"/>
      <c r="J4178" s="3"/>
      <c r="K4178" s="628">
        <f>SUM(F4178:J4178)</f>
        <v>0</v>
      </c>
      <c r="L4178" s="3"/>
    </row>
    <row r="4179" spans="3:12" ht="17" thickBot="1" x14ac:dyDescent="0.25">
      <c r="C4179" s="683"/>
      <c r="D4179" s="590"/>
      <c r="E4179" s="624"/>
      <c r="F4179" s="69"/>
      <c r="G4179" s="69"/>
      <c r="H4179" s="69"/>
      <c r="I4179" s="69"/>
      <c r="J4179" s="69"/>
      <c r="K4179" s="629"/>
      <c r="L4179" s="3"/>
    </row>
    <row r="4180" spans="3:12" ht="16" thickBot="1" x14ac:dyDescent="0.25">
      <c r="C4180" s="596"/>
      <c r="D4180" s="623" t="s">
        <v>19</v>
      </c>
      <c r="E4180" s="625">
        <f>SUM(E4154:E4177)</f>
        <v>18564.2</v>
      </c>
      <c r="F4180" s="614">
        <f>SUM(F4154:F4179)</f>
        <v>67</v>
      </c>
      <c r="G4180" s="614">
        <f>SUM(G4154:G4179)</f>
        <v>34</v>
      </c>
      <c r="H4180" s="614">
        <f>SUM(H4154:H4179)</f>
        <v>7</v>
      </c>
      <c r="I4180" s="614">
        <f>SUM(I4154:I4179)</f>
        <v>34</v>
      </c>
      <c r="J4180" s="614">
        <f>SUM(J4154:J4179)</f>
        <v>35</v>
      </c>
      <c r="K4180" s="626">
        <f>SUM(F4180:J4180)</f>
        <v>177</v>
      </c>
      <c r="L4180" s="631">
        <f>SUM(L4154:L4179)</f>
        <v>42.25</v>
      </c>
    </row>
    <row r="4181" spans="3:12" x14ac:dyDescent="0.2">
      <c r="C4181" s="596"/>
      <c r="D4181" s="593" t="s">
        <v>113</v>
      </c>
      <c r="E4181" s="620"/>
      <c r="F4181" s="610">
        <f>F4151-F4180</f>
        <v>0</v>
      </c>
      <c r="G4181" s="610">
        <f>G4151-G4180</f>
        <v>0</v>
      </c>
      <c r="H4181" s="610">
        <f>H4151-H4180</f>
        <v>0</v>
      </c>
      <c r="I4181" s="610">
        <f>I4151-I4180</f>
        <v>0</v>
      </c>
      <c r="J4181" s="610">
        <f>J4151-J4180</f>
        <v>0</v>
      </c>
      <c r="K4181" s="636">
        <f>SUM(F4181:J4181)</f>
        <v>0</v>
      </c>
      <c r="L4181" s="3"/>
    </row>
    <row r="4182" spans="3:12" x14ac:dyDescent="0.2">
      <c r="C4182" s="683"/>
      <c r="D4182" s="593" t="s">
        <v>436</v>
      </c>
      <c r="E4182" s="594"/>
      <c r="F4182" s="581"/>
      <c r="G4182" s="581"/>
      <c r="H4182" s="581"/>
      <c r="I4182" s="581"/>
      <c r="J4182" s="581"/>
      <c r="K4182" s="637">
        <f>K4180+K4181</f>
        <v>177</v>
      </c>
      <c r="L4182" s="3"/>
    </row>
    <row r="4184" spans="3:12" ht="18" x14ac:dyDescent="0.2">
      <c r="C4184" s="685" t="s">
        <v>412</v>
      </c>
      <c r="D4184" s="582">
        <v>45782</v>
      </c>
      <c r="E4184" s="800"/>
      <c r="F4184" s="685" t="s">
        <v>83</v>
      </c>
      <c r="G4184" s="801" t="s">
        <v>63</v>
      </c>
      <c r="H4184" s="802"/>
      <c r="I4184" s="802"/>
      <c r="J4184" s="802"/>
      <c r="K4184" s="803"/>
    </row>
    <row r="4185" spans="3:12" x14ac:dyDescent="0.2">
      <c r="C4185" s="804"/>
      <c r="D4185" s="805"/>
      <c r="E4185" s="800"/>
      <c r="F4185" s="683" t="s">
        <v>93</v>
      </c>
      <c r="G4185" s="683" t="s">
        <v>93</v>
      </c>
      <c r="H4185" s="683"/>
      <c r="I4185" s="806"/>
      <c r="J4185" s="806"/>
      <c r="K4185" s="806"/>
    </row>
    <row r="4186" spans="3:12" x14ac:dyDescent="0.2">
      <c r="C4186" s="804"/>
      <c r="D4186" s="805"/>
      <c r="E4186" s="800"/>
      <c r="F4186" s="683" t="s">
        <v>94</v>
      </c>
      <c r="G4186" s="683" t="s">
        <v>95</v>
      </c>
      <c r="H4186" s="683" t="s">
        <v>96</v>
      </c>
      <c r="I4186" s="806"/>
      <c r="J4186" s="806"/>
      <c r="K4186" s="806"/>
    </row>
    <row r="4187" spans="3:12" x14ac:dyDescent="0.2">
      <c r="C4187" s="804"/>
      <c r="D4187" s="805"/>
      <c r="E4187" s="800"/>
      <c r="F4187" s="683"/>
      <c r="G4187" s="683"/>
      <c r="H4187" s="683"/>
      <c r="I4187" s="806"/>
      <c r="J4187" s="806"/>
      <c r="K4187" s="806"/>
    </row>
    <row r="4188" spans="3:12" ht="16" x14ac:dyDescent="0.2">
      <c r="C4188" s="683"/>
      <c r="D4188" s="583" t="s">
        <v>97</v>
      </c>
      <c r="E4188" s="584"/>
      <c r="F4188" s="581"/>
      <c r="G4188" s="585"/>
      <c r="H4188" s="585"/>
      <c r="I4188" s="586"/>
      <c r="J4188" s="586"/>
      <c r="K4188" s="586"/>
    </row>
    <row r="4189" spans="3:12" ht="26" x14ac:dyDescent="0.2">
      <c r="C4189" s="804"/>
      <c r="D4189" s="587"/>
      <c r="E4189" s="588"/>
      <c r="F4189" s="585" t="s">
        <v>383</v>
      </c>
      <c r="G4189" s="585" t="s">
        <v>384</v>
      </c>
      <c r="H4189" s="585" t="s">
        <v>385</v>
      </c>
      <c r="I4189" s="585" t="s">
        <v>386</v>
      </c>
      <c r="J4189" s="585" t="s">
        <v>387</v>
      </c>
      <c r="K4189" s="585" t="s">
        <v>84</v>
      </c>
    </row>
    <row r="4190" spans="3:12" x14ac:dyDescent="0.2">
      <c r="C4190" s="804"/>
      <c r="D4190" s="684" t="s">
        <v>167</v>
      </c>
      <c r="E4190" s="588"/>
      <c r="F4190" s="580">
        <v>15</v>
      </c>
      <c r="G4190" s="579">
        <v>7</v>
      </c>
      <c r="H4190" s="580">
        <v>4</v>
      </c>
      <c r="I4190" s="580">
        <v>4</v>
      </c>
      <c r="J4190" s="580">
        <v>4</v>
      </c>
      <c r="K4190" s="580">
        <f>SUM(F4190:J4190)</f>
        <v>34</v>
      </c>
    </row>
    <row r="4191" spans="3:12" x14ac:dyDescent="0.2">
      <c r="C4191" s="804"/>
      <c r="D4191" s="684" t="s">
        <v>207</v>
      </c>
      <c r="E4191" s="588"/>
      <c r="F4191" s="618">
        <v>105</v>
      </c>
      <c r="G4191" s="619">
        <v>49</v>
      </c>
      <c r="H4191" s="618">
        <v>28</v>
      </c>
      <c r="I4191" s="618">
        <v>44</v>
      </c>
      <c r="J4191" s="618">
        <v>36</v>
      </c>
      <c r="K4191" s="618">
        <f>SUM(F4191:J4191)</f>
        <v>262</v>
      </c>
    </row>
    <row r="4192" spans="3:12" x14ac:dyDescent="0.2">
      <c r="C4192" s="683"/>
      <c r="D4192" s="684" t="s">
        <v>100</v>
      </c>
      <c r="E4192" s="588"/>
      <c r="F4192" s="581"/>
      <c r="G4192" s="581"/>
      <c r="H4192" s="581"/>
      <c r="I4192" s="581"/>
      <c r="J4192" s="581"/>
      <c r="K4192" s="581">
        <f>SUM(F4192:J4192)</f>
        <v>0</v>
      </c>
    </row>
    <row r="4193" spans="3:12" x14ac:dyDescent="0.2">
      <c r="C4193" s="683"/>
      <c r="D4193" s="684" t="s">
        <v>101</v>
      </c>
      <c r="E4193" s="588"/>
      <c r="F4193" s="581">
        <v>2</v>
      </c>
      <c r="G4193" s="581">
        <v>1</v>
      </c>
      <c r="H4193" s="581"/>
      <c r="I4193" s="581"/>
      <c r="J4193" s="581"/>
      <c r="K4193" s="581">
        <f>SUM(F4193:J4193)</f>
        <v>3</v>
      </c>
    </row>
    <row r="4194" spans="3:12" ht="16" thickBot="1" x14ac:dyDescent="0.25">
      <c r="C4194" s="683"/>
      <c r="D4194" s="597" t="s">
        <v>102</v>
      </c>
      <c r="E4194" s="598"/>
      <c r="F4194" s="599">
        <v>1</v>
      </c>
      <c r="G4194" s="600"/>
      <c r="H4194" s="600"/>
      <c r="I4194" s="600"/>
      <c r="J4194" s="600">
        <v>8</v>
      </c>
      <c r="K4194" s="600">
        <f>SUM(F4194:J4194)</f>
        <v>9</v>
      </c>
    </row>
    <row r="4195" spans="3:12" ht="17" thickBot="1" x14ac:dyDescent="0.25">
      <c r="C4195" s="605"/>
      <c r="D4195" s="612" t="s">
        <v>84</v>
      </c>
      <c r="E4195" s="613"/>
      <c r="F4195" s="614">
        <f t="shared" ref="F4195:K4195" si="219">(F4191+F4194)-F4193-F4192</f>
        <v>104</v>
      </c>
      <c r="G4195" s="615">
        <f t="shared" si="219"/>
        <v>48</v>
      </c>
      <c r="H4195" s="616">
        <f t="shared" si="219"/>
        <v>28</v>
      </c>
      <c r="I4195" s="615">
        <f t="shared" si="219"/>
        <v>44</v>
      </c>
      <c r="J4195" s="622">
        <f t="shared" si="219"/>
        <v>44</v>
      </c>
      <c r="K4195" s="617">
        <f t="shared" si="219"/>
        <v>268</v>
      </c>
    </row>
    <row r="4196" spans="3:12" ht="16" x14ac:dyDescent="0.2">
      <c r="C4196" s="683"/>
      <c r="D4196" s="608"/>
      <c r="E4196" s="609"/>
      <c r="F4196" s="610"/>
      <c r="G4196" s="595"/>
      <c r="H4196" s="611"/>
      <c r="I4196" s="595"/>
      <c r="J4196" s="595"/>
      <c r="K4196" s="595"/>
    </row>
    <row r="4197" spans="3:12" ht="16" thickBot="1" x14ac:dyDescent="0.25">
      <c r="C4197" s="606" t="s">
        <v>388</v>
      </c>
      <c r="D4197" s="607" t="s">
        <v>103</v>
      </c>
      <c r="E4197" s="603" t="s">
        <v>84</v>
      </c>
      <c r="F4197" s="602" t="s">
        <v>78</v>
      </c>
      <c r="G4197" s="602" t="s">
        <v>79</v>
      </c>
      <c r="H4197" s="602" t="s">
        <v>81</v>
      </c>
      <c r="I4197" s="601" t="s">
        <v>316</v>
      </c>
      <c r="J4197" s="601" t="s">
        <v>85</v>
      </c>
      <c r="K4197" s="601" t="s">
        <v>84</v>
      </c>
      <c r="L4197" s="174" t="s">
        <v>389</v>
      </c>
    </row>
    <row r="4198" spans="3:12" x14ac:dyDescent="0.2">
      <c r="C4198" s="589" t="s">
        <v>1082</v>
      </c>
      <c r="D4198" s="604" t="s">
        <v>105</v>
      </c>
      <c r="E4198" s="591">
        <f>(F4198+G4198+H4198+I4198+J4198)*100+(0*230)</f>
        <v>5200</v>
      </c>
      <c r="F4198" s="3">
        <v>16</v>
      </c>
      <c r="G4198" s="3">
        <v>12</v>
      </c>
      <c r="H4198" s="3">
        <v>7</v>
      </c>
      <c r="I4198" s="3">
        <v>8</v>
      </c>
      <c r="J4198" s="3">
        <v>9</v>
      </c>
      <c r="K4198" s="628">
        <f t="shared" ref="K4198:K4220" si="220">SUM(F4198:J4198)</f>
        <v>52</v>
      </c>
      <c r="L4198" s="630">
        <f>K4198/4</f>
        <v>13</v>
      </c>
    </row>
    <row r="4199" spans="3:12" x14ac:dyDescent="0.2">
      <c r="C4199" s="589" t="s">
        <v>1083</v>
      </c>
      <c r="D4199" s="590" t="s">
        <v>390</v>
      </c>
      <c r="E4199" s="591">
        <f>(F4199+G4199+H4199+I4199+J4199)*120</f>
        <v>1200</v>
      </c>
      <c r="F4199" s="3">
        <v>2</v>
      </c>
      <c r="G4199" s="3">
        <v>2</v>
      </c>
      <c r="H4199" s="3">
        <v>2</v>
      </c>
      <c r="I4199" s="3">
        <v>2</v>
      </c>
      <c r="J4199" s="3">
        <v>2</v>
      </c>
      <c r="K4199" s="628">
        <f t="shared" si="220"/>
        <v>10</v>
      </c>
      <c r="L4199" s="630">
        <f t="shared" ref="L4199:L4220" si="221">K4199/4</f>
        <v>2.5</v>
      </c>
    </row>
    <row r="4200" spans="3:12" x14ac:dyDescent="0.2">
      <c r="C4200" s="589" t="s">
        <v>1084</v>
      </c>
      <c r="D4200" s="590" t="s">
        <v>391</v>
      </c>
      <c r="E4200" s="591">
        <f>(F4200+G4200+H4200+I4200+J4200)*120</f>
        <v>3000</v>
      </c>
      <c r="F4200" s="3">
        <v>5</v>
      </c>
      <c r="G4200" s="3">
        <v>6</v>
      </c>
      <c r="H4200" s="3">
        <v>5</v>
      </c>
      <c r="I4200" s="3">
        <v>3</v>
      </c>
      <c r="J4200" s="3">
        <v>6</v>
      </c>
      <c r="K4200" s="628">
        <f t="shared" si="220"/>
        <v>25</v>
      </c>
      <c r="L4200" s="630">
        <f t="shared" si="221"/>
        <v>6.25</v>
      </c>
    </row>
    <row r="4201" spans="3:12" x14ac:dyDescent="0.2">
      <c r="C4201" s="589" t="s">
        <v>1085</v>
      </c>
      <c r="D4201" s="590" t="s">
        <v>392</v>
      </c>
      <c r="E4201" s="591">
        <f>(F4201+G4201+H4201+I4201+J4201)*120</f>
        <v>2400</v>
      </c>
      <c r="F4201" s="3">
        <v>6</v>
      </c>
      <c r="G4201" s="3">
        <v>2</v>
      </c>
      <c r="H4201" s="3">
        <v>6</v>
      </c>
      <c r="I4201" s="3"/>
      <c r="J4201" s="3">
        <v>6</v>
      </c>
      <c r="K4201" s="628">
        <f t="shared" si="220"/>
        <v>20</v>
      </c>
      <c r="L4201" s="630">
        <f t="shared" si="221"/>
        <v>5</v>
      </c>
    </row>
    <row r="4202" spans="3:12" x14ac:dyDescent="0.2">
      <c r="C4202" s="589"/>
      <c r="D4202" s="590" t="s">
        <v>425</v>
      </c>
      <c r="E4202" s="591">
        <f>(F4202+G4202+H4202+I4202+J4202)*120</f>
        <v>0</v>
      </c>
      <c r="F4202" s="3"/>
      <c r="G4202" s="3"/>
      <c r="H4202" s="3"/>
      <c r="I4202" s="3"/>
      <c r="J4202" s="3"/>
      <c r="K4202" s="628">
        <f t="shared" si="220"/>
        <v>0</v>
      </c>
      <c r="L4202" s="630">
        <f t="shared" si="221"/>
        <v>0</v>
      </c>
    </row>
    <row r="4203" spans="3:12" x14ac:dyDescent="0.2">
      <c r="C4203" s="589"/>
      <c r="D4203" s="590"/>
      <c r="E4203" s="591"/>
      <c r="F4203" s="3"/>
      <c r="G4203" s="3"/>
      <c r="H4203" s="3"/>
      <c r="I4203" s="3"/>
      <c r="J4203" s="3"/>
      <c r="K4203" s="628">
        <f t="shared" si="220"/>
        <v>0</v>
      </c>
      <c r="L4203" s="630">
        <f t="shared" si="221"/>
        <v>0</v>
      </c>
    </row>
    <row r="4204" spans="3:12" x14ac:dyDescent="0.2">
      <c r="C4204" s="589" t="s">
        <v>1088</v>
      </c>
      <c r="D4204" s="590" t="s">
        <v>108</v>
      </c>
      <c r="E4204" s="591">
        <f>(F4204+G4204+H4204+J4204)*112.7+(I4204*119.6)</f>
        <v>3661.6000000000004</v>
      </c>
      <c r="F4204" s="3">
        <v>8</v>
      </c>
      <c r="G4204" s="3">
        <v>4</v>
      </c>
      <c r="H4204" s="3">
        <v>4</v>
      </c>
      <c r="I4204" s="3">
        <v>8</v>
      </c>
      <c r="J4204" s="3">
        <v>8</v>
      </c>
      <c r="K4204" s="628">
        <f t="shared" si="220"/>
        <v>32</v>
      </c>
      <c r="L4204" s="630">
        <f t="shared" si="221"/>
        <v>8</v>
      </c>
    </row>
    <row r="4205" spans="3:12" x14ac:dyDescent="0.2">
      <c r="C4205" s="589" t="s">
        <v>1087</v>
      </c>
      <c r="D4205" s="590" t="s">
        <v>393</v>
      </c>
      <c r="E4205" s="591">
        <f>(F4205+G4205+H4205+J4205)*112.7+(I4205*119.6)</f>
        <v>2507</v>
      </c>
      <c r="F4205" s="3">
        <v>6</v>
      </c>
      <c r="G4205" s="3">
        <v>3</v>
      </c>
      <c r="H4205" s="3">
        <v>3</v>
      </c>
      <c r="I4205" s="3">
        <v>4</v>
      </c>
      <c r="J4205" s="3">
        <v>6</v>
      </c>
      <c r="K4205" s="628">
        <f t="shared" si="220"/>
        <v>22</v>
      </c>
      <c r="L4205" s="630">
        <f t="shared" si="221"/>
        <v>5.5</v>
      </c>
    </row>
    <row r="4206" spans="3:12" x14ac:dyDescent="0.2">
      <c r="C4206" s="589" t="s">
        <v>1086</v>
      </c>
      <c r="D4206" s="590" t="s">
        <v>216</v>
      </c>
      <c r="E4206" s="591">
        <f>(F4206+G4206+H4206+J4206)*112.7+(I4206*119.6)</f>
        <v>2281.6</v>
      </c>
      <c r="F4206" s="3">
        <v>6</v>
      </c>
      <c r="G4206" s="3">
        <v>4</v>
      </c>
      <c r="H4206" s="3"/>
      <c r="I4206" s="3">
        <v>4</v>
      </c>
      <c r="J4206" s="3">
        <v>6</v>
      </c>
      <c r="K4206" s="628">
        <f t="shared" si="220"/>
        <v>20</v>
      </c>
      <c r="L4206" s="630">
        <f t="shared" si="221"/>
        <v>5</v>
      </c>
    </row>
    <row r="4207" spans="3:12" x14ac:dyDescent="0.2">
      <c r="C4207" s="589"/>
      <c r="D4207" s="590"/>
      <c r="E4207" s="591"/>
      <c r="F4207" s="3"/>
      <c r="G4207" s="3"/>
      <c r="H4207" s="3"/>
      <c r="I4207" s="3"/>
      <c r="J4207" s="3"/>
      <c r="K4207" s="628">
        <f t="shared" si="220"/>
        <v>0</v>
      </c>
      <c r="L4207" s="630">
        <f t="shared" si="221"/>
        <v>0</v>
      </c>
    </row>
    <row r="4208" spans="3:12" x14ac:dyDescent="0.2">
      <c r="C4208" s="589"/>
      <c r="D4208" s="590" t="s">
        <v>394</v>
      </c>
      <c r="E4208" s="591">
        <f>(F4208+G4208+H4208+I4208+J4208)*120</f>
        <v>0</v>
      </c>
      <c r="F4208" s="3"/>
      <c r="G4208" s="3"/>
      <c r="H4208" s="3"/>
      <c r="I4208" s="3"/>
      <c r="J4208" s="3"/>
      <c r="K4208" s="628">
        <f t="shared" si="220"/>
        <v>0</v>
      </c>
      <c r="L4208" s="630">
        <f t="shared" si="221"/>
        <v>0</v>
      </c>
    </row>
    <row r="4209" spans="3:12" x14ac:dyDescent="0.2">
      <c r="C4209" s="589" t="s">
        <v>1089</v>
      </c>
      <c r="D4209" s="590" t="s">
        <v>110</v>
      </c>
      <c r="E4209" s="591">
        <f>(F4209+G4209+H4209+J4209)*112.7+(I4209*119.6)</f>
        <v>8648</v>
      </c>
      <c r="F4209" s="3">
        <v>52</v>
      </c>
      <c r="G4209" s="3">
        <v>12</v>
      </c>
      <c r="H4209" s="3"/>
      <c r="I4209" s="3">
        <v>12</v>
      </c>
      <c r="J4209" s="3"/>
      <c r="K4209" s="628">
        <f t="shared" si="220"/>
        <v>76</v>
      </c>
      <c r="L4209" s="630">
        <f t="shared" si="221"/>
        <v>19</v>
      </c>
    </row>
    <row r="4210" spans="3:12" x14ac:dyDescent="0.2">
      <c r="C4210" s="589"/>
      <c r="D4210" s="590"/>
      <c r="E4210" s="591"/>
      <c r="F4210" s="3"/>
      <c r="G4210" s="3"/>
      <c r="H4210" s="3"/>
      <c r="I4210" s="3"/>
      <c r="J4210" s="3"/>
      <c r="K4210" s="628">
        <f t="shared" si="220"/>
        <v>0</v>
      </c>
      <c r="L4210" s="630">
        <f t="shared" si="221"/>
        <v>0</v>
      </c>
    </row>
    <row r="4211" spans="3:12" x14ac:dyDescent="0.2">
      <c r="C4211" s="589"/>
      <c r="D4211" s="590" t="s">
        <v>381</v>
      </c>
      <c r="E4211" s="591">
        <f>(F4211+G4211+H4211+I4211+J4211)*120+(240*0)+(0*45)</f>
        <v>0</v>
      </c>
      <c r="F4211" s="3"/>
      <c r="G4211" s="3"/>
      <c r="H4211" s="3"/>
      <c r="I4211" s="3"/>
      <c r="J4211" s="3"/>
      <c r="K4211" s="628">
        <f t="shared" si="220"/>
        <v>0</v>
      </c>
      <c r="L4211" s="630">
        <f t="shared" si="221"/>
        <v>0</v>
      </c>
    </row>
    <row r="4212" spans="3:12" x14ac:dyDescent="0.2">
      <c r="C4212" s="589"/>
      <c r="D4212" s="590" t="s">
        <v>276</v>
      </c>
      <c r="E4212" s="591">
        <f>(F4212+G4212+H4212+J4212)*112.7+(I4212*119.6)</f>
        <v>0</v>
      </c>
      <c r="F4212" s="3"/>
      <c r="G4212" s="3"/>
      <c r="H4212" s="3"/>
      <c r="I4212" s="3"/>
      <c r="J4212" s="3"/>
      <c r="K4212" s="628">
        <f t="shared" si="220"/>
        <v>0</v>
      </c>
      <c r="L4212" s="630">
        <f t="shared" si="221"/>
        <v>0</v>
      </c>
    </row>
    <row r="4213" spans="3:12" x14ac:dyDescent="0.2">
      <c r="C4213" s="589"/>
      <c r="D4213" s="590"/>
      <c r="E4213" s="591"/>
      <c r="F4213" s="3"/>
      <c r="G4213" s="3"/>
      <c r="H4213" s="3"/>
      <c r="I4213" s="3"/>
      <c r="J4213" s="3"/>
      <c r="K4213" s="628">
        <f t="shared" si="220"/>
        <v>0</v>
      </c>
      <c r="L4213" s="630">
        <f t="shared" si="221"/>
        <v>0</v>
      </c>
    </row>
    <row r="4214" spans="3:12" x14ac:dyDescent="0.2">
      <c r="C4214" s="589"/>
      <c r="D4214" s="590" t="s">
        <v>75</v>
      </c>
      <c r="E4214" s="591">
        <f>(F4214+G4214+H4214+I4214+J4214)*120</f>
        <v>0</v>
      </c>
      <c r="F4214" s="3"/>
      <c r="G4214" s="3"/>
      <c r="H4214" s="3"/>
      <c r="I4214" s="3"/>
      <c r="J4214" s="3"/>
      <c r="K4214" s="628">
        <f t="shared" si="220"/>
        <v>0</v>
      </c>
      <c r="L4214" s="630">
        <f t="shared" si="221"/>
        <v>0</v>
      </c>
    </row>
    <row r="4215" spans="3:12" x14ac:dyDescent="0.2">
      <c r="C4215" s="589"/>
      <c r="D4215" s="590" t="s">
        <v>278</v>
      </c>
      <c r="E4215" s="591">
        <f>(F4215+G4215+H4215+I4215+J4215)*120</f>
        <v>0</v>
      </c>
      <c r="F4215" s="3"/>
      <c r="G4215" s="3"/>
      <c r="H4215" s="3"/>
      <c r="I4215" s="3"/>
      <c r="J4215" s="3"/>
      <c r="K4215" s="628">
        <f t="shared" si="220"/>
        <v>0</v>
      </c>
      <c r="L4215" s="630">
        <f t="shared" si="221"/>
        <v>0</v>
      </c>
    </row>
    <row r="4216" spans="3:12" x14ac:dyDescent="0.2">
      <c r="C4216" s="589"/>
      <c r="D4216" s="590" t="s">
        <v>270</v>
      </c>
      <c r="E4216" s="591">
        <f>(F4216+G4216+H4216+I4216)*112.7+(J4216*119.6)</f>
        <v>0</v>
      </c>
      <c r="F4216" s="3"/>
      <c r="G4216" s="3"/>
      <c r="H4216" s="3"/>
      <c r="I4216" s="3"/>
      <c r="J4216" s="3"/>
      <c r="K4216" s="628">
        <f t="shared" si="220"/>
        <v>0</v>
      </c>
      <c r="L4216" s="630">
        <f t="shared" si="221"/>
        <v>0</v>
      </c>
    </row>
    <row r="4217" spans="3:12" x14ac:dyDescent="0.2">
      <c r="C4217" s="589"/>
      <c r="D4217" s="590" t="s">
        <v>274</v>
      </c>
      <c r="E4217" s="591">
        <f>(F4217+G4217+H4217+I4217)*112.7+(J4217*119.6)</f>
        <v>0</v>
      </c>
      <c r="F4217" s="3"/>
      <c r="G4217" s="3"/>
      <c r="H4217" s="3"/>
      <c r="I4217" s="3"/>
      <c r="J4217" s="3"/>
      <c r="K4217" s="628">
        <f t="shared" si="220"/>
        <v>0</v>
      </c>
      <c r="L4217" s="630">
        <f t="shared" si="221"/>
        <v>0</v>
      </c>
    </row>
    <row r="4218" spans="3:12" x14ac:dyDescent="0.2">
      <c r="C4218" s="589"/>
      <c r="D4218" s="590" t="s">
        <v>395</v>
      </c>
      <c r="E4218" s="591">
        <f>(F4218+G4218+H4218+I4218)*112.7+(J4218*119.6)</f>
        <v>0</v>
      </c>
      <c r="F4218" s="3"/>
      <c r="G4218" s="3"/>
      <c r="H4218" s="3"/>
      <c r="I4218" s="3"/>
      <c r="J4218" s="3"/>
      <c r="K4218" s="628">
        <f t="shared" si="220"/>
        <v>0</v>
      </c>
      <c r="L4218" s="630">
        <f t="shared" si="221"/>
        <v>0</v>
      </c>
    </row>
    <row r="4219" spans="3:12" x14ac:dyDescent="0.2">
      <c r="C4219" s="683"/>
      <c r="D4219" s="590" t="s">
        <v>112</v>
      </c>
      <c r="E4219" s="591">
        <f>(F4219+G4219+H4219+I4219)*112.7+(J4219*119.6)</f>
        <v>0</v>
      </c>
      <c r="F4219" s="3"/>
      <c r="G4219" s="3"/>
      <c r="H4219" s="3"/>
      <c r="I4219" s="3"/>
      <c r="J4219" s="3"/>
      <c r="K4219" s="628">
        <f t="shared" si="220"/>
        <v>0</v>
      </c>
      <c r="L4219" s="630">
        <f t="shared" si="221"/>
        <v>0</v>
      </c>
    </row>
    <row r="4220" spans="3:12" x14ac:dyDescent="0.2">
      <c r="C4220" s="683"/>
      <c r="D4220" s="590" t="s">
        <v>72</v>
      </c>
      <c r="E4220" s="591">
        <f>(F4220+G4220+H4220+I4220)*112.7+(J4220*119.6)</f>
        <v>0</v>
      </c>
      <c r="F4220" s="3"/>
      <c r="G4220" s="3"/>
      <c r="H4220" s="3"/>
      <c r="I4220" s="3"/>
      <c r="J4220" s="3"/>
      <c r="K4220" s="628">
        <f t="shared" si="220"/>
        <v>0</v>
      </c>
      <c r="L4220" s="630">
        <f t="shared" si="221"/>
        <v>0</v>
      </c>
    </row>
    <row r="4221" spans="3:12" x14ac:dyDescent="0.2">
      <c r="C4221" s="683"/>
      <c r="D4221" s="590" t="s">
        <v>187</v>
      </c>
      <c r="E4221" s="591"/>
      <c r="F4221" s="3">
        <v>2</v>
      </c>
      <c r="G4221" s="3"/>
      <c r="H4221" s="3"/>
      <c r="I4221" s="3"/>
      <c r="J4221" s="3">
        <v>1</v>
      </c>
      <c r="K4221" s="628">
        <f>SUM(F4221:J4221)</f>
        <v>3</v>
      </c>
      <c r="L4221" s="3"/>
    </row>
    <row r="4222" spans="3:12" ht="16" x14ac:dyDescent="0.2">
      <c r="C4222" s="683"/>
      <c r="D4222" s="590" t="s">
        <v>501</v>
      </c>
      <c r="E4222" s="592"/>
      <c r="F4222" s="3">
        <v>1</v>
      </c>
      <c r="G4222" s="3"/>
      <c r="H4222" s="3">
        <v>1</v>
      </c>
      <c r="I4222" s="3">
        <v>3</v>
      </c>
      <c r="J4222" s="3"/>
      <c r="K4222" s="628">
        <f>SUM(F4222:J4222)</f>
        <v>5</v>
      </c>
      <c r="L4222" s="3"/>
    </row>
    <row r="4223" spans="3:12" ht="17" thickBot="1" x14ac:dyDescent="0.25">
      <c r="C4223" s="683"/>
      <c r="D4223" s="590"/>
      <c r="E4223" s="624"/>
      <c r="F4223" s="69"/>
      <c r="G4223" s="69"/>
      <c r="H4223" s="69"/>
      <c r="I4223" s="69"/>
      <c r="J4223" s="69"/>
      <c r="K4223" s="629"/>
      <c r="L4223" s="3"/>
    </row>
    <row r="4224" spans="3:12" ht="16" thickBot="1" x14ac:dyDescent="0.25">
      <c r="C4224" s="596"/>
      <c r="D4224" s="623" t="s">
        <v>19</v>
      </c>
      <c r="E4224" s="625">
        <f>SUM(E4198:E4221)</f>
        <v>28898.199999999997</v>
      </c>
      <c r="F4224" s="614">
        <f>SUM(F4198:F4223)</f>
        <v>104</v>
      </c>
      <c r="G4224" s="614">
        <f>SUM(G4198:G4223)</f>
        <v>45</v>
      </c>
      <c r="H4224" s="614">
        <f>SUM(H4198:H4223)</f>
        <v>28</v>
      </c>
      <c r="I4224" s="614">
        <f>SUM(I4198:I4223)</f>
        <v>44</v>
      </c>
      <c r="J4224" s="614">
        <f>SUM(J4198:J4223)</f>
        <v>44</v>
      </c>
      <c r="K4224" s="626">
        <f>SUM(F4224:J4224)</f>
        <v>265</v>
      </c>
      <c r="L4224" s="631">
        <f>SUM(L4198:L4223)</f>
        <v>64.25</v>
      </c>
    </row>
    <row r="4225" spans="3:12" x14ac:dyDescent="0.2">
      <c r="C4225" s="596"/>
      <c r="D4225" s="593" t="s">
        <v>113</v>
      </c>
      <c r="E4225" s="620"/>
      <c r="F4225" s="610">
        <f>F4195-F4224</f>
        <v>0</v>
      </c>
      <c r="G4225" s="610">
        <f>G4195-G4224</f>
        <v>3</v>
      </c>
      <c r="H4225" s="610">
        <f>H4195-H4224</f>
        <v>0</v>
      </c>
      <c r="I4225" s="610">
        <f>I4195-I4224</f>
        <v>0</v>
      </c>
      <c r="J4225" s="610">
        <f>J4195-J4224</f>
        <v>0</v>
      </c>
      <c r="K4225" s="636">
        <f>SUM(F4225:J4225)</f>
        <v>3</v>
      </c>
      <c r="L4225" s="3"/>
    </row>
    <row r="4226" spans="3:12" x14ac:dyDescent="0.2">
      <c r="C4226" s="683"/>
      <c r="D4226" s="593" t="s">
        <v>436</v>
      </c>
      <c r="E4226" s="594"/>
      <c r="F4226" s="581"/>
      <c r="G4226" s="581"/>
      <c r="H4226" s="581"/>
      <c r="I4226" s="581"/>
      <c r="J4226" s="581"/>
      <c r="K4226" s="637">
        <f>K4224+K4225</f>
        <v>268</v>
      </c>
      <c r="L4226" s="3"/>
    </row>
    <row r="4228" spans="3:12" ht="18" x14ac:dyDescent="0.2">
      <c r="C4228" s="685" t="s">
        <v>412</v>
      </c>
      <c r="D4228" s="582">
        <v>45783</v>
      </c>
      <c r="E4228" s="800"/>
      <c r="F4228" s="685" t="s">
        <v>83</v>
      </c>
      <c r="G4228" s="801" t="s">
        <v>64</v>
      </c>
      <c r="H4228" s="802"/>
      <c r="I4228" s="802"/>
      <c r="J4228" s="802"/>
      <c r="K4228" s="803"/>
    </row>
    <row r="4229" spans="3:12" x14ac:dyDescent="0.2">
      <c r="C4229" s="804"/>
      <c r="D4229" s="805"/>
      <c r="E4229" s="800"/>
      <c r="F4229" s="683" t="s">
        <v>93</v>
      </c>
      <c r="G4229" s="683" t="s">
        <v>93</v>
      </c>
      <c r="H4229" s="683"/>
      <c r="I4229" s="806"/>
      <c r="J4229" s="806"/>
      <c r="K4229" s="806"/>
    </row>
    <row r="4230" spans="3:12" x14ac:dyDescent="0.2">
      <c r="C4230" s="804"/>
      <c r="D4230" s="805"/>
      <c r="E4230" s="800"/>
      <c r="F4230" s="683" t="s">
        <v>94</v>
      </c>
      <c r="G4230" s="683" t="s">
        <v>95</v>
      </c>
      <c r="H4230" s="683" t="s">
        <v>96</v>
      </c>
      <c r="I4230" s="806"/>
      <c r="J4230" s="806"/>
      <c r="K4230" s="806"/>
    </row>
    <row r="4231" spans="3:12" x14ac:dyDescent="0.2">
      <c r="C4231" s="804"/>
      <c r="D4231" s="805"/>
      <c r="E4231" s="800"/>
      <c r="F4231" s="683"/>
      <c r="G4231" s="683"/>
      <c r="H4231" s="683"/>
      <c r="I4231" s="806"/>
      <c r="J4231" s="806"/>
      <c r="K4231" s="806"/>
    </row>
    <row r="4232" spans="3:12" ht="16" x14ac:dyDescent="0.2">
      <c r="C4232" s="683"/>
      <c r="D4232" s="583" t="s">
        <v>97</v>
      </c>
      <c r="E4232" s="584"/>
      <c r="F4232" s="581"/>
      <c r="G4232" s="585"/>
      <c r="H4232" s="585"/>
      <c r="I4232" s="586"/>
      <c r="J4232" s="586"/>
      <c r="K4232" s="586"/>
    </row>
    <row r="4233" spans="3:12" ht="26" x14ac:dyDescent="0.2">
      <c r="C4233" s="804"/>
      <c r="D4233" s="587"/>
      <c r="E4233" s="588"/>
      <c r="F4233" s="585" t="s">
        <v>383</v>
      </c>
      <c r="G4233" s="585" t="s">
        <v>384</v>
      </c>
      <c r="H4233" s="585" t="s">
        <v>385</v>
      </c>
      <c r="I4233" s="585" t="s">
        <v>386</v>
      </c>
      <c r="J4233" s="585" t="s">
        <v>387</v>
      </c>
      <c r="K4233" s="585" t="s">
        <v>84</v>
      </c>
    </row>
    <row r="4234" spans="3:12" x14ac:dyDescent="0.2">
      <c r="C4234" s="804"/>
      <c r="D4234" s="684" t="s">
        <v>167</v>
      </c>
      <c r="E4234" s="588"/>
      <c r="F4234" s="580">
        <v>18</v>
      </c>
      <c r="G4234" s="579">
        <v>12</v>
      </c>
      <c r="H4234" s="580"/>
      <c r="I4234" s="580">
        <v>7</v>
      </c>
      <c r="J4234" s="580">
        <v>13</v>
      </c>
      <c r="K4234" s="580">
        <f>SUM(F4234:J4234)</f>
        <v>50</v>
      </c>
    </row>
    <row r="4235" spans="3:12" x14ac:dyDescent="0.2">
      <c r="C4235" s="804"/>
      <c r="D4235" s="684" t="s">
        <v>207</v>
      </c>
      <c r="E4235" s="588"/>
      <c r="F4235" s="618">
        <f>18*7</f>
        <v>126</v>
      </c>
      <c r="G4235" s="619">
        <f>G4234*7</f>
        <v>84</v>
      </c>
      <c r="H4235" s="618"/>
      <c r="I4235" s="618">
        <v>77</v>
      </c>
      <c r="J4235" s="618">
        <f>27+88.5</f>
        <v>115.5</v>
      </c>
      <c r="K4235" s="618">
        <f>SUM(F4235:J4235)</f>
        <v>402.5</v>
      </c>
    </row>
    <row r="4236" spans="3:12" x14ac:dyDescent="0.2">
      <c r="C4236" s="683"/>
      <c r="D4236" s="684" t="s">
        <v>100</v>
      </c>
      <c r="E4236" s="588"/>
      <c r="F4236" s="581"/>
      <c r="G4236" s="581"/>
      <c r="H4236" s="581"/>
      <c r="I4236" s="581"/>
      <c r="J4236" s="581"/>
      <c r="K4236" s="581">
        <f>SUM(F4236:J4236)</f>
        <v>0</v>
      </c>
    </row>
    <row r="4237" spans="3:12" x14ac:dyDescent="0.2">
      <c r="C4237" s="683"/>
      <c r="D4237" s="684" t="s">
        <v>101</v>
      </c>
      <c r="E4237" s="588"/>
      <c r="F4237" s="581">
        <v>1</v>
      </c>
      <c r="G4237" s="581">
        <v>1.5</v>
      </c>
      <c r="H4237" s="581"/>
      <c r="I4237" s="581"/>
      <c r="J4237" s="581">
        <v>0.5</v>
      </c>
      <c r="K4237" s="581">
        <f>SUM(F4237:J4237)</f>
        <v>3</v>
      </c>
    </row>
    <row r="4238" spans="3:12" ht="16" thickBot="1" x14ac:dyDescent="0.25">
      <c r="C4238" s="683"/>
      <c r="D4238" s="597" t="s">
        <v>102</v>
      </c>
      <c r="E4238" s="598"/>
      <c r="F4238" s="599"/>
      <c r="G4238" s="600">
        <v>3</v>
      </c>
      <c r="H4238" s="600"/>
      <c r="I4238" s="600"/>
      <c r="J4238" s="600"/>
      <c r="K4238" s="600">
        <f>SUM(F4238:J4238)</f>
        <v>3</v>
      </c>
    </row>
    <row r="4239" spans="3:12" ht="17" thickBot="1" x14ac:dyDescent="0.25">
      <c r="C4239" s="605"/>
      <c r="D4239" s="612" t="s">
        <v>84</v>
      </c>
      <c r="E4239" s="613"/>
      <c r="F4239" s="614">
        <f t="shared" ref="F4239:K4239" si="222">(F4235+F4238)-F4237-F4236</f>
        <v>125</v>
      </c>
      <c r="G4239" s="615">
        <f t="shared" si="222"/>
        <v>85.5</v>
      </c>
      <c r="H4239" s="616">
        <f t="shared" si="222"/>
        <v>0</v>
      </c>
      <c r="I4239" s="615">
        <f t="shared" si="222"/>
        <v>77</v>
      </c>
      <c r="J4239" s="622">
        <f t="shared" si="222"/>
        <v>115</v>
      </c>
      <c r="K4239" s="617">
        <f t="shared" si="222"/>
        <v>402.5</v>
      </c>
    </row>
    <row r="4240" spans="3:12" ht="16" x14ac:dyDescent="0.2">
      <c r="C4240" s="683"/>
      <c r="D4240" s="608"/>
      <c r="E4240" s="609"/>
      <c r="F4240" s="610"/>
      <c r="G4240" s="595"/>
      <c r="H4240" s="611"/>
      <c r="I4240" s="595"/>
      <c r="J4240" s="595"/>
      <c r="K4240" s="595"/>
    </row>
    <row r="4241" spans="3:12" ht="16" thickBot="1" x14ac:dyDescent="0.25">
      <c r="C4241" s="606" t="s">
        <v>388</v>
      </c>
      <c r="D4241" s="607" t="s">
        <v>103</v>
      </c>
      <c r="E4241" s="603" t="s">
        <v>84</v>
      </c>
      <c r="F4241" s="602" t="s">
        <v>78</v>
      </c>
      <c r="G4241" s="602" t="s">
        <v>79</v>
      </c>
      <c r="H4241" s="602" t="s">
        <v>81</v>
      </c>
      <c r="I4241" s="601" t="s">
        <v>316</v>
      </c>
      <c r="J4241" s="601" t="s">
        <v>85</v>
      </c>
      <c r="K4241" s="601" t="s">
        <v>84</v>
      </c>
      <c r="L4241" s="174" t="s">
        <v>389</v>
      </c>
    </row>
    <row r="4242" spans="3:12" x14ac:dyDescent="0.2">
      <c r="C4242" s="589"/>
      <c r="D4242" s="604" t="s">
        <v>105</v>
      </c>
      <c r="E4242" s="591">
        <f>(F4242+G4242+H4242+I4242+J4242)*100+(0*230)</f>
        <v>0</v>
      </c>
      <c r="F4242" s="3"/>
      <c r="G4242" s="3"/>
      <c r="H4242" s="3"/>
      <c r="I4242" s="3"/>
      <c r="J4242" s="3"/>
      <c r="K4242" s="628">
        <f t="shared" ref="K4242:K4264" si="223">SUM(F4242:J4242)</f>
        <v>0</v>
      </c>
      <c r="L4242" s="630">
        <f>K4242/4</f>
        <v>0</v>
      </c>
    </row>
    <row r="4243" spans="3:12" x14ac:dyDescent="0.2">
      <c r="C4243" s="589"/>
      <c r="D4243" s="590" t="s">
        <v>390</v>
      </c>
      <c r="E4243" s="591">
        <f>(F4243+G4243+H4243+I4243+J4243)*120</f>
        <v>0</v>
      </c>
      <c r="F4243" s="3"/>
      <c r="G4243" s="3"/>
      <c r="H4243" s="3"/>
      <c r="I4243" s="3"/>
      <c r="J4243" s="3"/>
      <c r="K4243" s="628">
        <f t="shared" si="223"/>
        <v>0</v>
      </c>
      <c r="L4243" s="630">
        <f t="shared" ref="L4243:L4264" si="224">K4243/4</f>
        <v>0</v>
      </c>
    </row>
    <row r="4244" spans="3:12" x14ac:dyDescent="0.2">
      <c r="C4244" s="589"/>
      <c r="D4244" s="590" t="s">
        <v>391</v>
      </c>
      <c r="E4244" s="591">
        <f>(F4244+G4244+H4244+I4244+J4244)*120</f>
        <v>0</v>
      </c>
      <c r="F4244" s="3"/>
      <c r="G4244" s="3"/>
      <c r="H4244" s="3"/>
      <c r="I4244" s="3"/>
      <c r="J4244" s="3"/>
      <c r="K4244" s="628">
        <f t="shared" si="223"/>
        <v>0</v>
      </c>
      <c r="L4244" s="630">
        <f t="shared" si="224"/>
        <v>0</v>
      </c>
    </row>
    <row r="4245" spans="3:12" x14ac:dyDescent="0.2">
      <c r="C4245" s="589"/>
      <c r="D4245" s="590" t="s">
        <v>392</v>
      </c>
      <c r="E4245" s="591">
        <f>(F4245+G4245+H4245+I4245+J4245)*120</f>
        <v>0</v>
      </c>
      <c r="F4245" s="3"/>
      <c r="G4245" s="3"/>
      <c r="H4245" s="3"/>
      <c r="I4245" s="3"/>
      <c r="J4245" s="3"/>
      <c r="K4245" s="628">
        <f t="shared" si="223"/>
        <v>0</v>
      </c>
      <c r="L4245" s="630">
        <f t="shared" si="224"/>
        <v>0</v>
      </c>
    </row>
    <row r="4246" spans="3:12" x14ac:dyDescent="0.2">
      <c r="C4246" s="589"/>
      <c r="D4246" s="590" t="s">
        <v>425</v>
      </c>
      <c r="E4246" s="591">
        <f>(F4246+G4246+H4246+I4246+J4246)*120</f>
        <v>0</v>
      </c>
      <c r="F4246" s="3"/>
      <c r="G4246" s="3"/>
      <c r="H4246" s="3"/>
      <c r="I4246" s="3"/>
      <c r="J4246" s="3"/>
      <c r="K4246" s="628">
        <f t="shared" si="223"/>
        <v>0</v>
      </c>
      <c r="L4246" s="630">
        <f t="shared" si="224"/>
        <v>0</v>
      </c>
    </row>
    <row r="4247" spans="3:12" x14ac:dyDescent="0.2">
      <c r="C4247" s="589"/>
      <c r="D4247" s="590"/>
      <c r="E4247" s="591"/>
      <c r="F4247" s="3"/>
      <c r="G4247" s="3"/>
      <c r="H4247" s="3"/>
      <c r="I4247" s="3"/>
      <c r="J4247" s="3"/>
      <c r="K4247" s="628">
        <f t="shared" si="223"/>
        <v>0</v>
      </c>
      <c r="L4247" s="630">
        <f t="shared" si="224"/>
        <v>0</v>
      </c>
    </row>
    <row r="4248" spans="3:12" x14ac:dyDescent="0.2">
      <c r="C4248" s="589"/>
      <c r="D4248" s="590" t="s">
        <v>108</v>
      </c>
      <c r="E4248" s="591">
        <f>(F4248+G4248+H4248+J4248)*112.7+(I4248*119.6)</f>
        <v>0</v>
      </c>
      <c r="F4248" s="3"/>
      <c r="G4248" s="3"/>
      <c r="H4248" s="3"/>
      <c r="I4248" s="3"/>
      <c r="J4248" s="3"/>
      <c r="K4248" s="628">
        <f t="shared" si="223"/>
        <v>0</v>
      </c>
      <c r="L4248" s="630">
        <f t="shared" si="224"/>
        <v>0</v>
      </c>
    </row>
    <row r="4249" spans="3:12" x14ac:dyDescent="0.2">
      <c r="C4249" s="589" t="s">
        <v>1094</v>
      </c>
      <c r="D4249" s="590" t="s">
        <v>393</v>
      </c>
      <c r="E4249" s="591">
        <f>(F4249+G4249+H4249+J4249)*112.7+(I4249*119.6)</f>
        <v>3753.6</v>
      </c>
      <c r="F4249" s="3">
        <v>9</v>
      </c>
      <c r="G4249" s="3">
        <v>8</v>
      </c>
      <c r="H4249" s="3"/>
      <c r="I4249" s="3">
        <v>5</v>
      </c>
      <c r="J4249" s="3">
        <v>11</v>
      </c>
      <c r="K4249" s="628">
        <f t="shared" si="223"/>
        <v>33</v>
      </c>
      <c r="L4249" s="630">
        <f t="shared" si="224"/>
        <v>8.25</v>
      </c>
    </row>
    <row r="4250" spans="3:12" x14ac:dyDescent="0.2">
      <c r="C4250" s="589"/>
      <c r="D4250" s="590" t="s">
        <v>216</v>
      </c>
      <c r="E4250" s="591">
        <f>(F4250+G4250+H4250+J4250)*112.7+(I4250*119.6)</f>
        <v>0</v>
      </c>
      <c r="F4250" s="3"/>
      <c r="G4250" s="3"/>
      <c r="H4250" s="3"/>
      <c r="I4250" s="3"/>
      <c r="J4250" s="3"/>
      <c r="K4250" s="628">
        <f t="shared" si="223"/>
        <v>0</v>
      </c>
      <c r="L4250" s="630">
        <f t="shared" si="224"/>
        <v>0</v>
      </c>
    </row>
    <row r="4251" spans="3:12" x14ac:dyDescent="0.2">
      <c r="C4251" s="589"/>
      <c r="D4251" s="590"/>
      <c r="E4251" s="591"/>
      <c r="F4251" s="3"/>
      <c r="G4251" s="3"/>
      <c r="H4251" s="3"/>
      <c r="I4251" s="3"/>
      <c r="J4251" s="3"/>
      <c r="K4251" s="628">
        <f t="shared" si="223"/>
        <v>0</v>
      </c>
      <c r="L4251" s="630">
        <f t="shared" si="224"/>
        <v>0</v>
      </c>
    </row>
    <row r="4252" spans="3:12" x14ac:dyDescent="0.2">
      <c r="C4252" s="589"/>
      <c r="D4252" s="590" t="s">
        <v>394</v>
      </c>
      <c r="E4252" s="591">
        <f>(F4252+G4252+H4252+I4252+J4252)*120</f>
        <v>0</v>
      </c>
      <c r="F4252" s="3"/>
      <c r="G4252" s="3"/>
      <c r="H4252" s="3"/>
      <c r="I4252" s="3"/>
      <c r="J4252" s="3"/>
      <c r="K4252" s="628">
        <f t="shared" si="223"/>
        <v>0</v>
      </c>
      <c r="L4252" s="630">
        <f t="shared" si="224"/>
        <v>0</v>
      </c>
    </row>
    <row r="4253" spans="3:12" x14ac:dyDescent="0.2">
      <c r="C4253" s="589" t="s">
        <v>1095</v>
      </c>
      <c r="D4253" s="590" t="s">
        <v>110</v>
      </c>
      <c r="E4253" s="591">
        <f>(F4253+G4253+H4253+J4253)*112.7+(I4253*119.6)</f>
        <v>11408</v>
      </c>
      <c r="F4253" s="3">
        <v>40</v>
      </c>
      <c r="G4253" s="3">
        <v>20</v>
      </c>
      <c r="H4253" s="3"/>
      <c r="I4253" s="3">
        <v>20</v>
      </c>
      <c r="J4253" s="3">
        <v>20</v>
      </c>
      <c r="K4253" s="628">
        <f t="shared" si="223"/>
        <v>100</v>
      </c>
      <c r="L4253" s="630">
        <f t="shared" si="224"/>
        <v>25</v>
      </c>
    </row>
    <row r="4254" spans="3:12" x14ac:dyDescent="0.2">
      <c r="C4254" s="589"/>
      <c r="D4254" s="590"/>
      <c r="E4254" s="591"/>
      <c r="F4254" s="3"/>
      <c r="G4254" s="3"/>
      <c r="H4254" s="3"/>
      <c r="I4254" s="3"/>
      <c r="J4254" s="3"/>
      <c r="K4254" s="628">
        <f t="shared" si="223"/>
        <v>0</v>
      </c>
      <c r="L4254" s="630">
        <f t="shared" si="224"/>
        <v>0</v>
      </c>
    </row>
    <row r="4255" spans="3:12" x14ac:dyDescent="0.2">
      <c r="C4255" s="589"/>
      <c r="D4255" s="590" t="s">
        <v>381</v>
      </c>
      <c r="E4255" s="591">
        <f>(F4255+G4255+H4255+I4255+J4255)*120+(240*0)+(0*45)</f>
        <v>0</v>
      </c>
      <c r="F4255" s="3"/>
      <c r="G4255" s="3"/>
      <c r="H4255" s="3"/>
      <c r="I4255" s="3"/>
      <c r="J4255" s="3"/>
      <c r="K4255" s="628">
        <f t="shared" si="223"/>
        <v>0</v>
      </c>
      <c r="L4255" s="630">
        <f t="shared" si="224"/>
        <v>0</v>
      </c>
    </row>
    <row r="4256" spans="3:12" x14ac:dyDescent="0.2">
      <c r="C4256" s="589"/>
      <c r="D4256" s="590" t="s">
        <v>276</v>
      </c>
      <c r="E4256" s="591">
        <f>(F4256+G4256+H4256+J4256)*112.7+(I4256*119.6)</f>
        <v>0</v>
      </c>
      <c r="F4256" s="3"/>
      <c r="G4256" s="3"/>
      <c r="H4256" s="3"/>
      <c r="I4256" s="3"/>
      <c r="J4256" s="3"/>
      <c r="K4256" s="628">
        <f t="shared" si="223"/>
        <v>0</v>
      </c>
      <c r="L4256" s="630">
        <f t="shared" si="224"/>
        <v>0</v>
      </c>
    </row>
    <row r="4257" spans="3:12" x14ac:dyDescent="0.2">
      <c r="C4257" s="589"/>
      <c r="D4257" s="590"/>
      <c r="E4257" s="591"/>
      <c r="F4257" s="3"/>
      <c r="G4257" s="3"/>
      <c r="H4257" s="3"/>
      <c r="I4257" s="3"/>
      <c r="J4257" s="3"/>
      <c r="K4257" s="628">
        <f t="shared" si="223"/>
        <v>0</v>
      </c>
      <c r="L4257" s="630">
        <f t="shared" si="224"/>
        <v>0</v>
      </c>
    </row>
    <row r="4258" spans="3:12" x14ac:dyDescent="0.2">
      <c r="C4258" s="589"/>
      <c r="D4258" s="590" t="s">
        <v>75</v>
      </c>
      <c r="E4258" s="591">
        <f>(F4258+G4258+H4258+I4258+J4258)*120</f>
        <v>0</v>
      </c>
      <c r="F4258" s="3"/>
      <c r="G4258" s="3"/>
      <c r="H4258" s="3"/>
      <c r="I4258" s="3"/>
      <c r="J4258" s="3"/>
      <c r="K4258" s="628">
        <f t="shared" si="223"/>
        <v>0</v>
      </c>
      <c r="L4258" s="630">
        <f t="shared" si="224"/>
        <v>0</v>
      </c>
    </row>
    <row r="4259" spans="3:12" x14ac:dyDescent="0.2">
      <c r="C4259" s="589"/>
      <c r="D4259" s="590" t="s">
        <v>278</v>
      </c>
      <c r="E4259" s="591">
        <f>(F4259+G4259+H4259+I4259+J4259)*120</f>
        <v>0</v>
      </c>
      <c r="F4259" s="3"/>
      <c r="G4259" s="3"/>
      <c r="H4259" s="3"/>
      <c r="I4259" s="3"/>
      <c r="J4259" s="3"/>
      <c r="K4259" s="628">
        <f t="shared" si="223"/>
        <v>0</v>
      </c>
      <c r="L4259" s="630">
        <f t="shared" si="224"/>
        <v>0</v>
      </c>
    </row>
    <row r="4260" spans="3:12" x14ac:dyDescent="0.2">
      <c r="C4260" s="589" t="s">
        <v>1098</v>
      </c>
      <c r="D4260" s="590" t="s">
        <v>270</v>
      </c>
      <c r="E4260" s="591">
        <f>(F4260+G4260+H4260+I4260)*112.7+(J4260*119.6)</f>
        <v>8280</v>
      </c>
      <c r="F4260" s="3">
        <v>24</v>
      </c>
      <c r="G4260" s="3">
        <v>12</v>
      </c>
      <c r="H4260" s="3"/>
      <c r="I4260" s="3">
        <v>12</v>
      </c>
      <c r="J4260" s="3">
        <v>24</v>
      </c>
      <c r="K4260" s="628">
        <f t="shared" si="223"/>
        <v>72</v>
      </c>
      <c r="L4260" s="630">
        <f t="shared" si="224"/>
        <v>18</v>
      </c>
    </row>
    <row r="4261" spans="3:12" x14ac:dyDescent="0.2">
      <c r="C4261" s="589" t="s">
        <v>1097</v>
      </c>
      <c r="D4261" s="590" t="s">
        <v>274</v>
      </c>
      <c r="E4261" s="591">
        <f>(F4261+G4261+H4261+I4261)*112.7+(J4261*119.6)</f>
        <v>4351.6000000000004</v>
      </c>
      <c r="F4261" s="3">
        <v>10</v>
      </c>
      <c r="G4261" s="3">
        <v>8</v>
      </c>
      <c r="H4261" s="3"/>
      <c r="I4261" s="3">
        <v>10</v>
      </c>
      <c r="J4261" s="3">
        <v>10</v>
      </c>
      <c r="K4261" s="628">
        <f t="shared" si="223"/>
        <v>38</v>
      </c>
      <c r="L4261" s="630">
        <f t="shared" si="224"/>
        <v>9.5</v>
      </c>
    </row>
    <row r="4262" spans="3:12" x14ac:dyDescent="0.2">
      <c r="C4262" s="589" t="s">
        <v>1096</v>
      </c>
      <c r="D4262" s="590" t="s">
        <v>395</v>
      </c>
      <c r="E4262" s="591">
        <f>(F4262+G4262+H4262+I4262)*112.7+(J4262*119.6)</f>
        <v>5506.2</v>
      </c>
      <c r="F4262" s="3">
        <v>14</v>
      </c>
      <c r="G4262" s="3">
        <v>10</v>
      </c>
      <c r="H4262" s="3"/>
      <c r="I4262" s="3">
        <v>10</v>
      </c>
      <c r="J4262" s="3">
        <v>14</v>
      </c>
      <c r="K4262" s="628">
        <f t="shared" si="223"/>
        <v>48</v>
      </c>
      <c r="L4262" s="630">
        <f t="shared" si="224"/>
        <v>12</v>
      </c>
    </row>
    <row r="4263" spans="3:12" x14ac:dyDescent="0.2">
      <c r="C4263" s="683">
        <v>1178531254</v>
      </c>
      <c r="D4263" s="590" t="s">
        <v>112</v>
      </c>
      <c r="E4263" s="591">
        <f>(F4263+G4263+H4263+I4263)*112.7+(J4263*119.6)</f>
        <v>5506.2</v>
      </c>
      <c r="F4263" s="3">
        <v>14</v>
      </c>
      <c r="G4263" s="3">
        <v>10</v>
      </c>
      <c r="H4263" s="3"/>
      <c r="I4263" s="3">
        <v>10</v>
      </c>
      <c r="J4263" s="3">
        <v>14</v>
      </c>
      <c r="K4263" s="628">
        <f t="shared" si="223"/>
        <v>48</v>
      </c>
      <c r="L4263" s="630">
        <f t="shared" si="224"/>
        <v>12</v>
      </c>
    </row>
    <row r="4264" spans="3:12" x14ac:dyDescent="0.2">
      <c r="C4264" s="683">
        <v>1178531252</v>
      </c>
      <c r="D4264" s="590" t="s">
        <v>72</v>
      </c>
      <c r="E4264" s="591">
        <f>(F4264+G4264+H4264+I4264)*112.7+(J4264*119.6)</f>
        <v>5506.2</v>
      </c>
      <c r="F4264" s="3">
        <v>14</v>
      </c>
      <c r="G4264" s="3">
        <v>10</v>
      </c>
      <c r="H4264" s="3"/>
      <c r="I4264" s="3">
        <v>10</v>
      </c>
      <c r="J4264" s="3">
        <v>14</v>
      </c>
      <c r="K4264" s="628">
        <f t="shared" si="223"/>
        <v>48</v>
      </c>
      <c r="L4264" s="630">
        <f t="shared" si="224"/>
        <v>12</v>
      </c>
    </row>
    <row r="4265" spans="3:12" x14ac:dyDescent="0.2">
      <c r="C4265" s="683"/>
      <c r="D4265" s="590" t="s">
        <v>187</v>
      </c>
      <c r="E4265" s="591"/>
      <c r="F4265" s="3"/>
      <c r="G4265" s="3">
        <v>1</v>
      </c>
      <c r="H4265" s="3"/>
      <c r="I4265" s="3"/>
      <c r="J4265" s="3">
        <v>8</v>
      </c>
      <c r="K4265" s="628">
        <f>SUM(F4265:J4265)</f>
        <v>9</v>
      </c>
      <c r="L4265" s="3"/>
    </row>
    <row r="4266" spans="3:12" ht="16" x14ac:dyDescent="0.2">
      <c r="C4266" s="683"/>
      <c r="D4266" s="590" t="s">
        <v>501</v>
      </c>
      <c r="E4266" s="592"/>
      <c r="F4266" s="3"/>
      <c r="G4266" s="3"/>
      <c r="H4266" s="3"/>
      <c r="I4266" s="3"/>
      <c r="J4266" s="3"/>
      <c r="K4266" s="628">
        <f>SUM(F4266:J4266)</f>
        <v>0</v>
      </c>
      <c r="L4266" s="3"/>
    </row>
    <row r="4267" spans="3:12" ht="17" thickBot="1" x14ac:dyDescent="0.25">
      <c r="C4267" s="683"/>
      <c r="D4267" s="590"/>
      <c r="E4267" s="624"/>
      <c r="F4267" s="69"/>
      <c r="G4267" s="69"/>
      <c r="H4267" s="69"/>
      <c r="I4267" s="69"/>
      <c r="J4267" s="69"/>
      <c r="K4267" s="629"/>
      <c r="L4267" s="3"/>
    </row>
    <row r="4268" spans="3:12" ht="16" thickBot="1" x14ac:dyDescent="0.25">
      <c r="C4268" s="596"/>
      <c r="D4268" s="623" t="s">
        <v>19</v>
      </c>
      <c r="E4268" s="625">
        <f>SUM(E4242:E4265)</f>
        <v>44311.799999999988</v>
      </c>
      <c r="F4268" s="614">
        <f>SUM(F4242:F4267)</f>
        <v>125</v>
      </c>
      <c r="G4268" s="614">
        <f>SUM(G4242:G4267)</f>
        <v>79</v>
      </c>
      <c r="H4268" s="614">
        <f>SUM(H4242:H4267)</f>
        <v>0</v>
      </c>
      <c r="I4268" s="614">
        <f>SUM(I4242:I4267)</f>
        <v>77</v>
      </c>
      <c r="J4268" s="614">
        <f>SUM(J4242:J4267)</f>
        <v>115</v>
      </c>
      <c r="K4268" s="626">
        <f>SUM(F4268:J4268)</f>
        <v>396</v>
      </c>
      <c r="L4268" s="631">
        <f>SUM(L4242:L4267)</f>
        <v>96.75</v>
      </c>
    </row>
    <row r="4269" spans="3:12" x14ac:dyDescent="0.2">
      <c r="C4269" s="596"/>
      <c r="D4269" s="593" t="s">
        <v>113</v>
      </c>
      <c r="E4269" s="620"/>
      <c r="F4269" s="610">
        <f>F4239-F4268</f>
        <v>0</v>
      </c>
      <c r="G4269" s="610">
        <f>G4239-G4268</f>
        <v>6.5</v>
      </c>
      <c r="H4269" s="610">
        <f>H4239-H4268</f>
        <v>0</v>
      </c>
      <c r="I4269" s="610">
        <f>I4239-I4268</f>
        <v>0</v>
      </c>
      <c r="J4269" s="610">
        <f>J4239-J4268</f>
        <v>0</v>
      </c>
      <c r="K4269" s="636">
        <f>SUM(F4269:J4269)</f>
        <v>6.5</v>
      </c>
      <c r="L4269" s="3"/>
    </row>
    <row r="4270" spans="3:12" x14ac:dyDescent="0.2">
      <c r="C4270" s="683"/>
      <c r="D4270" s="593" t="s">
        <v>436</v>
      </c>
      <c r="E4270" s="594"/>
      <c r="F4270" s="581"/>
      <c r="G4270" s="581"/>
      <c r="H4270" s="581"/>
      <c r="I4270" s="581"/>
      <c r="J4270" s="581"/>
      <c r="K4270" s="637">
        <f>K4268+K4269</f>
        <v>402.5</v>
      </c>
      <c r="L4270" s="3"/>
    </row>
    <row r="4272" spans="3:12" ht="18" x14ac:dyDescent="0.2">
      <c r="C4272" s="685" t="s">
        <v>412</v>
      </c>
      <c r="D4272" s="582">
        <v>45784</v>
      </c>
      <c r="E4272" s="800"/>
      <c r="F4272" s="685" t="s">
        <v>83</v>
      </c>
      <c r="G4272" s="801" t="s">
        <v>65</v>
      </c>
      <c r="H4272" s="802"/>
      <c r="I4272" s="802"/>
      <c r="J4272" s="802"/>
      <c r="K4272" s="803"/>
    </row>
    <row r="4273" spans="3:12" x14ac:dyDescent="0.2">
      <c r="C4273" s="804"/>
      <c r="D4273" s="805"/>
      <c r="E4273" s="800"/>
      <c r="F4273" s="683" t="s">
        <v>93</v>
      </c>
      <c r="G4273" s="683" t="s">
        <v>93</v>
      </c>
      <c r="H4273" s="683"/>
      <c r="I4273" s="806"/>
      <c r="J4273" s="806"/>
      <c r="K4273" s="806"/>
    </row>
    <row r="4274" spans="3:12" x14ac:dyDescent="0.2">
      <c r="C4274" s="804"/>
      <c r="D4274" s="805"/>
      <c r="E4274" s="800"/>
      <c r="F4274" s="683" t="s">
        <v>94</v>
      </c>
      <c r="G4274" s="683" t="s">
        <v>95</v>
      </c>
      <c r="H4274" s="683" t="s">
        <v>96</v>
      </c>
      <c r="I4274" s="806"/>
      <c r="J4274" s="806"/>
      <c r="K4274" s="806"/>
    </row>
    <row r="4275" spans="3:12" x14ac:dyDescent="0.2">
      <c r="C4275" s="804"/>
      <c r="D4275" s="805"/>
      <c r="E4275" s="800"/>
      <c r="F4275" s="683"/>
      <c r="G4275" s="683"/>
      <c r="H4275" s="683"/>
      <c r="I4275" s="806"/>
      <c r="J4275" s="806"/>
      <c r="K4275" s="806"/>
    </row>
    <row r="4276" spans="3:12" ht="16" x14ac:dyDescent="0.2">
      <c r="C4276" s="683"/>
      <c r="D4276" s="583" t="s">
        <v>97</v>
      </c>
      <c r="E4276" s="584"/>
      <c r="F4276" s="581"/>
      <c r="G4276" s="585"/>
      <c r="H4276" s="585"/>
      <c r="I4276" s="586"/>
      <c r="J4276" s="586"/>
      <c r="K4276" s="586"/>
    </row>
    <row r="4277" spans="3:12" ht="26" x14ac:dyDescent="0.2">
      <c r="C4277" s="804"/>
      <c r="D4277" s="587"/>
      <c r="E4277" s="588"/>
      <c r="F4277" s="585" t="s">
        <v>383</v>
      </c>
      <c r="G4277" s="585" t="s">
        <v>384</v>
      </c>
      <c r="H4277" s="585" t="s">
        <v>385</v>
      </c>
      <c r="I4277" s="585" t="s">
        <v>386</v>
      </c>
      <c r="J4277" s="585" t="s">
        <v>387</v>
      </c>
      <c r="K4277" s="585" t="s">
        <v>84</v>
      </c>
    </row>
    <row r="4278" spans="3:12" x14ac:dyDescent="0.2">
      <c r="C4278" s="804"/>
      <c r="D4278" s="684" t="s">
        <v>167</v>
      </c>
      <c r="E4278" s="588"/>
      <c r="F4278" s="580">
        <v>8</v>
      </c>
      <c r="G4278" s="579">
        <v>6</v>
      </c>
      <c r="H4278" s="580">
        <v>4</v>
      </c>
      <c r="I4278" s="580">
        <v>4</v>
      </c>
      <c r="J4278" s="580">
        <v>7</v>
      </c>
      <c r="K4278" s="580">
        <f>SUM(F4278:J4278)</f>
        <v>29</v>
      </c>
    </row>
    <row r="4279" spans="3:12" x14ac:dyDescent="0.2">
      <c r="C4279" s="804"/>
      <c r="D4279" s="684" t="s">
        <v>207</v>
      </c>
      <c r="E4279" s="588"/>
      <c r="F4279" s="618">
        <v>56</v>
      </c>
      <c r="G4279" s="619">
        <v>42</v>
      </c>
      <c r="H4279" s="618">
        <v>28</v>
      </c>
      <c r="I4279" s="618">
        <v>44</v>
      </c>
      <c r="J4279" s="618">
        <v>60</v>
      </c>
      <c r="K4279" s="618">
        <f>SUM(F4279:J4279)</f>
        <v>230</v>
      </c>
    </row>
    <row r="4280" spans="3:12" x14ac:dyDescent="0.2">
      <c r="C4280" s="683"/>
      <c r="D4280" s="684" t="s">
        <v>100</v>
      </c>
      <c r="E4280" s="588"/>
      <c r="F4280" s="581"/>
      <c r="G4280" s="581"/>
      <c r="H4280" s="581"/>
      <c r="I4280" s="581"/>
      <c r="J4280" s="581"/>
      <c r="K4280" s="581">
        <f>SUM(F4280:J4280)</f>
        <v>0</v>
      </c>
    </row>
    <row r="4281" spans="3:12" x14ac:dyDescent="0.2">
      <c r="C4281" s="683"/>
      <c r="D4281" s="684" t="s">
        <v>101</v>
      </c>
      <c r="E4281" s="588"/>
      <c r="F4281" s="581"/>
      <c r="G4281" s="581"/>
      <c r="H4281" s="581"/>
      <c r="I4281" s="581"/>
      <c r="J4281" s="581"/>
      <c r="K4281" s="581">
        <f>SUM(F4281:J4281)</f>
        <v>0</v>
      </c>
    </row>
    <row r="4282" spans="3:12" ht="16" thickBot="1" x14ac:dyDescent="0.25">
      <c r="C4282" s="683"/>
      <c r="D4282" s="597" t="s">
        <v>102</v>
      </c>
      <c r="E4282" s="598"/>
      <c r="F4282" s="599"/>
      <c r="G4282" s="600">
        <v>6</v>
      </c>
      <c r="H4282" s="600"/>
      <c r="I4282" s="600"/>
      <c r="J4282" s="600"/>
      <c r="K4282" s="600">
        <f>SUM(F4282:J4282)</f>
        <v>6</v>
      </c>
    </row>
    <row r="4283" spans="3:12" ht="17" thickBot="1" x14ac:dyDescent="0.25">
      <c r="C4283" s="605"/>
      <c r="D4283" s="612" t="s">
        <v>84</v>
      </c>
      <c r="E4283" s="613"/>
      <c r="F4283" s="614">
        <f t="shared" ref="F4283:K4283" si="225">(F4279+F4282)-F4281-F4280</f>
        <v>56</v>
      </c>
      <c r="G4283" s="615">
        <f t="shared" si="225"/>
        <v>48</v>
      </c>
      <c r="H4283" s="616">
        <f t="shared" si="225"/>
        <v>28</v>
      </c>
      <c r="I4283" s="615">
        <f t="shared" si="225"/>
        <v>44</v>
      </c>
      <c r="J4283" s="622">
        <f t="shared" si="225"/>
        <v>60</v>
      </c>
      <c r="K4283" s="617">
        <f t="shared" si="225"/>
        <v>236</v>
      </c>
    </row>
    <row r="4284" spans="3:12" ht="16" x14ac:dyDescent="0.2">
      <c r="C4284" s="683"/>
      <c r="D4284" s="608"/>
      <c r="E4284" s="609"/>
      <c r="F4284" s="610"/>
      <c r="G4284" s="595"/>
      <c r="H4284" s="611"/>
      <c r="I4284" s="595"/>
      <c r="J4284" s="595"/>
      <c r="K4284" s="595"/>
    </row>
    <row r="4285" spans="3:12" ht="16" thickBot="1" x14ac:dyDescent="0.25">
      <c r="C4285" s="606" t="s">
        <v>388</v>
      </c>
      <c r="D4285" s="607" t="s">
        <v>103</v>
      </c>
      <c r="E4285" s="603" t="s">
        <v>84</v>
      </c>
      <c r="F4285" s="602" t="s">
        <v>78</v>
      </c>
      <c r="G4285" s="602" t="s">
        <v>79</v>
      </c>
      <c r="H4285" s="602" t="s">
        <v>81</v>
      </c>
      <c r="I4285" s="601" t="s">
        <v>316</v>
      </c>
      <c r="J4285" s="601" t="s">
        <v>85</v>
      </c>
      <c r="K4285" s="601" t="s">
        <v>84</v>
      </c>
      <c r="L4285" s="174" t="s">
        <v>389</v>
      </c>
    </row>
    <row r="4286" spans="3:12" x14ac:dyDescent="0.2">
      <c r="C4286" s="589" t="s">
        <v>1099</v>
      </c>
      <c r="D4286" s="604" t="s">
        <v>105</v>
      </c>
      <c r="E4286" s="591">
        <f>(F4286+G4286+H4286+I4286+J4286)*100+(0*230)</f>
        <v>7600</v>
      </c>
      <c r="F4286" s="3">
        <v>20</v>
      </c>
      <c r="G4286" s="3">
        <v>16</v>
      </c>
      <c r="H4286" s="3">
        <v>12</v>
      </c>
      <c r="I4286" s="3">
        <v>12</v>
      </c>
      <c r="J4286" s="3">
        <v>16</v>
      </c>
      <c r="K4286" s="628">
        <f t="shared" ref="K4286:K4308" si="226">SUM(F4286:J4286)</f>
        <v>76</v>
      </c>
      <c r="L4286" s="630">
        <f>K4286/4</f>
        <v>19</v>
      </c>
    </row>
    <row r="4287" spans="3:12" x14ac:dyDescent="0.2">
      <c r="C4287" s="589"/>
      <c r="D4287" s="590" t="s">
        <v>390</v>
      </c>
      <c r="E4287" s="591">
        <f>(F4287+G4287+H4287+I4287+J4287)*120</f>
        <v>0</v>
      </c>
      <c r="F4287" s="3"/>
      <c r="G4287" s="3"/>
      <c r="H4287" s="3"/>
      <c r="I4287" s="3"/>
      <c r="J4287" s="3"/>
      <c r="K4287" s="628">
        <f t="shared" si="226"/>
        <v>0</v>
      </c>
      <c r="L4287" s="630">
        <f t="shared" ref="L4287:L4308" si="227">K4287/4</f>
        <v>0</v>
      </c>
    </row>
    <row r="4288" spans="3:12" x14ac:dyDescent="0.2">
      <c r="C4288" s="589"/>
      <c r="D4288" s="590" t="s">
        <v>391</v>
      </c>
      <c r="E4288" s="591">
        <f>(F4288+G4288+H4288+I4288+J4288)*120</f>
        <v>0</v>
      </c>
      <c r="F4288" s="3"/>
      <c r="G4288" s="3"/>
      <c r="H4288" s="3"/>
      <c r="I4288" s="3"/>
      <c r="J4288" s="3"/>
      <c r="K4288" s="628">
        <f t="shared" si="226"/>
        <v>0</v>
      </c>
      <c r="L4288" s="630">
        <f t="shared" si="227"/>
        <v>0</v>
      </c>
    </row>
    <row r="4289" spans="3:12" x14ac:dyDescent="0.2">
      <c r="C4289" s="589"/>
      <c r="D4289" s="590" t="s">
        <v>392</v>
      </c>
      <c r="E4289" s="591">
        <f>(F4289+G4289+H4289+I4289+J4289)*120</f>
        <v>0</v>
      </c>
      <c r="F4289" s="3"/>
      <c r="G4289" s="3"/>
      <c r="H4289" s="3"/>
      <c r="I4289" s="3"/>
      <c r="J4289" s="3"/>
      <c r="K4289" s="628">
        <f t="shared" si="226"/>
        <v>0</v>
      </c>
      <c r="L4289" s="630">
        <f t="shared" si="227"/>
        <v>0</v>
      </c>
    </row>
    <row r="4290" spans="3:12" x14ac:dyDescent="0.2">
      <c r="C4290" s="589"/>
      <c r="D4290" s="590" t="s">
        <v>425</v>
      </c>
      <c r="E4290" s="591">
        <f>(F4290+G4290+H4290+I4290+J4290)*120</f>
        <v>0</v>
      </c>
      <c r="F4290" s="3"/>
      <c r="G4290" s="3"/>
      <c r="H4290" s="3"/>
      <c r="I4290" s="3"/>
      <c r="J4290" s="3"/>
      <c r="K4290" s="628">
        <f t="shared" si="226"/>
        <v>0</v>
      </c>
      <c r="L4290" s="630">
        <f t="shared" si="227"/>
        <v>0</v>
      </c>
    </row>
    <row r="4291" spans="3:12" x14ac:dyDescent="0.2">
      <c r="C4291" s="589"/>
      <c r="D4291" s="590"/>
      <c r="E4291" s="591"/>
      <c r="F4291" s="3"/>
      <c r="G4291" s="3"/>
      <c r="H4291" s="3"/>
      <c r="I4291" s="3"/>
      <c r="J4291" s="3"/>
      <c r="K4291" s="628">
        <f t="shared" si="226"/>
        <v>0</v>
      </c>
      <c r="L4291" s="630">
        <f t="shared" si="227"/>
        <v>0</v>
      </c>
    </row>
    <row r="4292" spans="3:12" x14ac:dyDescent="0.2">
      <c r="C4292" s="589" t="s">
        <v>1102</v>
      </c>
      <c r="D4292" s="590" t="s">
        <v>108</v>
      </c>
      <c r="E4292" s="591">
        <f>(F4292+G4292+H4292+J4292)*112.7+(I4292*119.6)</f>
        <v>4577</v>
      </c>
      <c r="F4292" s="3">
        <v>10</v>
      </c>
      <c r="G4292" s="3">
        <v>5</v>
      </c>
      <c r="H4292" s="3">
        <v>5</v>
      </c>
      <c r="I4292" s="3">
        <v>10</v>
      </c>
      <c r="J4292" s="3">
        <v>10</v>
      </c>
      <c r="K4292" s="628">
        <f t="shared" si="226"/>
        <v>40</v>
      </c>
      <c r="L4292" s="630">
        <f t="shared" si="227"/>
        <v>10</v>
      </c>
    </row>
    <row r="4293" spans="3:12" x14ac:dyDescent="0.2">
      <c r="C4293" s="589"/>
      <c r="D4293" s="590" t="s">
        <v>393</v>
      </c>
      <c r="E4293" s="591">
        <f>(F4293+G4293+H4293+J4293)*112.7+(I4293*119.6)</f>
        <v>0</v>
      </c>
      <c r="F4293" s="3"/>
      <c r="G4293" s="3"/>
      <c r="H4293" s="3"/>
      <c r="I4293" s="3"/>
      <c r="J4293" s="3"/>
      <c r="K4293" s="628">
        <f t="shared" si="226"/>
        <v>0</v>
      </c>
      <c r="L4293" s="630">
        <f t="shared" si="227"/>
        <v>0</v>
      </c>
    </row>
    <row r="4294" spans="3:12" x14ac:dyDescent="0.2">
      <c r="C4294" s="589" t="s">
        <v>1101</v>
      </c>
      <c r="D4294" s="590" t="s">
        <v>216</v>
      </c>
      <c r="E4294" s="591">
        <f>(F4294+G4294+H4294+J4294)*112.7+(I4294*119.6)</f>
        <v>3661.6000000000004</v>
      </c>
      <c r="F4294" s="3">
        <v>8</v>
      </c>
      <c r="G4294" s="3">
        <v>8</v>
      </c>
      <c r="H4294" s="3"/>
      <c r="I4294" s="3">
        <v>8</v>
      </c>
      <c r="J4294" s="3">
        <v>8</v>
      </c>
      <c r="K4294" s="628">
        <f t="shared" si="226"/>
        <v>32</v>
      </c>
      <c r="L4294" s="630">
        <f t="shared" si="227"/>
        <v>8</v>
      </c>
    </row>
    <row r="4295" spans="3:12" x14ac:dyDescent="0.2">
      <c r="C4295" s="589"/>
      <c r="D4295" s="590"/>
      <c r="E4295" s="591"/>
      <c r="F4295" s="3"/>
      <c r="G4295" s="3"/>
      <c r="H4295" s="3"/>
      <c r="I4295" s="3"/>
      <c r="J4295" s="3"/>
      <c r="K4295" s="628">
        <f t="shared" si="226"/>
        <v>0</v>
      </c>
      <c r="L4295" s="630">
        <f t="shared" si="227"/>
        <v>0</v>
      </c>
    </row>
    <row r="4296" spans="3:12" x14ac:dyDescent="0.2">
      <c r="C4296" s="589" t="s">
        <v>1100</v>
      </c>
      <c r="D4296" s="590" t="s">
        <v>394</v>
      </c>
      <c r="E4296" s="591">
        <f>(F4296+G4296+H4296+I4296+J4296)*120</f>
        <v>4200</v>
      </c>
      <c r="F4296" s="3">
        <v>10</v>
      </c>
      <c r="G4296" s="3">
        <v>5</v>
      </c>
      <c r="H4296" s="3">
        <v>5</v>
      </c>
      <c r="I4296" s="3">
        <v>5</v>
      </c>
      <c r="J4296" s="3">
        <v>10</v>
      </c>
      <c r="K4296" s="628">
        <f t="shared" si="226"/>
        <v>35</v>
      </c>
      <c r="L4296" s="630">
        <f t="shared" si="227"/>
        <v>8.75</v>
      </c>
    </row>
    <row r="4297" spans="3:12" x14ac:dyDescent="0.2">
      <c r="C4297" s="589"/>
      <c r="D4297" s="590" t="s">
        <v>110</v>
      </c>
      <c r="E4297" s="591">
        <f>(F4297+G4297+H4297+J4297)*112.7+(I4297*119.6)</f>
        <v>0</v>
      </c>
      <c r="F4297" s="3"/>
      <c r="G4297" s="3"/>
      <c r="H4297" s="3"/>
      <c r="I4297" s="3"/>
      <c r="J4297" s="3"/>
      <c r="K4297" s="628">
        <f t="shared" si="226"/>
        <v>0</v>
      </c>
      <c r="L4297" s="630">
        <f t="shared" si="227"/>
        <v>0</v>
      </c>
    </row>
    <row r="4298" spans="3:12" x14ac:dyDescent="0.2">
      <c r="C4298" s="589"/>
      <c r="D4298" s="590"/>
      <c r="E4298" s="591"/>
      <c r="F4298" s="3"/>
      <c r="G4298" s="3"/>
      <c r="H4298" s="3"/>
      <c r="I4298" s="3"/>
      <c r="J4298" s="3"/>
      <c r="K4298" s="628">
        <f t="shared" si="226"/>
        <v>0</v>
      </c>
      <c r="L4298" s="630">
        <f t="shared" si="227"/>
        <v>0</v>
      </c>
    </row>
    <row r="4299" spans="3:12" x14ac:dyDescent="0.2">
      <c r="C4299" s="589"/>
      <c r="D4299" s="590" t="s">
        <v>381</v>
      </c>
      <c r="E4299" s="591">
        <f>(F4299+G4299+H4299+I4299+J4299)*120+(240*0)+(0*45)</f>
        <v>0</v>
      </c>
      <c r="F4299" s="3"/>
      <c r="G4299" s="3"/>
      <c r="H4299" s="3"/>
      <c r="I4299" s="3"/>
      <c r="J4299" s="3"/>
      <c r="K4299" s="628">
        <f t="shared" si="226"/>
        <v>0</v>
      </c>
      <c r="L4299" s="630">
        <f t="shared" si="227"/>
        <v>0</v>
      </c>
    </row>
    <row r="4300" spans="3:12" x14ac:dyDescent="0.2">
      <c r="C4300" s="589"/>
      <c r="D4300" s="590" t="s">
        <v>276</v>
      </c>
      <c r="E4300" s="591">
        <f>(F4300+G4300+H4300+J4300)*112.7+(I4300*119.6)</f>
        <v>0</v>
      </c>
      <c r="F4300" s="3"/>
      <c r="G4300" s="3"/>
      <c r="H4300" s="3"/>
      <c r="I4300" s="3"/>
      <c r="J4300" s="3"/>
      <c r="K4300" s="628">
        <f t="shared" si="226"/>
        <v>0</v>
      </c>
      <c r="L4300" s="630">
        <f t="shared" si="227"/>
        <v>0</v>
      </c>
    </row>
    <row r="4301" spans="3:12" x14ac:dyDescent="0.2">
      <c r="C4301" s="589"/>
      <c r="D4301" s="590"/>
      <c r="E4301" s="591"/>
      <c r="F4301" s="3"/>
      <c r="G4301" s="3"/>
      <c r="H4301" s="3"/>
      <c r="I4301" s="3"/>
      <c r="J4301" s="3"/>
      <c r="K4301" s="628">
        <f t="shared" si="226"/>
        <v>0</v>
      </c>
      <c r="L4301" s="630">
        <f t="shared" si="227"/>
        <v>0</v>
      </c>
    </row>
    <row r="4302" spans="3:12" x14ac:dyDescent="0.2">
      <c r="C4302" s="589"/>
      <c r="D4302" s="590" t="s">
        <v>75</v>
      </c>
      <c r="E4302" s="591">
        <f>(F4302+G4302+H4302+I4302+J4302)*120</f>
        <v>0</v>
      </c>
      <c r="F4302" s="3"/>
      <c r="G4302" s="3"/>
      <c r="H4302" s="3"/>
      <c r="I4302" s="3"/>
      <c r="J4302" s="3"/>
      <c r="K4302" s="628">
        <f t="shared" si="226"/>
        <v>0</v>
      </c>
      <c r="L4302" s="630">
        <f t="shared" si="227"/>
        <v>0</v>
      </c>
    </row>
    <row r="4303" spans="3:12" x14ac:dyDescent="0.2">
      <c r="C4303" s="589"/>
      <c r="D4303" s="590" t="s">
        <v>278</v>
      </c>
      <c r="E4303" s="591">
        <f>(F4303+G4303+H4303+I4303+J4303)*120</f>
        <v>0</v>
      </c>
      <c r="F4303" s="3"/>
      <c r="G4303" s="3"/>
      <c r="H4303" s="3"/>
      <c r="I4303" s="3"/>
      <c r="J4303" s="3"/>
      <c r="K4303" s="628">
        <f t="shared" si="226"/>
        <v>0</v>
      </c>
      <c r="L4303" s="630">
        <f t="shared" si="227"/>
        <v>0</v>
      </c>
    </row>
    <row r="4304" spans="3:12" x14ac:dyDescent="0.2">
      <c r="C4304" s="589"/>
      <c r="D4304" s="590" t="s">
        <v>270</v>
      </c>
      <c r="E4304" s="591">
        <f>(F4304+G4304+H4304+I4304)*112.7+(J4304*119.6)</f>
        <v>0</v>
      </c>
      <c r="F4304" s="3"/>
      <c r="G4304" s="3"/>
      <c r="H4304" s="3"/>
      <c r="I4304" s="3"/>
      <c r="J4304" s="3"/>
      <c r="K4304" s="628">
        <f t="shared" si="226"/>
        <v>0</v>
      </c>
      <c r="L4304" s="630">
        <f t="shared" si="227"/>
        <v>0</v>
      </c>
    </row>
    <row r="4305" spans="3:12" x14ac:dyDescent="0.2">
      <c r="C4305" s="589"/>
      <c r="D4305" s="590" t="s">
        <v>274</v>
      </c>
      <c r="E4305" s="591">
        <f>(F4305+G4305+H4305+I4305)*112.7+(J4305*119.6)</f>
        <v>0</v>
      </c>
      <c r="F4305" s="3"/>
      <c r="G4305" s="3"/>
      <c r="H4305" s="3"/>
      <c r="I4305" s="3"/>
      <c r="J4305" s="3"/>
      <c r="K4305" s="628">
        <f t="shared" si="226"/>
        <v>0</v>
      </c>
      <c r="L4305" s="630">
        <f t="shared" si="227"/>
        <v>0</v>
      </c>
    </row>
    <row r="4306" spans="3:12" x14ac:dyDescent="0.2">
      <c r="C4306" s="589"/>
      <c r="D4306" s="590" t="s">
        <v>395</v>
      </c>
      <c r="E4306" s="591">
        <f>(F4306+G4306+H4306+I4306)*112.7+(J4306*119.6)</f>
        <v>0</v>
      </c>
      <c r="F4306" s="3"/>
      <c r="G4306" s="3"/>
      <c r="H4306" s="3"/>
      <c r="I4306" s="3"/>
      <c r="J4306" s="3"/>
      <c r="K4306" s="628">
        <f t="shared" si="226"/>
        <v>0</v>
      </c>
      <c r="L4306" s="630">
        <f t="shared" si="227"/>
        <v>0</v>
      </c>
    </row>
    <row r="4307" spans="3:12" x14ac:dyDescent="0.2">
      <c r="C4307" s="683"/>
      <c r="D4307" s="590" t="s">
        <v>112</v>
      </c>
      <c r="E4307" s="591">
        <f>(F4307+G4307+H4307+I4307)*112.7+(J4307*119.6)</f>
        <v>0</v>
      </c>
      <c r="F4307" s="3"/>
      <c r="G4307" s="3"/>
      <c r="H4307" s="3"/>
      <c r="I4307" s="3"/>
      <c r="J4307" s="3"/>
      <c r="K4307" s="628">
        <f t="shared" si="226"/>
        <v>0</v>
      </c>
      <c r="L4307" s="630">
        <f t="shared" si="227"/>
        <v>0</v>
      </c>
    </row>
    <row r="4308" spans="3:12" x14ac:dyDescent="0.2">
      <c r="C4308" s="683"/>
      <c r="D4308" s="590" t="s">
        <v>72</v>
      </c>
      <c r="E4308" s="591">
        <f>(F4308+G4308+H4308+I4308)*112.7+(J4308*119.6)</f>
        <v>0</v>
      </c>
      <c r="F4308" s="3"/>
      <c r="G4308" s="3"/>
      <c r="H4308" s="3"/>
      <c r="I4308" s="3"/>
      <c r="J4308" s="3"/>
      <c r="K4308" s="628">
        <f t="shared" si="226"/>
        <v>0</v>
      </c>
      <c r="L4308" s="630">
        <f t="shared" si="227"/>
        <v>0</v>
      </c>
    </row>
    <row r="4309" spans="3:12" x14ac:dyDescent="0.2">
      <c r="C4309" s="683"/>
      <c r="D4309" s="590" t="s">
        <v>187</v>
      </c>
      <c r="E4309" s="591"/>
      <c r="F4309" s="3"/>
      <c r="G4309" s="3">
        <v>1</v>
      </c>
      <c r="H4309" s="3"/>
      <c r="I4309" s="3">
        <v>1</v>
      </c>
      <c r="J4309" s="3">
        <v>8</v>
      </c>
      <c r="K4309" s="628">
        <f>SUM(F4309:J4309)</f>
        <v>10</v>
      </c>
      <c r="L4309" s="3"/>
    </row>
    <row r="4310" spans="3:12" ht="16" x14ac:dyDescent="0.2">
      <c r="C4310" s="683"/>
      <c r="D4310" s="590" t="s">
        <v>501</v>
      </c>
      <c r="E4310" s="592"/>
      <c r="F4310" s="3"/>
      <c r="G4310" s="3"/>
      <c r="H4310" s="3"/>
      <c r="I4310" s="3"/>
      <c r="J4310" s="3"/>
      <c r="K4310" s="628">
        <f>SUM(F4310:J4310)</f>
        <v>0</v>
      </c>
      <c r="L4310" s="3"/>
    </row>
    <row r="4311" spans="3:12" ht="17" thickBot="1" x14ac:dyDescent="0.25">
      <c r="C4311" s="683"/>
      <c r="D4311" s="590"/>
      <c r="E4311" s="624"/>
      <c r="F4311" s="69"/>
      <c r="G4311" s="69"/>
      <c r="H4311" s="69"/>
      <c r="I4311" s="69"/>
      <c r="J4311" s="69"/>
      <c r="K4311" s="629"/>
      <c r="L4311" s="3"/>
    </row>
    <row r="4312" spans="3:12" ht="16" thickBot="1" x14ac:dyDescent="0.25">
      <c r="C4312" s="596"/>
      <c r="D4312" s="623" t="s">
        <v>19</v>
      </c>
      <c r="E4312" s="625">
        <f>SUM(E4286:E4309)</f>
        <v>20038.599999999999</v>
      </c>
      <c r="F4312" s="614">
        <f>SUM(F4286:F4311)</f>
        <v>48</v>
      </c>
      <c r="G4312" s="614">
        <f>SUM(G4286:G4311)</f>
        <v>35</v>
      </c>
      <c r="H4312" s="614">
        <f>SUM(H4286:H4311)</f>
        <v>22</v>
      </c>
      <c r="I4312" s="614">
        <f>SUM(I4286:I4311)</f>
        <v>36</v>
      </c>
      <c r="J4312" s="614">
        <f>SUM(J4286:J4311)</f>
        <v>52</v>
      </c>
      <c r="K4312" s="626">
        <f>SUM(F4312:J4312)</f>
        <v>193</v>
      </c>
      <c r="L4312" s="631">
        <f>SUM(L4286:L4311)</f>
        <v>45.75</v>
      </c>
    </row>
    <row r="4313" spans="3:12" x14ac:dyDescent="0.2">
      <c r="C4313" s="596"/>
      <c r="D4313" s="593" t="s">
        <v>113</v>
      </c>
      <c r="E4313" s="620"/>
      <c r="F4313" s="610">
        <f>F4283-F4312</f>
        <v>8</v>
      </c>
      <c r="G4313" s="610">
        <f>G4283-G4312</f>
        <v>13</v>
      </c>
      <c r="H4313" s="610">
        <f>H4283-H4312</f>
        <v>6</v>
      </c>
      <c r="I4313" s="610">
        <f>I4283-I4312</f>
        <v>8</v>
      </c>
      <c r="J4313" s="610">
        <f>J4283-J4312</f>
        <v>8</v>
      </c>
      <c r="K4313" s="636">
        <f>SUM(F4313:J4313)</f>
        <v>43</v>
      </c>
      <c r="L4313" s="3"/>
    </row>
    <row r="4314" spans="3:12" x14ac:dyDescent="0.2">
      <c r="C4314" s="683"/>
      <c r="D4314" s="593" t="s">
        <v>436</v>
      </c>
      <c r="E4314" s="594"/>
      <c r="F4314" s="581"/>
      <c r="G4314" s="581"/>
      <c r="H4314" s="581"/>
      <c r="I4314" s="581"/>
      <c r="J4314" s="581"/>
      <c r="K4314" s="637">
        <f>K4312+K4313</f>
        <v>236</v>
      </c>
      <c r="L4314" s="3"/>
    </row>
    <row r="4316" spans="3:12" ht="18" x14ac:dyDescent="0.2">
      <c r="C4316" s="685" t="s">
        <v>412</v>
      </c>
      <c r="D4316" s="582">
        <v>45785</v>
      </c>
      <c r="E4316" s="800"/>
      <c r="F4316" s="685" t="s">
        <v>83</v>
      </c>
      <c r="G4316" s="801" t="s">
        <v>66</v>
      </c>
      <c r="H4316" s="802"/>
      <c r="I4316" s="802"/>
      <c r="J4316" s="802"/>
      <c r="K4316" s="803"/>
    </row>
    <row r="4317" spans="3:12" x14ac:dyDescent="0.2">
      <c r="C4317" s="804"/>
      <c r="D4317" s="805"/>
      <c r="E4317" s="800"/>
      <c r="F4317" s="683" t="s">
        <v>93</v>
      </c>
      <c r="G4317" s="683" t="s">
        <v>93</v>
      </c>
      <c r="H4317" s="683"/>
      <c r="I4317" s="806"/>
      <c r="J4317" s="806"/>
      <c r="K4317" s="806"/>
    </row>
    <row r="4318" spans="3:12" x14ac:dyDescent="0.2">
      <c r="C4318" s="804"/>
      <c r="D4318" s="805"/>
      <c r="E4318" s="800"/>
      <c r="F4318" s="683" t="s">
        <v>94</v>
      </c>
      <c r="G4318" s="683" t="s">
        <v>95</v>
      </c>
      <c r="H4318" s="683" t="s">
        <v>96</v>
      </c>
      <c r="I4318" s="806"/>
      <c r="J4318" s="806"/>
      <c r="K4318" s="806"/>
    </row>
    <row r="4319" spans="3:12" x14ac:dyDescent="0.2">
      <c r="C4319" s="804"/>
      <c r="D4319" s="805"/>
      <c r="E4319" s="800"/>
      <c r="F4319" s="683"/>
      <c r="G4319" s="683"/>
      <c r="H4319" s="683"/>
      <c r="I4319" s="806"/>
      <c r="J4319" s="806"/>
      <c r="K4319" s="806"/>
    </row>
    <row r="4320" spans="3:12" ht="16" x14ac:dyDescent="0.2">
      <c r="C4320" s="683"/>
      <c r="D4320" s="583" t="s">
        <v>97</v>
      </c>
      <c r="E4320" s="584"/>
      <c r="F4320" s="581"/>
      <c r="G4320" s="585"/>
      <c r="H4320" s="585"/>
      <c r="I4320" s="586"/>
      <c r="J4320" s="586"/>
      <c r="K4320" s="586"/>
    </row>
    <row r="4321" spans="3:12" ht="26" x14ac:dyDescent="0.2">
      <c r="C4321" s="804"/>
      <c r="D4321" s="587"/>
      <c r="E4321" s="588"/>
      <c r="F4321" s="585" t="s">
        <v>383</v>
      </c>
      <c r="G4321" s="585" t="s">
        <v>384</v>
      </c>
      <c r="H4321" s="585" t="s">
        <v>385</v>
      </c>
      <c r="I4321" s="585" t="s">
        <v>386</v>
      </c>
      <c r="J4321" s="585" t="s">
        <v>387</v>
      </c>
      <c r="K4321" s="585" t="s">
        <v>84</v>
      </c>
    </row>
    <row r="4322" spans="3:12" x14ac:dyDescent="0.2">
      <c r="C4322" s="804"/>
      <c r="D4322" s="684" t="s">
        <v>167</v>
      </c>
      <c r="E4322" s="588"/>
      <c r="F4322" s="580"/>
      <c r="G4322" s="579"/>
      <c r="H4322" s="580"/>
      <c r="I4322" s="580"/>
      <c r="J4322" s="580"/>
      <c r="K4322" s="580">
        <f>SUM(F4322:J4322)</f>
        <v>0</v>
      </c>
    </row>
    <row r="4323" spans="3:12" x14ac:dyDescent="0.2">
      <c r="C4323" s="804"/>
      <c r="D4323" s="684" t="s">
        <v>207</v>
      </c>
      <c r="E4323" s="588"/>
      <c r="F4323" s="618"/>
      <c r="G4323" s="619"/>
      <c r="H4323" s="618"/>
      <c r="I4323" s="618"/>
      <c r="J4323" s="618"/>
      <c r="K4323" s="618">
        <f>SUM(F4323:J4323)</f>
        <v>0</v>
      </c>
    </row>
    <row r="4324" spans="3:12" x14ac:dyDescent="0.2">
      <c r="C4324" s="683"/>
      <c r="D4324" s="684" t="s">
        <v>100</v>
      </c>
      <c r="E4324" s="588"/>
      <c r="F4324" s="581"/>
      <c r="G4324" s="581"/>
      <c r="H4324" s="581"/>
      <c r="I4324" s="581"/>
      <c r="J4324" s="581"/>
      <c r="K4324" s="581">
        <f>SUM(F4324:J4324)</f>
        <v>0</v>
      </c>
    </row>
    <row r="4325" spans="3:12" x14ac:dyDescent="0.2">
      <c r="C4325" s="683"/>
      <c r="D4325" s="684" t="s">
        <v>101</v>
      </c>
      <c r="E4325" s="588"/>
      <c r="F4325" s="581"/>
      <c r="G4325" s="581"/>
      <c r="H4325" s="581"/>
      <c r="I4325" s="581"/>
      <c r="J4325" s="581"/>
      <c r="K4325" s="581">
        <f>SUM(F4325:J4325)</f>
        <v>0</v>
      </c>
    </row>
    <row r="4326" spans="3:12" ht="16" thickBot="1" x14ac:dyDescent="0.25">
      <c r="C4326" s="683"/>
      <c r="D4326" s="597" t="s">
        <v>102</v>
      </c>
      <c r="E4326" s="598"/>
      <c r="F4326" s="599">
        <v>8</v>
      </c>
      <c r="G4326" s="600">
        <v>13</v>
      </c>
      <c r="H4326" s="600">
        <v>6</v>
      </c>
      <c r="I4326" s="600">
        <v>8</v>
      </c>
      <c r="J4326" s="600">
        <v>8</v>
      </c>
      <c r="K4326" s="600">
        <f>SUM(F4326:J4326)</f>
        <v>43</v>
      </c>
    </row>
    <row r="4327" spans="3:12" ht="17" thickBot="1" x14ac:dyDescent="0.25">
      <c r="C4327" s="605"/>
      <c r="D4327" s="612" t="s">
        <v>84</v>
      </c>
      <c r="E4327" s="613"/>
      <c r="F4327" s="614">
        <f t="shared" ref="F4327:K4327" si="228">(F4323+F4326)-F4325-F4324</f>
        <v>8</v>
      </c>
      <c r="G4327" s="615">
        <f t="shared" si="228"/>
        <v>13</v>
      </c>
      <c r="H4327" s="616">
        <f t="shared" si="228"/>
        <v>6</v>
      </c>
      <c r="I4327" s="615">
        <f t="shared" si="228"/>
        <v>8</v>
      </c>
      <c r="J4327" s="622">
        <f t="shared" si="228"/>
        <v>8</v>
      </c>
      <c r="K4327" s="617">
        <f t="shared" si="228"/>
        <v>43</v>
      </c>
    </row>
    <row r="4328" spans="3:12" ht="16" x14ac:dyDescent="0.2">
      <c r="C4328" s="683"/>
      <c r="D4328" s="608"/>
      <c r="E4328" s="609"/>
      <c r="F4328" s="610"/>
      <c r="G4328" s="595"/>
      <c r="H4328" s="611"/>
      <c r="I4328" s="595"/>
      <c r="J4328" s="595"/>
      <c r="K4328" s="595"/>
    </row>
    <row r="4329" spans="3:12" ht="16" thickBot="1" x14ac:dyDescent="0.25">
      <c r="C4329" s="606" t="s">
        <v>388</v>
      </c>
      <c r="D4329" s="607" t="s">
        <v>103</v>
      </c>
      <c r="E4329" s="603" t="s">
        <v>84</v>
      </c>
      <c r="F4329" s="602" t="s">
        <v>78</v>
      </c>
      <c r="G4329" s="602" t="s">
        <v>79</v>
      </c>
      <c r="H4329" s="602" t="s">
        <v>81</v>
      </c>
      <c r="I4329" s="601" t="s">
        <v>316</v>
      </c>
      <c r="J4329" s="601" t="s">
        <v>85</v>
      </c>
      <c r="K4329" s="601" t="s">
        <v>84</v>
      </c>
      <c r="L4329" s="174" t="s">
        <v>389</v>
      </c>
    </row>
    <row r="4330" spans="3:12" x14ac:dyDescent="0.2">
      <c r="C4330" s="589"/>
      <c r="D4330" s="604" t="s">
        <v>105</v>
      </c>
      <c r="E4330" s="591">
        <f>(F4330+G4330+H4330+I4330+J4330)*100+(0*230)</f>
        <v>0</v>
      </c>
      <c r="F4330" s="3"/>
      <c r="G4330" s="3"/>
      <c r="H4330" s="3"/>
      <c r="I4330" s="3"/>
      <c r="J4330" s="3"/>
      <c r="K4330" s="628">
        <f t="shared" ref="K4330:K4352" si="229">SUM(F4330:J4330)</f>
        <v>0</v>
      </c>
      <c r="L4330" s="630">
        <f>K4330/4</f>
        <v>0</v>
      </c>
    </row>
    <row r="4331" spans="3:12" x14ac:dyDescent="0.2">
      <c r="C4331" s="589"/>
      <c r="D4331" s="590" t="s">
        <v>390</v>
      </c>
      <c r="E4331" s="591">
        <f>(F4331+G4331+H4331+I4331+J4331)*120</f>
        <v>0</v>
      </c>
      <c r="F4331" s="3"/>
      <c r="G4331" s="3"/>
      <c r="H4331" s="3"/>
      <c r="I4331" s="3"/>
      <c r="J4331" s="3"/>
      <c r="K4331" s="628">
        <f t="shared" si="229"/>
        <v>0</v>
      </c>
      <c r="L4331" s="630">
        <f t="shared" ref="L4331:L4352" si="230">K4331/4</f>
        <v>0</v>
      </c>
    </row>
    <row r="4332" spans="3:12" x14ac:dyDescent="0.2">
      <c r="C4332" s="589"/>
      <c r="D4332" s="590" t="s">
        <v>391</v>
      </c>
      <c r="E4332" s="591">
        <f>(F4332+G4332+H4332+I4332+J4332)*120</f>
        <v>0</v>
      </c>
      <c r="F4332" s="3"/>
      <c r="G4332" s="3"/>
      <c r="H4332" s="3"/>
      <c r="I4332" s="3"/>
      <c r="J4332" s="3"/>
      <c r="K4332" s="628">
        <f t="shared" si="229"/>
        <v>0</v>
      </c>
      <c r="L4332" s="630">
        <f t="shared" si="230"/>
        <v>0</v>
      </c>
    </row>
    <row r="4333" spans="3:12" x14ac:dyDescent="0.2">
      <c r="C4333" s="589"/>
      <c r="D4333" s="590" t="s">
        <v>392</v>
      </c>
      <c r="E4333" s="591">
        <f>(F4333+G4333+H4333+I4333+J4333)*120</f>
        <v>0</v>
      </c>
      <c r="F4333" s="3"/>
      <c r="G4333" s="3"/>
      <c r="H4333" s="3"/>
      <c r="I4333" s="3"/>
      <c r="J4333" s="3"/>
      <c r="K4333" s="628">
        <f t="shared" si="229"/>
        <v>0</v>
      </c>
      <c r="L4333" s="630">
        <f t="shared" si="230"/>
        <v>0</v>
      </c>
    </row>
    <row r="4334" spans="3:12" x14ac:dyDescent="0.2">
      <c r="C4334" s="589"/>
      <c r="D4334" s="590" t="s">
        <v>425</v>
      </c>
      <c r="E4334" s="591">
        <f>(F4334+G4334+H4334+I4334+J4334)*120</f>
        <v>0</v>
      </c>
      <c r="F4334" s="3"/>
      <c r="G4334" s="3"/>
      <c r="H4334" s="3"/>
      <c r="I4334" s="3"/>
      <c r="J4334" s="3"/>
      <c r="K4334" s="628">
        <f t="shared" si="229"/>
        <v>0</v>
      </c>
      <c r="L4334" s="630">
        <f t="shared" si="230"/>
        <v>0</v>
      </c>
    </row>
    <row r="4335" spans="3:12" x14ac:dyDescent="0.2">
      <c r="C4335" s="589"/>
      <c r="D4335" s="590"/>
      <c r="E4335" s="591"/>
      <c r="F4335" s="3"/>
      <c r="G4335" s="3"/>
      <c r="H4335" s="3"/>
      <c r="I4335" s="3"/>
      <c r="J4335" s="3"/>
      <c r="K4335" s="628">
        <f t="shared" si="229"/>
        <v>0</v>
      </c>
      <c r="L4335" s="630">
        <f t="shared" si="230"/>
        <v>0</v>
      </c>
    </row>
    <row r="4336" spans="3:12" x14ac:dyDescent="0.2">
      <c r="C4336" s="589"/>
      <c r="D4336" s="590" t="s">
        <v>108</v>
      </c>
      <c r="E4336" s="591">
        <f>(F4336+G4336+H4336+J4336)*112.7+(I4336*119.6)</f>
        <v>0</v>
      </c>
      <c r="F4336" s="3"/>
      <c r="G4336" s="3"/>
      <c r="H4336" s="3"/>
      <c r="I4336" s="3"/>
      <c r="J4336" s="3"/>
      <c r="K4336" s="628">
        <f t="shared" si="229"/>
        <v>0</v>
      </c>
      <c r="L4336" s="630">
        <f t="shared" si="230"/>
        <v>0</v>
      </c>
    </row>
    <row r="4337" spans="3:12" x14ac:dyDescent="0.2">
      <c r="C4337" s="589"/>
      <c r="D4337" s="590" t="s">
        <v>393</v>
      </c>
      <c r="E4337" s="591">
        <f>(F4337+G4337+H4337+J4337)*112.7+(I4337*119.6)</f>
        <v>0</v>
      </c>
      <c r="F4337" s="3"/>
      <c r="G4337" s="3"/>
      <c r="H4337" s="3"/>
      <c r="I4337" s="3"/>
      <c r="J4337" s="3"/>
      <c r="K4337" s="628">
        <f t="shared" si="229"/>
        <v>0</v>
      </c>
      <c r="L4337" s="630">
        <f t="shared" si="230"/>
        <v>0</v>
      </c>
    </row>
    <row r="4338" spans="3:12" x14ac:dyDescent="0.2">
      <c r="C4338" s="589"/>
      <c r="D4338" s="590" t="s">
        <v>216</v>
      </c>
      <c r="E4338" s="591">
        <f>(F4338+G4338+H4338+J4338)*112.7+(I4338*119.6)</f>
        <v>0</v>
      </c>
      <c r="F4338" s="3"/>
      <c r="G4338" s="3"/>
      <c r="H4338" s="3"/>
      <c r="I4338" s="3"/>
      <c r="J4338" s="3"/>
      <c r="K4338" s="628">
        <f t="shared" si="229"/>
        <v>0</v>
      </c>
      <c r="L4338" s="630">
        <f t="shared" si="230"/>
        <v>0</v>
      </c>
    </row>
    <row r="4339" spans="3:12" x14ac:dyDescent="0.2">
      <c r="C4339" s="589"/>
      <c r="D4339" s="590"/>
      <c r="E4339" s="591"/>
      <c r="F4339" s="3"/>
      <c r="G4339" s="3"/>
      <c r="H4339" s="3"/>
      <c r="I4339" s="3"/>
      <c r="J4339" s="3"/>
      <c r="K4339" s="628">
        <f t="shared" si="229"/>
        <v>0</v>
      </c>
      <c r="L4339" s="630">
        <f t="shared" si="230"/>
        <v>0</v>
      </c>
    </row>
    <row r="4340" spans="3:12" x14ac:dyDescent="0.2">
      <c r="C4340" s="589"/>
      <c r="D4340" s="590" t="s">
        <v>394</v>
      </c>
      <c r="E4340" s="591">
        <f>(F4340+G4340+H4340+I4340+J4340)*120</f>
        <v>0</v>
      </c>
      <c r="F4340" s="3"/>
      <c r="G4340" s="3"/>
      <c r="H4340" s="3"/>
      <c r="I4340" s="3"/>
      <c r="J4340" s="3"/>
      <c r="K4340" s="628">
        <f t="shared" si="229"/>
        <v>0</v>
      </c>
      <c r="L4340" s="630">
        <f t="shared" si="230"/>
        <v>0</v>
      </c>
    </row>
    <row r="4341" spans="3:12" x14ac:dyDescent="0.2">
      <c r="C4341" s="589"/>
      <c r="D4341" s="590" t="s">
        <v>110</v>
      </c>
      <c r="E4341" s="591">
        <f>(F4341+G4341+H4341+J4341)*112.7+(I4341*119.6)</f>
        <v>0</v>
      </c>
      <c r="F4341" s="3"/>
      <c r="G4341" s="3"/>
      <c r="H4341" s="3"/>
      <c r="I4341" s="3"/>
      <c r="J4341" s="3"/>
      <c r="K4341" s="628">
        <f t="shared" si="229"/>
        <v>0</v>
      </c>
      <c r="L4341" s="630">
        <f t="shared" si="230"/>
        <v>0</v>
      </c>
    </row>
    <row r="4342" spans="3:12" x14ac:dyDescent="0.2">
      <c r="C4342" s="589"/>
      <c r="D4342" s="590"/>
      <c r="E4342" s="591"/>
      <c r="F4342" s="3"/>
      <c r="G4342" s="3"/>
      <c r="H4342" s="3"/>
      <c r="I4342" s="3"/>
      <c r="J4342" s="3"/>
      <c r="K4342" s="628">
        <f t="shared" si="229"/>
        <v>0</v>
      </c>
      <c r="L4342" s="630">
        <f t="shared" si="230"/>
        <v>0</v>
      </c>
    </row>
    <row r="4343" spans="3:12" x14ac:dyDescent="0.2">
      <c r="C4343" s="589"/>
      <c r="D4343" s="590" t="s">
        <v>381</v>
      </c>
      <c r="E4343" s="591">
        <f>(F4343+G4343+H4343+I4343+J4343)*120+(240*0)+(0*45)</f>
        <v>0</v>
      </c>
      <c r="F4343" s="3"/>
      <c r="G4343" s="3"/>
      <c r="H4343" s="3"/>
      <c r="I4343" s="3"/>
      <c r="J4343" s="3"/>
      <c r="K4343" s="628">
        <f t="shared" si="229"/>
        <v>0</v>
      </c>
      <c r="L4343" s="630">
        <f t="shared" si="230"/>
        <v>0</v>
      </c>
    </row>
    <row r="4344" spans="3:12" x14ac:dyDescent="0.2">
      <c r="C4344" s="589" t="s">
        <v>1103</v>
      </c>
      <c r="D4344" s="590" t="s">
        <v>276</v>
      </c>
      <c r="E4344" s="591">
        <f>(F4344+G4344+H4344+J4344)*112.7+(I4344*119.6)</f>
        <v>3661.6000000000004</v>
      </c>
      <c r="F4344" s="3">
        <v>8</v>
      </c>
      <c r="G4344" s="3">
        <v>8</v>
      </c>
      <c r="H4344" s="3"/>
      <c r="I4344" s="3">
        <v>8</v>
      </c>
      <c r="J4344" s="3">
        <v>8</v>
      </c>
      <c r="K4344" s="628">
        <f t="shared" si="229"/>
        <v>32</v>
      </c>
      <c r="L4344" s="630">
        <f t="shared" si="230"/>
        <v>8</v>
      </c>
    </row>
    <row r="4345" spans="3:12" x14ac:dyDescent="0.2">
      <c r="C4345" s="589"/>
      <c r="D4345" s="590"/>
      <c r="E4345" s="591"/>
      <c r="F4345" s="3"/>
      <c r="G4345" s="3"/>
      <c r="H4345" s="3"/>
      <c r="I4345" s="3"/>
      <c r="J4345" s="3"/>
      <c r="K4345" s="628">
        <f t="shared" si="229"/>
        <v>0</v>
      </c>
      <c r="L4345" s="630">
        <f t="shared" si="230"/>
        <v>0</v>
      </c>
    </row>
    <row r="4346" spans="3:12" x14ac:dyDescent="0.2">
      <c r="C4346" s="589"/>
      <c r="D4346" s="590" t="s">
        <v>75</v>
      </c>
      <c r="E4346" s="591">
        <f>(F4346+G4346+H4346+I4346+J4346)*120</f>
        <v>0</v>
      </c>
      <c r="F4346" s="3"/>
      <c r="G4346" s="3"/>
      <c r="H4346" s="3"/>
      <c r="I4346" s="3"/>
      <c r="J4346" s="3"/>
      <c r="K4346" s="628">
        <f t="shared" si="229"/>
        <v>0</v>
      </c>
      <c r="L4346" s="630">
        <f t="shared" si="230"/>
        <v>0</v>
      </c>
    </row>
    <row r="4347" spans="3:12" x14ac:dyDescent="0.2">
      <c r="C4347" s="589"/>
      <c r="D4347" s="590" t="s">
        <v>278</v>
      </c>
      <c r="E4347" s="591">
        <f>(F4347+G4347+H4347+I4347+J4347)*120</f>
        <v>0</v>
      </c>
      <c r="F4347" s="3"/>
      <c r="G4347" s="3"/>
      <c r="H4347" s="3"/>
      <c r="I4347" s="3"/>
      <c r="J4347" s="3"/>
      <c r="K4347" s="628">
        <f t="shared" si="229"/>
        <v>0</v>
      </c>
      <c r="L4347" s="630">
        <f t="shared" si="230"/>
        <v>0</v>
      </c>
    </row>
    <row r="4348" spans="3:12" x14ac:dyDescent="0.2">
      <c r="C4348" s="589"/>
      <c r="D4348" s="590" t="s">
        <v>270</v>
      </c>
      <c r="E4348" s="591">
        <f>(F4348+G4348+H4348+I4348)*112.7+(J4348*119.6)</f>
        <v>0</v>
      </c>
      <c r="F4348" s="3"/>
      <c r="G4348" s="3"/>
      <c r="H4348" s="3"/>
      <c r="I4348" s="3"/>
      <c r="J4348" s="3"/>
      <c r="K4348" s="628">
        <f t="shared" si="229"/>
        <v>0</v>
      </c>
      <c r="L4348" s="630">
        <f t="shared" si="230"/>
        <v>0</v>
      </c>
    </row>
    <row r="4349" spans="3:12" x14ac:dyDescent="0.2">
      <c r="C4349" s="589"/>
      <c r="D4349" s="590" t="s">
        <v>274</v>
      </c>
      <c r="E4349" s="591">
        <f>(F4349+G4349+H4349+I4349)*112.7+(J4349*119.6)</f>
        <v>0</v>
      </c>
      <c r="F4349" s="3"/>
      <c r="G4349" s="3"/>
      <c r="H4349" s="3"/>
      <c r="I4349" s="3"/>
      <c r="J4349" s="3"/>
      <c r="K4349" s="628">
        <f t="shared" si="229"/>
        <v>0</v>
      </c>
      <c r="L4349" s="630">
        <f t="shared" si="230"/>
        <v>0</v>
      </c>
    </row>
    <row r="4350" spans="3:12" x14ac:dyDescent="0.2">
      <c r="C4350" s="589"/>
      <c r="D4350" s="590" t="s">
        <v>395</v>
      </c>
      <c r="E4350" s="591">
        <f>(F4350+G4350+H4350+I4350)*112.7+(J4350*119.6)</f>
        <v>0</v>
      </c>
      <c r="F4350" s="3"/>
      <c r="G4350" s="3"/>
      <c r="H4350" s="3"/>
      <c r="I4350" s="3"/>
      <c r="J4350" s="3"/>
      <c r="K4350" s="628">
        <f t="shared" si="229"/>
        <v>0</v>
      </c>
      <c r="L4350" s="630">
        <f t="shared" si="230"/>
        <v>0</v>
      </c>
    </row>
    <row r="4351" spans="3:12" x14ac:dyDescent="0.2">
      <c r="C4351" s="683"/>
      <c r="D4351" s="590" t="s">
        <v>112</v>
      </c>
      <c r="E4351" s="591">
        <f>(F4351+G4351+H4351+I4351)*112.7+(J4351*119.6)</f>
        <v>0</v>
      </c>
      <c r="F4351" s="3"/>
      <c r="G4351" s="3"/>
      <c r="H4351" s="3"/>
      <c r="I4351" s="3"/>
      <c r="J4351" s="3"/>
      <c r="K4351" s="628">
        <f t="shared" si="229"/>
        <v>0</v>
      </c>
      <c r="L4351" s="630">
        <f t="shared" si="230"/>
        <v>0</v>
      </c>
    </row>
    <row r="4352" spans="3:12" x14ac:dyDescent="0.2">
      <c r="C4352" s="683"/>
      <c r="D4352" s="590" t="s">
        <v>72</v>
      </c>
      <c r="E4352" s="591">
        <f>(F4352+G4352+H4352+I4352)*112.7+(J4352*119.6)</f>
        <v>0</v>
      </c>
      <c r="F4352" s="3"/>
      <c r="G4352" s="3"/>
      <c r="H4352" s="3"/>
      <c r="I4352" s="3"/>
      <c r="J4352" s="3"/>
      <c r="K4352" s="628">
        <f t="shared" si="229"/>
        <v>0</v>
      </c>
      <c r="L4352" s="630">
        <f t="shared" si="230"/>
        <v>0</v>
      </c>
    </row>
    <row r="4353" spans="3:12" x14ac:dyDescent="0.2">
      <c r="C4353" s="683"/>
      <c r="D4353" s="590" t="s">
        <v>187</v>
      </c>
      <c r="E4353" s="591"/>
      <c r="F4353" s="3"/>
      <c r="G4353" s="3">
        <v>1</v>
      </c>
      <c r="H4353" s="3">
        <v>1</v>
      </c>
      <c r="I4353" s="3"/>
      <c r="J4353" s="3"/>
      <c r="K4353" s="628">
        <f>SUM(F4353:J4353)</f>
        <v>2</v>
      </c>
      <c r="L4353" s="3"/>
    </row>
    <row r="4354" spans="3:12" ht="16" x14ac:dyDescent="0.2">
      <c r="C4354" s="683"/>
      <c r="D4354" s="590" t="s">
        <v>501</v>
      </c>
      <c r="E4354" s="592"/>
      <c r="F4354" s="3"/>
      <c r="G4354" s="3"/>
      <c r="H4354" s="3"/>
      <c r="I4354" s="3"/>
      <c r="J4354" s="3"/>
      <c r="K4354" s="628">
        <f>SUM(F4354:J4354)</f>
        <v>0</v>
      </c>
      <c r="L4354" s="3"/>
    </row>
    <row r="4355" spans="3:12" ht="17" thickBot="1" x14ac:dyDescent="0.25">
      <c r="C4355" s="683"/>
      <c r="D4355" s="590"/>
      <c r="E4355" s="624"/>
      <c r="F4355" s="69"/>
      <c r="G4355" s="69"/>
      <c r="H4355" s="69"/>
      <c r="I4355" s="69"/>
      <c r="J4355" s="69"/>
      <c r="K4355" s="629"/>
      <c r="L4355" s="3"/>
    </row>
    <row r="4356" spans="3:12" ht="16" thickBot="1" x14ac:dyDescent="0.25">
      <c r="C4356" s="596"/>
      <c r="D4356" s="623" t="s">
        <v>19</v>
      </c>
      <c r="E4356" s="625">
        <f>SUM(E4330:E4353)</f>
        <v>3661.6000000000004</v>
      </c>
      <c r="F4356" s="614">
        <f>SUM(F4330:F4355)</f>
        <v>8</v>
      </c>
      <c r="G4356" s="614">
        <f>SUM(G4330:G4355)</f>
        <v>9</v>
      </c>
      <c r="H4356" s="614">
        <f>SUM(H4330:H4355)</f>
        <v>1</v>
      </c>
      <c r="I4356" s="614">
        <f>SUM(I4330:I4355)</f>
        <v>8</v>
      </c>
      <c r="J4356" s="614">
        <f>SUM(J4330:J4355)</f>
        <v>8</v>
      </c>
      <c r="K4356" s="626">
        <f>SUM(F4356:J4356)</f>
        <v>34</v>
      </c>
      <c r="L4356" s="631">
        <f>SUM(L4330:L4355)</f>
        <v>8</v>
      </c>
    </row>
    <row r="4357" spans="3:12" x14ac:dyDescent="0.2">
      <c r="C4357" s="596"/>
      <c r="D4357" s="593" t="s">
        <v>113</v>
      </c>
      <c r="E4357" s="620"/>
      <c r="F4357" s="610">
        <f>F4327-F4356</f>
        <v>0</v>
      </c>
      <c r="G4357" s="610">
        <f>G4327-G4356</f>
        <v>4</v>
      </c>
      <c r="H4357" s="610">
        <f>H4327-H4356</f>
        <v>5</v>
      </c>
      <c r="I4357" s="610">
        <f>I4327-I4356</f>
        <v>0</v>
      </c>
      <c r="J4357" s="610">
        <f>J4327-J4356</f>
        <v>0</v>
      </c>
      <c r="K4357" s="636">
        <f>SUM(F4357:J4357)</f>
        <v>9</v>
      </c>
      <c r="L4357" s="3"/>
    </row>
    <row r="4358" spans="3:12" x14ac:dyDescent="0.2">
      <c r="C4358" s="683"/>
      <c r="D4358" s="593" t="s">
        <v>436</v>
      </c>
      <c r="E4358" s="594"/>
      <c r="F4358" s="581"/>
      <c r="G4358" s="581"/>
      <c r="H4358" s="581"/>
      <c r="I4358" s="581"/>
      <c r="J4358" s="581"/>
      <c r="K4358" s="637">
        <f>K4356+K4357</f>
        <v>43</v>
      </c>
      <c r="L4358" s="3"/>
    </row>
    <row r="4360" spans="3:12" ht="18" x14ac:dyDescent="0.2">
      <c r="C4360" s="685" t="s">
        <v>412</v>
      </c>
      <c r="D4360" s="582">
        <v>45786</v>
      </c>
      <c r="E4360" s="800"/>
      <c r="F4360" s="685" t="s">
        <v>83</v>
      </c>
      <c r="G4360" s="801" t="s">
        <v>67</v>
      </c>
      <c r="H4360" s="802"/>
      <c r="I4360" s="802"/>
      <c r="J4360" s="802"/>
      <c r="K4360" s="803"/>
    </row>
    <row r="4361" spans="3:12" x14ac:dyDescent="0.2">
      <c r="C4361" s="804"/>
      <c r="D4361" s="805"/>
      <c r="E4361" s="800"/>
      <c r="F4361" s="683" t="s">
        <v>93</v>
      </c>
      <c r="G4361" s="683" t="s">
        <v>93</v>
      </c>
      <c r="H4361" s="683"/>
      <c r="I4361" s="806"/>
      <c r="J4361" s="806"/>
      <c r="K4361" s="806"/>
    </row>
    <row r="4362" spans="3:12" x14ac:dyDescent="0.2">
      <c r="C4362" s="804"/>
      <c r="D4362" s="805"/>
      <c r="E4362" s="800"/>
      <c r="F4362" s="683" t="s">
        <v>94</v>
      </c>
      <c r="G4362" s="683" t="s">
        <v>95</v>
      </c>
      <c r="H4362" s="683" t="s">
        <v>96</v>
      </c>
      <c r="I4362" s="806"/>
      <c r="J4362" s="806"/>
      <c r="K4362" s="806"/>
    </row>
    <row r="4363" spans="3:12" x14ac:dyDescent="0.2">
      <c r="C4363" s="804"/>
      <c r="D4363" s="805"/>
      <c r="E4363" s="800"/>
      <c r="F4363" s="683"/>
      <c r="G4363" s="683"/>
      <c r="H4363" s="683"/>
      <c r="I4363" s="806"/>
      <c r="J4363" s="806"/>
      <c r="K4363" s="806"/>
    </row>
    <row r="4364" spans="3:12" ht="16" x14ac:dyDescent="0.2">
      <c r="C4364" s="683"/>
      <c r="D4364" s="583" t="s">
        <v>97</v>
      </c>
      <c r="E4364" s="584"/>
      <c r="F4364" s="581"/>
      <c r="G4364" s="585"/>
      <c r="H4364" s="585"/>
      <c r="I4364" s="586"/>
      <c r="J4364" s="586"/>
      <c r="K4364" s="586"/>
    </row>
    <row r="4365" spans="3:12" ht="26" x14ac:dyDescent="0.2">
      <c r="C4365" s="804"/>
      <c r="D4365" s="587"/>
      <c r="E4365" s="588"/>
      <c r="F4365" s="585" t="s">
        <v>383</v>
      </c>
      <c r="G4365" s="585" t="s">
        <v>384</v>
      </c>
      <c r="H4365" s="585" t="s">
        <v>385</v>
      </c>
      <c r="I4365" s="585" t="s">
        <v>386</v>
      </c>
      <c r="J4365" s="585" t="s">
        <v>387</v>
      </c>
      <c r="K4365" s="585" t="s">
        <v>84</v>
      </c>
    </row>
    <row r="4366" spans="3:12" x14ac:dyDescent="0.2">
      <c r="C4366" s="804"/>
      <c r="D4366" s="684" t="s">
        <v>167</v>
      </c>
      <c r="E4366" s="588"/>
      <c r="F4366" s="580">
        <v>12</v>
      </c>
      <c r="G4366" s="579">
        <v>7</v>
      </c>
      <c r="H4366" s="580">
        <v>4</v>
      </c>
      <c r="I4366" s="580">
        <v>6</v>
      </c>
      <c r="J4366" s="580">
        <v>8</v>
      </c>
      <c r="K4366" s="580">
        <f>SUM(F4366:J4366)</f>
        <v>37</v>
      </c>
    </row>
    <row r="4367" spans="3:12" x14ac:dyDescent="0.2">
      <c r="C4367" s="804"/>
      <c r="D4367" s="684" t="s">
        <v>207</v>
      </c>
      <c r="E4367" s="588"/>
      <c r="F4367" s="618">
        <v>84</v>
      </c>
      <c r="G4367" s="619">
        <v>49</v>
      </c>
      <c r="H4367" s="618">
        <v>28</v>
      </c>
      <c r="I4367" s="618">
        <v>66</v>
      </c>
      <c r="J4367" s="618">
        <v>70</v>
      </c>
      <c r="K4367" s="618">
        <f>SUM(F4367:J4367)</f>
        <v>297</v>
      </c>
    </row>
    <row r="4368" spans="3:12" x14ac:dyDescent="0.2">
      <c r="C4368" s="683"/>
      <c r="D4368" s="684" t="s">
        <v>100</v>
      </c>
      <c r="E4368" s="588"/>
      <c r="F4368" s="581"/>
      <c r="G4368" s="581"/>
      <c r="H4368" s="581"/>
      <c r="I4368" s="581"/>
      <c r="J4368" s="581"/>
      <c r="K4368" s="581">
        <f>SUM(F4368:J4368)</f>
        <v>0</v>
      </c>
    </row>
    <row r="4369" spans="3:12" x14ac:dyDescent="0.2">
      <c r="C4369" s="683"/>
      <c r="D4369" s="684" t="s">
        <v>101</v>
      </c>
      <c r="E4369" s="588"/>
      <c r="F4369" s="581">
        <v>2</v>
      </c>
      <c r="G4369" s="581"/>
      <c r="H4369" s="581">
        <v>1</v>
      </c>
      <c r="I4369" s="581"/>
      <c r="J4369" s="581"/>
      <c r="K4369" s="581">
        <f>SUM(F4369:J4369)</f>
        <v>3</v>
      </c>
    </row>
    <row r="4370" spans="3:12" ht="16" thickBot="1" x14ac:dyDescent="0.25">
      <c r="C4370" s="683"/>
      <c r="D4370" s="597" t="s">
        <v>102</v>
      </c>
      <c r="E4370" s="598"/>
      <c r="F4370" s="599">
        <v>1</v>
      </c>
      <c r="G4370" s="600">
        <v>4</v>
      </c>
      <c r="H4370" s="600">
        <v>5</v>
      </c>
      <c r="I4370" s="600"/>
      <c r="J4370" s="600"/>
      <c r="K4370" s="600">
        <f>SUM(F4370:J4370)</f>
        <v>10</v>
      </c>
    </row>
    <row r="4371" spans="3:12" ht="17" thickBot="1" x14ac:dyDescent="0.25">
      <c r="C4371" s="605"/>
      <c r="D4371" s="612" t="s">
        <v>84</v>
      </c>
      <c r="E4371" s="613"/>
      <c r="F4371" s="614">
        <f t="shared" ref="F4371:K4371" si="231">(F4367+F4370)-F4369-F4368</f>
        <v>83</v>
      </c>
      <c r="G4371" s="615">
        <f t="shared" si="231"/>
        <v>53</v>
      </c>
      <c r="H4371" s="616">
        <f t="shared" si="231"/>
        <v>32</v>
      </c>
      <c r="I4371" s="615">
        <f t="shared" si="231"/>
        <v>66</v>
      </c>
      <c r="J4371" s="622">
        <f t="shared" si="231"/>
        <v>70</v>
      </c>
      <c r="K4371" s="617">
        <f t="shared" si="231"/>
        <v>304</v>
      </c>
    </row>
    <row r="4372" spans="3:12" ht="16" x14ac:dyDescent="0.2">
      <c r="C4372" s="683"/>
      <c r="D4372" s="608"/>
      <c r="E4372" s="609"/>
      <c r="F4372" s="610"/>
      <c r="G4372" s="595"/>
      <c r="H4372" s="611"/>
      <c r="I4372" s="595"/>
      <c r="J4372" s="595"/>
      <c r="K4372" s="595"/>
    </row>
    <row r="4373" spans="3:12" ht="16" thickBot="1" x14ac:dyDescent="0.25">
      <c r="C4373" s="606" t="s">
        <v>388</v>
      </c>
      <c r="D4373" s="607" t="s">
        <v>103</v>
      </c>
      <c r="E4373" s="603" t="s">
        <v>84</v>
      </c>
      <c r="F4373" s="602" t="s">
        <v>78</v>
      </c>
      <c r="G4373" s="602" t="s">
        <v>79</v>
      </c>
      <c r="H4373" s="602" t="s">
        <v>81</v>
      </c>
      <c r="I4373" s="601" t="s">
        <v>316</v>
      </c>
      <c r="J4373" s="601" t="s">
        <v>85</v>
      </c>
      <c r="K4373" s="601" t="s">
        <v>84</v>
      </c>
      <c r="L4373" s="174" t="s">
        <v>389</v>
      </c>
    </row>
    <row r="4374" spans="3:12" x14ac:dyDescent="0.2">
      <c r="C4374" s="589" t="s">
        <v>1105</v>
      </c>
      <c r="D4374" s="604" t="s">
        <v>105</v>
      </c>
      <c r="E4374" s="591">
        <f>(F4374+G4374+H4374+I4374+J4374)*100+(0*230)</f>
        <v>6500</v>
      </c>
      <c r="F4374" s="3">
        <v>11</v>
      </c>
      <c r="G4374" s="3">
        <v>15</v>
      </c>
      <c r="H4374" s="3">
        <v>13</v>
      </c>
      <c r="I4374" s="3">
        <v>11</v>
      </c>
      <c r="J4374" s="3">
        <v>15</v>
      </c>
      <c r="K4374" s="628">
        <f t="shared" ref="K4374:K4396" si="232">SUM(F4374:J4374)</f>
        <v>65</v>
      </c>
      <c r="L4374" s="630">
        <f>K4374/4</f>
        <v>16.25</v>
      </c>
    </row>
    <row r="4375" spans="3:12" x14ac:dyDescent="0.2">
      <c r="C4375" s="589"/>
      <c r="D4375" s="590" t="s">
        <v>390</v>
      </c>
      <c r="E4375" s="591">
        <f>(F4375+G4375+H4375+I4375+J4375)*120</f>
        <v>0</v>
      </c>
      <c r="F4375" s="3"/>
      <c r="G4375" s="3"/>
      <c r="H4375" s="3"/>
      <c r="I4375" s="3"/>
      <c r="J4375" s="3"/>
      <c r="K4375" s="628">
        <f t="shared" si="232"/>
        <v>0</v>
      </c>
      <c r="L4375" s="630">
        <f t="shared" ref="L4375:L4396" si="233">K4375/4</f>
        <v>0</v>
      </c>
    </row>
    <row r="4376" spans="3:12" x14ac:dyDescent="0.2">
      <c r="C4376" s="589"/>
      <c r="D4376" s="590" t="s">
        <v>391</v>
      </c>
      <c r="E4376" s="591">
        <f>(F4376+G4376+H4376+I4376+J4376)*120</f>
        <v>0</v>
      </c>
      <c r="F4376" s="3"/>
      <c r="G4376" s="3"/>
      <c r="H4376" s="3"/>
      <c r="I4376" s="3"/>
      <c r="J4376" s="3"/>
      <c r="K4376" s="628">
        <f t="shared" si="232"/>
        <v>0</v>
      </c>
      <c r="L4376" s="630">
        <f t="shared" si="233"/>
        <v>0</v>
      </c>
    </row>
    <row r="4377" spans="3:12" x14ac:dyDescent="0.2">
      <c r="C4377" s="589" t="s">
        <v>984</v>
      </c>
      <c r="D4377" s="590" t="s">
        <v>392</v>
      </c>
      <c r="E4377" s="591">
        <f>(F4377+G4377+H4377+I4377+J4377)*120</f>
        <v>2280</v>
      </c>
      <c r="F4377" s="3">
        <v>6</v>
      </c>
      <c r="G4377" s="3">
        <v>2</v>
      </c>
      <c r="H4377" s="3">
        <v>5</v>
      </c>
      <c r="I4377" s="3"/>
      <c r="J4377" s="3">
        <v>6</v>
      </c>
      <c r="K4377" s="628">
        <f t="shared" si="232"/>
        <v>19</v>
      </c>
      <c r="L4377" s="630">
        <f t="shared" si="233"/>
        <v>4.75</v>
      </c>
    </row>
    <row r="4378" spans="3:12" x14ac:dyDescent="0.2">
      <c r="C4378" s="589"/>
      <c r="D4378" s="590" t="s">
        <v>425</v>
      </c>
      <c r="E4378" s="591">
        <f>(F4378+G4378+H4378+I4378+J4378)*120</f>
        <v>0</v>
      </c>
      <c r="F4378" s="3"/>
      <c r="G4378" s="3"/>
      <c r="H4378" s="3"/>
      <c r="I4378" s="3"/>
      <c r="J4378" s="3"/>
      <c r="K4378" s="628">
        <f t="shared" si="232"/>
        <v>0</v>
      </c>
      <c r="L4378" s="630">
        <f t="shared" si="233"/>
        <v>0</v>
      </c>
    </row>
    <row r="4379" spans="3:12" x14ac:dyDescent="0.2">
      <c r="C4379" s="589"/>
      <c r="D4379" s="590"/>
      <c r="E4379" s="591"/>
      <c r="F4379" s="3"/>
      <c r="G4379" s="3"/>
      <c r="H4379" s="3"/>
      <c r="I4379" s="3"/>
      <c r="J4379" s="3"/>
      <c r="K4379" s="628">
        <f t="shared" si="232"/>
        <v>0</v>
      </c>
      <c r="L4379" s="630">
        <f t="shared" si="233"/>
        <v>0</v>
      </c>
    </row>
    <row r="4380" spans="3:12" x14ac:dyDescent="0.2">
      <c r="C4380" s="589" t="s">
        <v>1108</v>
      </c>
      <c r="D4380" s="590" t="s">
        <v>108</v>
      </c>
      <c r="E4380" s="591">
        <f>(F4380+G4380+H4380+J4380)*112.7+(I4380*119.6)</f>
        <v>4577</v>
      </c>
      <c r="F4380" s="3">
        <v>10</v>
      </c>
      <c r="G4380" s="3">
        <v>5</v>
      </c>
      <c r="H4380" s="3">
        <v>5</v>
      </c>
      <c r="I4380" s="3">
        <v>10</v>
      </c>
      <c r="J4380" s="3">
        <v>10</v>
      </c>
      <c r="K4380" s="628">
        <f t="shared" si="232"/>
        <v>40</v>
      </c>
      <c r="L4380" s="630">
        <f t="shared" si="233"/>
        <v>10</v>
      </c>
    </row>
    <row r="4381" spans="3:12" x14ac:dyDescent="0.2">
      <c r="C4381" s="589" t="s">
        <v>1107</v>
      </c>
      <c r="D4381" s="590" t="s">
        <v>393</v>
      </c>
      <c r="E4381" s="591">
        <f>(F4381+G4381+H4381+J4381)*112.7+(I4381*119.6)</f>
        <v>3197</v>
      </c>
      <c r="F4381" s="3">
        <v>8</v>
      </c>
      <c r="G4381" s="3">
        <v>3</v>
      </c>
      <c r="H4381" s="3">
        <v>3</v>
      </c>
      <c r="I4381" s="3">
        <v>6</v>
      </c>
      <c r="J4381" s="3">
        <v>8</v>
      </c>
      <c r="K4381" s="628">
        <f t="shared" si="232"/>
        <v>28</v>
      </c>
      <c r="L4381" s="630">
        <f t="shared" si="233"/>
        <v>7</v>
      </c>
    </row>
    <row r="4382" spans="3:12" x14ac:dyDescent="0.2">
      <c r="C4382" s="589" t="s">
        <v>1106</v>
      </c>
      <c r="D4382" s="590" t="s">
        <v>216</v>
      </c>
      <c r="E4382" s="591">
        <f>(F4382+G4382+H4382+J4382)*112.7+(I4382*119.6)</f>
        <v>3661.6000000000004</v>
      </c>
      <c r="F4382" s="3">
        <v>8</v>
      </c>
      <c r="G4382" s="3">
        <v>8</v>
      </c>
      <c r="H4382" s="3"/>
      <c r="I4382" s="3">
        <v>8</v>
      </c>
      <c r="J4382" s="3">
        <v>8</v>
      </c>
      <c r="K4382" s="628">
        <f t="shared" si="232"/>
        <v>32</v>
      </c>
      <c r="L4382" s="630">
        <f t="shared" si="233"/>
        <v>8</v>
      </c>
    </row>
    <row r="4383" spans="3:12" x14ac:dyDescent="0.2">
      <c r="C4383" s="589"/>
      <c r="D4383" s="590"/>
      <c r="E4383" s="591"/>
      <c r="F4383" s="3"/>
      <c r="G4383" s="3"/>
      <c r="H4383" s="3"/>
      <c r="I4383" s="3"/>
      <c r="J4383" s="3"/>
      <c r="K4383" s="628">
        <f t="shared" si="232"/>
        <v>0</v>
      </c>
      <c r="L4383" s="630">
        <f t="shared" si="233"/>
        <v>0</v>
      </c>
    </row>
    <row r="4384" spans="3:12" x14ac:dyDescent="0.2">
      <c r="C4384" s="589"/>
      <c r="D4384" s="590" t="s">
        <v>394</v>
      </c>
      <c r="E4384" s="591">
        <f>(F4384+G4384+H4384+I4384+J4384)*120</f>
        <v>0</v>
      </c>
      <c r="F4384" s="3"/>
      <c r="G4384" s="3"/>
      <c r="H4384" s="3"/>
      <c r="I4384" s="3"/>
      <c r="J4384" s="3"/>
      <c r="K4384" s="628">
        <f t="shared" si="232"/>
        <v>0</v>
      </c>
      <c r="L4384" s="630">
        <f t="shared" si="233"/>
        <v>0</v>
      </c>
    </row>
    <row r="4385" spans="3:12" x14ac:dyDescent="0.2">
      <c r="C4385" s="589" t="s">
        <v>1109</v>
      </c>
      <c r="D4385" s="590" t="s">
        <v>110</v>
      </c>
      <c r="E4385" s="591">
        <f>(F4385+G4385+H4385+J4385)*112.7+(I4385*119.6)</f>
        <v>11408</v>
      </c>
      <c r="F4385" s="3">
        <v>40</v>
      </c>
      <c r="G4385" s="3">
        <v>20</v>
      </c>
      <c r="H4385" s="3"/>
      <c r="I4385" s="3">
        <v>20</v>
      </c>
      <c r="J4385" s="3">
        <v>20</v>
      </c>
      <c r="K4385" s="628">
        <f t="shared" si="232"/>
        <v>100</v>
      </c>
      <c r="L4385" s="630">
        <f t="shared" si="233"/>
        <v>25</v>
      </c>
    </row>
    <row r="4386" spans="3:12" x14ac:dyDescent="0.2">
      <c r="C4386" s="589"/>
      <c r="D4386" s="590"/>
      <c r="E4386" s="591"/>
      <c r="F4386" s="3"/>
      <c r="G4386" s="3"/>
      <c r="H4386" s="3"/>
      <c r="I4386" s="3"/>
      <c r="J4386" s="3"/>
      <c r="K4386" s="628">
        <f t="shared" si="232"/>
        <v>0</v>
      </c>
      <c r="L4386" s="630">
        <f t="shared" si="233"/>
        <v>0</v>
      </c>
    </row>
    <row r="4387" spans="3:12" x14ac:dyDescent="0.2">
      <c r="C4387" s="589"/>
      <c r="D4387" s="590" t="s">
        <v>381</v>
      </c>
      <c r="E4387" s="591">
        <f>(F4387+G4387+H4387+I4387+J4387)*120+(240*0)+(0*45)</f>
        <v>0</v>
      </c>
      <c r="F4387" s="3"/>
      <c r="G4387" s="3"/>
      <c r="H4387" s="3"/>
      <c r="I4387" s="3"/>
      <c r="J4387" s="3"/>
      <c r="K4387" s="628">
        <f t="shared" si="232"/>
        <v>0</v>
      </c>
      <c r="L4387" s="630">
        <f t="shared" si="233"/>
        <v>0</v>
      </c>
    </row>
    <row r="4388" spans="3:12" x14ac:dyDescent="0.2">
      <c r="C4388" s="589"/>
      <c r="D4388" s="590" t="s">
        <v>276</v>
      </c>
      <c r="E4388" s="591">
        <f>(F4388+G4388+H4388+J4388)*112.7+(I4388*119.6)</f>
        <v>0</v>
      </c>
      <c r="F4388" s="3"/>
      <c r="G4388" s="3"/>
      <c r="H4388" s="3"/>
      <c r="I4388" s="3"/>
      <c r="J4388" s="3"/>
      <c r="K4388" s="628">
        <f t="shared" si="232"/>
        <v>0</v>
      </c>
      <c r="L4388" s="630">
        <f t="shared" si="233"/>
        <v>0</v>
      </c>
    </row>
    <row r="4389" spans="3:12" x14ac:dyDescent="0.2">
      <c r="C4389" s="589"/>
      <c r="D4389" s="590"/>
      <c r="E4389" s="591"/>
      <c r="F4389" s="3"/>
      <c r="G4389" s="3"/>
      <c r="H4389" s="3"/>
      <c r="I4389" s="3"/>
      <c r="J4389" s="3"/>
      <c r="K4389" s="628">
        <f t="shared" si="232"/>
        <v>0</v>
      </c>
      <c r="L4389" s="630">
        <f t="shared" si="233"/>
        <v>0</v>
      </c>
    </row>
    <row r="4390" spans="3:12" x14ac:dyDescent="0.2">
      <c r="C4390" s="589"/>
      <c r="D4390" s="590" t="s">
        <v>75</v>
      </c>
      <c r="E4390" s="591">
        <f>(F4390+G4390+H4390+I4390+J4390)*120</f>
        <v>0</v>
      </c>
      <c r="F4390" s="3"/>
      <c r="G4390" s="3"/>
      <c r="H4390" s="3"/>
      <c r="I4390" s="3"/>
      <c r="J4390" s="3"/>
      <c r="K4390" s="628">
        <f t="shared" si="232"/>
        <v>0</v>
      </c>
      <c r="L4390" s="630">
        <f t="shared" si="233"/>
        <v>0</v>
      </c>
    </row>
    <row r="4391" spans="3:12" x14ac:dyDescent="0.2">
      <c r="C4391" s="589"/>
      <c r="D4391" s="590" t="s">
        <v>278</v>
      </c>
      <c r="E4391" s="591">
        <f>(F4391+G4391+H4391+I4391+J4391)*120</f>
        <v>0</v>
      </c>
      <c r="F4391" s="3"/>
      <c r="G4391" s="3"/>
      <c r="H4391" s="3"/>
      <c r="I4391" s="3"/>
      <c r="J4391" s="3"/>
      <c r="K4391" s="628">
        <f t="shared" si="232"/>
        <v>0</v>
      </c>
      <c r="L4391" s="630">
        <f t="shared" si="233"/>
        <v>0</v>
      </c>
    </row>
    <row r="4392" spans="3:12" x14ac:dyDescent="0.2">
      <c r="C4392" s="589"/>
      <c r="D4392" s="590" t="s">
        <v>270</v>
      </c>
      <c r="E4392" s="591">
        <f>(F4392+G4392+H4392+I4392)*112.7+(J4392*119.6)</f>
        <v>0</v>
      </c>
      <c r="F4392" s="3"/>
      <c r="G4392" s="3"/>
      <c r="H4392" s="3"/>
      <c r="I4392" s="3"/>
      <c r="J4392" s="3"/>
      <c r="K4392" s="628">
        <f t="shared" si="232"/>
        <v>0</v>
      </c>
      <c r="L4392" s="630">
        <f t="shared" si="233"/>
        <v>0</v>
      </c>
    </row>
    <row r="4393" spans="3:12" x14ac:dyDescent="0.2">
      <c r="C4393" s="589"/>
      <c r="D4393" s="590" t="s">
        <v>274</v>
      </c>
      <c r="E4393" s="591">
        <f>(F4393+G4393+H4393+I4393)*112.7+(J4393*119.6)</f>
        <v>0</v>
      </c>
      <c r="F4393" s="3"/>
      <c r="G4393" s="3"/>
      <c r="H4393" s="3"/>
      <c r="I4393" s="3"/>
      <c r="J4393" s="3"/>
      <c r="K4393" s="628">
        <f t="shared" si="232"/>
        <v>0</v>
      </c>
      <c r="L4393" s="630">
        <f t="shared" si="233"/>
        <v>0</v>
      </c>
    </row>
    <row r="4394" spans="3:12" x14ac:dyDescent="0.2">
      <c r="C4394" s="589"/>
      <c r="D4394" s="590" t="s">
        <v>395</v>
      </c>
      <c r="E4394" s="591">
        <f>(F4394+G4394+H4394+I4394)*112.7+(J4394*119.6)</f>
        <v>0</v>
      </c>
      <c r="F4394" s="3"/>
      <c r="G4394" s="3"/>
      <c r="H4394" s="3"/>
      <c r="I4394" s="3"/>
      <c r="J4394" s="3"/>
      <c r="K4394" s="628">
        <f t="shared" si="232"/>
        <v>0</v>
      </c>
      <c r="L4394" s="630">
        <f t="shared" si="233"/>
        <v>0</v>
      </c>
    </row>
    <row r="4395" spans="3:12" x14ac:dyDescent="0.2">
      <c r="C4395" s="683"/>
      <c r="D4395" s="590" t="s">
        <v>112</v>
      </c>
      <c r="E4395" s="591">
        <f>(F4395+G4395+H4395+I4395)*112.7+(J4395*119.6)</f>
        <v>0</v>
      </c>
      <c r="F4395" s="3"/>
      <c r="G4395" s="3"/>
      <c r="H4395" s="3"/>
      <c r="I4395" s="3"/>
      <c r="J4395" s="3"/>
      <c r="K4395" s="628">
        <f t="shared" si="232"/>
        <v>0</v>
      </c>
      <c r="L4395" s="630">
        <f t="shared" si="233"/>
        <v>0</v>
      </c>
    </row>
    <row r="4396" spans="3:12" x14ac:dyDescent="0.2">
      <c r="C4396" s="683"/>
      <c r="D4396" s="590" t="s">
        <v>72</v>
      </c>
      <c r="E4396" s="591">
        <f>(F4396+G4396+H4396+I4396)*112.7+(J4396*119.6)</f>
        <v>0</v>
      </c>
      <c r="F4396" s="3"/>
      <c r="G4396" s="3"/>
      <c r="H4396" s="3"/>
      <c r="I4396" s="3"/>
      <c r="J4396" s="3"/>
      <c r="K4396" s="628">
        <f t="shared" si="232"/>
        <v>0</v>
      </c>
      <c r="L4396" s="630">
        <f t="shared" si="233"/>
        <v>0</v>
      </c>
    </row>
    <row r="4397" spans="3:12" x14ac:dyDescent="0.2">
      <c r="C4397" s="683"/>
      <c r="D4397" s="590" t="s">
        <v>187</v>
      </c>
      <c r="E4397" s="591"/>
      <c r="F4397" s="3"/>
      <c r="G4397" s="3"/>
      <c r="H4397" s="3">
        <v>1</v>
      </c>
      <c r="I4397" s="3">
        <v>11</v>
      </c>
      <c r="J4397" s="3">
        <v>3</v>
      </c>
      <c r="K4397" s="628">
        <f>SUM(F4397:J4397)</f>
        <v>15</v>
      </c>
      <c r="L4397" s="3"/>
    </row>
    <row r="4398" spans="3:12" ht="16" x14ac:dyDescent="0.2">
      <c r="C4398" s="683"/>
      <c r="D4398" s="590" t="s">
        <v>647</v>
      </c>
      <c r="E4398" s="592"/>
      <c r="F4398" s="3"/>
      <c r="G4398" s="3"/>
      <c r="H4398" s="3">
        <v>1</v>
      </c>
      <c r="I4398" s="3"/>
      <c r="J4398" s="3"/>
      <c r="K4398" s="628">
        <f>SUM(F4398:J4398)</f>
        <v>1</v>
      </c>
      <c r="L4398" s="3"/>
    </row>
    <row r="4399" spans="3:12" ht="17" thickBot="1" x14ac:dyDescent="0.25">
      <c r="C4399" s="683"/>
      <c r="D4399" s="590"/>
      <c r="E4399" s="624"/>
      <c r="F4399" s="69"/>
      <c r="G4399" s="69"/>
      <c r="H4399" s="69"/>
      <c r="I4399" s="69"/>
      <c r="J4399" s="69"/>
      <c r="K4399" s="629"/>
      <c r="L4399" s="3"/>
    </row>
    <row r="4400" spans="3:12" ht="16" thickBot="1" x14ac:dyDescent="0.25">
      <c r="C4400" s="596"/>
      <c r="D4400" s="623" t="s">
        <v>19</v>
      </c>
      <c r="E4400" s="625">
        <f>SUM(E4374:E4397)</f>
        <v>31623.599999999999</v>
      </c>
      <c r="F4400" s="614">
        <f>SUM(F4374:F4399)</f>
        <v>83</v>
      </c>
      <c r="G4400" s="614">
        <f>SUM(G4374:G4399)</f>
        <v>53</v>
      </c>
      <c r="H4400" s="614">
        <f>SUM(H4374:H4399)</f>
        <v>28</v>
      </c>
      <c r="I4400" s="614">
        <f>SUM(I4374:I4399)</f>
        <v>66</v>
      </c>
      <c r="J4400" s="614">
        <f>SUM(J4374:J4399)</f>
        <v>70</v>
      </c>
      <c r="K4400" s="626">
        <f>SUM(F4400:J4400)</f>
        <v>300</v>
      </c>
      <c r="L4400" s="631">
        <f>SUM(L4374:L4399)</f>
        <v>71</v>
      </c>
    </row>
    <row r="4401" spans="3:12" x14ac:dyDescent="0.2">
      <c r="C4401" s="596"/>
      <c r="D4401" s="593" t="s">
        <v>113</v>
      </c>
      <c r="E4401" s="620"/>
      <c r="F4401" s="610">
        <f>F4371-F4400</f>
        <v>0</v>
      </c>
      <c r="G4401" s="610">
        <f>G4371-G4400</f>
        <v>0</v>
      </c>
      <c r="H4401" s="610">
        <f>H4371-H4400</f>
        <v>4</v>
      </c>
      <c r="I4401" s="610">
        <f>I4371-I4400</f>
        <v>0</v>
      </c>
      <c r="J4401" s="610">
        <f>J4371-J4400</f>
        <v>0</v>
      </c>
      <c r="K4401" s="636">
        <f>SUM(F4401:J4401)</f>
        <v>4</v>
      </c>
      <c r="L4401" s="3"/>
    </row>
    <row r="4402" spans="3:12" x14ac:dyDescent="0.2">
      <c r="C4402" s="683"/>
      <c r="D4402" s="593" t="s">
        <v>436</v>
      </c>
      <c r="E4402" s="594"/>
      <c r="F4402" s="581"/>
      <c r="G4402" s="581"/>
      <c r="H4402" s="581"/>
      <c r="I4402" s="581"/>
      <c r="J4402" s="581"/>
      <c r="K4402" s="637">
        <f>K4400+K4401</f>
        <v>304</v>
      </c>
      <c r="L4402" s="3"/>
    </row>
  </sheetData>
  <mergeCells count="600">
    <mergeCell ref="C4321:C4323"/>
    <mergeCell ref="E4360:E4363"/>
    <mergeCell ref="G4360:K4360"/>
    <mergeCell ref="C4361:C4363"/>
    <mergeCell ref="D4361:D4363"/>
    <mergeCell ref="I4361:K4363"/>
    <mergeCell ref="C4365:C4367"/>
    <mergeCell ref="E4272:E4275"/>
    <mergeCell ref="G4272:K4272"/>
    <mergeCell ref="C4273:C4275"/>
    <mergeCell ref="D4273:D4275"/>
    <mergeCell ref="I4273:K4275"/>
    <mergeCell ref="C4277:C4279"/>
    <mergeCell ref="E4316:E4319"/>
    <mergeCell ref="G4316:K4316"/>
    <mergeCell ref="C4317:C4319"/>
    <mergeCell ref="D4317:D4319"/>
    <mergeCell ref="I4317:K4319"/>
    <mergeCell ref="E4096:E4099"/>
    <mergeCell ref="G4096:K4096"/>
    <mergeCell ref="C4097:C4099"/>
    <mergeCell ref="D4097:D4099"/>
    <mergeCell ref="I4097:K4099"/>
    <mergeCell ref="C4101:C4103"/>
    <mergeCell ref="E4008:E4011"/>
    <mergeCell ref="G4008:K4008"/>
    <mergeCell ref="C4009:C4011"/>
    <mergeCell ref="D4009:D4011"/>
    <mergeCell ref="I4009:K4011"/>
    <mergeCell ref="C4013:C4015"/>
    <mergeCell ref="C4057:C4059"/>
    <mergeCell ref="E3920:E3923"/>
    <mergeCell ref="G3920:K3920"/>
    <mergeCell ref="C3921:C3923"/>
    <mergeCell ref="D3921:D3923"/>
    <mergeCell ref="I3921:K3923"/>
    <mergeCell ref="C3925:C3927"/>
    <mergeCell ref="E3964:E3967"/>
    <mergeCell ref="G3964:K3964"/>
    <mergeCell ref="C3965:C3967"/>
    <mergeCell ref="D3965:D3967"/>
    <mergeCell ref="I3965:K3967"/>
    <mergeCell ref="C3969:C3971"/>
    <mergeCell ref="C3440:C3442"/>
    <mergeCell ref="E3611:E3614"/>
    <mergeCell ref="G3611:K3611"/>
    <mergeCell ref="C3612:C3614"/>
    <mergeCell ref="D3612:D3614"/>
    <mergeCell ref="I3612:K3614"/>
    <mergeCell ref="C3616:C3618"/>
    <mergeCell ref="E3655:E3658"/>
    <mergeCell ref="G3655:K3655"/>
    <mergeCell ref="C3656:C3658"/>
    <mergeCell ref="D3656:D3658"/>
    <mergeCell ref="I3656:K3658"/>
    <mergeCell ref="E3567:E3570"/>
    <mergeCell ref="G3567:K3567"/>
    <mergeCell ref="C3568:C3570"/>
    <mergeCell ref="D3568:D3570"/>
    <mergeCell ref="I3568:K3570"/>
    <mergeCell ref="C3572:C3574"/>
    <mergeCell ref="E3787:E3790"/>
    <mergeCell ref="E3743:E3746"/>
    <mergeCell ref="G3743:K3743"/>
    <mergeCell ref="C3744:C3746"/>
    <mergeCell ref="D3744:D3746"/>
    <mergeCell ref="I3348:K3350"/>
    <mergeCell ref="E3523:E3526"/>
    <mergeCell ref="G3523:K3523"/>
    <mergeCell ref="C3524:C3526"/>
    <mergeCell ref="D3524:D3526"/>
    <mergeCell ref="I3524:K3526"/>
    <mergeCell ref="C3528:C3530"/>
    <mergeCell ref="E3391:E3394"/>
    <mergeCell ref="G3391:K3391"/>
    <mergeCell ref="C3392:C3394"/>
    <mergeCell ref="D3392:D3394"/>
    <mergeCell ref="I3392:K3394"/>
    <mergeCell ref="C3396:C3398"/>
    <mergeCell ref="E3479:E3482"/>
    <mergeCell ref="G3479:K3479"/>
    <mergeCell ref="C3480:C3482"/>
    <mergeCell ref="D3480:D3482"/>
    <mergeCell ref="I3480:K3482"/>
    <mergeCell ref="C3484:C3486"/>
    <mergeCell ref="E3435:E3438"/>
    <mergeCell ref="G3435:K3435"/>
    <mergeCell ref="C3436:C3438"/>
    <mergeCell ref="D3436:D3438"/>
    <mergeCell ref="I3436:K3438"/>
    <mergeCell ref="C3352:C3354"/>
    <mergeCell ref="C3176:C3178"/>
    <mergeCell ref="C3264:C3266"/>
    <mergeCell ref="E3215:E3218"/>
    <mergeCell ref="G3215:K3215"/>
    <mergeCell ref="C3216:C3218"/>
    <mergeCell ref="D3216:D3218"/>
    <mergeCell ref="I3216:K3218"/>
    <mergeCell ref="C3220:C3222"/>
    <mergeCell ref="E3259:E3262"/>
    <mergeCell ref="G3259:K3259"/>
    <mergeCell ref="C3260:C3262"/>
    <mergeCell ref="D3260:D3262"/>
    <mergeCell ref="I3260:K3262"/>
    <mergeCell ref="E3303:E3306"/>
    <mergeCell ref="G3303:K3303"/>
    <mergeCell ref="C3304:C3306"/>
    <mergeCell ref="D3304:D3306"/>
    <mergeCell ref="I3304:K3306"/>
    <mergeCell ref="C3308:C3310"/>
    <mergeCell ref="E3347:E3350"/>
    <mergeCell ref="G3347:K3347"/>
    <mergeCell ref="C3348:C3350"/>
    <mergeCell ref="D3348:D3350"/>
    <mergeCell ref="C3088:C3090"/>
    <mergeCell ref="E3127:E3130"/>
    <mergeCell ref="G3127:K3127"/>
    <mergeCell ref="C3128:C3130"/>
    <mergeCell ref="D3128:D3130"/>
    <mergeCell ref="I3128:K3130"/>
    <mergeCell ref="E3171:E3174"/>
    <mergeCell ref="G3171:K3171"/>
    <mergeCell ref="C3172:C3174"/>
    <mergeCell ref="D3172:D3174"/>
    <mergeCell ref="I3172:K3174"/>
    <mergeCell ref="D2952:D2954"/>
    <mergeCell ref="I2952:K2954"/>
    <mergeCell ref="C2956:C2958"/>
    <mergeCell ref="E2995:E2998"/>
    <mergeCell ref="G2995:K2995"/>
    <mergeCell ref="E3083:E3086"/>
    <mergeCell ref="G3083:K3083"/>
    <mergeCell ref="C3084:C3086"/>
    <mergeCell ref="D3084:D3086"/>
    <mergeCell ref="I3084:K3086"/>
    <mergeCell ref="C2820:C2822"/>
    <mergeCell ref="D2820:D2822"/>
    <mergeCell ref="I2820:K2822"/>
    <mergeCell ref="C2824:C2826"/>
    <mergeCell ref="E2863:E2866"/>
    <mergeCell ref="C3132:C3134"/>
    <mergeCell ref="D2864:D2866"/>
    <mergeCell ref="I2864:K2866"/>
    <mergeCell ref="E3039:E3042"/>
    <mergeCell ref="G3039:K3039"/>
    <mergeCell ref="C3040:C3042"/>
    <mergeCell ref="D3040:D3042"/>
    <mergeCell ref="I3040:K3042"/>
    <mergeCell ref="C3044:C3046"/>
    <mergeCell ref="E2907:E2910"/>
    <mergeCell ref="G2907:K2907"/>
    <mergeCell ref="C2908:C2910"/>
    <mergeCell ref="D2908:D2910"/>
    <mergeCell ref="I2908:K2910"/>
    <mergeCell ref="C2912:C2914"/>
    <mergeCell ref="C3000:C3002"/>
    <mergeCell ref="E2951:E2954"/>
    <mergeCell ref="G2951:K2951"/>
    <mergeCell ref="C2952:C2954"/>
    <mergeCell ref="C2428:C2430"/>
    <mergeCell ref="G2379:K2379"/>
    <mergeCell ref="C2380:C2382"/>
    <mergeCell ref="D2380:D2382"/>
    <mergeCell ref="I2380:K2382"/>
    <mergeCell ref="G2863:K2863"/>
    <mergeCell ref="C2340:C2342"/>
    <mergeCell ref="E2423:E2426"/>
    <mergeCell ref="G2423:K2423"/>
    <mergeCell ref="C2424:C2426"/>
    <mergeCell ref="D2424:D2426"/>
    <mergeCell ref="I2424:K2426"/>
    <mergeCell ref="C2384:C2386"/>
    <mergeCell ref="C2780:C2782"/>
    <mergeCell ref="E2379:E2382"/>
    <mergeCell ref="E2467:E2470"/>
    <mergeCell ref="G2467:K2467"/>
    <mergeCell ref="C2468:C2470"/>
    <mergeCell ref="D2468:D2470"/>
    <mergeCell ref="I2468:K2470"/>
    <mergeCell ref="C2472:C2474"/>
    <mergeCell ref="C2648:C2650"/>
    <mergeCell ref="C2604:C2606"/>
    <mergeCell ref="E2555:E2558"/>
    <mergeCell ref="E2291:E2294"/>
    <mergeCell ref="G2291:K2291"/>
    <mergeCell ref="C2292:C2294"/>
    <mergeCell ref="D2292:D2294"/>
    <mergeCell ref="I2292:K2294"/>
    <mergeCell ref="C2296:C2298"/>
    <mergeCell ref="E2335:E2338"/>
    <mergeCell ref="G2335:K2335"/>
    <mergeCell ref="C2336:C2338"/>
    <mergeCell ref="D2336:D2338"/>
    <mergeCell ref="I2336:K2338"/>
    <mergeCell ref="E2159:E2162"/>
    <mergeCell ref="G2159:K2159"/>
    <mergeCell ref="C2160:C2162"/>
    <mergeCell ref="D2160:D2162"/>
    <mergeCell ref="I2160:K2162"/>
    <mergeCell ref="C2164:C2166"/>
    <mergeCell ref="C2252:C2254"/>
    <mergeCell ref="E2203:E2206"/>
    <mergeCell ref="G2203:K2203"/>
    <mergeCell ref="C2204:C2206"/>
    <mergeCell ref="D2204:D2206"/>
    <mergeCell ref="I2204:K2206"/>
    <mergeCell ref="C2208:C2210"/>
    <mergeCell ref="E2247:E2250"/>
    <mergeCell ref="G2247:K2247"/>
    <mergeCell ref="C2248:C2250"/>
    <mergeCell ref="I2248:K2250"/>
    <mergeCell ref="D2248:D2250"/>
    <mergeCell ref="C2120:C2122"/>
    <mergeCell ref="E1983:E1986"/>
    <mergeCell ref="G1983:K1983"/>
    <mergeCell ref="C1984:C1986"/>
    <mergeCell ref="D1984:D1986"/>
    <mergeCell ref="I1984:K1986"/>
    <mergeCell ref="C1988:C1990"/>
    <mergeCell ref="E2027:E2030"/>
    <mergeCell ref="G2027:K2027"/>
    <mergeCell ref="C2028:C2030"/>
    <mergeCell ref="D2028:D2030"/>
    <mergeCell ref="I2028:K2030"/>
    <mergeCell ref="C2032:C2034"/>
    <mergeCell ref="E1895:E1898"/>
    <mergeCell ref="G1895:K1895"/>
    <mergeCell ref="C1896:C1898"/>
    <mergeCell ref="D1896:D1898"/>
    <mergeCell ref="I1896:K1898"/>
    <mergeCell ref="C1900:C1902"/>
    <mergeCell ref="C1944:C1946"/>
    <mergeCell ref="E1939:E1942"/>
    <mergeCell ref="G1939:K1939"/>
    <mergeCell ref="C1940:C1942"/>
    <mergeCell ref="D1940:D1942"/>
    <mergeCell ref="I1852:K1854"/>
    <mergeCell ref="E1807:E1810"/>
    <mergeCell ref="G1807:K1807"/>
    <mergeCell ref="C1808:C1810"/>
    <mergeCell ref="D1808:D1810"/>
    <mergeCell ref="I1808:K1810"/>
    <mergeCell ref="C1812:C1814"/>
    <mergeCell ref="C1856:C1858"/>
    <mergeCell ref="E2115:E2118"/>
    <mergeCell ref="G2115:K2115"/>
    <mergeCell ref="C2116:C2118"/>
    <mergeCell ref="D2116:D2118"/>
    <mergeCell ref="I2116:K2118"/>
    <mergeCell ref="I1940:K1942"/>
    <mergeCell ref="E1851:E1854"/>
    <mergeCell ref="G1851:K1851"/>
    <mergeCell ref="C1852:C1854"/>
    <mergeCell ref="D1852:D1854"/>
    <mergeCell ref="E2071:E2074"/>
    <mergeCell ref="G2071:K2071"/>
    <mergeCell ref="C2072:C2074"/>
    <mergeCell ref="D2072:D2074"/>
    <mergeCell ref="I2072:K2074"/>
    <mergeCell ref="C2076:C2078"/>
    <mergeCell ref="C1236:C1238"/>
    <mergeCell ref="D1236:D1238"/>
    <mergeCell ref="I1236:K1238"/>
    <mergeCell ref="E1279:E1282"/>
    <mergeCell ref="G1279:K1279"/>
    <mergeCell ref="C1724:C1726"/>
    <mergeCell ref="I1632:K1634"/>
    <mergeCell ref="C1636:C1638"/>
    <mergeCell ref="E1455:E1458"/>
    <mergeCell ref="G1455:K1455"/>
    <mergeCell ref="C1456:C1458"/>
    <mergeCell ref="D1456:D1458"/>
    <mergeCell ref="I1456:K1458"/>
    <mergeCell ref="C1460:C1462"/>
    <mergeCell ref="E1499:E1502"/>
    <mergeCell ref="G1499:K1499"/>
    <mergeCell ref="C1500:C1502"/>
    <mergeCell ref="D1500:D1502"/>
    <mergeCell ref="I1500:K1502"/>
    <mergeCell ref="D1676:D1678"/>
    <mergeCell ref="I1676:K1678"/>
    <mergeCell ref="E1631:E1634"/>
    <mergeCell ref="G1631:K1631"/>
    <mergeCell ref="C1632:C1634"/>
    <mergeCell ref="C1108:C1110"/>
    <mergeCell ref="E1015:E1018"/>
    <mergeCell ref="G1015:K1015"/>
    <mergeCell ref="C1016:C1018"/>
    <mergeCell ref="D1016:D1018"/>
    <mergeCell ref="I1280:K1282"/>
    <mergeCell ref="C1284:C1286"/>
    <mergeCell ref="G927:K927"/>
    <mergeCell ref="C928:C930"/>
    <mergeCell ref="D928:D930"/>
    <mergeCell ref="I928:K930"/>
    <mergeCell ref="I1016:K1018"/>
    <mergeCell ref="C1020:C1022"/>
    <mergeCell ref="C1064:C1066"/>
    <mergeCell ref="C1152:C1154"/>
    <mergeCell ref="C1240:C1242"/>
    <mergeCell ref="E1191:E1194"/>
    <mergeCell ref="G1191:K1191"/>
    <mergeCell ref="C1192:C1194"/>
    <mergeCell ref="D1192:D1194"/>
    <mergeCell ref="I1192:K1194"/>
    <mergeCell ref="C1196:C1198"/>
    <mergeCell ref="E1235:E1238"/>
    <mergeCell ref="G1235:K1235"/>
    <mergeCell ref="D972:D974"/>
    <mergeCell ref="I972:K974"/>
    <mergeCell ref="C976:C978"/>
    <mergeCell ref="C888:C890"/>
    <mergeCell ref="E927:E930"/>
    <mergeCell ref="E1103:E1106"/>
    <mergeCell ref="G1103:K1103"/>
    <mergeCell ref="C1104:C1106"/>
    <mergeCell ref="D1104:D1106"/>
    <mergeCell ref="I1104:K1106"/>
    <mergeCell ref="C972:C974"/>
    <mergeCell ref="C932:C934"/>
    <mergeCell ref="E971:E974"/>
    <mergeCell ref="G971:K971"/>
    <mergeCell ref="G265:K265"/>
    <mergeCell ref="C266:C268"/>
    <mergeCell ref="D266:D268"/>
    <mergeCell ref="I266:K268"/>
    <mergeCell ref="C270:C272"/>
    <mergeCell ref="C314:C316"/>
    <mergeCell ref="E794:E797"/>
    <mergeCell ref="G794:K794"/>
    <mergeCell ref="C795:C797"/>
    <mergeCell ref="D795:D797"/>
    <mergeCell ref="I795:K797"/>
    <mergeCell ref="E750:E753"/>
    <mergeCell ref="G750:K750"/>
    <mergeCell ref="C751:C753"/>
    <mergeCell ref="D751:D753"/>
    <mergeCell ref="I751:K753"/>
    <mergeCell ref="C755:C757"/>
    <mergeCell ref="C490:C492"/>
    <mergeCell ref="C446:C448"/>
    <mergeCell ref="E485:E488"/>
    <mergeCell ref="C534:C536"/>
    <mergeCell ref="E529:E532"/>
    <mergeCell ref="G529:K529"/>
    <mergeCell ref="C530:C532"/>
    <mergeCell ref="D222:D224"/>
    <mergeCell ref="I222:K224"/>
    <mergeCell ref="C226:C228"/>
    <mergeCell ref="E309:E312"/>
    <mergeCell ref="G309:K309"/>
    <mergeCell ref="C310:C312"/>
    <mergeCell ref="E133:E136"/>
    <mergeCell ref="C138:C140"/>
    <mergeCell ref="E353:E356"/>
    <mergeCell ref="G353:K353"/>
    <mergeCell ref="C354:C356"/>
    <mergeCell ref="D354:D356"/>
    <mergeCell ref="I354:K356"/>
    <mergeCell ref="E177:E180"/>
    <mergeCell ref="G177:K177"/>
    <mergeCell ref="C178:C180"/>
    <mergeCell ref="D178:D180"/>
    <mergeCell ref="I178:K180"/>
    <mergeCell ref="C182:C184"/>
    <mergeCell ref="E221:E224"/>
    <mergeCell ref="G221:K221"/>
    <mergeCell ref="C222:C224"/>
    <mergeCell ref="D310:D312"/>
    <mergeCell ref="E265:E268"/>
    <mergeCell ref="C50:C52"/>
    <mergeCell ref="E89:E92"/>
    <mergeCell ref="G89:K89"/>
    <mergeCell ref="C90:C92"/>
    <mergeCell ref="D90:D92"/>
    <mergeCell ref="I90:K92"/>
    <mergeCell ref="C94:C96"/>
    <mergeCell ref="G133:K133"/>
    <mergeCell ref="C134:C136"/>
    <mergeCell ref="D134:D136"/>
    <mergeCell ref="I134:K136"/>
    <mergeCell ref="C6:C8"/>
    <mergeCell ref="E45:E48"/>
    <mergeCell ref="G45:K45"/>
    <mergeCell ref="C46:C48"/>
    <mergeCell ref="D46:D48"/>
    <mergeCell ref="I46:K48"/>
    <mergeCell ref="E1:E4"/>
    <mergeCell ref="G1:K1"/>
    <mergeCell ref="C2:C4"/>
    <mergeCell ref="D2:D4"/>
    <mergeCell ref="I2:K4"/>
    <mergeCell ref="D618:D620"/>
    <mergeCell ref="I310:K312"/>
    <mergeCell ref="C358:C360"/>
    <mergeCell ref="G485:K485"/>
    <mergeCell ref="C486:C488"/>
    <mergeCell ref="D486:D488"/>
    <mergeCell ref="I486:K488"/>
    <mergeCell ref="D442:D444"/>
    <mergeCell ref="I442:K444"/>
    <mergeCell ref="C402:C404"/>
    <mergeCell ref="E397:E400"/>
    <mergeCell ref="G441:K441"/>
    <mergeCell ref="C442:C444"/>
    <mergeCell ref="E441:E444"/>
    <mergeCell ref="G397:K397"/>
    <mergeCell ref="C398:C400"/>
    <mergeCell ref="D398:D400"/>
    <mergeCell ref="I398:K400"/>
    <mergeCell ref="C578:C580"/>
    <mergeCell ref="E573:E576"/>
    <mergeCell ref="G573:K573"/>
    <mergeCell ref="C574:C576"/>
    <mergeCell ref="D574:D576"/>
    <mergeCell ref="I574:K576"/>
    <mergeCell ref="D530:D532"/>
    <mergeCell ref="I530:K532"/>
    <mergeCell ref="E883:E886"/>
    <mergeCell ref="I618:K620"/>
    <mergeCell ref="E705:E708"/>
    <mergeCell ref="G705:K705"/>
    <mergeCell ref="C706:C708"/>
    <mergeCell ref="D706:D708"/>
    <mergeCell ref="I706:K708"/>
    <mergeCell ref="I662:K664"/>
    <mergeCell ref="C666:C668"/>
    <mergeCell ref="E661:E664"/>
    <mergeCell ref="G661:K661"/>
    <mergeCell ref="C662:C664"/>
    <mergeCell ref="D662:D664"/>
    <mergeCell ref="G883:K883"/>
    <mergeCell ref="C884:C886"/>
    <mergeCell ref="D884:D886"/>
    <mergeCell ref="I884:K886"/>
    <mergeCell ref="C843:C845"/>
    <mergeCell ref="C710:C712"/>
    <mergeCell ref="C799:C801"/>
    <mergeCell ref="C622:C624"/>
    <mergeCell ref="E617:E620"/>
    <mergeCell ref="G617:K617"/>
    <mergeCell ref="C618:C620"/>
    <mergeCell ref="D1632:D1634"/>
    <mergeCell ref="E1367:E1370"/>
    <mergeCell ref="G1367:K1367"/>
    <mergeCell ref="C1368:C1370"/>
    <mergeCell ref="D1368:D1370"/>
    <mergeCell ref="I1368:K1370"/>
    <mergeCell ref="C1372:C1374"/>
    <mergeCell ref="E838:E841"/>
    <mergeCell ref="G838:K838"/>
    <mergeCell ref="C839:C841"/>
    <mergeCell ref="D839:D841"/>
    <mergeCell ref="I839:K841"/>
    <mergeCell ref="E1059:E1062"/>
    <mergeCell ref="G1059:K1059"/>
    <mergeCell ref="C1060:C1062"/>
    <mergeCell ref="D1060:D1062"/>
    <mergeCell ref="I1060:K1062"/>
    <mergeCell ref="E1147:E1150"/>
    <mergeCell ref="G1147:K1147"/>
    <mergeCell ref="C1148:C1150"/>
    <mergeCell ref="D1148:D1150"/>
    <mergeCell ref="I1148:K1150"/>
    <mergeCell ref="C1412:C1414"/>
    <mergeCell ref="D1412:D1414"/>
    <mergeCell ref="I1412:K1414"/>
    <mergeCell ref="C1416:C1418"/>
    <mergeCell ref="C1768:C1770"/>
    <mergeCell ref="C1504:C1506"/>
    <mergeCell ref="C1592:C1594"/>
    <mergeCell ref="E1543:E1546"/>
    <mergeCell ref="G1543:K1543"/>
    <mergeCell ref="C1544:C1546"/>
    <mergeCell ref="D1544:D1546"/>
    <mergeCell ref="I1544:K1546"/>
    <mergeCell ref="E1763:E1766"/>
    <mergeCell ref="G1763:K1763"/>
    <mergeCell ref="C1764:C1766"/>
    <mergeCell ref="D1764:D1766"/>
    <mergeCell ref="I1764:K1766"/>
    <mergeCell ref="E1719:E1722"/>
    <mergeCell ref="G1719:K1719"/>
    <mergeCell ref="C1720:C1722"/>
    <mergeCell ref="D1720:D1722"/>
    <mergeCell ref="I1720:K1722"/>
    <mergeCell ref="C2644:C2646"/>
    <mergeCell ref="D2644:D2646"/>
    <mergeCell ref="I2644:K2646"/>
    <mergeCell ref="E2599:E2602"/>
    <mergeCell ref="C1280:C1282"/>
    <mergeCell ref="D1280:D1282"/>
    <mergeCell ref="E1323:E1326"/>
    <mergeCell ref="G1323:K1323"/>
    <mergeCell ref="C1324:C1326"/>
    <mergeCell ref="D1324:D1326"/>
    <mergeCell ref="I1324:K1326"/>
    <mergeCell ref="C1328:C1330"/>
    <mergeCell ref="C1680:C1682"/>
    <mergeCell ref="C1548:C1550"/>
    <mergeCell ref="E1587:E1590"/>
    <mergeCell ref="G1587:K1587"/>
    <mergeCell ref="C1588:C1590"/>
    <mergeCell ref="D1588:D1590"/>
    <mergeCell ref="I1588:K1590"/>
    <mergeCell ref="E1675:E1678"/>
    <mergeCell ref="G1675:K1675"/>
    <mergeCell ref="C1676:C1678"/>
    <mergeCell ref="E1411:E1414"/>
    <mergeCell ref="G1411:K1411"/>
    <mergeCell ref="G2775:K2775"/>
    <mergeCell ref="C2776:C2778"/>
    <mergeCell ref="D2776:D2778"/>
    <mergeCell ref="I2776:K2778"/>
    <mergeCell ref="C2692:C2694"/>
    <mergeCell ref="E2819:E2822"/>
    <mergeCell ref="G2819:K2819"/>
    <mergeCell ref="E2511:E2514"/>
    <mergeCell ref="G2511:K2511"/>
    <mergeCell ref="C2512:C2514"/>
    <mergeCell ref="D2512:D2514"/>
    <mergeCell ref="I2512:K2514"/>
    <mergeCell ref="C2516:C2518"/>
    <mergeCell ref="D2600:D2602"/>
    <mergeCell ref="I2600:K2602"/>
    <mergeCell ref="G2599:K2599"/>
    <mergeCell ref="C2560:C2562"/>
    <mergeCell ref="G2555:K2555"/>
    <mergeCell ref="C2556:C2558"/>
    <mergeCell ref="D2556:D2558"/>
    <mergeCell ref="I2556:K2558"/>
    <mergeCell ref="C2600:C2602"/>
    <mergeCell ref="E2643:E2646"/>
    <mergeCell ref="G2643:K2643"/>
    <mergeCell ref="I3700:K3702"/>
    <mergeCell ref="C3704:C3706"/>
    <mergeCell ref="E4052:E4055"/>
    <mergeCell ref="G4052:K4052"/>
    <mergeCell ref="C4053:C4055"/>
    <mergeCell ref="D4053:D4055"/>
    <mergeCell ref="I4053:K4055"/>
    <mergeCell ref="E2687:E2690"/>
    <mergeCell ref="G2687:K2687"/>
    <mergeCell ref="C2688:C2690"/>
    <mergeCell ref="D2688:D2690"/>
    <mergeCell ref="I2688:K2690"/>
    <mergeCell ref="C2864:C2866"/>
    <mergeCell ref="C2996:C2998"/>
    <mergeCell ref="C2868:C2870"/>
    <mergeCell ref="D2996:D2998"/>
    <mergeCell ref="I2996:K2998"/>
    <mergeCell ref="E2731:E2734"/>
    <mergeCell ref="G2731:K2731"/>
    <mergeCell ref="C2732:C2734"/>
    <mergeCell ref="D2732:D2734"/>
    <mergeCell ref="I2732:K2734"/>
    <mergeCell ref="C2736:C2738"/>
    <mergeCell ref="E2775:E2778"/>
    <mergeCell ref="C3660:C3662"/>
    <mergeCell ref="E3875:E3878"/>
    <mergeCell ref="G3875:K3875"/>
    <mergeCell ref="C3876:C3878"/>
    <mergeCell ref="D3876:D3878"/>
    <mergeCell ref="I3876:K3878"/>
    <mergeCell ref="C3880:C3882"/>
    <mergeCell ref="G3787:K3787"/>
    <mergeCell ref="C3788:C3790"/>
    <mergeCell ref="D3788:D3790"/>
    <mergeCell ref="I3788:K3790"/>
    <mergeCell ref="C3792:C3794"/>
    <mergeCell ref="E3831:E3834"/>
    <mergeCell ref="G3831:K3831"/>
    <mergeCell ref="C3832:C3834"/>
    <mergeCell ref="D3832:D3834"/>
    <mergeCell ref="I3832:K3834"/>
    <mergeCell ref="C3836:C3838"/>
    <mergeCell ref="I3744:K3746"/>
    <mergeCell ref="C3748:C3750"/>
    <mergeCell ref="E3699:E3702"/>
    <mergeCell ref="G3699:K3699"/>
    <mergeCell ref="C3700:C3702"/>
    <mergeCell ref="D3700:D3702"/>
    <mergeCell ref="E4228:E4231"/>
    <mergeCell ref="G4228:K4228"/>
    <mergeCell ref="C4229:C4231"/>
    <mergeCell ref="D4229:D4231"/>
    <mergeCell ref="I4229:K4231"/>
    <mergeCell ref="C4233:C4235"/>
    <mergeCell ref="C4189:C4191"/>
    <mergeCell ref="E4140:E4143"/>
    <mergeCell ref="G4140:K4140"/>
    <mergeCell ref="C4141:C4143"/>
    <mergeCell ref="D4141:D4143"/>
    <mergeCell ref="I4141:K4143"/>
    <mergeCell ref="C4145:C4147"/>
    <mergeCell ref="E4184:E4187"/>
    <mergeCell ref="G4184:K4184"/>
    <mergeCell ref="C4185:C4187"/>
    <mergeCell ref="D4185:D4187"/>
    <mergeCell ref="I4185:K4187"/>
  </mergeCells>
  <pageMargins left="0.7" right="0.7" top="0.75" bottom="0.75" header="0.3" footer="0.3"/>
  <pageSetup paperSize="9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AB5260"/>
  <sheetViews>
    <sheetView topLeftCell="A355" zoomScale="113" zoomScaleNormal="100" workbookViewId="0">
      <selection activeCell="N376" sqref="N376"/>
    </sheetView>
  </sheetViews>
  <sheetFormatPr baseColWidth="10" defaultColWidth="8.83203125" defaultRowHeight="15" x14ac:dyDescent="0.2"/>
  <cols>
    <col min="1" max="1" width="7.33203125" customWidth="1"/>
    <col min="2" max="2" width="13.5" customWidth="1"/>
    <col min="3" max="3" width="13.83203125" hidden="1" customWidth="1"/>
    <col min="4" max="5" width="10.6640625" customWidth="1"/>
    <col min="7" max="7" width="9.1640625"/>
    <col min="8" max="8" width="12.6640625" customWidth="1"/>
    <col min="10" max="10" width="10.33203125" customWidth="1"/>
    <col min="11" max="11" width="10" customWidth="1"/>
    <col min="15" max="15" width="11.33203125" customWidth="1"/>
    <col min="19" max="23" width="10.6640625" customWidth="1"/>
    <col min="24" max="24" width="11" customWidth="1"/>
    <col min="26" max="26" width="11" customWidth="1"/>
    <col min="27" max="27" width="13.5" customWidth="1"/>
    <col min="28" max="28" width="12.83203125" bestFit="1" customWidth="1"/>
  </cols>
  <sheetData>
    <row r="2" spans="2:28" ht="16" thickBot="1" x14ac:dyDescent="0.25"/>
    <row r="3" spans="2:28" x14ac:dyDescent="0.2">
      <c r="B3" s="812" t="s">
        <v>76</v>
      </c>
      <c r="C3" s="812" t="s">
        <v>239</v>
      </c>
      <c r="D3" s="812" t="s">
        <v>83</v>
      </c>
      <c r="E3" s="812" t="s">
        <v>19</v>
      </c>
      <c r="F3" s="812" t="s">
        <v>118</v>
      </c>
      <c r="G3" s="812" t="s">
        <v>70</v>
      </c>
      <c r="H3" s="814" t="s">
        <v>401</v>
      </c>
      <c r="I3" s="812" t="s">
        <v>382</v>
      </c>
      <c r="J3" s="816" t="s">
        <v>200</v>
      </c>
      <c r="K3" s="812" t="s">
        <v>114</v>
      </c>
      <c r="L3" s="810" t="s">
        <v>402</v>
      </c>
      <c r="M3" s="812" t="s">
        <v>333</v>
      </c>
      <c r="N3" s="812" t="s">
        <v>204</v>
      </c>
      <c r="O3" s="810" t="s">
        <v>75</v>
      </c>
      <c r="P3" s="812" t="s">
        <v>278</v>
      </c>
      <c r="Q3" s="810" t="s">
        <v>116</v>
      </c>
      <c r="R3" s="812" t="s">
        <v>331</v>
      </c>
      <c r="S3" s="812" t="s">
        <v>73</v>
      </c>
      <c r="T3" s="810" t="s">
        <v>112</v>
      </c>
      <c r="U3" s="812" t="s">
        <v>72</v>
      </c>
      <c r="V3" s="812" t="s">
        <v>425</v>
      </c>
      <c r="W3" s="812" t="s">
        <v>399</v>
      </c>
      <c r="X3" s="812" t="s">
        <v>400</v>
      </c>
      <c r="Y3" s="812" t="s">
        <v>19</v>
      </c>
      <c r="Z3" s="812" t="s">
        <v>239</v>
      </c>
      <c r="AA3" s="812" t="s">
        <v>83</v>
      </c>
      <c r="AB3" s="812" t="s">
        <v>76</v>
      </c>
    </row>
    <row r="4" spans="2:28" ht="16" thickBot="1" x14ac:dyDescent="0.25">
      <c r="B4" s="813"/>
      <c r="C4" s="813"/>
      <c r="D4" s="813"/>
      <c r="E4" s="813"/>
      <c r="F4" s="813"/>
      <c r="G4" s="813"/>
      <c r="H4" s="815"/>
      <c r="I4" s="813"/>
      <c r="J4" s="817"/>
      <c r="K4" s="813"/>
      <c r="L4" s="811"/>
      <c r="M4" s="813"/>
      <c r="N4" s="813"/>
      <c r="O4" s="811"/>
      <c r="P4" s="813"/>
      <c r="Q4" s="811"/>
      <c r="R4" s="813"/>
      <c r="S4" s="813"/>
      <c r="T4" s="811"/>
      <c r="U4" s="813"/>
      <c r="V4" s="813"/>
      <c r="W4" s="813"/>
      <c r="X4" s="813"/>
      <c r="Y4" s="813"/>
      <c r="Z4" s="813"/>
      <c r="AA4" s="813"/>
      <c r="AB4" s="813"/>
    </row>
    <row r="5" spans="2:28" ht="16" thickBot="1" x14ac:dyDescent="0.25">
      <c r="B5" s="332">
        <v>45656</v>
      </c>
      <c r="C5" s="334" t="s">
        <v>240</v>
      </c>
      <c r="D5" s="807" t="s">
        <v>63</v>
      </c>
      <c r="E5" s="335">
        <f t="shared" ref="E5:E18" si="0">SUM(F5:X5)</f>
        <v>33392.800000000003</v>
      </c>
      <c r="F5" s="362">
        <v>8600</v>
      </c>
      <c r="G5" s="362"/>
      <c r="H5" s="361">
        <v>5041.6000000000004</v>
      </c>
      <c r="I5" s="362">
        <v>2400</v>
      </c>
      <c r="J5" s="361"/>
      <c r="K5" s="362">
        <v>2732.4</v>
      </c>
      <c r="L5" s="361">
        <v>3661.6</v>
      </c>
      <c r="M5" s="362"/>
      <c r="N5" s="354">
        <v>10957.2</v>
      </c>
      <c r="O5" s="361"/>
      <c r="P5" s="362"/>
      <c r="Q5" s="361"/>
      <c r="R5" s="362"/>
      <c r="S5" s="354"/>
      <c r="T5" s="361"/>
      <c r="U5" s="362"/>
      <c r="V5" s="362"/>
      <c r="W5" s="362"/>
      <c r="X5" s="362"/>
      <c r="Y5" s="349" t="s">
        <v>407</v>
      </c>
      <c r="Z5" s="334" t="s">
        <v>240</v>
      </c>
      <c r="AA5" s="807" t="s">
        <v>63</v>
      </c>
      <c r="AB5" s="333">
        <f>B5</f>
        <v>45656</v>
      </c>
    </row>
    <row r="6" spans="2:28" ht="16" thickBot="1" x14ac:dyDescent="0.25">
      <c r="B6" s="346"/>
      <c r="C6" s="347" t="s">
        <v>89</v>
      </c>
      <c r="D6" s="809"/>
      <c r="E6" s="347">
        <f t="shared" si="0"/>
        <v>0</v>
      </c>
      <c r="F6" s="356"/>
      <c r="G6" s="356"/>
      <c r="H6" s="351"/>
      <c r="I6" s="356"/>
      <c r="J6" s="351"/>
      <c r="K6" s="356"/>
      <c r="L6" s="351"/>
      <c r="M6" s="355"/>
      <c r="N6" s="355"/>
      <c r="O6" s="364"/>
      <c r="P6" s="356"/>
      <c r="Q6" s="351"/>
      <c r="R6" s="355"/>
      <c r="S6" s="365"/>
      <c r="T6" s="364"/>
      <c r="U6" s="365"/>
      <c r="V6" s="365"/>
      <c r="W6" s="365"/>
      <c r="X6" s="356"/>
      <c r="Y6" s="366">
        <f t="shared" ref="Y6:Y18" si="1">SUM(F6:X6)</f>
        <v>0</v>
      </c>
      <c r="Z6" s="347" t="s">
        <v>89</v>
      </c>
      <c r="AA6" s="809"/>
      <c r="AB6" s="347"/>
    </row>
    <row r="7" spans="2:28" ht="16" thickBot="1" x14ac:dyDescent="0.25">
      <c r="B7" s="368">
        <v>45657</v>
      </c>
      <c r="C7" s="333" t="s">
        <v>240</v>
      </c>
      <c r="D7" s="807" t="s">
        <v>64</v>
      </c>
      <c r="E7" s="132">
        <f t="shared" si="0"/>
        <v>44915.5</v>
      </c>
      <c r="F7" s="354"/>
      <c r="G7" s="354"/>
      <c r="H7" s="369"/>
      <c r="I7" s="354"/>
      <c r="J7" s="369"/>
      <c r="K7" s="354"/>
      <c r="L7" s="369"/>
      <c r="M7" s="354"/>
      <c r="N7" s="354">
        <v>8576.7000000000007</v>
      </c>
      <c r="O7" s="369">
        <v>2400</v>
      </c>
      <c r="P7" s="354"/>
      <c r="Q7" s="369">
        <v>8280</v>
      </c>
      <c r="R7" s="354">
        <v>6189.3</v>
      </c>
      <c r="S7" s="354">
        <v>6189.3</v>
      </c>
      <c r="T7" s="369">
        <v>6189.3</v>
      </c>
      <c r="U7" s="354">
        <v>7090.9</v>
      </c>
      <c r="V7" s="354"/>
      <c r="W7" s="354"/>
      <c r="X7" s="354"/>
      <c r="Y7" s="349">
        <f t="shared" si="1"/>
        <v>44915.5</v>
      </c>
      <c r="Z7" s="333" t="s">
        <v>240</v>
      </c>
      <c r="AA7" s="807" t="s">
        <v>64</v>
      </c>
      <c r="AB7" s="333">
        <f>B7</f>
        <v>45657</v>
      </c>
    </row>
    <row r="8" spans="2:28" ht="16" thickBot="1" x14ac:dyDescent="0.25">
      <c r="B8" s="336"/>
      <c r="C8" s="131" t="s">
        <v>89</v>
      </c>
      <c r="D8" s="808"/>
      <c r="E8" s="131">
        <f t="shared" si="0"/>
        <v>0</v>
      </c>
      <c r="F8" s="370"/>
      <c r="G8" s="370"/>
      <c r="H8" s="371"/>
      <c r="I8" s="370"/>
      <c r="J8" s="371"/>
      <c r="K8" s="370"/>
      <c r="L8" s="371"/>
      <c r="M8" s="370"/>
      <c r="N8" s="370"/>
      <c r="O8" s="371"/>
      <c r="P8" s="370"/>
      <c r="Q8" s="371"/>
      <c r="R8" s="370"/>
      <c r="S8" s="370"/>
      <c r="T8" s="371"/>
      <c r="U8" s="370"/>
      <c r="V8" s="370"/>
      <c r="W8" s="370"/>
      <c r="X8" s="370"/>
      <c r="Y8" s="343">
        <f t="shared" si="1"/>
        <v>0</v>
      </c>
      <c r="Z8" s="131" t="s">
        <v>89</v>
      </c>
      <c r="AA8" s="808"/>
      <c r="AB8" s="131"/>
    </row>
    <row r="9" spans="2:28" ht="16" thickBot="1" x14ac:dyDescent="0.25">
      <c r="B9" s="332">
        <v>45658</v>
      </c>
      <c r="C9" s="334" t="s">
        <v>240</v>
      </c>
      <c r="D9" s="809" t="s">
        <v>65</v>
      </c>
      <c r="E9" s="335">
        <f t="shared" si="0"/>
        <v>26962</v>
      </c>
      <c r="F9" s="367">
        <v>6400</v>
      </c>
      <c r="G9" s="367"/>
      <c r="H9" s="350">
        <v>3661.6</v>
      </c>
      <c r="I9" s="367"/>
      <c r="J9" s="350"/>
      <c r="K9" s="367">
        <v>2732.4</v>
      </c>
      <c r="L9" s="350">
        <v>3210.8</v>
      </c>
      <c r="M9" s="367"/>
      <c r="N9" s="367">
        <v>10957.2</v>
      </c>
      <c r="O9" s="350"/>
      <c r="P9" s="367"/>
      <c r="Q9" s="350"/>
      <c r="R9" s="367"/>
      <c r="S9" s="367"/>
      <c r="T9" s="350"/>
      <c r="U9" s="367"/>
      <c r="V9" s="367"/>
      <c r="W9" s="367"/>
      <c r="X9" s="367"/>
      <c r="Y9" s="338">
        <f t="shared" si="1"/>
        <v>26962</v>
      </c>
      <c r="Z9" s="334" t="s">
        <v>240</v>
      </c>
      <c r="AA9" s="809" t="s">
        <v>65</v>
      </c>
      <c r="AB9" s="334">
        <f>B9</f>
        <v>45658</v>
      </c>
    </row>
    <row r="10" spans="2:28" ht="16" thickBot="1" x14ac:dyDescent="0.25">
      <c r="B10" s="346"/>
      <c r="C10" s="347" t="s">
        <v>89</v>
      </c>
      <c r="D10" s="809"/>
      <c r="E10" s="347">
        <f t="shared" si="0"/>
        <v>0</v>
      </c>
      <c r="F10" s="356"/>
      <c r="G10" s="356"/>
      <c r="H10" s="351"/>
      <c r="I10" s="356"/>
      <c r="J10" s="351"/>
      <c r="K10" s="356"/>
      <c r="L10" s="351"/>
      <c r="M10" s="356"/>
      <c r="N10" s="356"/>
      <c r="O10" s="351"/>
      <c r="P10" s="356"/>
      <c r="Q10" s="351"/>
      <c r="R10" s="356"/>
      <c r="S10" s="356"/>
      <c r="T10" s="351"/>
      <c r="U10" s="356"/>
      <c r="V10" s="356"/>
      <c r="W10" s="356"/>
      <c r="X10" s="356"/>
      <c r="Y10" s="366">
        <f t="shared" si="1"/>
        <v>0</v>
      </c>
      <c r="Z10" s="347" t="s">
        <v>89</v>
      </c>
      <c r="AA10" s="809"/>
      <c r="AB10" s="347"/>
    </row>
    <row r="11" spans="2:28" ht="16" thickBot="1" x14ac:dyDescent="0.25">
      <c r="B11" s="562">
        <v>45659</v>
      </c>
      <c r="C11" s="563" t="s">
        <v>240</v>
      </c>
      <c r="D11" s="807" t="s">
        <v>66</v>
      </c>
      <c r="E11" s="564">
        <f t="shared" si="0"/>
        <v>0</v>
      </c>
      <c r="F11" s="372"/>
      <c r="G11" s="372"/>
      <c r="H11" s="373"/>
      <c r="I11" s="372"/>
      <c r="J11" s="373"/>
      <c r="K11" s="372"/>
      <c r="L11" s="373"/>
      <c r="M11" s="372"/>
      <c r="N11" s="372"/>
      <c r="O11" s="373"/>
      <c r="P11" s="372"/>
      <c r="Q11" s="373"/>
      <c r="R11" s="372"/>
      <c r="S11" s="372"/>
      <c r="T11" s="373"/>
      <c r="U11" s="372"/>
      <c r="V11" s="372"/>
      <c r="W11" s="372"/>
      <c r="X11" s="372"/>
      <c r="Y11" s="565">
        <f t="shared" si="1"/>
        <v>0</v>
      </c>
      <c r="Z11" s="563" t="s">
        <v>240</v>
      </c>
      <c r="AA11" s="807" t="s">
        <v>66</v>
      </c>
      <c r="AB11" s="563">
        <f>B11</f>
        <v>45659</v>
      </c>
    </row>
    <row r="12" spans="2:28" ht="16" thickBot="1" x14ac:dyDescent="0.25">
      <c r="B12" s="336"/>
      <c r="C12" s="131" t="s">
        <v>89</v>
      </c>
      <c r="D12" s="808"/>
      <c r="E12" s="131">
        <f t="shared" si="0"/>
        <v>0</v>
      </c>
      <c r="F12" s="370"/>
      <c r="G12" s="370"/>
      <c r="H12" s="371"/>
      <c r="I12" s="370"/>
      <c r="J12" s="371"/>
      <c r="K12" s="370"/>
      <c r="L12" s="371"/>
      <c r="M12" s="370"/>
      <c r="N12" s="370"/>
      <c r="O12" s="371"/>
      <c r="P12" s="370"/>
      <c r="Q12" s="371"/>
      <c r="R12" s="370"/>
      <c r="S12" s="370"/>
      <c r="T12" s="371"/>
      <c r="U12" s="370"/>
      <c r="V12" s="370"/>
      <c r="W12" s="370"/>
      <c r="X12" s="370"/>
      <c r="Y12" s="343">
        <f t="shared" si="1"/>
        <v>0</v>
      </c>
      <c r="Z12" s="131" t="s">
        <v>89</v>
      </c>
      <c r="AA12" s="808"/>
      <c r="AB12" s="131"/>
    </row>
    <row r="13" spans="2:28" ht="16" thickBot="1" x14ac:dyDescent="0.25">
      <c r="B13" s="566">
        <v>45660</v>
      </c>
      <c r="C13" s="567" t="s">
        <v>240</v>
      </c>
      <c r="D13" s="809" t="s">
        <v>67</v>
      </c>
      <c r="E13" s="568">
        <f t="shared" si="0"/>
        <v>34781.599999999999</v>
      </c>
      <c r="F13" s="367">
        <v>7500</v>
      </c>
      <c r="G13" s="367">
        <v>1200</v>
      </c>
      <c r="H13" s="350">
        <v>3661.6</v>
      </c>
      <c r="I13" s="367">
        <v>2400</v>
      </c>
      <c r="J13" s="350"/>
      <c r="K13" s="367">
        <v>2281.6</v>
      </c>
      <c r="L13" s="350">
        <v>3210.8</v>
      </c>
      <c r="M13" s="367">
        <v>3000</v>
      </c>
      <c r="N13" s="367">
        <v>11527.6</v>
      </c>
      <c r="O13" s="350"/>
      <c r="P13" s="367"/>
      <c r="Q13" s="350"/>
      <c r="R13" s="367"/>
      <c r="S13" s="367"/>
      <c r="T13" s="350"/>
      <c r="U13" s="367"/>
      <c r="V13" s="367"/>
      <c r="W13" s="367"/>
      <c r="X13" s="367"/>
      <c r="Y13" s="569">
        <f t="shared" si="1"/>
        <v>34781.599999999999</v>
      </c>
      <c r="Z13" s="567" t="s">
        <v>240</v>
      </c>
      <c r="AA13" s="809" t="s">
        <v>67</v>
      </c>
      <c r="AB13" s="567">
        <f>B13</f>
        <v>45660</v>
      </c>
    </row>
    <row r="14" spans="2:28" ht="16" thickBot="1" x14ac:dyDescent="0.25">
      <c r="B14" s="346"/>
      <c r="C14" s="347" t="s">
        <v>89</v>
      </c>
      <c r="D14" s="809"/>
      <c r="E14" s="347">
        <f t="shared" si="0"/>
        <v>0</v>
      </c>
      <c r="F14" s="355"/>
      <c r="G14" s="355"/>
      <c r="H14" s="351"/>
      <c r="I14" s="355"/>
      <c r="J14" s="351"/>
      <c r="K14" s="355"/>
      <c r="L14" s="351"/>
      <c r="M14" s="356"/>
      <c r="N14" s="356"/>
      <c r="O14" s="351"/>
      <c r="P14" s="356"/>
      <c r="Q14" s="351"/>
      <c r="R14" s="356"/>
      <c r="S14" s="356"/>
      <c r="T14" s="351"/>
      <c r="U14" s="356"/>
      <c r="V14" s="356"/>
      <c r="W14" s="356"/>
      <c r="X14" s="356"/>
      <c r="Y14" s="366">
        <f t="shared" si="1"/>
        <v>0</v>
      </c>
      <c r="Z14" s="347" t="s">
        <v>89</v>
      </c>
      <c r="AA14" s="809"/>
      <c r="AB14" s="347"/>
    </row>
    <row r="15" spans="2:28" ht="16" thickBot="1" x14ac:dyDescent="0.25">
      <c r="B15" s="368">
        <v>45661</v>
      </c>
      <c r="C15" s="333" t="s">
        <v>240</v>
      </c>
      <c r="D15" s="807" t="s">
        <v>68</v>
      </c>
      <c r="E15" s="132">
        <f t="shared" si="0"/>
        <v>14519.9</v>
      </c>
      <c r="F15" s="372"/>
      <c r="G15" s="372"/>
      <c r="H15" s="373"/>
      <c r="I15" s="372"/>
      <c r="J15" s="373"/>
      <c r="K15" s="372"/>
      <c r="L15" s="373"/>
      <c r="M15" s="372"/>
      <c r="N15" s="372">
        <v>14519.9</v>
      </c>
      <c r="O15" s="373"/>
      <c r="P15" s="372"/>
      <c r="Q15" s="373"/>
      <c r="R15" s="372"/>
      <c r="S15" s="372"/>
      <c r="T15" s="373"/>
      <c r="U15" s="372"/>
      <c r="V15" s="372"/>
      <c r="W15" s="372"/>
      <c r="X15" s="372"/>
      <c r="Y15" s="349">
        <f t="shared" si="1"/>
        <v>14519.9</v>
      </c>
      <c r="Z15" s="333" t="s">
        <v>240</v>
      </c>
      <c r="AA15" s="807" t="s">
        <v>68</v>
      </c>
      <c r="AB15" s="333">
        <f>B15</f>
        <v>45661</v>
      </c>
    </row>
    <row r="16" spans="2:28" ht="16" thickBot="1" x14ac:dyDescent="0.25">
      <c r="B16" s="336"/>
      <c r="C16" s="131" t="s">
        <v>89</v>
      </c>
      <c r="D16" s="808"/>
      <c r="E16" s="131">
        <f t="shared" si="0"/>
        <v>0</v>
      </c>
      <c r="F16" s="370"/>
      <c r="G16" s="370"/>
      <c r="H16" s="371"/>
      <c r="I16" s="370"/>
      <c r="J16" s="371"/>
      <c r="K16" s="370"/>
      <c r="L16" s="371"/>
      <c r="M16" s="370"/>
      <c r="N16" s="370"/>
      <c r="O16" s="371"/>
      <c r="P16" s="370"/>
      <c r="Q16" s="371"/>
      <c r="R16" s="370"/>
      <c r="S16" s="370"/>
      <c r="T16" s="371"/>
      <c r="U16" s="370"/>
      <c r="V16" s="370"/>
      <c r="W16" s="370"/>
      <c r="X16" s="370"/>
      <c r="Y16" s="343">
        <f t="shared" si="1"/>
        <v>0</v>
      </c>
      <c r="Z16" s="131" t="s">
        <v>89</v>
      </c>
      <c r="AA16" s="808"/>
      <c r="AB16" s="131"/>
    </row>
    <row r="17" spans="2:28" ht="16" thickBot="1" x14ac:dyDescent="0.25">
      <c r="B17" s="566">
        <v>45662</v>
      </c>
      <c r="C17" s="567" t="s">
        <v>240</v>
      </c>
      <c r="D17" s="809" t="s">
        <v>69</v>
      </c>
      <c r="E17" s="568">
        <f t="shared" si="0"/>
        <v>0</v>
      </c>
      <c r="F17" s="367"/>
      <c r="G17" s="367"/>
      <c r="H17" s="350"/>
      <c r="I17" s="367"/>
      <c r="J17" s="350"/>
      <c r="K17" s="367"/>
      <c r="L17" s="350"/>
      <c r="M17" s="367"/>
      <c r="N17" s="367"/>
      <c r="O17" s="350"/>
      <c r="P17" s="367"/>
      <c r="Q17" s="350"/>
      <c r="R17" s="367"/>
      <c r="S17" s="367"/>
      <c r="T17" s="350"/>
      <c r="U17" s="367"/>
      <c r="V17" s="367"/>
      <c r="W17" s="367"/>
      <c r="X17" s="367"/>
      <c r="Y17" s="569">
        <f t="shared" si="1"/>
        <v>0</v>
      </c>
      <c r="Z17" s="567" t="s">
        <v>240</v>
      </c>
      <c r="AA17" s="809" t="s">
        <v>69</v>
      </c>
      <c r="AB17" s="567">
        <f>B17</f>
        <v>45662</v>
      </c>
    </row>
    <row r="18" spans="2:28" ht="16" thickBot="1" x14ac:dyDescent="0.25">
      <c r="B18" s="346"/>
      <c r="C18" s="347" t="s">
        <v>89</v>
      </c>
      <c r="D18" s="808"/>
      <c r="E18" s="347">
        <f t="shared" si="0"/>
        <v>0</v>
      </c>
      <c r="F18" s="356"/>
      <c r="G18" s="356"/>
      <c r="H18" s="351"/>
      <c r="I18" s="356"/>
      <c r="J18" s="351"/>
      <c r="K18" s="356"/>
      <c r="L18" s="351"/>
      <c r="M18" s="356"/>
      <c r="N18" s="356"/>
      <c r="O18" s="351"/>
      <c r="P18" s="356"/>
      <c r="Q18" s="351"/>
      <c r="R18" s="356"/>
      <c r="S18" s="356"/>
      <c r="T18" s="351"/>
      <c r="U18" s="356"/>
      <c r="V18" s="356"/>
      <c r="W18" s="356"/>
      <c r="X18" s="356"/>
      <c r="Y18" s="363">
        <f t="shared" si="1"/>
        <v>0</v>
      </c>
      <c r="Z18" s="347" t="s">
        <v>89</v>
      </c>
      <c r="AA18" s="808"/>
      <c r="AB18" s="347"/>
    </row>
    <row r="19" spans="2:28" ht="17" thickBot="1" x14ac:dyDescent="0.25">
      <c r="B19" s="348" t="s">
        <v>119</v>
      </c>
      <c r="C19" s="349"/>
      <c r="D19" s="344"/>
      <c r="E19" s="133">
        <f>SUM(E11,E9,E7,E5,E13,E15,E17)</f>
        <v>154571.79999999999</v>
      </c>
      <c r="F19" s="349">
        <f t="shared" ref="F19:Y19" si="2">SUM(F5,F7,F9,F11,F13,F15,F17)</f>
        <v>22500</v>
      </c>
      <c r="G19" s="349">
        <f t="shared" si="2"/>
        <v>1200</v>
      </c>
      <c r="H19" s="352">
        <f t="shared" si="2"/>
        <v>12364.800000000001</v>
      </c>
      <c r="I19" s="349">
        <f t="shared" si="2"/>
        <v>4800</v>
      </c>
      <c r="J19" s="352">
        <f t="shared" si="2"/>
        <v>0</v>
      </c>
      <c r="K19" s="349">
        <f t="shared" si="2"/>
        <v>7746.4</v>
      </c>
      <c r="L19" s="352">
        <f t="shared" si="2"/>
        <v>10083.200000000001</v>
      </c>
      <c r="M19" s="349">
        <f t="shared" si="2"/>
        <v>3000</v>
      </c>
      <c r="N19" s="349">
        <f t="shared" si="2"/>
        <v>56538.600000000006</v>
      </c>
      <c r="O19" s="352">
        <f t="shared" si="2"/>
        <v>2400</v>
      </c>
      <c r="P19" s="349">
        <f t="shared" si="2"/>
        <v>0</v>
      </c>
      <c r="Q19" s="352">
        <f t="shared" si="2"/>
        <v>8280</v>
      </c>
      <c r="R19" s="349">
        <f t="shared" si="2"/>
        <v>6189.3</v>
      </c>
      <c r="S19" s="349">
        <f t="shared" si="2"/>
        <v>6189.3</v>
      </c>
      <c r="T19" s="352">
        <f t="shared" si="2"/>
        <v>6189.3</v>
      </c>
      <c r="U19" s="349">
        <f t="shared" si="2"/>
        <v>7090.9</v>
      </c>
      <c r="V19" s="349">
        <f t="shared" si="2"/>
        <v>0</v>
      </c>
      <c r="W19" s="349">
        <f t="shared" si="2"/>
        <v>0</v>
      </c>
      <c r="X19" s="349">
        <f t="shared" si="2"/>
        <v>0</v>
      </c>
      <c r="Y19" s="358">
        <f t="shared" si="2"/>
        <v>121179</v>
      </c>
      <c r="Z19" s="349"/>
      <c r="AA19" s="345"/>
      <c r="AB19" s="349" t="s">
        <v>119</v>
      </c>
    </row>
    <row r="20" spans="2:28" ht="17" thickBot="1" x14ac:dyDescent="0.25">
      <c r="B20" s="342" t="s">
        <v>120</v>
      </c>
      <c r="C20" s="343"/>
      <c r="D20" s="344"/>
      <c r="E20" s="134">
        <f>SUM(E6,E8,E10,E12,E14,E16,E18)</f>
        <v>0</v>
      </c>
      <c r="F20" s="343">
        <f t="shared" ref="F20:Y20" si="3">(F6+F8+F10+F12+F14+F16+F18)</f>
        <v>0</v>
      </c>
      <c r="G20" s="343">
        <f t="shared" si="3"/>
        <v>0</v>
      </c>
      <c r="H20" s="353">
        <f t="shared" si="3"/>
        <v>0</v>
      </c>
      <c r="I20" s="343">
        <f t="shared" si="3"/>
        <v>0</v>
      </c>
      <c r="J20" s="353">
        <f t="shared" si="3"/>
        <v>0</v>
      </c>
      <c r="K20" s="343">
        <f t="shared" si="3"/>
        <v>0</v>
      </c>
      <c r="L20" s="353">
        <f t="shared" si="3"/>
        <v>0</v>
      </c>
      <c r="M20" s="343">
        <f t="shared" si="3"/>
        <v>0</v>
      </c>
      <c r="N20" s="343">
        <f t="shared" si="3"/>
        <v>0</v>
      </c>
      <c r="O20" s="353">
        <f t="shared" si="3"/>
        <v>0</v>
      </c>
      <c r="P20" s="343">
        <f t="shared" si="3"/>
        <v>0</v>
      </c>
      <c r="Q20" s="353">
        <f t="shared" si="3"/>
        <v>0</v>
      </c>
      <c r="R20" s="343">
        <f t="shared" si="3"/>
        <v>0</v>
      </c>
      <c r="S20" s="343">
        <f t="shared" si="3"/>
        <v>0</v>
      </c>
      <c r="T20" s="353">
        <f t="shared" si="3"/>
        <v>0</v>
      </c>
      <c r="U20" s="343">
        <f t="shared" si="3"/>
        <v>0</v>
      </c>
      <c r="V20" s="343">
        <f t="shared" si="3"/>
        <v>0</v>
      </c>
      <c r="W20" s="343">
        <f t="shared" si="3"/>
        <v>0</v>
      </c>
      <c r="X20" s="343">
        <f t="shared" si="3"/>
        <v>0</v>
      </c>
      <c r="Y20" s="359">
        <f t="shared" si="3"/>
        <v>0</v>
      </c>
      <c r="Z20" s="343"/>
      <c r="AA20" s="345"/>
      <c r="AB20" s="343" t="s">
        <v>120</v>
      </c>
    </row>
    <row r="21" spans="2:28" ht="17" thickBot="1" x14ac:dyDescent="0.25">
      <c r="B21" s="337" t="s">
        <v>121</v>
      </c>
      <c r="C21" s="338"/>
      <c r="D21" s="339"/>
      <c r="E21" s="340">
        <f>E19-E20</f>
        <v>154571.79999999999</v>
      </c>
      <c r="F21" s="338">
        <f t="shared" ref="F21:M21" si="4">F19-F20</f>
        <v>22500</v>
      </c>
      <c r="G21" s="338">
        <f t="shared" si="4"/>
        <v>1200</v>
      </c>
      <c r="H21" s="357">
        <f t="shared" si="4"/>
        <v>12364.800000000001</v>
      </c>
      <c r="I21" s="338">
        <f t="shared" si="4"/>
        <v>4800</v>
      </c>
      <c r="J21" s="357">
        <f t="shared" si="4"/>
        <v>0</v>
      </c>
      <c r="K21" s="338">
        <f t="shared" si="4"/>
        <v>7746.4</v>
      </c>
      <c r="L21" s="357">
        <f t="shared" si="4"/>
        <v>10083.200000000001</v>
      </c>
      <c r="M21" s="338">
        <f t="shared" si="4"/>
        <v>3000</v>
      </c>
      <c r="N21" s="338">
        <f>N19-N20</f>
        <v>56538.600000000006</v>
      </c>
      <c r="O21" s="357">
        <f t="shared" ref="O21:W21" si="5">O19-O20</f>
        <v>2400</v>
      </c>
      <c r="P21" s="338">
        <f t="shared" si="5"/>
        <v>0</v>
      </c>
      <c r="Q21" s="357">
        <f t="shared" si="5"/>
        <v>8280</v>
      </c>
      <c r="R21" s="338">
        <f t="shared" si="5"/>
        <v>6189.3</v>
      </c>
      <c r="S21" s="338">
        <f t="shared" si="5"/>
        <v>6189.3</v>
      </c>
      <c r="T21" s="357">
        <f t="shared" si="5"/>
        <v>6189.3</v>
      </c>
      <c r="U21" s="338">
        <f t="shared" si="5"/>
        <v>7090.9</v>
      </c>
      <c r="V21" s="338">
        <f t="shared" si="5"/>
        <v>0</v>
      </c>
      <c r="W21" s="338">
        <f t="shared" si="5"/>
        <v>0</v>
      </c>
      <c r="X21" s="338">
        <f>X19-X20</f>
        <v>0</v>
      </c>
      <c r="Y21" s="360">
        <f>Y19-Y20</f>
        <v>121179</v>
      </c>
      <c r="Z21" s="338"/>
      <c r="AA21" s="341"/>
      <c r="AB21" s="338" t="s">
        <v>121</v>
      </c>
    </row>
    <row r="22" spans="2:28" ht="16" thickBot="1" x14ac:dyDescent="0.25"/>
    <row r="23" spans="2:28" x14ac:dyDescent="0.2">
      <c r="B23" s="812" t="s">
        <v>76</v>
      </c>
      <c r="C23" s="812" t="s">
        <v>239</v>
      </c>
      <c r="D23" s="812" t="s">
        <v>83</v>
      </c>
      <c r="E23" s="812" t="s">
        <v>19</v>
      </c>
      <c r="F23" s="812" t="s">
        <v>118</v>
      </c>
      <c r="G23" s="812" t="s">
        <v>70</v>
      </c>
      <c r="H23" s="814" t="s">
        <v>401</v>
      </c>
      <c r="I23" s="812" t="s">
        <v>382</v>
      </c>
      <c r="J23" s="816" t="s">
        <v>200</v>
      </c>
      <c r="K23" s="812" t="s">
        <v>114</v>
      </c>
      <c r="L23" s="810" t="s">
        <v>402</v>
      </c>
      <c r="M23" s="812" t="s">
        <v>333</v>
      </c>
      <c r="N23" s="812" t="s">
        <v>204</v>
      </c>
      <c r="O23" s="810" t="s">
        <v>75</v>
      </c>
      <c r="P23" s="812" t="s">
        <v>278</v>
      </c>
      <c r="Q23" s="810" t="s">
        <v>116</v>
      </c>
      <c r="R23" s="812" t="s">
        <v>331</v>
      </c>
      <c r="S23" s="812" t="s">
        <v>73</v>
      </c>
      <c r="T23" s="810" t="s">
        <v>112</v>
      </c>
      <c r="U23" s="812" t="s">
        <v>72</v>
      </c>
      <c r="V23" s="812" t="s">
        <v>425</v>
      </c>
      <c r="W23" s="812" t="s">
        <v>399</v>
      </c>
      <c r="X23" s="812" t="s">
        <v>400</v>
      </c>
      <c r="Y23" s="812" t="s">
        <v>19</v>
      </c>
      <c r="Z23" s="812" t="s">
        <v>239</v>
      </c>
      <c r="AA23" s="812" t="s">
        <v>83</v>
      </c>
      <c r="AB23" s="812" t="s">
        <v>76</v>
      </c>
    </row>
    <row r="24" spans="2:28" ht="16" thickBot="1" x14ac:dyDescent="0.25">
      <c r="B24" s="813"/>
      <c r="C24" s="813"/>
      <c r="D24" s="813"/>
      <c r="E24" s="813"/>
      <c r="F24" s="813"/>
      <c r="G24" s="813"/>
      <c r="H24" s="815"/>
      <c r="I24" s="813"/>
      <c r="J24" s="817"/>
      <c r="K24" s="813"/>
      <c r="L24" s="811"/>
      <c r="M24" s="813"/>
      <c r="N24" s="813"/>
      <c r="O24" s="811"/>
      <c r="P24" s="813"/>
      <c r="Q24" s="811"/>
      <c r="R24" s="813"/>
      <c r="S24" s="813"/>
      <c r="T24" s="811"/>
      <c r="U24" s="813"/>
      <c r="V24" s="813"/>
      <c r="W24" s="813"/>
      <c r="X24" s="813"/>
      <c r="Y24" s="813"/>
      <c r="Z24" s="813"/>
      <c r="AA24" s="813"/>
      <c r="AB24" s="813"/>
    </row>
    <row r="25" spans="2:28" ht="16" thickBot="1" x14ac:dyDescent="0.25">
      <c r="B25" s="332">
        <v>45663</v>
      </c>
      <c r="C25" s="334" t="s">
        <v>240</v>
      </c>
      <c r="D25" s="807" t="s">
        <v>63</v>
      </c>
      <c r="E25" s="335">
        <f t="shared" ref="E25:E38" si="6">SUM(F25:X25)</f>
        <v>29475.1</v>
      </c>
      <c r="F25" s="362">
        <v>6400</v>
      </c>
      <c r="G25" s="362"/>
      <c r="H25" s="361">
        <v>4119.3</v>
      </c>
      <c r="I25" s="362">
        <v>2520</v>
      </c>
      <c r="J25" s="361"/>
      <c r="K25" s="362">
        <v>2725.5</v>
      </c>
      <c r="L25" s="361">
        <v>3781.2</v>
      </c>
      <c r="M25" s="362"/>
      <c r="N25" s="354">
        <v>9929.1</v>
      </c>
      <c r="O25" s="361"/>
      <c r="P25" s="362"/>
      <c r="Q25" s="361"/>
      <c r="R25" s="362"/>
      <c r="S25" s="354"/>
      <c r="T25" s="361"/>
      <c r="U25" s="362"/>
      <c r="V25" s="362"/>
      <c r="W25" s="362"/>
      <c r="X25" s="362"/>
      <c r="Y25" s="349" t="s">
        <v>407</v>
      </c>
      <c r="Z25" s="334" t="s">
        <v>240</v>
      </c>
      <c r="AA25" s="807" t="s">
        <v>63</v>
      </c>
      <c r="AB25" s="333">
        <f>B25</f>
        <v>45663</v>
      </c>
    </row>
    <row r="26" spans="2:28" ht="16" thickBot="1" x14ac:dyDescent="0.25">
      <c r="B26" s="346"/>
      <c r="C26" s="347" t="s">
        <v>89</v>
      </c>
      <c r="D26" s="809"/>
      <c r="E26" s="347">
        <f t="shared" si="6"/>
        <v>0</v>
      </c>
      <c r="F26" s="356"/>
      <c r="G26" s="356"/>
      <c r="H26" s="351"/>
      <c r="I26" s="356"/>
      <c r="J26" s="351"/>
      <c r="K26" s="356"/>
      <c r="L26" s="351"/>
      <c r="M26" s="355"/>
      <c r="N26" s="355"/>
      <c r="O26" s="364"/>
      <c r="P26" s="356"/>
      <c r="Q26" s="351"/>
      <c r="R26" s="355"/>
      <c r="S26" s="365"/>
      <c r="T26" s="364"/>
      <c r="U26" s="365"/>
      <c r="V26" s="365"/>
      <c r="W26" s="365"/>
      <c r="X26" s="356"/>
      <c r="Y26" s="366">
        <f t="shared" ref="Y26:Y38" si="7">SUM(F26:X26)</f>
        <v>0</v>
      </c>
      <c r="Z26" s="347" t="s">
        <v>89</v>
      </c>
      <c r="AA26" s="809"/>
      <c r="AB26" s="347"/>
    </row>
    <row r="27" spans="2:28" ht="16" thickBot="1" x14ac:dyDescent="0.25">
      <c r="B27" s="368">
        <v>45664</v>
      </c>
      <c r="C27" s="333" t="s">
        <v>240</v>
      </c>
      <c r="D27" s="807" t="s">
        <v>64</v>
      </c>
      <c r="E27" s="132">
        <f t="shared" si="6"/>
        <v>28294.800000000003</v>
      </c>
      <c r="F27" s="354"/>
      <c r="G27" s="354"/>
      <c r="H27" s="369"/>
      <c r="I27" s="354"/>
      <c r="J27" s="369"/>
      <c r="K27" s="354"/>
      <c r="L27" s="369"/>
      <c r="M27" s="354"/>
      <c r="N27" s="354"/>
      <c r="O27" s="369">
        <v>1440</v>
      </c>
      <c r="P27" s="354"/>
      <c r="Q27" s="369">
        <v>8280</v>
      </c>
      <c r="R27" s="354">
        <v>4816.2</v>
      </c>
      <c r="S27" s="354">
        <v>4816.2</v>
      </c>
      <c r="T27" s="369">
        <v>4816.2</v>
      </c>
      <c r="U27" s="354">
        <v>4126.2</v>
      </c>
      <c r="V27" s="354"/>
      <c r="W27" s="354"/>
      <c r="X27" s="354"/>
      <c r="Y27" s="349">
        <f t="shared" si="7"/>
        <v>28294.800000000003</v>
      </c>
      <c r="Z27" s="333" t="s">
        <v>240</v>
      </c>
      <c r="AA27" s="807" t="s">
        <v>64</v>
      </c>
      <c r="AB27" s="333">
        <f>B27</f>
        <v>45664</v>
      </c>
    </row>
    <row r="28" spans="2:28" ht="16" thickBot="1" x14ac:dyDescent="0.25">
      <c r="B28" s="336"/>
      <c r="C28" s="131" t="s">
        <v>89</v>
      </c>
      <c r="D28" s="808"/>
      <c r="E28" s="131">
        <f t="shared" si="6"/>
        <v>0</v>
      </c>
      <c r="F28" s="370"/>
      <c r="G28" s="370"/>
      <c r="H28" s="371"/>
      <c r="I28" s="370"/>
      <c r="J28" s="371"/>
      <c r="K28" s="370"/>
      <c r="L28" s="371"/>
      <c r="M28" s="370"/>
      <c r="N28" s="370"/>
      <c r="O28" s="371"/>
      <c r="P28" s="370"/>
      <c r="Q28" s="371"/>
      <c r="R28" s="370"/>
      <c r="S28" s="370"/>
      <c r="T28" s="371"/>
      <c r="U28" s="370"/>
      <c r="V28" s="370"/>
      <c r="W28" s="370"/>
      <c r="X28" s="370"/>
      <c r="Y28" s="343">
        <f t="shared" si="7"/>
        <v>0</v>
      </c>
      <c r="Z28" s="131" t="s">
        <v>89</v>
      </c>
      <c r="AA28" s="808"/>
      <c r="AB28" s="131"/>
    </row>
    <row r="29" spans="2:28" ht="16" thickBot="1" x14ac:dyDescent="0.25">
      <c r="B29" s="332">
        <v>45665</v>
      </c>
      <c r="C29" s="334" t="s">
        <v>240</v>
      </c>
      <c r="D29" s="809" t="s">
        <v>65</v>
      </c>
      <c r="E29" s="335">
        <f t="shared" si="6"/>
        <v>24087</v>
      </c>
      <c r="F29" s="367">
        <v>4500</v>
      </c>
      <c r="G29" s="367">
        <v>1440</v>
      </c>
      <c r="H29" s="350">
        <v>4119.3</v>
      </c>
      <c r="I29" s="367"/>
      <c r="J29" s="350"/>
      <c r="K29" s="367">
        <v>2725.5</v>
      </c>
      <c r="L29" s="350">
        <v>3443.1</v>
      </c>
      <c r="M29" s="367"/>
      <c r="N29" s="367">
        <v>7859.1</v>
      </c>
      <c r="O29" s="350"/>
      <c r="P29" s="367"/>
      <c r="Q29" s="350"/>
      <c r="R29" s="367"/>
      <c r="S29" s="367"/>
      <c r="T29" s="350"/>
      <c r="U29" s="367"/>
      <c r="V29" s="367"/>
      <c r="W29" s="367"/>
      <c r="X29" s="367"/>
      <c r="Y29" s="338">
        <f t="shared" si="7"/>
        <v>24087</v>
      </c>
      <c r="Z29" s="334" t="s">
        <v>240</v>
      </c>
      <c r="AA29" s="809" t="s">
        <v>65</v>
      </c>
      <c r="AB29" s="334">
        <f>B29</f>
        <v>45665</v>
      </c>
    </row>
    <row r="30" spans="2:28" ht="16" thickBot="1" x14ac:dyDescent="0.25">
      <c r="B30" s="346"/>
      <c r="C30" s="347" t="s">
        <v>89</v>
      </c>
      <c r="D30" s="809"/>
      <c r="E30" s="347">
        <f t="shared" si="6"/>
        <v>0</v>
      </c>
      <c r="F30" s="356"/>
      <c r="G30" s="356"/>
      <c r="H30" s="351"/>
      <c r="I30" s="356"/>
      <c r="J30" s="351"/>
      <c r="K30" s="356"/>
      <c r="L30" s="351"/>
      <c r="M30" s="356"/>
      <c r="N30" s="356"/>
      <c r="O30" s="351"/>
      <c r="P30" s="356"/>
      <c r="Q30" s="351"/>
      <c r="R30" s="356"/>
      <c r="S30" s="356"/>
      <c r="T30" s="351"/>
      <c r="U30" s="356"/>
      <c r="V30" s="356"/>
      <c r="W30" s="356"/>
      <c r="X30" s="356"/>
      <c r="Y30" s="366">
        <f t="shared" si="7"/>
        <v>0</v>
      </c>
      <c r="Z30" s="347" t="s">
        <v>89</v>
      </c>
      <c r="AA30" s="809"/>
      <c r="AB30" s="347"/>
    </row>
    <row r="31" spans="2:28" ht="16" thickBot="1" x14ac:dyDescent="0.25">
      <c r="B31" s="562">
        <v>45666</v>
      </c>
      <c r="C31" s="563" t="s">
        <v>240</v>
      </c>
      <c r="D31" s="807" t="s">
        <v>66</v>
      </c>
      <c r="E31" s="564">
        <f t="shared" si="6"/>
        <v>9075.4</v>
      </c>
      <c r="F31" s="372"/>
      <c r="G31" s="372"/>
      <c r="H31" s="373"/>
      <c r="I31" s="372"/>
      <c r="J31" s="373"/>
      <c r="K31" s="372"/>
      <c r="L31" s="373"/>
      <c r="M31" s="372"/>
      <c r="N31" s="372"/>
      <c r="O31" s="373"/>
      <c r="P31" s="372"/>
      <c r="Q31" s="373"/>
      <c r="R31" s="372"/>
      <c r="S31" s="372"/>
      <c r="T31" s="373"/>
      <c r="U31" s="372">
        <v>4126.2</v>
      </c>
      <c r="V31" s="372"/>
      <c r="W31" s="372">
        <v>2654.2</v>
      </c>
      <c r="X31" s="372">
        <v>2295</v>
      </c>
      <c r="Y31" s="565">
        <f t="shared" si="7"/>
        <v>9075.4</v>
      </c>
      <c r="Z31" s="563" t="s">
        <v>240</v>
      </c>
      <c r="AA31" s="807" t="s">
        <v>66</v>
      </c>
      <c r="AB31" s="563">
        <f>B31</f>
        <v>45666</v>
      </c>
    </row>
    <row r="32" spans="2:28" ht="16" thickBot="1" x14ac:dyDescent="0.25">
      <c r="B32" s="336"/>
      <c r="C32" s="131" t="s">
        <v>89</v>
      </c>
      <c r="D32" s="808"/>
      <c r="E32" s="131">
        <f t="shared" si="6"/>
        <v>0</v>
      </c>
      <c r="F32" s="370"/>
      <c r="G32" s="370"/>
      <c r="H32" s="371"/>
      <c r="I32" s="370"/>
      <c r="J32" s="371"/>
      <c r="K32" s="370"/>
      <c r="L32" s="371"/>
      <c r="M32" s="370"/>
      <c r="N32" s="370"/>
      <c r="O32" s="371"/>
      <c r="P32" s="370"/>
      <c r="Q32" s="371"/>
      <c r="R32" s="370"/>
      <c r="S32" s="370"/>
      <c r="T32" s="371"/>
      <c r="U32" s="370"/>
      <c r="V32" s="370"/>
      <c r="W32" s="370"/>
      <c r="X32" s="370"/>
      <c r="Y32" s="343">
        <f t="shared" si="7"/>
        <v>0</v>
      </c>
      <c r="Z32" s="131" t="s">
        <v>89</v>
      </c>
      <c r="AA32" s="808"/>
      <c r="AB32" s="131"/>
    </row>
    <row r="33" spans="2:28" ht="16" thickBot="1" x14ac:dyDescent="0.25">
      <c r="B33" s="566">
        <v>45667</v>
      </c>
      <c r="C33" s="567" t="s">
        <v>240</v>
      </c>
      <c r="D33" s="809" t="s">
        <v>67</v>
      </c>
      <c r="E33" s="568">
        <f t="shared" si="6"/>
        <v>37083.9</v>
      </c>
      <c r="F33" s="367">
        <v>5100</v>
      </c>
      <c r="G33" s="367"/>
      <c r="H33" s="350">
        <v>5492.4</v>
      </c>
      <c r="I33" s="367"/>
      <c r="J33" s="350">
        <v>4800</v>
      </c>
      <c r="K33" s="367">
        <v>3084.3</v>
      </c>
      <c r="L33" s="350">
        <v>3443.1</v>
      </c>
      <c r="M33" s="367">
        <v>4200</v>
      </c>
      <c r="N33" s="367">
        <v>10964.1</v>
      </c>
      <c r="O33" s="350"/>
      <c r="P33" s="367"/>
      <c r="Q33" s="350"/>
      <c r="R33" s="367"/>
      <c r="S33" s="367"/>
      <c r="T33" s="350"/>
      <c r="U33" s="367"/>
      <c r="V33" s="367"/>
      <c r="W33" s="367"/>
      <c r="X33" s="367"/>
      <c r="Y33" s="569">
        <f t="shared" si="7"/>
        <v>37083.9</v>
      </c>
      <c r="Z33" s="567" t="s">
        <v>240</v>
      </c>
      <c r="AA33" s="809" t="s">
        <v>67</v>
      </c>
      <c r="AB33" s="567">
        <f>B33</f>
        <v>45667</v>
      </c>
    </row>
    <row r="34" spans="2:28" ht="16" thickBot="1" x14ac:dyDescent="0.25">
      <c r="B34" s="346"/>
      <c r="C34" s="347" t="s">
        <v>89</v>
      </c>
      <c r="D34" s="809"/>
      <c r="E34" s="347">
        <f t="shared" si="6"/>
        <v>1200</v>
      </c>
      <c r="F34" s="355"/>
      <c r="G34" s="355"/>
      <c r="H34" s="351"/>
      <c r="I34" s="355"/>
      <c r="J34" s="351">
        <f>1200</f>
        <v>1200</v>
      </c>
      <c r="K34" s="355"/>
      <c r="L34" s="351"/>
      <c r="M34" s="356"/>
      <c r="N34" s="356"/>
      <c r="O34" s="351"/>
      <c r="P34" s="356"/>
      <c r="Q34" s="351"/>
      <c r="R34" s="356"/>
      <c r="S34" s="356"/>
      <c r="T34" s="351"/>
      <c r="U34" s="356"/>
      <c r="V34" s="356"/>
      <c r="W34" s="356"/>
      <c r="X34" s="356"/>
      <c r="Y34" s="366">
        <f t="shared" si="7"/>
        <v>1200</v>
      </c>
      <c r="Z34" s="347" t="s">
        <v>89</v>
      </c>
      <c r="AA34" s="809"/>
      <c r="AB34" s="347"/>
    </row>
    <row r="35" spans="2:28" ht="16" thickBot="1" x14ac:dyDescent="0.25">
      <c r="B35" s="368">
        <v>45668</v>
      </c>
      <c r="C35" s="333" t="s">
        <v>240</v>
      </c>
      <c r="D35" s="807" t="s">
        <v>68</v>
      </c>
      <c r="E35" s="132">
        <f t="shared" si="6"/>
        <v>0</v>
      </c>
      <c r="F35" s="372"/>
      <c r="G35" s="372"/>
      <c r="H35" s="373"/>
      <c r="I35" s="372"/>
      <c r="J35" s="373"/>
      <c r="K35" s="372"/>
      <c r="L35" s="373"/>
      <c r="M35" s="372"/>
      <c r="N35" s="372"/>
      <c r="O35" s="373"/>
      <c r="P35" s="372"/>
      <c r="Q35" s="373"/>
      <c r="R35" s="372"/>
      <c r="S35" s="372"/>
      <c r="T35" s="373"/>
      <c r="U35" s="372"/>
      <c r="V35" s="372"/>
      <c r="W35" s="372"/>
      <c r="X35" s="372"/>
      <c r="Y35" s="349">
        <f t="shared" si="7"/>
        <v>0</v>
      </c>
      <c r="Z35" s="333" t="s">
        <v>240</v>
      </c>
      <c r="AA35" s="807" t="s">
        <v>68</v>
      </c>
      <c r="AB35" s="333">
        <f>B35</f>
        <v>45668</v>
      </c>
    </row>
    <row r="36" spans="2:28" ht="16" thickBot="1" x14ac:dyDescent="0.25">
      <c r="B36" s="336"/>
      <c r="C36" s="131" t="s">
        <v>89</v>
      </c>
      <c r="D36" s="808"/>
      <c r="E36" s="131">
        <f t="shared" si="6"/>
        <v>0</v>
      </c>
      <c r="F36" s="370"/>
      <c r="G36" s="370"/>
      <c r="H36" s="371"/>
      <c r="I36" s="370"/>
      <c r="J36" s="371"/>
      <c r="K36" s="370"/>
      <c r="L36" s="371"/>
      <c r="M36" s="370"/>
      <c r="N36" s="370"/>
      <c r="O36" s="371"/>
      <c r="P36" s="370"/>
      <c r="Q36" s="371"/>
      <c r="R36" s="370"/>
      <c r="S36" s="370"/>
      <c r="T36" s="371"/>
      <c r="U36" s="370"/>
      <c r="V36" s="370"/>
      <c r="W36" s="370"/>
      <c r="X36" s="370"/>
      <c r="Y36" s="343">
        <f t="shared" si="7"/>
        <v>0</v>
      </c>
      <c r="Z36" s="131" t="s">
        <v>89</v>
      </c>
      <c r="AA36" s="808"/>
      <c r="AB36" s="131"/>
    </row>
    <row r="37" spans="2:28" ht="16" thickBot="1" x14ac:dyDescent="0.25">
      <c r="B37" s="566">
        <v>45669</v>
      </c>
      <c r="C37" s="567" t="s">
        <v>240</v>
      </c>
      <c r="D37" s="809" t="s">
        <v>69</v>
      </c>
      <c r="E37" s="568">
        <f t="shared" si="6"/>
        <v>0</v>
      </c>
      <c r="F37" s="367"/>
      <c r="G37" s="367"/>
      <c r="H37" s="350"/>
      <c r="I37" s="367"/>
      <c r="J37" s="350"/>
      <c r="K37" s="367"/>
      <c r="L37" s="350"/>
      <c r="M37" s="367"/>
      <c r="N37" s="367"/>
      <c r="O37" s="350"/>
      <c r="P37" s="367"/>
      <c r="Q37" s="350"/>
      <c r="R37" s="367"/>
      <c r="S37" s="367"/>
      <c r="T37" s="350"/>
      <c r="U37" s="367"/>
      <c r="V37" s="367"/>
      <c r="W37" s="367"/>
      <c r="X37" s="367"/>
      <c r="Y37" s="569">
        <f t="shared" si="7"/>
        <v>0</v>
      </c>
      <c r="Z37" s="567" t="s">
        <v>240</v>
      </c>
      <c r="AA37" s="809" t="s">
        <v>69</v>
      </c>
      <c r="AB37" s="567">
        <f>B37</f>
        <v>45669</v>
      </c>
    </row>
    <row r="38" spans="2:28" ht="16" thickBot="1" x14ac:dyDescent="0.25">
      <c r="B38" s="346"/>
      <c r="C38" s="347" t="s">
        <v>89</v>
      </c>
      <c r="D38" s="808"/>
      <c r="E38" s="347">
        <f t="shared" si="6"/>
        <v>0</v>
      </c>
      <c r="F38" s="356"/>
      <c r="G38" s="356"/>
      <c r="H38" s="351"/>
      <c r="I38" s="356"/>
      <c r="J38" s="351"/>
      <c r="K38" s="356"/>
      <c r="L38" s="351"/>
      <c r="M38" s="356"/>
      <c r="N38" s="356"/>
      <c r="O38" s="351"/>
      <c r="P38" s="356"/>
      <c r="Q38" s="351"/>
      <c r="R38" s="356"/>
      <c r="S38" s="356"/>
      <c r="T38" s="351"/>
      <c r="U38" s="356"/>
      <c r="V38" s="356"/>
      <c r="W38" s="356"/>
      <c r="X38" s="356"/>
      <c r="Y38" s="363">
        <f t="shared" si="7"/>
        <v>0</v>
      </c>
      <c r="Z38" s="347" t="s">
        <v>89</v>
      </c>
      <c r="AA38" s="808"/>
      <c r="AB38" s="347"/>
    </row>
    <row r="39" spans="2:28" ht="17" thickBot="1" x14ac:dyDescent="0.25">
      <c r="B39" s="348" t="s">
        <v>119</v>
      </c>
      <c r="C39" s="349"/>
      <c r="D39" s="344"/>
      <c r="E39" s="133">
        <f>SUM(E31,E29,E27,E25,E33,E35,E37)</f>
        <v>128016.20000000001</v>
      </c>
      <c r="F39" s="349">
        <f t="shared" ref="F39:Y39" si="8">SUM(F25,F27,F29,F31,F33,F35,F37)</f>
        <v>16000</v>
      </c>
      <c r="G39" s="349">
        <f t="shared" si="8"/>
        <v>1440</v>
      </c>
      <c r="H39" s="352">
        <f t="shared" si="8"/>
        <v>13731</v>
      </c>
      <c r="I39" s="349">
        <f t="shared" si="8"/>
        <v>2520</v>
      </c>
      <c r="J39" s="352">
        <f t="shared" si="8"/>
        <v>4800</v>
      </c>
      <c r="K39" s="349">
        <f t="shared" si="8"/>
        <v>8535.2999999999993</v>
      </c>
      <c r="L39" s="352">
        <f t="shared" si="8"/>
        <v>10667.4</v>
      </c>
      <c r="M39" s="349">
        <f t="shared" si="8"/>
        <v>4200</v>
      </c>
      <c r="N39" s="349">
        <f t="shared" si="8"/>
        <v>28752.300000000003</v>
      </c>
      <c r="O39" s="352">
        <f t="shared" si="8"/>
        <v>1440</v>
      </c>
      <c r="P39" s="349">
        <f t="shared" si="8"/>
        <v>0</v>
      </c>
      <c r="Q39" s="352">
        <f t="shared" si="8"/>
        <v>8280</v>
      </c>
      <c r="R39" s="349">
        <f t="shared" si="8"/>
        <v>4816.2</v>
      </c>
      <c r="S39" s="349">
        <f t="shared" si="8"/>
        <v>4816.2</v>
      </c>
      <c r="T39" s="352">
        <f t="shared" si="8"/>
        <v>4816.2</v>
      </c>
      <c r="U39" s="349">
        <f t="shared" si="8"/>
        <v>8252.4</v>
      </c>
      <c r="V39" s="349">
        <f t="shared" si="8"/>
        <v>0</v>
      </c>
      <c r="W39" s="349">
        <f t="shared" si="8"/>
        <v>2654.2</v>
      </c>
      <c r="X39" s="349">
        <f t="shared" si="8"/>
        <v>2295</v>
      </c>
      <c r="Y39" s="358">
        <f t="shared" si="8"/>
        <v>98541.1</v>
      </c>
      <c r="Z39" s="349"/>
      <c r="AA39" s="345"/>
      <c r="AB39" s="349" t="s">
        <v>119</v>
      </c>
    </row>
    <row r="40" spans="2:28" ht="17" thickBot="1" x14ac:dyDescent="0.25">
      <c r="B40" s="342" t="s">
        <v>120</v>
      </c>
      <c r="C40" s="343"/>
      <c r="D40" s="344"/>
      <c r="E40" s="134">
        <f>SUM(E26,E28,E30,E32,E34,E36,E38)</f>
        <v>1200</v>
      </c>
      <c r="F40" s="343">
        <f t="shared" ref="F40:Y40" si="9">(F26+F28+F30+F32+F34+F36+F38)</f>
        <v>0</v>
      </c>
      <c r="G40" s="343">
        <f t="shared" si="9"/>
        <v>0</v>
      </c>
      <c r="H40" s="353">
        <f t="shared" si="9"/>
        <v>0</v>
      </c>
      <c r="I40" s="343">
        <f t="shared" si="9"/>
        <v>0</v>
      </c>
      <c r="J40" s="353">
        <f t="shared" si="9"/>
        <v>1200</v>
      </c>
      <c r="K40" s="343">
        <f t="shared" si="9"/>
        <v>0</v>
      </c>
      <c r="L40" s="353">
        <f t="shared" si="9"/>
        <v>0</v>
      </c>
      <c r="M40" s="343">
        <f t="shared" si="9"/>
        <v>0</v>
      </c>
      <c r="N40" s="343">
        <f t="shared" si="9"/>
        <v>0</v>
      </c>
      <c r="O40" s="353">
        <f t="shared" si="9"/>
        <v>0</v>
      </c>
      <c r="P40" s="343">
        <f t="shared" si="9"/>
        <v>0</v>
      </c>
      <c r="Q40" s="353">
        <f t="shared" si="9"/>
        <v>0</v>
      </c>
      <c r="R40" s="343">
        <f t="shared" si="9"/>
        <v>0</v>
      </c>
      <c r="S40" s="343">
        <f t="shared" si="9"/>
        <v>0</v>
      </c>
      <c r="T40" s="353">
        <f t="shared" si="9"/>
        <v>0</v>
      </c>
      <c r="U40" s="343">
        <f t="shared" si="9"/>
        <v>0</v>
      </c>
      <c r="V40" s="343">
        <f t="shared" si="9"/>
        <v>0</v>
      </c>
      <c r="W40" s="343">
        <f t="shared" si="9"/>
        <v>0</v>
      </c>
      <c r="X40" s="343">
        <f t="shared" si="9"/>
        <v>0</v>
      </c>
      <c r="Y40" s="359">
        <f t="shared" si="9"/>
        <v>1200</v>
      </c>
      <c r="Z40" s="343"/>
      <c r="AA40" s="345"/>
      <c r="AB40" s="343" t="s">
        <v>120</v>
      </c>
    </row>
    <row r="41" spans="2:28" ht="17" thickBot="1" x14ac:dyDescent="0.25">
      <c r="B41" s="337" t="s">
        <v>121</v>
      </c>
      <c r="C41" s="338"/>
      <c r="D41" s="339"/>
      <c r="E41" s="340">
        <f>E39-E40</f>
        <v>126816.20000000001</v>
      </c>
      <c r="F41" s="338">
        <f t="shared" ref="F41:M41" si="10">F39-F40</f>
        <v>16000</v>
      </c>
      <c r="G41" s="338">
        <f t="shared" si="10"/>
        <v>1440</v>
      </c>
      <c r="H41" s="357">
        <f t="shared" si="10"/>
        <v>13731</v>
      </c>
      <c r="I41" s="338">
        <f t="shared" si="10"/>
        <v>2520</v>
      </c>
      <c r="J41" s="357">
        <f t="shared" si="10"/>
        <v>3600</v>
      </c>
      <c r="K41" s="338">
        <f t="shared" si="10"/>
        <v>8535.2999999999993</v>
      </c>
      <c r="L41" s="357">
        <f t="shared" si="10"/>
        <v>10667.4</v>
      </c>
      <c r="M41" s="338">
        <f t="shared" si="10"/>
        <v>4200</v>
      </c>
      <c r="N41" s="338">
        <f>N39-N40</f>
        <v>28752.300000000003</v>
      </c>
      <c r="O41" s="357">
        <f t="shared" ref="O41:W41" si="11">O39-O40</f>
        <v>1440</v>
      </c>
      <c r="P41" s="338">
        <f t="shared" si="11"/>
        <v>0</v>
      </c>
      <c r="Q41" s="357">
        <f t="shared" si="11"/>
        <v>8280</v>
      </c>
      <c r="R41" s="338">
        <f t="shared" si="11"/>
        <v>4816.2</v>
      </c>
      <c r="S41" s="338">
        <f t="shared" si="11"/>
        <v>4816.2</v>
      </c>
      <c r="T41" s="357">
        <f t="shared" si="11"/>
        <v>4816.2</v>
      </c>
      <c r="U41" s="338">
        <f t="shared" si="11"/>
        <v>8252.4</v>
      </c>
      <c r="V41" s="338">
        <f t="shared" si="11"/>
        <v>0</v>
      </c>
      <c r="W41" s="338">
        <f t="shared" si="11"/>
        <v>2654.2</v>
      </c>
      <c r="X41" s="338">
        <f>X39-X40</f>
        <v>2295</v>
      </c>
      <c r="Y41" s="360">
        <f>Y39-Y40</f>
        <v>97341.1</v>
      </c>
      <c r="Z41" s="338"/>
      <c r="AA41" s="341"/>
      <c r="AB41" s="338" t="s">
        <v>121</v>
      </c>
    </row>
    <row r="42" spans="2:28" ht="16" thickBot="1" x14ac:dyDescent="0.25"/>
    <row r="43" spans="2:28" x14ac:dyDescent="0.2">
      <c r="B43" s="812" t="s">
        <v>76</v>
      </c>
      <c r="C43" s="812" t="s">
        <v>239</v>
      </c>
      <c r="D43" s="812" t="s">
        <v>83</v>
      </c>
      <c r="E43" s="812" t="s">
        <v>19</v>
      </c>
      <c r="F43" s="812" t="s">
        <v>118</v>
      </c>
      <c r="G43" s="812" t="s">
        <v>70</v>
      </c>
      <c r="H43" s="814" t="s">
        <v>401</v>
      </c>
      <c r="I43" s="812" t="s">
        <v>382</v>
      </c>
      <c r="J43" s="816" t="s">
        <v>200</v>
      </c>
      <c r="K43" s="812" t="s">
        <v>114</v>
      </c>
      <c r="L43" s="810" t="s">
        <v>402</v>
      </c>
      <c r="M43" s="812" t="s">
        <v>333</v>
      </c>
      <c r="N43" s="812" t="s">
        <v>204</v>
      </c>
      <c r="O43" s="810" t="s">
        <v>75</v>
      </c>
      <c r="P43" s="812" t="s">
        <v>278</v>
      </c>
      <c r="Q43" s="810" t="s">
        <v>116</v>
      </c>
      <c r="R43" s="812" t="s">
        <v>331</v>
      </c>
      <c r="S43" s="812" t="s">
        <v>73</v>
      </c>
      <c r="T43" s="810" t="s">
        <v>112</v>
      </c>
      <c r="U43" s="812" t="s">
        <v>72</v>
      </c>
      <c r="V43" s="812" t="s">
        <v>425</v>
      </c>
      <c r="W43" s="812" t="s">
        <v>399</v>
      </c>
      <c r="X43" s="812" t="s">
        <v>400</v>
      </c>
      <c r="Y43" s="812" t="s">
        <v>19</v>
      </c>
      <c r="Z43" s="812" t="s">
        <v>239</v>
      </c>
      <c r="AA43" s="812" t="s">
        <v>83</v>
      </c>
      <c r="AB43" s="812" t="s">
        <v>76</v>
      </c>
    </row>
    <row r="44" spans="2:28" ht="16" thickBot="1" x14ac:dyDescent="0.25">
      <c r="B44" s="813"/>
      <c r="C44" s="813"/>
      <c r="D44" s="813"/>
      <c r="E44" s="813"/>
      <c r="F44" s="813"/>
      <c r="G44" s="813"/>
      <c r="H44" s="815"/>
      <c r="I44" s="813"/>
      <c r="J44" s="817"/>
      <c r="K44" s="813"/>
      <c r="L44" s="811"/>
      <c r="M44" s="813"/>
      <c r="N44" s="813"/>
      <c r="O44" s="811"/>
      <c r="P44" s="813"/>
      <c r="Q44" s="811"/>
      <c r="R44" s="813"/>
      <c r="S44" s="813"/>
      <c r="T44" s="811"/>
      <c r="U44" s="813"/>
      <c r="V44" s="813"/>
      <c r="W44" s="813"/>
      <c r="X44" s="813"/>
      <c r="Y44" s="813"/>
      <c r="Z44" s="813"/>
      <c r="AA44" s="813"/>
      <c r="AB44" s="813"/>
    </row>
    <row r="45" spans="2:28" ht="16" thickBot="1" x14ac:dyDescent="0.25">
      <c r="B45" s="332">
        <v>45670</v>
      </c>
      <c r="C45" s="334" t="s">
        <v>240</v>
      </c>
      <c r="D45" s="807" t="s">
        <v>63</v>
      </c>
      <c r="E45" s="335">
        <f t="shared" ref="E45:E58" si="12">SUM(F45:X45)</f>
        <v>26805.8</v>
      </c>
      <c r="F45" s="362">
        <v>4700</v>
      </c>
      <c r="G45" s="362">
        <v>1200</v>
      </c>
      <c r="H45" s="361">
        <v>4119.3</v>
      </c>
      <c r="I45" s="362">
        <v>2400</v>
      </c>
      <c r="J45" s="361"/>
      <c r="K45" s="362">
        <v>3084.3</v>
      </c>
      <c r="L45" s="361">
        <v>3781.2</v>
      </c>
      <c r="M45" s="362"/>
      <c r="N45" s="354">
        <v>7521</v>
      </c>
      <c r="O45" s="361"/>
      <c r="P45" s="362"/>
      <c r="Q45" s="361"/>
      <c r="R45" s="362"/>
      <c r="S45" s="354"/>
      <c r="T45" s="361"/>
      <c r="U45" s="362"/>
      <c r="V45" s="362"/>
      <c r="W45" s="362"/>
      <c r="X45" s="362"/>
      <c r="Y45" s="349" t="s">
        <v>407</v>
      </c>
      <c r="Z45" s="334" t="s">
        <v>240</v>
      </c>
      <c r="AA45" s="807" t="s">
        <v>63</v>
      </c>
      <c r="AB45" s="333">
        <f>B45</f>
        <v>45670</v>
      </c>
    </row>
    <row r="46" spans="2:28" ht="16" thickBot="1" x14ac:dyDescent="0.25">
      <c r="B46" s="346"/>
      <c r="C46" s="347" t="s">
        <v>89</v>
      </c>
      <c r="D46" s="809"/>
      <c r="E46" s="347">
        <f t="shared" si="12"/>
        <v>0</v>
      </c>
      <c r="F46" s="356"/>
      <c r="G46" s="356"/>
      <c r="H46" s="351"/>
      <c r="I46" s="356"/>
      <c r="J46" s="351"/>
      <c r="K46" s="356"/>
      <c r="L46" s="351"/>
      <c r="M46" s="355"/>
      <c r="N46" s="355"/>
      <c r="O46" s="364"/>
      <c r="P46" s="356"/>
      <c r="Q46" s="351"/>
      <c r="R46" s="355"/>
      <c r="S46" s="365"/>
      <c r="T46" s="364"/>
      <c r="U46" s="365"/>
      <c r="V46" s="365"/>
      <c r="W46" s="365"/>
      <c r="X46" s="356"/>
      <c r="Y46" s="366">
        <f t="shared" ref="Y46:Y58" si="13">SUM(F46:X46)</f>
        <v>0</v>
      </c>
      <c r="Z46" s="347" t="s">
        <v>89</v>
      </c>
      <c r="AA46" s="809"/>
      <c r="AB46" s="347"/>
    </row>
    <row r="47" spans="2:28" ht="16" thickBot="1" x14ac:dyDescent="0.25">
      <c r="B47" s="368">
        <v>45671</v>
      </c>
      <c r="C47" s="333" t="s">
        <v>240</v>
      </c>
      <c r="D47" s="807" t="s">
        <v>64</v>
      </c>
      <c r="E47" s="132">
        <f t="shared" si="12"/>
        <v>27019.800000000003</v>
      </c>
      <c r="F47" s="354"/>
      <c r="G47" s="354"/>
      <c r="H47" s="369"/>
      <c r="I47" s="354"/>
      <c r="J47" s="369"/>
      <c r="K47" s="354"/>
      <c r="L47" s="369"/>
      <c r="M47" s="354"/>
      <c r="N47" s="354"/>
      <c r="O47" s="369">
        <v>1200</v>
      </c>
      <c r="P47" s="354"/>
      <c r="Q47" s="369">
        <v>7245</v>
      </c>
      <c r="R47" s="354">
        <v>4816.2</v>
      </c>
      <c r="S47" s="354">
        <v>4816.2</v>
      </c>
      <c r="T47" s="369">
        <v>4816.2</v>
      </c>
      <c r="U47" s="354">
        <v>4126.2</v>
      </c>
      <c r="V47" s="354"/>
      <c r="W47" s="354"/>
      <c r="X47" s="354"/>
      <c r="Y47" s="349">
        <f t="shared" si="13"/>
        <v>27019.800000000003</v>
      </c>
      <c r="Z47" s="333" t="s">
        <v>240</v>
      </c>
      <c r="AA47" s="807" t="s">
        <v>64</v>
      </c>
      <c r="AB47" s="333">
        <f>B47</f>
        <v>45671</v>
      </c>
    </row>
    <row r="48" spans="2:28" ht="16" thickBot="1" x14ac:dyDescent="0.25">
      <c r="B48" s="336"/>
      <c r="C48" s="131" t="s">
        <v>89</v>
      </c>
      <c r="D48" s="808"/>
      <c r="E48" s="131">
        <f t="shared" si="12"/>
        <v>0</v>
      </c>
      <c r="F48" s="370"/>
      <c r="G48" s="370"/>
      <c r="H48" s="371"/>
      <c r="I48" s="370"/>
      <c r="J48" s="371"/>
      <c r="K48" s="370"/>
      <c r="L48" s="371"/>
      <c r="M48" s="370"/>
      <c r="N48" s="370"/>
      <c r="O48" s="371"/>
      <c r="P48" s="370"/>
      <c r="Q48" s="371"/>
      <c r="R48" s="370"/>
      <c r="S48" s="370"/>
      <c r="T48" s="371"/>
      <c r="U48" s="370"/>
      <c r="V48" s="370"/>
      <c r="W48" s="370"/>
      <c r="X48" s="370"/>
      <c r="Y48" s="343">
        <f t="shared" si="13"/>
        <v>0</v>
      </c>
      <c r="Z48" s="131" t="s">
        <v>89</v>
      </c>
      <c r="AA48" s="808"/>
      <c r="AB48" s="131"/>
    </row>
    <row r="49" spans="2:28" ht="16" thickBot="1" x14ac:dyDescent="0.25">
      <c r="B49" s="332">
        <v>45672</v>
      </c>
      <c r="C49" s="334" t="s">
        <v>240</v>
      </c>
      <c r="D49" s="809" t="s">
        <v>65</v>
      </c>
      <c r="E49" s="335">
        <f t="shared" si="12"/>
        <v>23408.9</v>
      </c>
      <c r="F49" s="367">
        <v>5600</v>
      </c>
      <c r="G49" s="367"/>
      <c r="H49" s="350">
        <v>4119.3</v>
      </c>
      <c r="I49" s="367"/>
      <c r="J49" s="350"/>
      <c r="K49" s="367">
        <v>2725.5</v>
      </c>
      <c r="L49" s="350">
        <v>3443.1</v>
      </c>
      <c r="M49" s="367"/>
      <c r="N49" s="367">
        <v>7521</v>
      </c>
      <c r="O49" s="350"/>
      <c r="P49" s="367"/>
      <c r="Q49" s="350"/>
      <c r="R49" s="367"/>
      <c r="S49" s="367"/>
      <c r="T49" s="350"/>
      <c r="U49" s="367"/>
      <c r="V49" s="367"/>
      <c r="W49" s="367"/>
      <c r="X49" s="367"/>
      <c r="Y49" s="338">
        <f t="shared" si="13"/>
        <v>23408.9</v>
      </c>
      <c r="Z49" s="334" t="s">
        <v>240</v>
      </c>
      <c r="AA49" s="809" t="s">
        <v>65</v>
      </c>
      <c r="AB49" s="334">
        <f>B49</f>
        <v>45672</v>
      </c>
    </row>
    <row r="50" spans="2:28" ht="16" thickBot="1" x14ac:dyDescent="0.25">
      <c r="B50" s="346"/>
      <c r="C50" s="347" t="s">
        <v>89</v>
      </c>
      <c r="D50" s="809"/>
      <c r="E50" s="347">
        <f t="shared" si="12"/>
        <v>0</v>
      </c>
      <c r="F50" s="356"/>
      <c r="G50" s="356"/>
      <c r="H50" s="351"/>
      <c r="I50" s="356"/>
      <c r="J50" s="351"/>
      <c r="K50" s="356"/>
      <c r="L50" s="351"/>
      <c r="M50" s="356"/>
      <c r="N50" s="356"/>
      <c r="O50" s="351"/>
      <c r="P50" s="356"/>
      <c r="Q50" s="351"/>
      <c r="R50" s="356"/>
      <c r="S50" s="356"/>
      <c r="T50" s="351"/>
      <c r="U50" s="356"/>
      <c r="V50" s="356"/>
      <c r="W50" s="356"/>
      <c r="X50" s="356"/>
      <c r="Y50" s="366">
        <f t="shared" si="13"/>
        <v>0</v>
      </c>
      <c r="Z50" s="347" t="s">
        <v>89</v>
      </c>
      <c r="AA50" s="809"/>
      <c r="AB50" s="347"/>
    </row>
    <row r="51" spans="2:28" ht="16" thickBot="1" x14ac:dyDescent="0.25">
      <c r="B51" s="562">
        <v>45673</v>
      </c>
      <c r="C51" s="563" t="s">
        <v>240</v>
      </c>
      <c r="D51" s="807" t="s">
        <v>66</v>
      </c>
      <c r="E51" s="564">
        <f t="shared" si="12"/>
        <v>0</v>
      </c>
      <c r="F51" s="372"/>
      <c r="G51" s="372"/>
      <c r="H51" s="373"/>
      <c r="I51" s="372"/>
      <c r="J51" s="373"/>
      <c r="K51" s="372"/>
      <c r="L51" s="373"/>
      <c r="M51" s="372"/>
      <c r="N51" s="372"/>
      <c r="O51" s="373"/>
      <c r="P51" s="372"/>
      <c r="Q51" s="373"/>
      <c r="R51" s="372"/>
      <c r="S51" s="372"/>
      <c r="T51" s="373"/>
      <c r="U51" s="372"/>
      <c r="V51" s="372"/>
      <c r="W51" s="372"/>
      <c r="X51" s="372"/>
      <c r="Y51" s="565">
        <f t="shared" si="13"/>
        <v>0</v>
      </c>
      <c r="Z51" s="563" t="s">
        <v>240</v>
      </c>
      <c r="AA51" s="807" t="s">
        <v>66</v>
      </c>
      <c r="AB51" s="563">
        <f>B51</f>
        <v>45673</v>
      </c>
    </row>
    <row r="52" spans="2:28" ht="16" thickBot="1" x14ac:dyDescent="0.25">
      <c r="B52" s="336"/>
      <c r="C52" s="131" t="s">
        <v>89</v>
      </c>
      <c r="D52" s="808"/>
      <c r="E52" s="131">
        <f t="shared" si="12"/>
        <v>0</v>
      </c>
      <c r="F52" s="370"/>
      <c r="G52" s="370"/>
      <c r="H52" s="371"/>
      <c r="I52" s="370"/>
      <c r="J52" s="371"/>
      <c r="K52" s="370"/>
      <c r="L52" s="371"/>
      <c r="M52" s="370"/>
      <c r="N52" s="370"/>
      <c r="O52" s="371"/>
      <c r="P52" s="370"/>
      <c r="Q52" s="371"/>
      <c r="R52" s="370"/>
      <c r="S52" s="370"/>
      <c r="T52" s="371"/>
      <c r="U52" s="370"/>
      <c r="V52" s="370"/>
      <c r="W52" s="370"/>
      <c r="X52" s="370"/>
      <c r="Y52" s="343">
        <f t="shared" si="13"/>
        <v>0</v>
      </c>
      <c r="Z52" s="131" t="s">
        <v>89</v>
      </c>
      <c r="AA52" s="808"/>
      <c r="AB52" s="131"/>
    </row>
    <row r="53" spans="2:28" ht="16" thickBot="1" x14ac:dyDescent="0.25">
      <c r="B53" s="566">
        <v>45674</v>
      </c>
      <c r="C53" s="567" t="s">
        <v>240</v>
      </c>
      <c r="D53" s="809" t="s">
        <v>67</v>
      </c>
      <c r="E53" s="568">
        <f t="shared" si="12"/>
        <v>31505.800000000003</v>
      </c>
      <c r="F53" s="367">
        <v>5200</v>
      </c>
      <c r="G53" s="367">
        <v>1200</v>
      </c>
      <c r="H53" s="350">
        <v>3443.1</v>
      </c>
      <c r="I53" s="367"/>
      <c r="J53" s="350">
        <v>2400</v>
      </c>
      <c r="K53" s="367">
        <v>2725.5</v>
      </c>
      <c r="L53" s="350">
        <v>3443.1</v>
      </c>
      <c r="M53" s="367">
        <v>4200</v>
      </c>
      <c r="N53" s="367">
        <v>8894.1</v>
      </c>
      <c r="O53" s="350"/>
      <c r="P53" s="367"/>
      <c r="Q53" s="350"/>
      <c r="R53" s="367"/>
      <c r="S53" s="367"/>
      <c r="T53" s="350"/>
      <c r="U53" s="367"/>
      <c r="V53" s="367"/>
      <c r="W53" s="367"/>
      <c r="X53" s="367"/>
      <c r="Y53" s="569">
        <f t="shared" si="13"/>
        <v>31505.800000000003</v>
      </c>
      <c r="Z53" s="567" t="s">
        <v>240</v>
      </c>
      <c r="AA53" s="809" t="s">
        <v>67</v>
      </c>
      <c r="AB53" s="567">
        <f>B53</f>
        <v>45674</v>
      </c>
    </row>
    <row r="54" spans="2:28" ht="16" thickBot="1" x14ac:dyDescent="0.25">
      <c r="B54" s="346"/>
      <c r="C54" s="347" t="s">
        <v>89</v>
      </c>
      <c r="D54" s="809"/>
      <c r="E54" s="347">
        <f t="shared" si="12"/>
        <v>120</v>
      </c>
      <c r="F54" s="355"/>
      <c r="G54" s="355"/>
      <c r="H54" s="351"/>
      <c r="I54" s="355"/>
      <c r="J54" s="351">
        <v>120</v>
      </c>
      <c r="K54" s="355"/>
      <c r="L54" s="351"/>
      <c r="M54" s="356"/>
      <c r="N54" s="356"/>
      <c r="O54" s="351"/>
      <c r="P54" s="356"/>
      <c r="Q54" s="351"/>
      <c r="R54" s="356"/>
      <c r="S54" s="356"/>
      <c r="T54" s="351"/>
      <c r="U54" s="356"/>
      <c r="V54" s="356"/>
      <c r="W54" s="356"/>
      <c r="X54" s="356"/>
      <c r="Y54" s="366">
        <f t="shared" si="13"/>
        <v>120</v>
      </c>
      <c r="Z54" s="347" t="s">
        <v>89</v>
      </c>
      <c r="AA54" s="809"/>
      <c r="AB54" s="347"/>
    </row>
    <row r="55" spans="2:28" ht="16" thickBot="1" x14ac:dyDescent="0.25">
      <c r="B55" s="368">
        <v>45675</v>
      </c>
      <c r="C55" s="333" t="s">
        <v>240</v>
      </c>
      <c r="D55" s="807" t="s">
        <v>68</v>
      </c>
      <c r="E55" s="132">
        <f t="shared" si="12"/>
        <v>0</v>
      </c>
      <c r="F55" s="372"/>
      <c r="G55" s="372"/>
      <c r="H55" s="373"/>
      <c r="I55" s="372"/>
      <c r="J55" s="373"/>
      <c r="K55" s="372"/>
      <c r="L55" s="373"/>
      <c r="M55" s="372"/>
      <c r="N55" s="372"/>
      <c r="O55" s="373"/>
      <c r="P55" s="372"/>
      <c r="Q55" s="373"/>
      <c r="R55" s="372"/>
      <c r="S55" s="372"/>
      <c r="T55" s="373"/>
      <c r="U55" s="372"/>
      <c r="V55" s="372"/>
      <c r="W55" s="372"/>
      <c r="X55" s="372"/>
      <c r="Y55" s="349">
        <f t="shared" si="13"/>
        <v>0</v>
      </c>
      <c r="Z55" s="333" t="s">
        <v>240</v>
      </c>
      <c r="AA55" s="807" t="s">
        <v>68</v>
      </c>
      <c r="AB55" s="333">
        <f>B55</f>
        <v>45675</v>
      </c>
    </row>
    <row r="56" spans="2:28" ht="16" thickBot="1" x14ac:dyDescent="0.25">
      <c r="B56" s="336"/>
      <c r="C56" s="131" t="s">
        <v>89</v>
      </c>
      <c r="D56" s="808"/>
      <c r="E56" s="131">
        <f t="shared" si="12"/>
        <v>0</v>
      </c>
      <c r="F56" s="370"/>
      <c r="G56" s="370"/>
      <c r="H56" s="371"/>
      <c r="I56" s="370"/>
      <c r="J56" s="371"/>
      <c r="K56" s="370"/>
      <c r="L56" s="371"/>
      <c r="M56" s="370"/>
      <c r="N56" s="370"/>
      <c r="O56" s="371"/>
      <c r="P56" s="370"/>
      <c r="Q56" s="371"/>
      <c r="R56" s="370"/>
      <c r="S56" s="370"/>
      <c r="T56" s="371"/>
      <c r="U56" s="370"/>
      <c r="V56" s="370"/>
      <c r="W56" s="370"/>
      <c r="X56" s="370"/>
      <c r="Y56" s="343">
        <f t="shared" si="13"/>
        <v>0</v>
      </c>
      <c r="Z56" s="131" t="s">
        <v>89</v>
      </c>
      <c r="AA56" s="808"/>
      <c r="AB56" s="131"/>
    </row>
    <row r="57" spans="2:28" ht="16" thickBot="1" x14ac:dyDescent="0.25">
      <c r="B57" s="566">
        <v>45676</v>
      </c>
      <c r="C57" s="567" t="s">
        <v>240</v>
      </c>
      <c r="D57" s="809" t="s">
        <v>69</v>
      </c>
      <c r="E57" s="568">
        <f t="shared" si="12"/>
        <v>12098</v>
      </c>
      <c r="F57" s="367"/>
      <c r="G57" s="367"/>
      <c r="H57" s="350"/>
      <c r="I57" s="367"/>
      <c r="J57" s="350"/>
      <c r="K57" s="367"/>
      <c r="L57" s="350"/>
      <c r="M57" s="367"/>
      <c r="N57" s="367">
        <v>12098</v>
      </c>
      <c r="O57" s="350"/>
      <c r="P57" s="367"/>
      <c r="Q57" s="350"/>
      <c r="R57" s="367"/>
      <c r="S57" s="367"/>
      <c r="T57" s="350"/>
      <c r="U57" s="367"/>
      <c r="V57" s="367"/>
      <c r="W57" s="367"/>
      <c r="X57" s="367"/>
      <c r="Y57" s="569">
        <f t="shared" si="13"/>
        <v>12098</v>
      </c>
      <c r="Z57" s="567" t="s">
        <v>240</v>
      </c>
      <c r="AA57" s="809" t="s">
        <v>69</v>
      </c>
      <c r="AB57" s="567">
        <f>B57</f>
        <v>45676</v>
      </c>
    </row>
    <row r="58" spans="2:28" ht="16" thickBot="1" x14ac:dyDescent="0.25">
      <c r="B58" s="346"/>
      <c r="C58" s="347" t="s">
        <v>89</v>
      </c>
      <c r="D58" s="808"/>
      <c r="E58" s="347">
        <f t="shared" si="12"/>
        <v>0</v>
      </c>
      <c r="F58" s="356"/>
      <c r="G58" s="356"/>
      <c r="H58" s="351"/>
      <c r="I58" s="356"/>
      <c r="J58" s="351"/>
      <c r="K58" s="356"/>
      <c r="L58" s="351"/>
      <c r="M58" s="356"/>
      <c r="N58" s="356"/>
      <c r="O58" s="351"/>
      <c r="P58" s="356"/>
      <c r="Q58" s="351"/>
      <c r="R58" s="356"/>
      <c r="S58" s="356"/>
      <c r="T58" s="351"/>
      <c r="U58" s="356"/>
      <c r="V58" s="356"/>
      <c r="W58" s="356"/>
      <c r="X58" s="356"/>
      <c r="Y58" s="363">
        <f t="shared" si="13"/>
        <v>0</v>
      </c>
      <c r="Z58" s="347" t="s">
        <v>89</v>
      </c>
      <c r="AA58" s="808"/>
      <c r="AB58" s="347"/>
    </row>
    <row r="59" spans="2:28" ht="17" thickBot="1" x14ac:dyDescent="0.25">
      <c r="B59" s="348" t="s">
        <v>119</v>
      </c>
      <c r="C59" s="349"/>
      <c r="D59" s="344"/>
      <c r="E59" s="133">
        <f>SUM(E51,E49,E47,E45,E53,E55,E57)</f>
        <v>120838.3</v>
      </c>
      <c r="F59" s="349">
        <f t="shared" ref="F59:Y59" si="14">SUM(F45,F47,F49,F51,F53,F55,F57)</f>
        <v>15500</v>
      </c>
      <c r="G59" s="349">
        <f t="shared" si="14"/>
        <v>2400</v>
      </c>
      <c r="H59" s="352">
        <f t="shared" si="14"/>
        <v>11681.7</v>
      </c>
      <c r="I59" s="349">
        <f t="shared" si="14"/>
        <v>2400</v>
      </c>
      <c r="J59" s="352">
        <f t="shared" si="14"/>
        <v>2400</v>
      </c>
      <c r="K59" s="349">
        <f t="shared" si="14"/>
        <v>8535.2999999999993</v>
      </c>
      <c r="L59" s="352">
        <f t="shared" si="14"/>
        <v>10667.4</v>
      </c>
      <c r="M59" s="349">
        <f t="shared" si="14"/>
        <v>4200</v>
      </c>
      <c r="N59" s="349">
        <f t="shared" si="14"/>
        <v>36034.1</v>
      </c>
      <c r="O59" s="352">
        <f t="shared" si="14"/>
        <v>1200</v>
      </c>
      <c r="P59" s="349">
        <f t="shared" si="14"/>
        <v>0</v>
      </c>
      <c r="Q59" s="352">
        <f t="shared" si="14"/>
        <v>7245</v>
      </c>
      <c r="R59" s="349">
        <f t="shared" si="14"/>
        <v>4816.2</v>
      </c>
      <c r="S59" s="349">
        <f t="shared" si="14"/>
        <v>4816.2</v>
      </c>
      <c r="T59" s="352">
        <f t="shared" si="14"/>
        <v>4816.2</v>
      </c>
      <c r="U59" s="349">
        <f t="shared" si="14"/>
        <v>4126.2</v>
      </c>
      <c r="V59" s="349">
        <f t="shared" si="14"/>
        <v>0</v>
      </c>
      <c r="W59" s="349">
        <f t="shared" si="14"/>
        <v>0</v>
      </c>
      <c r="X59" s="349">
        <f t="shared" si="14"/>
        <v>0</v>
      </c>
      <c r="Y59" s="358">
        <f t="shared" si="14"/>
        <v>94032.5</v>
      </c>
      <c r="Z59" s="349"/>
      <c r="AA59" s="345"/>
      <c r="AB59" s="349" t="s">
        <v>119</v>
      </c>
    </row>
    <row r="60" spans="2:28" ht="17" thickBot="1" x14ac:dyDescent="0.25">
      <c r="B60" s="342" t="s">
        <v>120</v>
      </c>
      <c r="C60" s="343"/>
      <c r="D60" s="344"/>
      <c r="E60" s="134">
        <f>SUM(E46,E48,E50,E52,E54,E56,E58)</f>
        <v>120</v>
      </c>
      <c r="F60" s="343">
        <f t="shared" ref="F60:Y60" si="15">(F46+F48+F50+F52+F54+F56+F58)</f>
        <v>0</v>
      </c>
      <c r="G60" s="343">
        <f t="shared" si="15"/>
        <v>0</v>
      </c>
      <c r="H60" s="353">
        <f t="shared" si="15"/>
        <v>0</v>
      </c>
      <c r="I60" s="343">
        <f t="shared" si="15"/>
        <v>0</v>
      </c>
      <c r="J60" s="353">
        <f t="shared" si="15"/>
        <v>120</v>
      </c>
      <c r="K60" s="343">
        <f t="shared" si="15"/>
        <v>0</v>
      </c>
      <c r="L60" s="353">
        <f t="shared" si="15"/>
        <v>0</v>
      </c>
      <c r="M60" s="343">
        <f t="shared" si="15"/>
        <v>0</v>
      </c>
      <c r="N60" s="343">
        <f t="shared" si="15"/>
        <v>0</v>
      </c>
      <c r="O60" s="353">
        <f t="shared" si="15"/>
        <v>0</v>
      </c>
      <c r="P60" s="343">
        <f t="shared" si="15"/>
        <v>0</v>
      </c>
      <c r="Q60" s="353">
        <f t="shared" si="15"/>
        <v>0</v>
      </c>
      <c r="R60" s="343">
        <f t="shared" si="15"/>
        <v>0</v>
      </c>
      <c r="S60" s="343">
        <f t="shared" si="15"/>
        <v>0</v>
      </c>
      <c r="T60" s="353">
        <f t="shared" si="15"/>
        <v>0</v>
      </c>
      <c r="U60" s="343">
        <f t="shared" si="15"/>
        <v>0</v>
      </c>
      <c r="V60" s="343">
        <f t="shared" si="15"/>
        <v>0</v>
      </c>
      <c r="W60" s="343">
        <f t="shared" si="15"/>
        <v>0</v>
      </c>
      <c r="X60" s="343">
        <f t="shared" si="15"/>
        <v>0</v>
      </c>
      <c r="Y60" s="359">
        <f t="shared" si="15"/>
        <v>120</v>
      </c>
      <c r="Z60" s="343"/>
      <c r="AA60" s="345"/>
      <c r="AB60" s="343" t="s">
        <v>120</v>
      </c>
    </row>
    <row r="61" spans="2:28" ht="17" thickBot="1" x14ac:dyDescent="0.25">
      <c r="B61" s="337" t="s">
        <v>121</v>
      </c>
      <c r="C61" s="338"/>
      <c r="D61" s="339"/>
      <c r="E61" s="340">
        <f>E59-E60</f>
        <v>120718.3</v>
      </c>
      <c r="F61" s="338">
        <f t="shared" ref="F61:M61" si="16">F59-F60</f>
        <v>15500</v>
      </c>
      <c r="G61" s="338">
        <f t="shared" si="16"/>
        <v>2400</v>
      </c>
      <c r="H61" s="357">
        <f t="shared" si="16"/>
        <v>11681.7</v>
      </c>
      <c r="I61" s="338">
        <f t="shared" si="16"/>
        <v>2400</v>
      </c>
      <c r="J61" s="357">
        <f t="shared" si="16"/>
        <v>2280</v>
      </c>
      <c r="K61" s="338">
        <f t="shared" si="16"/>
        <v>8535.2999999999993</v>
      </c>
      <c r="L61" s="357">
        <f t="shared" si="16"/>
        <v>10667.4</v>
      </c>
      <c r="M61" s="338">
        <f t="shared" si="16"/>
        <v>4200</v>
      </c>
      <c r="N61" s="338">
        <f>N59-N60</f>
        <v>36034.1</v>
      </c>
      <c r="O61" s="357">
        <f t="shared" ref="O61:W61" si="17">O59-O60</f>
        <v>1200</v>
      </c>
      <c r="P61" s="338">
        <f t="shared" si="17"/>
        <v>0</v>
      </c>
      <c r="Q61" s="357">
        <f t="shared" si="17"/>
        <v>7245</v>
      </c>
      <c r="R61" s="338">
        <f t="shared" si="17"/>
        <v>4816.2</v>
      </c>
      <c r="S61" s="338">
        <f t="shared" si="17"/>
        <v>4816.2</v>
      </c>
      <c r="T61" s="357">
        <f t="shared" si="17"/>
        <v>4816.2</v>
      </c>
      <c r="U61" s="338">
        <f t="shared" si="17"/>
        <v>4126.2</v>
      </c>
      <c r="V61" s="338">
        <f t="shared" si="17"/>
        <v>0</v>
      </c>
      <c r="W61" s="338">
        <f t="shared" si="17"/>
        <v>0</v>
      </c>
      <c r="X61" s="338">
        <f>X59-X60</f>
        <v>0</v>
      </c>
      <c r="Y61" s="360">
        <f>Y59-Y60</f>
        <v>93912.5</v>
      </c>
      <c r="Z61" s="338"/>
      <c r="AA61" s="341"/>
      <c r="AB61" s="338" t="s">
        <v>121</v>
      </c>
    </row>
    <row r="62" spans="2:28" ht="16" thickBot="1" x14ac:dyDescent="0.25"/>
    <row r="63" spans="2:28" x14ac:dyDescent="0.2">
      <c r="B63" s="812" t="s">
        <v>76</v>
      </c>
      <c r="C63" s="812" t="s">
        <v>239</v>
      </c>
      <c r="D63" s="812" t="s">
        <v>83</v>
      </c>
      <c r="E63" s="812" t="s">
        <v>19</v>
      </c>
      <c r="F63" s="812" t="s">
        <v>118</v>
      </c>
      <c r="G63" s="812" t="s">
        <v>70</v>
      </c>
      <c r="H63" s="814" t="s">
        <v>401</v>
      </c>
      <c r="I63" s="812" t="s">
        <v>382</v>
      </c>
      <c r="J63" s="816" t="s">
        <v>200</v>
      </c>
      <c r="K63" s="812" t="s">
        <v>114</v>
      </c>
      <c r="L63" s="810" t="s">
        <v>402</v>
      </c>
      <c r="M63" s="812" t="s">
        <v>333</v>
      </c>
      <c r="N63" s="812" t="s">
        <v>204</v>
      </c>
      <c r="O63" s="810" t="s">
        <v>75</v>
      </c>
      <c r="P63" s="812" t="s">
        <v>278</v>
      </c>
      <c r="Q63" s="810" t="s">
        <v>116</v>
      </c>
      <c r="R63" s="812" t="s">
        <v>331</v>
      </c>
      <c r="S63" s="812" t="s">
        <v>73</v>
      </c>
      <c r="T63" s="810" t="s">
        <v>112</v>
      </c>
      <c r="U63" s="812" t="s">
        <v>72</v>
      </c>
      <c r="V63" s="812" t="s">
        <v>425</v>
      </c>
      <c r="W63" s="812" t="s">
        <v>399</v>
      </c>
      <c r="X63" s="812" t="s">
        <v>400</v>
      </c>
      <c r="Y63" s="812" t="s">
        <v>19</v>
      </c>
      <c r="Z63" s="812" t="s">
        <v>239</v>
      </c>
      <c r="AA63" s="812" t="s">
        <v>83</v>
      </c>
      <c r="AB63" s="812" t="s">
        <v>76</v>
      </c>
    </row>
    <row r="64" spans="2:28" ht="16" thickBot="1" x14ac:dyDescent="0.25">
      <c r="B64" s="813"/>
      <c r="C64" s="813"/>
      <c r="D64" s="813"/>
      <c r="E64" s="813"/>
      <c r="F64" s="813"/>
      <c r="G64" s="813"/>
      <c r="H64" s="815"/>
      <c r="I64" s="813"/>
      <c r="J64" s="817"/>
      <c r="K64" s="813"/>
      <c r="L64" s="811"/>
      <c r="M64" s="813"/>
      <c r="N64" s="813"/>
      <c r="O64" s="811"/>
      <c r="P64" s="813"/>
      <c r="Q64" s="811"/>
      <c r="R64" s="813"/>
      <c r="S64" s="813"/>
      <c r="T64" s="811"/>
      <c r="U64" s="813"/>
      <c r="V64" s="813"/>
      <c r="W64" s="813"/>
      <c r="X64" s="813"/>
      <c r="Y64" s="813"/>
      <c r="Z64" s="813"/>
      <c r="AA64" s="813"/>
      <c r="AB64" s="813"/>
    </row>
    <row r="65" spans="2:28" ht="16" thickBot="1" x14ac:dyDescent="0.25">
      <c r="B65" s="332">
        <v>45677</v>
      </c>
      <c r="C65" s="334" t="s">
        <v>240</v>
      </c>
      <c r="D65" s="807" t="s">
        <v>63</v>
      </c>
      <c r="E65" s="335">
        <f t="shared" ref="E65:E78" si="18">SUM(F65:X65)</f>
        <v>25494.6</v>
      </c>
      <c r="F65" s="362">
        <v>5100</v>
      </c>
      <c r="G65" s="362">
        <v>1200</v>
      </c>
      <c r="H65" s="361">
        <v>3443.1</v>
      </c>
      <c r="I65" s="362">
        <v>2400</v>
      </c>
      <c r="J65" s="361"/>
      <c r="K65" s="362">
        <v>2725.5</v>
      </c>
      <c r="L65" s="361">
        <v>3443.1</v>
      </c>
      <c r="M65" s="362"/>
      <c r="N65" s="354">
        <v>7182.9</v>
      </c>
      <c r="O65" s="361"/>
      <c r="P65" s="362"/>
      <c r="Q65" s="361"/>
      <c r="R65" s="362"/>
      <c r="S65" s="354"/>
      <c r="T65" s="361"/>
      <c r="U65" s="362"/>
      <c r="V65" s="362"/>
      <c r="W65" s="362"/>
      <c r="X65" s="362"/>
      <c r="Y65" s="349" t="s">
        <v>407</v>
      </c>
      <c r="Z65" s="334" t="s">
        <v>240</v>
      </c>
      <c r="AA65" s="807" t="s">
        <v>63</v>
      </c>
      <c r="AB65" s="333">
        <f>B65</f>
        <v>45677</v>
      </c>
    </row>
    <row r="66" spans="2:28" ht="16" thickBot="1" x14ac:dyDescent="0.25">
      <c r="B66" s="346"/>
      <c r="C66" s="347" t="s">
        <v>89</v>
      </c>
      <c r="D66" s="809"/>
      <c r="E66" s="347">
        <f t="shared" si="18"/>
        <v>240</v>
      </c>
      <c r="F66" s="356"/>
      <c r="G66" s="356"/>
      <c r="H66" s="351"/>
      <c r="I66" s="356">
        <v>240</v>
      </c>
      <c r="J66" s="351"/>
      <c r="K66" s="356"/>
      <c r="L66" s="351"/>
      <c r="M66" s="355"/>
      <c r="N66" s="355"/>
      <c r="O66" s="364"/>
      <c r="P66" s="356"/>
      <c r="Q66" s="351"/>
      <c r="R66" s="355"/>
      <c r="S66" s="365"/>
      <c r="T66" s="364"/>
      <c r="U66" s="365"/>
      <c r="V66" s="365"/>
      <c r="W66" s="365"/>
      <c r="X66" s="356"/>
      <c r="Y66" s="366">
        <f t="shared" ref="Y66:Y78" si="19">SUM(F66:X66)</f>
        <v>240</v>
      </c>
      <c r="Z66" s="347" t="s">
        <v>89</v>
      </c>
      <c r="AA66" s="809"/>
      <c r="AB66" s="347"/>
    </row>
    <row r="67" spans="2:28" ht="16" thickBot="1" x14ac:dyDescent="0.25">
      <c r="B67" s="368">
        <v>45678</v>
      </c>
      <c r="C67" s="333" t="s">
        <v>240</v>
      </c>
      <c r="D67" s="807" t="s">
        <v>64</v>
      </c>
      <c r="E67" s="132">
        <f t="shared" si="18"/>
        <v>30026.7</v>
      </c>
      <c r="F67" s="354"/>
      <c r="G67" s="354"/>
      <c r="H67" s="369"/>
      <c r="I67" s="354"/>
      <c r="J67" s="369"/>
      <c r="K67" s="354"/>
      <c r="L67" s="369"/>
      <c r="M67" s="354"/>
      <c r="N67" s="354"/>
      <c r="O67" s="369">
        <v>1440</v>
      </c>
      <c r="P67" s="354"/>
      <c r="Q67" s="369">
        <v>8618.1</v>
      </c>
      <c r="R67" s="354">
        <v>5280.8</v>
      </c>
      <c r="S67" s="354">
        <v>5280.8</v>
      </c>
      <c r="T67" s="369">
        <v>5280.8</v>
      </c>
      <c r="U67" s="354">
        <v>4126.2</v>
      </c>
      <c r="V67" s="354"/>
      <c r="W67" s="354"/>
      <c r="X67" s="354"/>
      <c r="Y67" s="349">
        <f t="shared" si="19"/>
        <v>30026.7</v>
      </c>
      <c r="Z67" s="333" t="s">
        <v>240</v>
      </c>
      <c r="AA67" s="807" t="s">
        <v>64</v>
      </c>
      <c r="AB67" s="333">
        <f>B67</f>
        <v>45678</v>
      </c>
    </row>
    <row r="68" spans="2:28" ht="16" thickBot="1" x14ac:dyDescent="0.25">
      <c r="B68" s="336"/>
      <c r="C68" s="131" t="s">
        <v>89</v>
      </c>
      <c r="D68" s="808"/>
      <c r="E68" s="131">
        <f t="shared" si="18"/>
        <v>0</v>
      </c>
      <c r="F68" s="370"/>
      <c r="G68" s="370"/>
      <c r="H68" s="371"/>
      <c r="I68" s="370"/>
      <c r="J68" s="371"/>
      <c r="K68" s="370"/>
      <c r="L68" s="371"/>
      <c r="M68" s="370"/>
      <c r="N68" s="370"/>
      <c r="O68" s="371"/>
      <c r="P68" s="370"/>
      <c r="Q68" s="371"/>
      <c r="R68" s="370"/>
      <c r="S68" s="370"/>
      <c r="T68" s="371"/>
      <c r="U68" s="370"/>
      <c r="V68" s="370"/>
      <c r="W68" s="370"/>
      <c r="X68" s="370"/>
      <c r="Y68" s="343">
        <f t="shared" si="19"/>
        <v>0</v>
      </c>
      <c r="Z68" s="131" t="s">
        <v>89</v>
      </c>
      <c r="AA68" s="808"/>
      <c r="AB68" s="131"/>
    </row>
    <row r="69" spans="2:28" ht="16" thickBot="1" x14ac:dyDescent="0.25">
      <c r="B69" s="332">
        <v>45679</v>
      </c>
      <c r="C69" s="334" t="s">
        <v>240</v>
      </c>
      <c r="D69" s="809" t="s">
        <v>65</v>
      </c>
      <c r="E69" s="335">
        <f t="shared" si="18"/>
        <v>22870.800000000003</v>
      </c>
      <c r="F69" s="367">
        <v>5400</v>
      </c>
      <c r="G69" s="367"/>
      <c r="H69" s="350">
        <v>3443.1</v>
      </c>
      <c r="I69" s="367"/>
      <c r="J69" s="350"/>
      <c r="K69" s="367">
        <v>2725.5</v>
      </c>
      <c r="L69" s="350">
        <v>3443.1</v>
      </c>
      <c r="M69" s="367"/>
      <c r="N69" s="367">
        <v>7859.1</v>
      </c>
      <c r="O69" s="350"/>
      <c r="P69" s="367"/>
      <c r="Q69" s="350"/>
      <c r="R69" s="367"/>
      <c r="S69" s="367"/>
      <c r="T69" s="350"/>
      <c r="U69" s="367"/>
      <c r="V69" s="367"/>
      <c r="W69" s="367"/>
      <c r="X69" s="367"/>
      <c r="Y69" s="338">
        <f t="shared" si="19"/>
        <v>22870.800000000003</v>
      </c>
      <c r="Z69" s="334" t="s">
        <v>240</v>
      </c>
      <c r="AA69" s="809" t="s">
        <v>65</v>
      </c>
      <c r="AB69" s="334">
        <f>B69</f>
        <v>45679</v>
      </c>
    </row>
    <row r="70" spans="2:28" ht="16" thickBot="1" x14ac:dyDescent="0.25">
      <c r="B70" s="346"/>
      <c r="C70" s="347" t="s">
        <v>89</v>
      </c>
      <c r="D70" s="809"/>
      <c r="E70" s="347">
        <f t="shared" si="18"/>
        <v>0</v>
      </c>
      <c r="F70" s="356"/>
      <c r="G70" s="356"/>
      <c r="H70" s="351"/>
      <c r="I70" s="356"/>
      <c r="J70" s="351"/>
      <c r="K70" s="356"/>
      <c r="L70" s="351"/>
      <c r="M70" s="356"/>
      <c r="N70" s="356"/>
      <c r="O70" s="351"/>
      <c r="P70" s="356"/>
      <c r="Q70" s="351"/>
      <c r="R70" s="356"/>
      <c r="S70" s="356"/>
      <c r="T70" s="351"/>
      <c r="U70" s="356"/>
      <c r="V70" s="356"/>
      <c r="W70" s="356"/>
      <c r="X70" s="356"/>
      <c r="Y70" s="366">
        <f t="shared" si="19"/>
        <v>0</v>
      </c>
      <c r="Z70" s="347" t="s">
        <v>89</v>
      </c>
      <c r="AA70" s="809"/>
      <c r="AB70" s="347"/>
    </row>
    <row r="71" spans="2:28" ht="16" thickBot="1" x14ac:dyDescent="0.25">
      <c r="B71" s="562">
        <v>45680</v>
      </c>
      <c r="C71" s="563" t="s">
        <v>240</v>
      </c>
      <c r="D71" s="807" t="s">
        <v>66</v>
      </c>
      <c r="E71" s="564">
        <f t="shared" si="18"/>
        <v>5783.1</v>
      </c>
      <c r="F71" s="372"/>
      <c r="G71" s="372"/>
      <c r="H71" s="373"/>
      <c r="I71" s="372"/>
      <c r="J71" s="373"/>
      <c r="K71" s="372"/>
      <c r="L71" s="373"/>
      <c r="M71" s="372"/>
      <c r="N71" s="372"/>
      <c r="O71" s="373"/>
      <c r="P71" s="372"/>
      <c r="Q71" s="373"/>
      <c r="R71" s="372"/>
      <c r="S71" s="372"/>
      <c r="T71" s="373"/>
      <c r="U71" s="372"/>
      <c r="V71" s="372"/>
      <c r="W71" s="372">
        <v>3443.1</v>
      </c>
      <c r="X71" s="372">
        <v>2340</v>
      </c>
      <c r="Y71" s="565">
        <f t="shared" si="19"/>
        <v>5783.1</v>
      </c>
      <c r="Z71" s="563" t="s">
        <v>240</v>
      </c>
      <c r="AA71" s="807" t="s">
        <v>66</v>
      </c>
      <c r="AB71" s="563">
        <f>B71</f>
        <v>45680</v>
      </c>
    </row>
    <row r="72" spans="2:28" ht="16" thickBot="1" x14ac:dyDescent="0.25">
      <c r="B72" s="336"/>
      <c r="C72" s="131" t="s">
        <v>89</v>
      </c>
      <c r="D72" s="808"/>
      <c r="E72" s="131">
        <f t="shared" si="18"/>
        <v>0</v>
      </c>
      <c r="F72" s="370"/>
      <c r="G72" s="370"/>
      <c r="H72" s="371"/>
      <c r="I72" s="370"/>
      <c r="J72" s="371"/>
      <c r="K72" s="370"/>
      <c r="L72" s="371"/>
      <c r="M72" s="370"/>
      <c r="N72" s="370"/>
      <c r="O72" s="371"/>
      <c r="P72" s="370"/>
      <c r="Q72" s="371"/>
      <c r="R72" s="370"/>
      <c r="S72" s="370"/>
      <c r="T72" s="371"/>
      <c r="U72" s="370"/>
      <c r="V72" s="370"/>
      <c r="W72" s="370"/>
      <c r="X72" s="370"/>
      <c r="Y72" s="343">
        <f t="shared" si="19"/>
        <v>0</v>
      </c>
      <c r="Z72" s="131" t="s">
        <v>89</v>
      </c>
      <c r="AA72" s="808"/>
      <c r="AB72" s="131"/>
    </row>
    <row r="73" spans="2:28" ht="16" thickBot="1" x14ac:dyDescent="0.25">
      <c r="B73" s="566">
        <v>45681</v>
      </c>
      <c r="C73" s="567" t="s">
        <v>240</v>
      </c>
      <c r="D73" s="809" t="s">
        <v>67</v>
      </c>
      <c r="E73" s="568">
        <f t="shared" si="18"/>
        <v>21896</v>
      </c>
      <c r="F73" s="367">
        <v>8000</v>
      </c>
      <c r="G73" s="367">
        <v>1200</v>
      </c>
      <c r="H73" s="350">
        <v>4816.2</v>
      </c>
      <c r="I73" s="367"/>
      <c r="J73" s="350"/>
      <c r="K73" s="367">
        <v>3422.4</v>
      </c>
      <c r="L73" s="350">
        <v>4457.3999999999996</v>
      </c>
      <c r="M73" s="367"/>
      <c r="N73" s="367"/>
      <c r="O73" s="350"/>
      <c r="P73" s="367"/>
      <c r="Q73" s="350"/>
      <c r="R73" s="367"/>
      <c r="S73" s="367"/>
      <c r="T73" s="350"/>
      <c r="U73" s="367"/>
      <c r="V73" s="367"/>
      <c r="W73" s="367"/>
      <c r="X73" s="367"/>
      <c r="Y73" s="569">
        <f t="shared" si="19"/>
        <v>21896</v>
      </c>
      <c r="Z73" s="567" t="s">
        <v>240</v>
      </c>
      <c r="AA73" s="809" t="s">
        <v>67</v>
      </c>
      <c r="AB73" s="567">
        <f>B73</f>
        <v>45681</v>
      </c>
    </row>
    <row r="74" spans="2:28" ht="16" thickBot="1" x14ac:dyDescent="0.25">
      <c r="B74" s="346"/>
      <c r="C74" s="347" t="s">
        <v>89</v>
      </c>
      <c r="D74" s="809"/>
      <c r="E74" s="347">
        <f t="shared" si="18"/>
        <v>0</v>
      </c>
      <c r="F74" s="355"/>
      <c r="G74" s="355"/>
      <c r="H74" s="351"/>
      <c r="I74" s="355"/>
      <c r="J74" s="351"/>
      <c r="K74" s="355"/>
      <c r="L74" s="351"/>
      <c r="M74" s="356"/>
      <c r="N74" s="356"/>
      <c r="O74" s="351"/>
      <c r="P74" s="356"/>
      <c r="Q74" s="351"/>
      <c r="R74" s="356"/>
      <c r="S74" s="356"/>
      <c r="T74" s="351"/>
      <c r="U74" s="356"/>
      <c r="V74" s="356"/>
      <c r="W74" s="356"/>
      <c r="X74" s="356"/>
      <c r="Y74" s="366">
        <f t="shared" si="19"/>
        <v>0</v>
      </c>
      <c r="Z74" s="347" t="s">
        <v>89</v>
      </c>
      <c r="AA74" s="809"/>
      <c r="AB74" s="347"/>
    </row>
    <row r="75" spans="2:28" ht="16" thickBot="1" x14ac:dyDescent="0.25">
      <c r="B75" s="368">
        <v>45682</v>
      </c>
      <c r="C75" s="333" t="s">
        <v>240</v>
      </c>
      <c r="D75" s="807" t="s">
        <v>68</v>
      </c>
      <c r="E75" s="132">
        <f t="shared" si="18"/>
        <v>17602.599999999999</v>
      </c>
      <c r="F75" s="372"/>
      <c r="G75" s="372"/>
      <c r="H75" s="373"/>
      <c r="I75" s="372"/>
      <c r="J75" s="373"/>
      <c r="K75" s="372"/>
      <c r="L75" s="373"/>
      <c r="M75" s="372">
        <v>5040</v>
      </c>
      <c r="N75" s="372">
        <v>12562.6</v>
      </c>
      <c r="O75" s="373"/>
      <c r="P75" s="372"/>
      <c r="Q75" s="373"/>
      <c r="R75" s="372"/>
      <c r="S75" s="372"/>
      <c r="T75" s="373"/>
      <c r="U75" s="372"/>
      <c r="V75" s="372"/>
      <c r="W75" s="372"/>
      <c r="X75" s="372"/>
      <c r="Y75" s="349">
        <f t="shared" si="19"/>
        <v>17602.599999999999</v>
      </c>
      <c r="Z75" s="333" t="s">
        <v>240</v>
      </c>
      <c r="AA75" s="807" t="s">
        <v>68</v>
      </c>
      <c r="AB75" s="333">
        <f>B75</f>
        <v>45682</v>
      </c>
    </row>
    <row r="76" spans="2:28" ht="16" thickBot="1" x14ac:dyDescent="0.25">
      <c r="B76" s="336"/>
      <c r="C76" s="131" t="s">
        <v>89</v>
      </c>
      <c r="D76" s="808"/>
      <c r="E76" s="131">
        <f t="shared" si="18"/>
        <v>0</v>
      </c>
      <c r="F76" s="370"/>
      <c r="G76" s="370"/>
      <c r="H76" s="371"/>
      <c r="I76" s="370"/>
      <c r="J76" s="371"/>
      <c r="K76" s="370"/>
      <c r="L76" s="371"/>
      <c r="M76" s="370"/>
      <c r="N76" s="370"/>
      <c r="O76" s="371"/>
      <c r="P76" s="370"/>
      <c r="Q76" s="371"/>
      <c r="R76" s="370"/>
      <c r="S76" s="370"/>
      <c r="T76" s="371"/>
      <c r="U76" s="370"/>
      <c r="V76" s="370"/>
      <c r="W76" s="370"/>
      <c r="X76" s="370"/>
      <c r="Y76" s="343">
        <f t="shared" si="19"/>
        <v>0</v>
      </c>
      <c r="Z76" s="131" t="s">
        <v>89</v>
      </c>
      <c r="AA76" s="808"/>
      <c r="AB76" s="131"/>
    </row>
    <row r="77" spans="2:28" ht="16" thickBot="1" x14ac:dyDescent="0.25">
      <c r="B77" s="566">
        <v>45683</v>
      </c>
      <c r="C77" s="567" t="s">
        <v>240</v>
      </c>
      <c r="D77" s="809" t="s">
        <v>69</v>
      </c>
      <c r="E77" s="568">
        <f t="shared" si="18"/>
        <v>0</v>
      </c>
      <c r="F77" s="367"/>
      <c r="G77" s="367"/>
      <c r="H77" s="350"/>
      <c r="I77" s="367"/>
      <c r="J77" s="350"/>
      <c r="K77" s="367"/>
      <c r="L77" s="350"/>
      <c r="M77" s="367"/>
      <c r="N77" s="367"/>
      <c r="O77" s="350"/>
      <c r="P77" s="367"/>
      <c r="Q77" s="350"/>
      <c r="R77" s="367"/>
      <c r="S77" s="367"/>
      <c r="T77" s="350"/>
      <c r="U77" s="367"/>
      <c r="V77" s="367"/>
      <c r="W77" s="367"/>
      <c r="X77" s="367"/>
      <c r="Y77" s="569">
        <f t="shared" si="19"/>
        <v>0</v>
      </c>
      <c r="Z77" s="567" t="s">
        <v>240</v>
      </c>
      <c r="AA77" s="809" t="s">
        <v>69</v>
      </c>
      <c r="AB77" s="567">
        <f>B77</f>
        <v>45683</v>
      </c>
    </row>
    <row r="78" spans="2:28" ht="16" thickBot="1" x14ac:dyDescent="0.25">
      <c r="B78" s="346"/>
      <c r="C78" s="347" t="s">
        <v>89</v>
      </c>
      <c r="D78" s="808"/>
      <c r="E78" s="347">
        <f t="shared" si="18"/>
        <v>0</v>
      </c>
      <c r="F78" s="356"/>
      <c r="G78" s="356"/>
      <c r="H78" s="351"/>
      <c r="I78" s="356"/>
      <c r="J78" s="351"/>
      <c r="K78" s="356"/>
      <c r="L78" s="351"/>
      <c r="M78" s="356"/>
      <c r="N78" s="356"/>
      <c r="O78" s="351"/>
      <c r="P78" s="356"/>
      <c r="Q78" s="351"/>
      <c r="R78" s="356"/>
      <c r="S78" s="356"/>
      <c r="T78" s="351"/>
      <c r="U78" s="356"/>
      <c r="V78" s="356"/>
      <c r="W78" s="356"/>
      <c r="X78" s="356"/>
      <c r="Y78" s="363">
        <f t="shared" si="19"/>
        <v>0</v>
      </c>
      <c r="Z78" s="347" t="s">
        <v>89</v>
      </c>
      <c r="AA78" s="808"/>
      <c r="AB78" s="347"/>
    </row>
    <row r="79" spans="2:28" ht="17" thickBot="1" x14ac:dyDescent="0.25">
      <c r="B79" s="348" t="s">
        <v>119</v>
      </c>
      <c r="C79" s="349"/>
      <c r="D79" s="344"/>
      <c r="E79" s="133">
        <f>SUM(E71,E69,E67,E65,E73,E75,E77)</f>
        <v>123673.80000000002</v>
      </c>
      <c r="F79" s="349">
        <f t="shared" ref="F79:Y79" si="20">SUM(F65,F67,F69,F71,F73,F75,F77)</f>
        <v>18500</v>
      </c>
      <c r="G79" s="349">
        <f t="shared" si="20"/>
        <v>2400</v>
      </c>
      <c r="H79" s="352">
        <f t="shared" si="20"/>
        <v>11702.4</v>
      </c>
      <c r="I79" s="349">
        <f t="shared" si="20"/>
        <v>2400</v>
      </c>
      <c r="J79" s="352">
        <f t="shared" si="20"/>
        <v>0</v>
      </c>
      <c r="K79" s="349">
        <f t="shared" si="20"/>
        <v>8873.4</v>
      </c>
      <c r="L79" s="352">
        <f t="shared" si="20"/>
        <v>11343.599999999999</v>
      </c>
      <c r="M79" s="349">
        <f t="shared" si="20"/>
        <v>5040</v>
      </c>
      <c r="N79" s="349">
        <f t="shared" si="20"/>
        <v>27604.6</v>
      </c>
      <c r="O79" s="352">
        <f t="shared" si="20"/>
        <v>1440</v>
      </c>
      <c r="P79" s="349">
        <f t="shared" si="20"/>
        <v>0</v>
      </c>
      <c r="Q79" s="352">
        <f t="shared" si="20"/>
        <v>8618.1</v>
      </c>
      <c r="R79" s="349">
        <f t="shared" si="20"/>
        <v>5280.8</v>
      </c>
      <c r="S79" s="349">
        <f t="shared" si="20"/>
        <v>5280.8</v>
      </c>
      <c r="T79" s="352">
        <f t="shared" si="20"/>
        <v>5280.8</v>
      </c>
      <c r="U79" s="349">
        <f t="shared" si="20"/>
        <v>4126.2</v>
      </c>
      <c r="V79" s="349">
        <f t="shared" si="20"/>
        <v>0</v>
      </c>
      <c r="W79" s="349">
        <f t="shared" si="20"/>
        <v>3443.1</v>
      </c>
      <c r="X79" s="349">
        <f t="shared" si="20"/>
        <v>2340</v>
      </c>
      <c r="Y79" s="358">
        <f t="shared" si="20"/>
        <v>98179.200000000012</v>
      </c>
      <c r="Z79" s="349"/>
      <c r="AA79" s="345"/>
      <c r="AB79" s="349" t="s">
        <v>119</v>
      </c>
    </row>
    <row r="80" spans="2:28" ht="17" thickBot="1" x14ac:dyDescent="0.25">
      <c r="B80" s="342" t="s">
        <v>120</v>
      </c>
      <c r="C80" s="343"/>
      <c r="D80" s="344"/>
      <c r="E80" s="134">
        <f>SUM(E66,E68,E70,E72,E74,E76,E78)</f>
        <v>240</v>
      </c>
      <c r="F80" s="343">
        <f t="shared" ref="F80:Y80" si="21">(F66+F68+F70+F72+F74+F76+F78)</f>
        <v>0</v>
      </c>
      <c r="G80" s="343">
        <f t="shared" si="21"/>
        <v>0</v>
      </c>
      <c r="H80" s="353">
        <f t="shared" si="21"/>
        <v>0</v>
      </c>
      <c r="I80" s="343">
        <f t="shared" si="21"/>
        <v>240</v>
      </c>
      <c r="J80" s="353">
        <f t="shared" si="21"/>
        <v>0</v>
      </c>
      <c r="K80" s="343">
        <f t="shared" si="21"/>
        <v>0</v>
      </c>
      <c r="L80" s="353">
        <f t="shared" si="21"/>
        <v>0</v>
      </c>
      <c r="M80" s="343">
        <f t="shared" si="21"/>
        <v>0</v>
      </c>
      <c r="N80" s="343">
        <f t="shared" si="21"/>
        <v>0</v>
      </c>
      <c r="O80" s="353">
        <f t="shared" si="21"/>
        <v>0</v>
      </c>
      <c r="P80" s="343">
        <f t="shared" si="21"/>
        <v>0</v>
      </c>
      <c r="Q80" s="353">
        <f t="shared" si="21"/>
        <v>0</v>
      </c>
      <c r="R80" s="343">
        <f t="shared" si="21"/>
        <v>0</v>
      </c>
      <c r="S80" s="343">
        <f t="shared" si="21"/>
        <v>0</v>
      </c>
      <c r="T80" s="353">
        <f t="shared" si="21"/>
        <v>0</v>
      </c>
      <c r="U80" s="343">
        <f t="shared" si="21"/>
        <v>0</v>
      </c>
      <c r="V80" s="343">
        <f t="shared" si="21"/>
        <v>0</v>
      </c>
      <c r="W80" s="343">
        <f t="shared" si="21"/>
        <v>0</v>
      </c>
      <c r="X80" s="343">
        <f t="shared" si="21"/>
        <v>0</v>
      </c>
      <c r="Y80" s="359">
        <f t="shared" si="21"/>
        <v>240</v>
      </c>
      <c r="Z80" s="343"/>
      <c r="AA80" s="345"/>
      <c r="AB80" s="343" t="s">
        <v>120</v>
      </c>
    </row>
    <row r="81" spans="2:28" ht="17" thickBot="1" x14ac:dyDescent="0.25">
      <c r="B81" s="337" t="s">
        <v>121</v>
      </c>
      <c r="C81" s="338"/>
      <c r="D81" s="339"/>
      <c r="E81" s="340">
        <f>E79-E80</f>
        <v>123433.80000000002</v>
      </c>
      <c r="F81" s="338">
        <f t="shared" ref="F81:M81" si="22">F79-F80</f>
        <v>18500</v>
      </c>
      <c r="G81" s="338">
        <f t="shared" si="22"/>
        <v>2400</v>
      </c>
      <c r="H81" s="357">
        <f t="shared" si="22"/>
        <v>11702.4</v>
      </c>
      <c r="I81" s="338">
        <f t="shared" si="22"/>
        <v>2160</v>
      </c>
      <c r="J81" s="357">
        <f t="shared" si="22"/>
        <v>0</v>
      </c>
      <c r="K81" s="338">
        <f t="shared" si="22"/>
        <v>8873.4</v>
      </c>
      <c r="L81" s="357">
        <f t="shared" si="22"/>
        <v>11343.599999999999</v>
      </c>
      <c r="M81" s="338">
        <f t="shared" si="22"/>
        <v>5040</v>
      </c>
      <c r="N81" s="338">
        <f>N79-N80</f>
        <v>27604.6</v>
      </c>
      <c r="O81" s="357">
        <f t="shared" ref="O81:W81" si="23">O79-O80</f>
        <v>1440</v>
      </c>
      <c r="P81" s="338">
        <f t="shared" si="23"/>
        <v>0</v>
      </c>
      <c r="Q81" s="357">
        <f t="shared" si="23"/>
        <v>8618.1</v>
      </c>
      <c r="R81" s="338">
        <f t="shared" si="23"/>
        <v>5280.8</v>
      </c>
      <c r="S81" s="338">
        <f t="shared" si="23"/>
        <v>5280.8</v>
      </c>
      <c r="T81" s="357">
        <f t="shared" si="23"/>
        <v>5280.8</v>
      </c>
      <c r="U81" s="338">
        <f t="shared" si="23"/>
        <v>4126.2</v>
      </c>
      <c r="V81" s="338">
        <f t="shared" si="23"/>
        <v>0</v>
      </c>
      <c r="W81" s="338">
        <f t="shared" si="23"/>
        <v>3443.1</v>
      </c>
      <c r="X81" s="338">
        <f>X79-X80</f>
        <v>2340</v>
      </c>
      <c r="Y81" s="360">
        <f>Y79-Y80</f>
        <v>97939.200000000012</v>
      </c>
      <c r="Z81" s="338"/>
      <c r="AA81" s="341"/>
      <c r="AB81" s="338" t="s">
        <v>121</v>
      </c>
    </row>
    <row r="82" spans="2:28" ht="16" thickBot="1" x14ac:dyDescent="0.25"/>
    <row r="83" spans="2:28" x14ac:dyDescent="0.2">
      <c r="B83" s="812" t="s">
        <v>76</v>
      </c>
      <c r="C83" s="812" t="s">
        <v>239</v>
      </c>
      <c r="D83" s="812" t="s">
        <v>83</v>
      </c>
      <c r="E83" s="812" t="s">
        <v>19</v>
      </c>
      <c r="F83" s="812" t="s">
        <v>118</v>
      </c>
      <c r="G83" s="812" t="s">
        <v>70</v>
      </c>
      <c r="H83" s="814" t="s">
        <v>401</v>
      </c>
      <c r="I83" s="812" t="s">
        <v>382</v>
      </c>
      <c r="J83" s="816" t="s">
        <v>200</v>
      </c>
      <c r="K83" s="812" t="s">
        <v>114</v>
      </c>
      <c r="L83" s="810" t="s">
        <v>402</v>
      </c>
      <c r="M83" s="812" t="s">
        <v>333</v>
      </c>
      <c r="N83" s="812" t="s">
        <v>204</v>
      </c>
      <c r="O83" s="810" t="s">
        <v>75</v>
      </c>
      <c r="P83" s="812" t="s">
        <v>278</v>
      </c>
      <c r="Q83" s="810" t="s">
        <v>116</v>
      </c>
      <c r="R83" s="812" t="s">
        <v>331</v>
      </c>
      <c r="S83" s="812" t="s">
        <v>73</v>
      </c>
      <c r="T83" s="810" t="s">
        <v>112</v>
      </c>
      <c r="U83" s="812" t="s">
        <v>72</v>
      </c>
      <c r="V83" s="812" t="s">
        <v>425</v>
      </c>
      <c r="W83" s="812" t="s">
        <v>399</v>
      </c>
      <c r="X83" s="812" t="s">
        <v>400</v>
      </c>
      <c r="Y83" s="812" t="s">
        <v>19</v>
      </c>
      <c r="Z83" s="812" t="s">
        <v>239</v>
      </c>
      <c r="AA83" s="812" t="s">
        <v>83</v>
      </c>
      <c r="AB83" s="812" t="s">
        <v>76</v>
      </c>
    </row>
    <row r="84" spans="2:28" ht="16" thickBot="1" x14ac:dyDescent="0.25">
      <c r="B84" s="813"/>
      <c r="C84" s="813"/>
      <c r="D84" s="813"/>
      <c r="E84" s="813"/>
      <c r="F84" s="813"/>
      <c r="G84" s="813"/>
      <c r="H84" s="815"/>
      <c r="I84" s="813"/>
      <c r="J84" s="817"/>
      <c r="K84" s="813"/>
      <c r="L84" s="811"/>
      <c r="M84" s="813"/>
      <c r="N84" s="813"/>
      <c r="O84" s="811"/>
      <c r="P84" s="813"/>
      <c r="Q84" s="811"/>
      <c r="R84" s="813"/>
      <c r="S84" s="813"/>
      <c r="T84" s="811"/>
      <c r="U84" s="813"/>
      <c r="V84" s="813"/>
      <c r="W84" s="813"/>
      <c r="X84" s="813"/>
      <c r="Y84" s="813"/>
      <c r="Z84" s="813"/>
      <c r="AA84" s="813"/>
      <c r="AB84" s="813"/>
    </row>
    <row r="85" spans="2:28" ht="16" thickBot="1" x14ac:dyDescent="0.25">
      <c r="B85" s="332">
        <v>45684</v>
      </c>
      <c r="C85" s="334" t="s">
        <v>240</v>
      </c>
      <c r="D85" s="807" t="s">
        <v>63</v>
      </c>
      <c r="E85" s="335">
        <f t="shared" ref="E85:E98" si="24">SUM(F85:X85)</f>
        <v>30755.1</v>
      </c>
      <c r="F85" s="362">
        <v>4200</v>
      </c>
      <c r="G85" s="362"/>
      <c r="H85" s="361">
        <v>4457.3999999999996</v>
      </c>
      <c r="I85" s="362">
        <v>2400</v>
      </c>
      <c r="J85" s="361">
        <v>3600</v>
      </c>
      <c r="K85" s="362">
        <v>2387.4</v>
      </c>
      <c r="L85" s="361">
        <v>3781.2</v>
      </c>
      <c r="M85" s="362"/>
      <c r="N85" s="354">
        <v>9929.1</v>
      </c>
      <c r="O85" s="361"/>
      <c r="P85" s="362"/>
      <c r="Q85" s="361"/>
      <c r="R85" s="362"/>
      <c r="S85" s="354"/>
      <c r="T85" s="361"/>
      <c r="U85" s="362"/>
      <c r="V85" s="362"/>
      <c r="W85" s="362"/>
      <c r="X85" s="362"/>
      <c r="Y85" s="349" t="s">
        <v>407</v>
      </c>
      <c r="Z85" s="334" t="s">
        <v>240</v>
      </c>
      <c r="AA85" s="807" t="s">
        <v>63</v>
      </c>
      <c r="AB85" s="333">
        <f>B85</f>
        <v>45684</v>
      </c>
    </row>
    <row r="86" spans="2:28" ht="16" thickBot="1" x14ac:dyDescent="0.25">
      <c r="B86" s="346"/>
      <c r="C86" s="347" t="s">
        <v>89</v>
      </c>
      <c r="D86" s="809"/>
      <c r="E86" s="347">
        <f t="shared" si="24"/>
        <v>840</v>
      </c>
      <c r="F86" s="356"/>
      <c r="G86" s="356"/>
      <c r="H86" s="351"/>
      <c r="I86" s="356">
        <v>120</v>
      </c>
      <c r="J86" s="351">
        <f>6*120</f>
        <v>720</v>
      </c>
      <c r="K86" s="356"/>
      <c r="L86" s="351"/>
      <c r="M86" s="355"/>
      <c r="N86" s="355"/>
      <c r="O86" s="364"/>
      <c r="P86" s="356"/>
      <c r="Q86" s="351"/>
      <c r="R86" s="355"/>
      <c r="S86" s="365"/>
      <c r="T86" s="364"/>
      <c r="U86" s="365"/>
      <c r="V86" s="365"/>
      <c r="W86" s="365"/>
      <c r="X86" s="356"/>
      <c r="Y86" s="366">
        <f t="shared" ref="Y86:Y98" si="25">SUM(F86:X86)</f>
        <v>840</v>
      </c>
      <c r="Z86" s="347" t="s">
        <v>89</v>
      </c>
      <c r="AA86" s="809"/>
      <c r="AB86" s="347"/>
    </row>
    <row r="87" spans="2:28" ht="16" thickBot="1" x14ac:dyDescent="0.25">
      <c r="B87" s="368">
        <v>45685</v>
      </c>
      <c r="C87" s="333" t="s">
        <v>240</v>
      </c>
      <c r="D87" s="807" t="s">
        <v>64</v>
      </c>
      <c r="E87" s="132">
        <f t="shared" si="24"/>
        <v>32664.6</v>
      </c>
      <c r="F87" s="354"/>
      <c r="G87" s="354"/>
      <c r="H87" s="369"/>
      <c r="I87" s="354"/>
      <c r="J87" s="369"/>
      <c r="K87" s="354"/>
      <c r="L87" s="369"/>
      <c r="M87" s="354"/>
      <c r="N87" s="354"/>
      <c r="O87" s="369"/>
      <c r="P87" s="354"/>
      <c r="Q87" s="369">
        <v>8618.1</v>
      </c>
      <c r="R87" s="354">
        <v>6189.3</v>
      </c>
      <c r="S87" s="354">
        <v>6189.3</v>
      </c>
      <c r="T87" s="369">
        <v>6189.3</v>
      </c>
      <c r="U87" s="354">
        <v>5478.6</v>
      </c>
      <c r="V87" s="354"/>
      <c r="W87" s="354"/>
      <c r="X87" s="354"/>
      <c r="Y87" s="349">
        <f t="shared" si="25"/>
        <v>32664.6</v>
      </c>
      <c r="Z87" s="333" t="s">
        <v>240</v>
      </c>
      <c r="AA87" s="807" t="s">
        <v>64</v>
      </c>
      <c r="AB87" s="333">
        <f>B87</f>
        <v>45685</v>
      </c>
    </row>
    <row r="88" spans="2:28" ht="16" thickBot="1" x14ac:dyDescent="0.25">
      <c r="B88" s="336"/>
      <c r="C88" s="131" t="s">
        <v>89</v>
      </c>
      <c r="D88" s="808"/>
      <c r="E88" s="131">
        <f t="shared" si="24"/>
        <v>0</v>
      </c>
      <c r="F88" s="370"/>
      <c r="G88" s="370"/>
      <c r="H88" s="371"/>
      <c r="I88" s="370"/>
      <c r="J88" s="371"/>
      <c r="K88" s="370"/>
      <c r="L88" s="371"/>
      <c r="M88" s="370"/>
      <c r="N88" s="370"/>
      <c r="O88" s="371"/>
      <c r="P88" s="370"/>
      <c r="Q88" s="371"/>
      <c r="R88" s="370"/>
      <c r="S88" s="370"/>
      <c r="T88" s="371"/>
      <c r="U88" s="370"/>
      <c r="V88" s="370"/>
      <c r="W88" s="370"/>
      <c r="X88" s="370"/>
      <c r="Y88" s="343">
        <f t="shared" si="25"/>
        <v>0</v>
      </c>
      <c r="Z88" s="131" t="s">
        <v>89</v>
      </c>
      <c r="AA88" s="808"/>
      <c r="AB88" s="131"/>
    </row>
    <row r="89" spans="2:28" ht="16" thickBot="1" x14ac:dyDescent="0.25">
      <c r="B89" s="332">
        <v>45686</v>
      </c>
      <c r="C89" s="334" t="s">
        <v>240</v>
      </c>
      <c r="D89" s="809" t="s">
        <v>65</v>
      </c>
      <c r="E89" s="335">
        <f t="shared" si="24"/>
        <v>24271.599999999999</v>
      </c>
      <c r="F89" s="367">
        <v>5600</v>
      </c>
      <c r="G89" s="367">
        <v>1440</v>
      </c>
      <c r="H89" s="350">
        <v>3210.8</v>
      </c>
      <c r="I89" s="367"/>
      <c r="J89" s="350"/>
      <c r="K89" s="367">
        <v>2387.4</v>
      </c>
      <c r="L89" s="350">
        <v>3210.8</v>
      </c>
      <c r="M89" s="367"/>
      <c r="N89" s="367">
        <v>8422.6</v>
      </c>
      <c r="O89" s="350"/>
      <c r="P89" s="367"/>
      <c r="Q89" s="350"/>
      <c r="R89" s="367"/>
      <c r="S89" s="367"/>
      <c r="T89" s="350"/>
      <c r="U89" s="367"/>
      <c r="V89" s="367"/>
      <c r="W89" s="367"/>
      <c r="X89" s="367"/>
      <c r="Y89" s="338">
        <f t="shared" si="25"/>
        <v>24271.599999999999</v>
      </c>
      <c r="Z89" s="334" t="s">
        <v>240</v>
      </c>
      <c r="AA89" s="809" t="s">
        <v>65</v>
      </c>
      <c r="AB89" s="334">
        <f>B89</f>
        <v>45686</v>
      </c>
    </row>
    <row r="90" spans="2:28" ht="16" thickBot="1" x14ac:dyDescent="0.25">
      <c r="B90" s="346"/>
      <c r="C90" s="347" t="s">
        <v>89</v>
      </c>
      <c r="D90" s="809"/>
      <c r="E90" s="347">
        <f t="shared" si="24"/>
        <v>0</v>
      </c>
      <c r="F90" s="356"/>
      <c r="G90" s="356"/>
      <c r="H90" s="351"/>
      <c r="I90" s="356"/>
      <c r="J90" s="351"/>
      <c r="K90" s="356"/>
      <c r="L90" s="351"/>
      <c r="M90" s="356"/>
      <c r="N90" s="356"/>
      <c r="O90" s="351"/>
      <c r="P90" s="356"/>
      <c r="Q90" s="351"/>
      <c r="R90" s="356"/>
      <c r="S90" s="356"/>
      <c r="T90" s="351"/>
      <c r="U90" s="356"/>
      <c r="V90" s="356"/>
      <c r="W90" s="356"/>
      <c r="X90" s="356"/>
      <c r="Y90" s="366">
        <f t="shared" si="25"/>
        <v>0</v>
      </c>
      <c r="Z90" s="347" t="s">
        <v>89</v>
      </c>
      <c r="AA90" s="809"/>
      <c r="AB90" s="347"/>
    </row>
    <row r="91" spans="2:28" ht="16" thickBot="1" x14ac:dyDescent="0.25">
      <c r="B91" s="562">
        <v>45687</v>
      </c>
      <c r="C91" s="563" t="s">
        <v>240</v>
      </c>
      <c r="D91" s="807" t="s">
        <v>66</v>
      </c>
      <c r="E91" s="564">
        <f t="shared" si="24"/>
        <v>6046.2</v>
      </c>
      <c r="F91" s="372"/>
      <c r="G91" s="372"/>
      <c r="H91" s="373"/>
      <c r="I91" s="372"/>
      <c r="J91" s="373"/>
      <c r="K91" s="372"/>
      <c r="L91" s="373"/>
      <c r="M91" s="372"/>
      <c r="N91" s="372"/>
      <c r="O91" s="373"/>
      <c r="P91" s="372"/>
      <c r="Q91" s="373"/>
      <c r="R91" s="372"/>
      <c r="S91" s="372"/>
      <c r="T91" s="373"/>
      <c r="U91" s="372"/>
      <c r="V91" s="372"/>
      <c r="W91" s="372">
        <v>2746.2</v>
      </c>
      <c r="X91" s="372">
        <v>3300</v>
      </c>
      <c r="Y91" s="565">
        <f t="shared" si="25"/>
        <v>6046.2</v>
      </c>
      <c r="Z91" s="563" t="s">
        <v>240</v>
      </c>
      <c r="AA91" s="807" t="s">
        <v>66</v>
      </c>
      <c r="AB91" s="563">
        <f>B91</f>
        <v>45687</v>
      </c>
    </row>
    <row r="92" spans="2:28" ht="16" thickBot="1" x14ac:dyDescent="0.25">
      <c r="B92" s="336"/>
      <c r="C92" s="131" t="s">
        <v>89</v>
      </c>
      <c r="D92" s="808"/>
      <c r="E92" s="131">
        <f t="shared" si="24"/>
        <v>0</v>
      </c>
      <c r="F92" s="370"/>
      <c r="G92" s="370"/>
      <c r="H92" s="371"/>
      <c r="I92" s="370"/>
      <c r="J92" s="371"/>
      <c r="K92" s="370"/>
      <c r="L92" s="371"/>
      <c r="M92" s="370"/>
      <c r="N92" s="370"/>
      <c r="O92" s="371"/>
      <c r="P92" s="370"/>
      <c r="Q92" s="371"/>
      <c r="R92" s="370"/>
      <c r="S92" s="370"/>
      <c r="T92" s="371"/>
      <c r="U92" s="370"/>
      <c r="V92" s="370"/>
      <c r="W92" s="370"/>
      <c r="X92" s="370"/>
      <c r="Y92" s="343">
        <f t="shared" si="25"/>
        <v>0</v>
      </c>
      <c r="Z92" s="131" t="s">
        <v>89</v>
      </c>
      <c r="AA92" s="808"/>
      <c r="AB92" s="131"/>
    </row>
    <row r="93" spans="2:28" ht="16" thickBot="1" x14ac:dyDescent="0.25">
      <c r="B93" s="566">
        <v>45688</v>
      </c>
      <c r="C93" s="567" t="s">
        <v>240</v>
      </c>
      <c r="D93" s="809" t="s">
        <v>67</v>
      </c>
      <c r="E93" s="568">
        <f t="shared" si="24"/>
        <v>36233.199999999997</v>
      </c>
      <c r="F93" s="367">
        <v>5800</v>
      </c>
      <c r="G93" s="367"/>
      <c r="H93" s="350">
        <v>5041.6000000000004</v>
      </c>
      <c r="I93" s="367">
        <v>2400</v>
      </c>
      <c r="J93" s="350"/>
      <c r="K93" s="367">
        <v>2612.8000000000002</v>
      </c>
      <c r="L93" s="350">
        <v>3661.6</v>
      </c>
      <c r="M93" s="367">
        <v>5760</v>
      </c>
      <c r="N93" s="367">
        <v>10957.2</v>
      </c>
      <c r="O93" s="350"/>
      <c r="P93" s="367"/>
      <c r="Q93" s="350"/>
      <c r="R93" s="367"/>
      <c r="S93" s="367"/>
      <c r="T93" s="350"/>
      <c r="U93" s="367"/>
      <c r="V93" s="367"/>
      <c r="W93" s="367"/>
      <c r="X93" s="367"/>
      <c r="Y93" s="569">
        <f t="shared" si="25"/>
        <v>36233.199999999997</v>
      </c>
      <c r="Z93" s="567" t="s">
        <v>240</v>
      </c>
      <c r="AA93" s="809" t="s">
        <v>67</v>
      </c>
      <c r="AB93" s="567">
        <f>B93</f>
        <v>45688</v>
      </c>
    </row>
    <row r="94" spans="2:28" ht="16" thickBot="1" x14ac:dyDescent="0.25">
      <c r="B94" s="346"/>
      <c r="C94" s="347" t="s">
        <v>89</v>
      </c>
      <c r="D94" s="809"/>
      <c r="E94" s="347">
        <f t="shared" si="24"/>
        <v>720</v>
      </c>
      <c r="F94" s="355"/>
      <c r="G94" s="355"/>
      <c r="H94" s="351"/>
      <c r="I94" s="355">
        <f>6*120</f>
        <v>720</v>
      </c>
      <c r="J94" s="351"/>
      <c r="K94" s="355"/>
      <c r="L94" s="351"/>
      <c r="M94" s="356"/>
      <c r="N94" s="356"/>
      <c r="O94" s="351"/>
      <c r="P94" s="356"/>
      <c r="Q94" s="351"/>
      <c r="R94" s="356"/>
      <c r="S94" s="356"/>
      <c r="T94" s="351"/>
      <c r="U94" s="356"/>
      <c r="V94" s="356"/>
      <c r="W94" s="356"/>
      <c r="X94" s="356"/>
      <c r="Y94" s="366">
        <f t="shared" si="25"/>
        <v>720</v>
      </c>
      <c r="Z94" s="347" t="s">
        <v>89</v>
      </c>
      <c r="AA94" s="809"/>
      <c r="AB94" s="347"/>
    </row>
    <row r="95" spans="2:28" ht="16" thickBot="1" x14ac:dyDescent="0.25">
      <c r="B95" s="368">
        <v>45689</v>
      </c>
      <c r="C95" s="333" t="s">
        <v>240</v>
      </c>
      <c r="D95" s="807" t="s">
        <v>68</v>
      </c>
      <c r="E95" s="132">
        <f t="shared" si="24"/>
        <v>21137</v>
      </c>
      <c r="F95" s="372">
        <v>5210</v>
      </c>
      <c r="G95" s="372"/>
      <c r="H95" s="373"/>
      <c r="I95" s="372"/>
      <c r="J95" s="373"/>
      <c r="K95" s="372"/>
      <c r="L95" s="373"/>
      <c r="M95" s="372"/>
      <c r="N95" s="372">
        <v>9880.7999999999993</v>
      </c>
      <c r="O95" s="373"/>
      <c r="P95" s="372"/>
      <c r="Q95" s="373"/>
      <c r="R95" s="372"/>
      <c r="S95" s="372"/>
      <c r="T95" s="373"/>
      <c r="U95" s="372"/>
      <c r="V95" s="372"/>
      <c r="W95" s="372">
        <v>2746.2</v>
      </c>
      <c r="X95" s="372">
        <v>3300</v>
      </c>
      <c r="Y95" s="349">
        <f t="shared" si="25"/>
        <v>21137</v>
      </c>
      <c r="Z95" s="333" t="s">
        <v>240</v>
      </c>
      <c r="AA95" s="807" t="s">
        <v>68</v>
      </c>
      <c r="AB95" s="333">
        <f>B95</f>
        <v>45689</v>
      </c>
    </row>
    <row r="96" spans="2:28" ht="16" thickBot="1" x14ac:dyDescent="0.25">
      <c r="B96" s="336"/>
      <c r="C96" s="131" t="s">
        <v>89</v>
      </c>
      <c r="D96" s="808"/>
      <c r="E96" s="131">
        <f t="shared" si="24"/>
        <v>0</v>
      </c>
      <c r="F96" s="370"/>
      <c r="G96" s="370"/>
      <c r="H96" s="371"/>
      <c r="I96" s="370"/>
      <c r="J96" s="371"/>
      <c r="K96" s="370"/>
      <c r="L96" s="371"/>
      <c r="M96" s="370"/>
      <c r="N96" s="370"/>
      <c r="O96" s="371"/>
      <c r="P96" s="370"/>
      <c r="Q96" s="371"/>
      <c r="R96" s="370"/>
      <c r="S96" s="370"/>
      <c r="T96" s="371"/>
      <c r="U96" s="370"/>
      <c r="V96" s="370"/>
      <c r="W96" s="370"/>
      <c r="X96" s="370"/>
      <c r="Y96" s="343">
        <f t="shared" si="25"/>
        <v>0</v>
      </c>
      <c r="Z96" s="131" t="s">
        <v>89</v>
      </c>
      <c r="AA96" s="808"/>
      <c r="AB96" s="131"/>
    </row>
    <row r="97" spans="2:28" ht="16" thickBot="1" x14ac:dyDescent="0.25">
      <c r="B97" s="566">
        <v>45690</v>
      </c>
      <c r="C97" s="567" t="s">
        <v>240</v>
      </c>
      <c r="D97" s="809" t="s">
        <v>69</v>
      </c>
      <c r="E97" s="568">
        <f t="shared" si="24"/>
        <v>0</v>
      </c>
      <c r="F97" s="367"/>
      <c r="G97" s="367"/>
      <c r="H97" s="350"/>
      <c r="I97" s="367"/>
      <c r="J97" s="350"/>
      <c r="K97" s="367"/>
      <c r="L97" s="350"/>
      <c r="M97" s="367"/>
      <c r="N97" s="367"/>
      <c r="O97" s="350"/>
      <c r="P97" s="367"/>
      <c r="Q97" s="350"/>
      <c r="R97" s="367"/>
      <c r="S97" s="367"/>
      <c r="T97" s="350"/>
      <c r="U97" s="367"/>
      <c r="V97" s="367"/>
      <c r="W97" s="367"/>
      <c r="X97" s="367"/>
      <c r="Y97" s="569">
        <f t="shared" si="25"/>
        <v>0</v>
      </c>
      <c r="Z97" s="567" t="s">
        <v>240</v>
      </c>
      <c r="AA97" s="809" t="s">
        <v>69</v>
      </c>
      <c r="AB97" s="567">
        <f>B97</f>
        <v>45690</v>
      </c>
    </row>
    <row r="98" spans="2:28" ht="16" thickBot="1" x14ac:dyDescent="0.25">
      <c r="B98" s="346"/>
      <c r="C98" s="347" t="s">
        <v>89</v>
      </c>
      <c r="D98" s="808"/>
      <c r="E98" s="347">
        <f t="shared" si="24"/>
        <v>0</v>
      </c>
      <c r="F98" s="356"/>
      <c r="G98" s="356"/>
      <c r="H98" s="351"/>
      <c r="I98" s="356"/>
      <c r="J98" s="351"/>
      <c r="K98" s="356"/>
      <c r="L98" s="351"/>
      <c r="M98" s="356"/>
      <c r="N98" s="356"/>
      <c r="O98" s="351"/>
      <c r="P98" s="356"/>
      <c r="Q98" s="351"/>
      <c r="R98" s="356"/>
      <c r="S98" s="356"/>
      <c r="T98" s="351"/>
      <c r="U98" s="356"/>
      <c r="V98" s="356"/>
      <c r="W98" s="356"/>
      <c r="X98" s="356"/>
      <c r="Y98" s="363">
        <f t="shared" si="25"/>
        <v>0</v>
      </c>
      <c r="Z98" s="347" t="s">
        <v>89</v>
      </c>
      <c r="AA98" s="808"/>
      <c r="AB98" s="347"/>
    </row>
    <row r="99" spans="2:28" ht="17" thickBot="1" x14ac:dyDescent="0.25">
      <c r="B99" s="348" t="s">
        <v>119</v>
      </c>
      <c r="C99" s="349"/>
      <c r="D99" s="344"/>
      <c r="E99" s="133">
        <f>SUM(E91,E89,E87,E85,E93,E95,E97)</f>
        <v>151107.70000000001</v>
      </c>
      <c r="F99" s="349">
        <f t="shared" ref="F99:Y99" si="26">SUM(F85,F87,F89,F91,F93,F95,F97)</f>
        <v>20810</v>
      </c>
      <c r="G99" s="349">
        <f t="shared" si="26"/>
        <v>1440</v>
      </c>
      <c r="H99" s="352">
        <f t="shared" si="26"/>
        <v>12709.8</v>
      </c>
      <c r="I99" s="349">
        <f t="shared" si="26"/>
        <v>4800</v>
      </c>
      <c r="J99" s="352">
        <f t="shared" si="26"/>
        <v>3600</v>
      </c>
      <c r="K99" s="349">
        <f t="shared" si="26"/>
        <v>7387.6</v>
      </c>
      <c r="L99" s="352">
        <f t="shared" si="26"/>
        <v>10653.6</v>
      </c>
      <c r="M99" s="349">
        <f t="shared" si="26"/>
        <v>5760</v>
      </c>
      <c r="N99" s="349">
        <f t="shared" si="26"/>
        <v>39189.699999999997</v>
      </c>
      <c r="O99" s="352">
        <f t="shared" si="26"/>
        <v>0</v>
      </c>
      <c r="P99" s="349">
        <f t="shared" si="26"/>
        <v>0</v>
      </c>
      <c r="Q99" s="352">
        <f t="shared" si="26"/>
        <v>8618.1</v>
      </c>
      <c r="R99" s="349">
        <f t="shared" si="26"/>
        <v>6189.3</v>
      </c>
      <c r="S99" s="349">
        <f t="shared" si="26"/>
        <v>6189.3</v>
      </c>
      <c r="T99" s="352">
        <f t="shared" si="26"/>
        <v>6189.3</v>
      </c>
      <c r="U99" s="349">
        <f t="shared" si="26"/>
        <v>5478.6</v>
      </c>
      <c r="V99" s="349">
        <f t="shared" si="26"/>
        <v>0</v>
      </c>
      <c r="W99" s="349">
        <f t="shared" si="26"/>
        <v>5492.4</v>
      </c>
      <c r="X99" s="349">
        <f t="shared" si="26"/>
        <v>6600</v>
      </c>
      <c r="Y99" s="358">
        <f t="shared" si="26"/>
        <v>120352.59999999999</v>
      </c>
      <c r="Z99" s="349"/>
      <c r="AA99" s="345"/>
      <c r="AB99" s="349" t="s">
        <v>119</v>
      </c>
    </row>
    <row r="100" spans="2:28" ht="17" thickBot="1" x14ac:dyDescent="0.25">
      <c r="B100" s="342" t="s">
        <v>120</v>
      </c>
      <c r="C100" s="343"/>
      <c r="D100" s="344"/>
      <c r="E100" s="134">
        <f>SUM(E86,E88,E90,E92,E94,E96,E98)</f>
        <v>1560</v>
      </c>
      <c r="F100" s="343">
        <f t="shared" ref="F100:Y100" si="27">(F86+F88+F90+F92+F94+F96+F98)</f>
        <v>0</v>
      </c>
      <c r="G100" s="343">
        <f t="shared" si="27"/>
        <v>0</v>
      </c>
      <c r="H100" s="353">
        <f t="shared" si="27"/>
        <v>0</v>
      </c>
      <c r="I100" s="343">
        <f t="shared" si="27"/>
        <v>840</v>
      </c>
      <c r="J100" s="353">
        <f t="shared" si="27"/>
        <v>720</v>
      </c>
      <c r="K100" s="343">
        <f t="shared" si="27"/>
        <v>0</v>
      </c>
      <c r="L100" s="353">
        <f t="shared" si="27"/>
        <v>0</v>
      </c>
      <c r="M100" s="343">
        <f t="shared" si="27"/>
        <v>0</v>
      </c>
      <c r="N100" s="343">
        <f t="shared" si="27"/>
        <v>0</v>
      </c>
      <c r="O100" s="353">
        <f t="shared" si="27"/>
        <v>0</v>
      </c>
      <c r="P100" s="343">
        <f t="shared" si="27"/>
        <v>0</v>
      </c>
      <c r="Q100" s="353">
        <f t="shared" si="27"/>
        <v>0</v>
      </c>
      <c r="R100" s="343">
        <f t="shared" si="27"/>
        <v>0</v>
      </c>
      <c r="S100" s="343">
        <f t="shared" si="27"/>
        <v>0</v>
      </c>
      <c r="T100" s="353">
        <f t="shared" si="27"/>
        <v>0</v>
      </c>
      <c r="U100" s="343">
        <f t="shared" si="27"/>
        <v>0</v>
      </c>
      <c r="V100" s="343">
        <f t="shared" si="27"/>
        <v>0</v>
      </c>
      <c r="W100" s="343">
        <f t="shared" si="27"/>
        <v>0</v>
      </c>
      <c r="X100" s="343">
        <f t="shared" si="27"/>
        <v>0</v>
      </c>
      <c r="Y100" s="359">
        <f t="shared" si="27"/>
        <v>1560</v>
      </c>
      <c r="Z100" s="343"/>
      <c r="AA100" s="345"/>
      <c r="AB100" s="343" t="s">
        <v>120</v>
      </c>
    </row>
    <row r="101" spans="2:28" ht="17" thickBot="1" x14ac:dyDescent="0.25">
      <c r="B101" s="337" t="s">
        <v>121</v>
      </c>
      <c r="C101" s="338"/>
      <c r="D101" s="339"/>
      <c r="E101" s="340">
        <f>E99-E100</f>
        <v>149547.70000000001</v>
      </c>
      <c r="F101" s="338">
        <f t="shared" ref="F101:M101" si="28">F99-F100</f>
        <v>20810</v>
      </c>
      <c r="G101" s="338">
        <f t="shared" si="28"/>
        <v>1440</v>
      </c>
      <c r="H101" s="357">
        <f t="shared" si="28"/>
        <v>12709.8</v>
      </c>
      <c r="I101" s="338">
        <f t="shared" si="28"/>
        <v>3960</v>
      </c>
      <c r="J101" s="357">
        <f t="shared" si="28"/>
        <v>2880</v>
      </c>
      <c r="K101" s="338">
        <f t="shared" si="28"/>
        <v>7387.6</v>
      </c>
      <c r="L101" s="357">
        <f t="shared" si="28"/>
        <v>10653.6</v>
      </c>
      <c r="M101" s="338">
        <f t="shared" si="28"/>
        <v>5760</v>
      </c>
      <c r="N101" s="338">
        <f>N99-N100</f>
        <v>39189.699999999997</v>
      </c>
      <c r="O101" s="357">
        <f t="shared" ref="O101:W101" si="29">O99-O100</f>
        <v>0</v>
      </c>
      <c r="P101" s="338">
        <f t="shared" si="29"/>
        <v>0</v>
      </c>
      <c r="Q101" s="357">
        <f t="shared" si="29"/>
        <v>8618.1</v>
      </c>
      <c r="R101" s="338">
        <f t="shared" si="29"/>
        <v>6189.3</v>
      </c>
      <c r="S101" s="338">
        <f t="shared" si="29"/>
        <v>6189.3</v>
      </c>
      <c r="T101" s="357">
        <f t="shared" si="29"/>
        <v>6189.3</v>
      </c>
      <c r="U101" s="338">
        <f t="shared" si="29"/>
        <v>5478.6</v>
      </c>
      <c r="V101" s="338">
        <f t="shared" si="29"/>
        <v>0</v>
      </c>
      <c r="W101" s="338">
        <f t="shared" si="29"/>
        <v>5492.4</v>
      </c>
      <c r="X101" s="338">
        <f>X99-X100</f>
        <v>6600</v>
      </c>
      <c r="Y101" s="360">
        <f>Y99-Y100</f>
        <v>118792.59999999999</v>
      </c>
      <c r="Z101" s="338"/>
      <c r="AA101" s="341"/>
      <c r="AB101" s="338" t="s">
        <v>121</v>
      </c>
    </row>
    <row r="102" spans="2:28" ht="16" thickBot="1" x14ac:dyDescent="0.25"/>
    <row r="103" spans="2:28" x14ac:dyDescent="0.2">
      <c r="B103" s="812" t="s">
        <v>76</v>
      </c>
      <c r="C103" s="812" t="s">
        <v>239</v>
      </c>
      <c r="D103" s="812" t="s">
        <v>83</v>
      </c>
      <c r="E103" s="812" t="s">
        <v>19</v>
      </c>
      <c r="F103" s="812" t="s">
        <v>118</v>
      </c>
      <c r="G103" s="812" t="s">
        <v>70</v>
      </c>
      <c r="H103" s="814" t="s">
        <v>401</v>
      </c>
      <c r="I103" s="812" t="s">
        <v>382</v>
      </c>
      <c r="J103" s="816" t="s">
        <v>200</v>
      </c>
      <c r="K103" s="812" t="s">
        <v>114</v>
      </c>
      <c r="L103" s="810" t="s">
        <v>402</v>
      </c>
      <c r="M103" s="812" t="s">
        <v>333</v>
      </c>
      <c r="N103" s="812" t="s">
        <v>204</v>
      </c>
      <c r="O103" s="810" t="s">
        <v>75</v>
      </c>
      <c r="P103" s="812" t="s">
        <v>278</v>
      </c>
      <c r="Q103" s="810" t="s">
        <v>116</v>
      </c>
      <c r="R103" s="812" t="s">
        <v>331</v>
      </c>
      <c r="S103" s="812" t="s">
        <v>73</v>
      </c>
      <c r="T103" s="810" t="s">
        <v>112</v>
      </c>
      <c r="U103" s="812" t="s">
        <v>72</v>
      </c>
      <c r="V103" s="812" t="s">
        <v>425</v>
      </c>
      <c r="W103" s="812" t="s">
        <v>399</v>
      </c>
      <c r="X103" s="812" t="s">
        <v>400</v>
      </c>
      <c r="Y103" s="812" t="s">
        <v>19</v>
      </c>
      <c r="Z103" s="812" t="s">
        <v>239</v>
      </c>
      <c r="AA103" s="812" t="s">
        <v>83</v>
      </c>
      <c r="AB103" s="812" t="s">
        <v>76</v>
      </c>
    </row>
    <row r="104" spans="2:28" ht="16" thickBot="1" x14ac:dyDescent="0.25">
      <c r="B104" s="813"/>
      <c r="C104" s="813"/>
      <c r="D104" s="813"/>
      <c r="E104" s="813"/>
      <c r="F104" s="813"/>
      <c r="G104" s="813"/>
      <c r="H104" s="815"/>
      <c r="I104" s="813"/>
      <c r="J104" s="817"/>
      <c r="K104" s="813"/>
      <c r="L104" s="811"/>
      <c r="M104" s="813"/>
      <c r="N104" s="813"/>
      <c r="O104" s="811"/>
      <c r="P104" s="813"/>
      <c r="Q104" s="811"/>
      <c r="R104" s="813"/>
      <c r="S104" s="813"/>
      <c r="T104" s="811"/>
      <c r="U104" s="813"/>
      <c r="V104" s="813"/>
      <c r="W104" s="813"/>
      <c r="X104" s="813"/>
      <c r="Y104" s="813"/>
      <c r="Z104" s="813"/>
      <c r="AA104" s="813"/>
      <c r="AB104" s="813"/>
    </row>
    <row r="105" spans="2:28" ht="16" thickBot="1" x14ac:dyDescent="0.25">
      <c r="B105" s="332">
        <v>45691</v>
      </c>
      <c r="C105" s="334" t="s">
        <v>240</v>
      </c>
      <c r="D105" s="807" t="s">
        <v>63</v>
      </c>
      <c r="E105" s="335">
        <f t="shared" ref="E105:E118" si="30">SUM(F105:X105)</f>
        <v>28372.799999999996</v>
      </c>
      <c r="F105" s="362">
        <v>4900</v>
      </c>
      <c r="G105" s="362">
        <v>1440</v>
      </c>
      <c r="H105" s="361">
        <v>4112.3999999999996</v>
      </c>
      <c r="I105" s="362">
        <v>2400</v>
      </c>
      <c r="J105" s="361"/>
      <c r="K105" s="362">
        <v>2732.4</v>
      </c>
      <c r="L105" s="361">
        <v>3661.6</v>
      </c>
      <c r="M105" s="362"/>
      <c r="N105" s="354">
        <v>9126.4</v>
      </c>
      <c r="O105" s="361"/>
      <c r="P105" s="362"/>
      <c r="Q105" s="361"/>
      <c r="R105" s="362"/>
      <c r="S105" s="354"/>
      <c r="T105" s="361"/>
      <c r="U105" s="362"/>
      <c r="V105" s="362"/>
      <c r="W105" s="362"/>
      <c r="X105" s="362"/>
      <c r="Y105" s="349" t="s">
        <v>407</v>
      </c>
      <c r="Z105" s="334" t="s">
        <v>240</v>
      </c>
      <c r="AA105" s="807" t="s">
        <v>63</v>
      </c>
      <c r="AB105" s="333">
        <f>B105</f>
        <v>45691</v>
      </c>
    </row>
    <row r="106" spans="2:28" ht="16" thickBot="1" x14ac:dyDescent="0.25">
      <c r="B106" s="346"/>
      <c r="C106" s="347" t="s">
        <v>89</v>
      </c>
      <c r="D106" s="809"/>
      <c r="E106" s="347">
        <f t="shared" si="30"/>
        <v>2002.2</v>
      </c>
      <c r="F106" s="356">
        <v>700</v>
      </c>
      <c r="G106" s="356"/>
      <c r="H106" s="351"/>
      <c r="I106" s="356">
        <v>120</v>
      </c>
      <c r="J106" s="351"/>
      <c r="K106" s="356">
        <v>345</v>
      </c>
      <c r="L106" s="351">
        <v>478.4</v>
      </c>
      <c r="M106" s="355"/>
      <c r="N106" s="355">
        <v>358.8</v>
      </c>
      <c r="O106" s="364"/>
      <c r="P106" s="356"/>
      <c r="Q106" s="351"/>
      <c r="R106" s="355"/>
      <c r="S106" s="365"/>
      <c r="T106" s="364"/>
      <c r="U106" s="365"/>
      <c r="V106" s="365"/>
      <c r="W106" s="365"/>
      <c r="X106" s="356"/>
      <c r="Y106" s="366">
        <f t="shared" ref="Y106:Y118" si="31">SUM(F106:X106)</f>
        <v>2002.2</v>
      </c>
      <c r="Z106" s="347" t="s">
        <v>89</v>
      </c>
      <c r="AA106" s="809"/>
      <c r="AB106" s="347"/>
    </row>
    <row r="107" spans="2:28" ht="16" thickBot="1" x14ac:dyDescent="0.25">
      <c r="B107" s="368">
        <v>45692</v>
      </c>
      <c r="C107" s="333" t="s">
        <v>240</v>
      </c>
      <c r="D107" s="807" t="s">
        <v>64</v>
      </c>
      <c r="E107" s="132">
        <f t="shared" si="30"/>
        <v>33262.6</v>
      </c>
      <c r="F107" s="354"/>
      <c r="G107" s="354"/>
      <c r="H107" s="369"/>
      <c r="I107" s="354"/>
      <c r="J107" s="369"/>
      <c r="K107" s="354"/>
      <c r="L107" s="369"/>
      <c r="M107" s="354"/>
      <c r="N107" s="354"/>
      <c r="O107" s="369"/>
      <c r="P107" s="354"/>
      <c r="Q107" s="369">
        <v>8730.7999999999993</v>
      </c>
      <c r="R107" s="354">
        <v>6196.2</v>
      </c>
      <c r="S107" s="354">
        <v>6421.6</v>
      </c>
      <c r="T107" s="369">
        <v>6421.6</v>
      </c>
      <c r="U107" s="354">
        <v>5492.4</v>
      </c>
      <c r="V107" s="354"/>
      <c r="W107" s="354"/>
      <c r="X107" s="354"/>
      <c r="Y107" s="349">
        <f t="shared" si="31"/>
        <v>33262.6</v>
      </c>
      <c r="Z107" s="333" t="s">
        <v>240</v>
      </c>
      <c r="AA107" s="807" t="s">
        <v>64</v>
      </c>
      <c r="AB107" s="333">
        <f>B107</f>
        <v>45692</v>
      </c>
    </row>
    <row r="108" spans="2:28" ht="16" thickBot="1" x14ac:dyDescent="0.25">
      <c r="B108" s="336"/>
      <c r="C108" s="131" t="s">
        <v>89</v>
      </c>
      <c r="D108" s="808"/>
      <c r="E108" s="131">
        <f t="shared" si="30"/>
        <v>450.8</v>
      </c>
      <c r="F108" s="370"/>
      <c r="G108" s="370"/>
      <c r="H108" s="371"/>
      <c r="I108" s="370"/>
      <c r="J108" s="371"/>
      <c r="K108" s="370"/>
      <c r="L108" s="371"/>
      <c r="M108" s="370"/>
      <c r="N108" s="370"/>
      <c r="O108" s="371"/>
      <c r="P108" s="370"/>
      <c r="Q108" s="371"/>
      <c r="R108" s="370"/>
      <c r="S108" s="370"/>
      <c r="T108" s="371"/>
      <c r="U108" s="370">
        <v>450.8</v>
      </c>
      <c r="V108" s="370"/>
      <c r="W108" s="370"/>
      <c r="X108" s="370"/>
      <c r="Y108" s="343">
        <f t="shared" si="31"/>
        <v>450.8</v>
      </c>
      <c r="Z108" s="131" t="s">
        <v>89</v>
      </c>
      <c r="AA108" s="808"/>
      <c r="AB108" s="131"/>
    </row>
    <row r="109" spans="2:28" ht="16" thickBot="1" x14ac:dyDescent="0.25">
      <c r="B109" s="332">
        <v>45693</v>
      </c>
      <c r="C109" s="334" t="s">
        <v>240</v>
      </c>
      <c r="D109" s="809" t="s">
        <v>65</v>
      </c>
      <c r="E109" s="335">
        <f t="shared" si="30"/>
        <v>29432.799999999999</v>
      </c>
      <c r="F109" s="367">
        <v>6800</v>
      </c>
      <c r="G109" s="367"/>
      <c r="H109" s="350">
        <v>4112.3999999999996</v>
      </c>
      <c r="I109" s="367"/>
      <c r="J109" s="350">
        <v>3000</v>
      </c>
      <c r="K109" s="367">
        <v>2732.4</v>
      </c>
      <c r="L109" s="350">
        <v>3210.8</v>
      </c>
      <c r="M109" s="367"/>
      <c r="N109" s="367">
        <v>9577.2000000000007</v>
      </c>
      <c r="O109" s="350"/>
      <c r="P109" s="367"/>
      <c r="Q109" s="350"/>
      <c r="R109" s="367"/>
      <c r="S109" s="367"/>
      <c r="T109" s="350"/>
      <c r="U109" s="367"/>
      <c r="V109" s="367"/>
      <c r="W109" s="367"/>
      <c r="X109" s="367"/>
      <c r="Y109" s="338">
        <f t="shared" si="31"/>
        <v>29432.799999999999</v>
      </c>
      <c r="Z109" s="334" t="s">
        <v>240</v>
      </c>
      <c r="AA109" s="809" t="s">
        <v>65</v>
      </c>
      <c r="AB109" s="334">
        <f>B109</f>
        <v>45693</v>
      </c>
    </row>
    <row r="110" spans="2:28" ht="16" thickBot="1" x14ac:dyDescent="0.25">
      <c r="B110" s="346"/>
      <c r="C110" s="347" t="s">
        <v>89</v>
      </c>
      <c r="D110" s="809"/>
      <c r="E110" s="347">
        <f t="shared" si="30"/>
        <v>2771.6</v>
      </c>
      <c r="F110" s="356">
        <v>700</v>
      </c>
      <c r="G110" s="356"/>
      <c r="H110" s="351"/>
      <c r="I110" s="356"/>
      <c r="J110" s="351">
        <v>480</v>
      </c>
      <c r="K110" s="356"/>
      <c r="L110" s="351"/>
      <c r="M110" s="356"/>
      <c r="N110" s="356">
        <v>1591.6</v>
      </c>
      <c r="O110" s="351"/>
      <c r="P110" s="356"/>
      <c r="Q110" s="351"/>
      <c r="R110" s="356"/>
      <c r="S110" s="356"/>
      <c r="T110" s="351"/>
      <c r="U110" s="356"/>
      <c r="V110" s="356"/>
      <c r="W110" s="356"/>
      <c r="X110" s="356"/>
      <c r="Y110" s="366">
        <f t="shared" si="31"/>
        <v>2771.6</v>
      </c>
      <c r="Z110" s="347" t="s">
        <v>89</v>
      </c>
      <c r="AA110" s="809"/>
      <c r="AB110" s="347"/>
    </row>
    <row r="111" spans="2:28" ht="16" thickBot="1" x14ac:dyDescent="0.25">
      <c r="B111" s="562">
        <v>45694</v>
      </c>
      <c r="C111" s="563" t="s">
        <v>240</v>
      </c>
      <c r="D111" s="807" t="s">
        <v>66</v>
      </c>
      <c r="E111" s="564">
        <f t="shared" si="30"/>
        <v>7510.8</v>
      </c>
      <c r="F111" s="372">
        <v>4300</v>
      </c>
      <c r="G111" s="372"/>
      <c r="H111" s="373"/>
      <c r="I111" s="372"/>
      <c r="J111" s="373"/>
      <c r="K111" s="372"/>
      <c r="L111" s="373"/>
      <c r="M111" s="372"/>
      <c r="N111" s="372"/>
      <c r="O111" s="373"/>
      <c r="P111" s="372"/>
      <c r="Q111" s="373"/>
      <c r="R111" s="372"/>
      <c r="S111" s="372"/>
      <c r="T111" s="373"/>
      <c r="U111" s="372"/>
      <c r="V111" s="372"/>
      <c r="W111" s="372">
        <v>3210.8</v>
      </c>
      <c r="X111" s="372"/>
      <c r="Y111" s="565">
        <f t="shared" si="31"/>
        <v>7510.8</v>
      </c>
      <c r="Z111" s="563" t="s">
        <v>240</v>
      </c>
      <c r="AA111" s="807" t="s">
        <v>66</v>
      </c>
      <c r="AB111" s="563">
        <f>B111</f>
        <v>45694</v>
      </c>
    </row>
    <row r="112" spans="2:28" ht="16" thickBot="1" x14ac:dyDescent="0.25">
      <c r="B112" s="336"/>
      <c r="C112" s="131" t="s">
        <v>89</v>
      </c>
      <c r="D112" s="808"/>
      <c r="E112" s="131">
        <f t="shared" si="30"/>
        <v>0</v>
      </c>
      <c r="F112" s="370"/>
      <c r="G112" s="370"/>
      <c r="H112" s="371"/>
      <c r="I112" s="370"/>
      <c r="J112" s="371"/>
      <c r="K112" s="370"/>
      <c r="L112" s="371"/>
      <c r="M112" s="370"/>
      <c r="N112" s="370"/>
      <c r="O112" s="371"/>
      <c r="P112" s="370"/>
      <c r="Q112" s="371"/>
      <c r="R112" s="370"/>
      <c r="S112" s="370"/>
      <c r="T112" s="371"/>
      <c r="U112" s="370"/>
      <c r="V112" s="370"/>
      <c r="W112" s="370"/>
      <c r="X112" s="370"/>
      <c r="Y112" s="343">
        <f t="shared" si="31"/>
        <v>0</v>
      </c>
      <c r="Z112" s="131" t="s">
        <v>89</v>
      </c>
      <c r="AA112" s="808"/>
      <c r="AB112" s="131"/>
    </row>
    <row r="113" spans="2:28" ht="16" thickBot="1" x14ac:dyDescent="0.25">
      <c r="B113" s="566">
        <v>45695</v>
      </c>
      <c r="C113" s="567" t="s">
        <v>240</v>
      </c>
      <c r="D113" s="809" t="s">
        <v>67</v>
      </c>
      <c r="E113" s="568">
        <f t="shared" si="30"/>
        <v>30825.200000000001</v>
      </c>
      <c r="F113" s="367">
        <v>5100</v>
      </c>
      <c r="G113" s="367">
        <v>1200</v>
      </c>
      <c r="H113" s="350">
        <v>4563.2</v>
      </c>
      <c r="I113" s="367">
        <v>2160</v>
      </c>
      <c r="J113" s="350"/>
      <c r="K113" s="367">
        <v>2732.4</v>
      </c>
      <c r="L113" s="350">
        <v>3661.6</v>
      </c>
      <c r="M113" s="367"/>
      <c r="N113" s="367">
        <v>11408</v>
      </c>
      <c r="O113" s="350"/>
      <c r="P113" s="367"/>
      <c r="Q113" s="350"/>
      <c r="R113" s="367"/>
      <c r="S113" s="367"/>
      <c r="T113" s="350"/>
      <c r="U113" s="367"/>
      <c r="V113" s="367"/>
      <c r="W113" s="367"/>
      <c r="X113" s="367"/>
      <c r="Y113" s="569">
        <f t="shared" si="31"/>
        <v>30825.200000000001</v>
      </c>
      <c r="Z113" s="567" t="s">
        <v>240</v>
      </c>
      <c r="AA113" s="809" t="s">
        <v>67</v>
      </c>
      <c r="AB113" s="567">
        <f>B113</f>
        <v>45695</v>
      </c>
    </row>
    <row r="114" spans="2:28" ht="16" thickBot="1" x14ac:dyDescent="0.25">
      <c r="B114" s="346"/>
      <c r="C114" s="347" t="s">
        <v>89</v>
      </c>
      <c r="D114" s="809"/>
      <c r="E114" s="347">
        <f t="shared" si="30"/>
        <v>1912.3</v>
      </c>
      <c r="F114" s="355">
        <v>300</v>
      </c>
      <c r="G114" s="355"/>
      <c r="H114" s="351"/>
      <c r="I114" s="355"/>
      <c r="J114" s="351"/>
      <c r="K114" s="355"/>
      <c r="L114" s="351"/>
      <c r="M114" s="356"/>
      <c r="N114" s="356">
        <v>1612.3</v>
      </c>
      <c r="O114" s="351"/>
      <c r="P114" s="356"/>
      <c r="Q114" s="351"/>
      <c r="R114" s="356"/>
      <c r="S114" s="356"/>
      <c r="T114" s="351"/>
      <c r="U114" s="356"/>
      <c r="V114" s="356"/>
      <c r="W114" s="356"/>
      <c r="X114" s="356"/>
      <c r="Y114" s="366">
        <f t="shared" si="31"/>
        <v>1912.3</v>
      </c>
      <c r="Z114" s="347" t="s">
        <v>89</v>
      </c>
      <c r="AA114" s="809"/>
      <c r="AB114" s="347"/>
    </row>
    <row r="115" spans="2:28" ht="16" thickBot="1" x14ac:dyDescent="0.25">
      <c r="B115" s="368">
        <v>45696</v>
      </c>
      <c r="C115" s="333" t="s">
        <v>240</v>
      </c>
      <c r="D115" s="807" t="s">
        <v>68</v>
      </c>
      <c r="E115" s="132">
        <f t="shared" si="30"/>
        <v>0</v>
      </c>
      <c r="F115" s="372"/>
      <c r="G115" s="372"/>
      <c r="H115" s="373"/>
      <c r="I115" s="372"/>
      <c r="J115" s="373"/>
      <c r="K115" s="372"/>
      <c r="L115" s="373"/>
      <c r="M115" s="372"/>
      <c r="N115" s="372"/>
      <c r="O115" s="373"/>
      <c r="P115" s="372"/>
      <c r="Q115" s="373"/>
      <c r="R115" s="372"/>
      <c r="S115" s="372"/>
      <c r="T115" s="373"/>
      <c r="U115" s="372"/>
      <c r="V115" s="372"/>
      <c r="W115" s="372"/>
      <c r="X115" s="372"/>
      <c r="Y115" s="349">
        <f t="shared" si="31"/>
        <v>0</v>
      </c>
      <c r="Z115" s="333" t="s">
        <v>240</v>
      </c>
      <c r="AA115" s="807" t="s">
        <v>68</v>
      </c>
      <c r="AB115" s="333">
        <f>B115</f>
        <v>45696</v>
      </c>
    </row>
    <row r="116" spans="2:28" ht="16" thickBot="1" x14ac:dyDescent="0.25">
      <c r="B116" s="336"/>
      <c r="C116" s="131" t="s">
        <v>89</v>
      </c>
      <c r="D116" s="808"/>
      <c r="E116" s="131">
        <f t="shared" si="30"/>
        <v>0</v>
      </c>
      <c r="F116" s="370"/>
      <c r="G116" s="370"/>
      <c r="H116" s="371"/>
      <c r="I116" s="370"/>
      <c r="J116" s="371"/>
      <c r="K116" s="370"/>
      <c r="L116" s="371"/>
      <c r="M116" s="370"/>
      <c r="N116" s="370"/>
      <c r="O116" s="371"/>
      <c r="P116" s="370"/>
      <c r="Q116" s="371"/>
      <c r="R116" s="370"/>
      <c r="S116" s="370"/>
      <c r="T116" s="371"/>
      <c r="U116" s="370"/>
      <c r="V116" s="370"/>
      <c r="W116" s="370"/>
      <c r="X116" s="370"/>
      <c r="Y116" s="343">
        <f t="shared" si="31"/>
        <v>0</v>
      </c>
      <c r="Z116" s="131" t="s">
        <v>89</v>
      </c>
      <c r="AA116" s="808"/>
      <c r="AB116" s="131"/>
    </row>
    <row r="117" spans="2:28" ht="16" thickBot="1" x14ac:dyDescent="0.25">
      <c r="B117" s="566">
        <v>45697</v>
      </c>
      <c r="C117" s="567" t="s">
        <v>240</v>
      </c>
      <c r="D117" s="809" t="s">
        <v>69</v>
      </c>
      <c r="E117" s="568">
        <f t="shared" si="30"/>
        <v>0</v>
      </c>
      <c r="F117" s="367"/>
      <c r="G117" s="367"/>
      <c r="H117" s="350"/>
      <c r="I117" s="367"/>
      <c r="J117" s="350"/>
      <c r="K117" s="367"/>
      <c r="L117" s="350"/>
      <c r="M117" s="367"/>
      <c r="N117" s="367"/>
      <c r="O117" s="350"/>
      <c r="P117" s="367"/>
      <c r="Q117" s="350"/>
      <c r="R117" s="367"/>
      <c r="S117" s="367"/>
      <c r="T117" s="350"/>
      <c r="U117" s="367"/>
      <c r="V117" s="367"/>
      <c r="W117" s="367"/>
      <c r="X117" s="367"/>
      <c r="Y117" s="569">
        <f t="shared" si="31"/>
        <v>0</v>
      </c>
      <c r="Z117" s="567" t="s">
        <v>240</v>
      </c>
      <c r="AA117" s="809" t="s">
        <v>69</v>
      </c>
      <c r="AB117" s="567">
        <f>B117</f>
        <v>45697</v>
      </c>
    </row>
    <row r="118" spans="2:28" ht="16" thickBot="1" x14ac:dyDescent="0.25">
      <c r="B118" s="346"/>
      <c r="C118" s="347" t="s">
        <v>89</v>
      </c>
      <c r="D118" s="808"/>
      <c r="E118" s="347">
        <f t="shared" si="30"/>
        <v>0</v>
      </c>
      <c r="F118" s="356"/>
      <c r="G118" s="356"/>
      <c r="H118" s="351"/>
      <c r="I118" s="356"/>
      <c r="J118" s="351"/>
      <c r="K118" s="356"/>
      <c r="L118" s="351"/>
      <c r="M118" s="356"/>
      <c r="N118" s="356"/>
      <c r="O118" s="351"/>
      <c r="P118" s="356"/>
      <c r="Q118" s="351"/>
      <c r="R118" s="356"/>
      <c r="S118" s="356"/>
      <c r="T118" s="351"/>
      <c r="U118" s="356"/>
      <c r="V118" s="356"/>
      <c r="W118" s="356"/>
      <c r="X118" s="356"/>
      <c r="Y118" s="363">
        <f t="shared" si="31"/>
        <v>0</v>
      </c>
      <c r="Z118" s="347" t="s">
        <v>89</v>
      </c>
      <c r="AA118" s="808"/>
      <c r="AB118" s="347"/>
    </row>
    <row r="119" spans="2:28" ht="17" thickBot="1" x14ac:dyDescent="0.25">
      <c r="B119" s="348" t="s">
        <v>119</v>
      </c>
      <c r="C119" s="349"/>
      <c r="D119" s="344"/>
      <c r="E119" s="133">
        <f>SUM(E111,E109,E107,E105,E113,E115,E117)</f>
        <v>129404.2</v>
      </c>
      <c r="F119" s="349">
        <f t="shared" ref="F119:Y119" si="32">SUM(F105,F107,F109,F111,F113,F115,F117)</f>
        <v>21100</v>
      </c>
      <c r="G119" s="349">
        <f t="shared" si="32"/>
        <v>2640</v>
      </c>
      <c r="H119" s="352">
        <f t="shared" si="32"/>
        <v>12788</v>
      </c>
      <c r="I119" s="349">
        <f t="shared" si="32"/>
        <v>4560</v>
      </c>
      <c r="J119" s="352">
        <f t="shared" si="32"/>
        <v>3000</v>
      </c>
      <c r="K119" s="349">
        <f t="shared" si="32"/>
        <v>8197.2000000000007</v>
      </c>
      <c r="L119" s="352">
        <f t="shared" si="32"/>
        <v>10534</v>
      </c>
      <c r="M119" s="349">
        <f t="shared" si="32"/>
        <v>0</v>
      </c>
      <c r="N119" s="349">
        <f t="shared" si="32"/>
        <v>30111.599999999999</v>
      </c>
      <c r="O119" s="352">
        <f t="shared" si="32"/>
        <v>0</v>
      </c>
      <c r="P119" s="349">
        <f t="shared" si="32"/>
        <v>0</v>
      </c>
      <c r="Q119" s="352">
        <f t="shared" si="32"/>
        <v>8730.7999999999993</v>
      </c>
      <c r="R119" s="349">
        <f t="shared" si="32"/>
        <v>6196.2</v>
      </c>
      <c r="S119" s="349">
        <f t="shared" si="32"/>
        <v>6421.6</v>
      </c>
      <c r="T119" s="352">
        <f t="shared" si="32"/>
        <v>6421.6</v>
      </c>
      <c r="U119" s="349">
        <f t="shared" si="32"/>
        <v>5492.4</v>
      </c>
      <c r="V119" s="349">
        <f t="shared" si="32"/>
        <v>0</v>
      </c>
      <c r="W119" s="349">
        <f t="shared" si="32"/>
        <v>3210.8</v>
      </c>
      <c r="X119" s="349">
        <f t="shared" si="32"/>
        <v>0</v>
      </c>
      <c r="Y119" s="358">
        <f t="shared" si="32"/>
        <v>101031.4</v>
      </c>
      <c r="Z119" s="349"/>
      <c r="AA119" s="345"/>
      <c r="AB119" s="349" t="s">
        <v>119</v>
      </c>
    </row>
    <row r="120" spans="2:28" ht="17" thickBot="1" x14ac:dyDescent="0.25">
      <c r="B120" s="342" t="s">
        <v>120</v>
      </c>
      <c r="C120" s="343"/>
      <c r="D120" s="344"/>
      <c r="E120" s="134">
        <f>SUM(E106,E108,E110,E112,E114,E116,E118)</f>
        <v>7136.9000000000005</v>
      </c>
      <c r="F120" s="343">
        <f t="shared" ref="F120:Y120" si="33">(F106+F108+F110+F112+F114+F116+F118)</f>
        <v>1700</v>
      </c>
      <c r="G120" s="343">
        <f t="shared" si="33"/>
        <v>0</v>
      </c>
      <c r="H120" s="353">
        <f t="shared" si="33"/>
        <v>0</v>
      </c>
      <c r="I120" s="343">
        <f t="shared" si="33"/>
        <v>120</v>
      </c>
      <c r="J120" s="353">
        <f t="shared" si="33"/>
        <v>480</v>
      </c>
      <c r="K120" s="343">
        <f t="shared" si="33"/>
        <v>345</v>
      </c>
      <c r="L120" s="353">
        <f t="shared" si="33"/>
        <v>478.4</v>
      </c>
      <c r="M120" s="343">
        <f t="shared" si="33"/>
        <v>0</v>
      </c>
      <c r="N120" s="343">
        <f t="shared" si="33"/>
        <v>3562.7</v>
      </c>
      <c r="O120" s="353">
        <f t="shared" si="33"/>
        <v>0</v>
      </c>
      <c r="P120" s="343">
        <f t="shared" si="33"/>
        <v>0</v>
      </c>
      <c r="Q120" s="353">
        <f t="shared" si="33"/>
        <v>0</v>
      </c>
      <c r="R120" s="343">
        <f t="shared" si="33"/>
        <v>0</v>
      </c>
      <c r="S120" s="343">
        <f t="shared" si="33"/>
        <v>0</v>
      </c>
      <c r="T120" s="353">
        <f t="shared" si="33"/>
        <v>0</v>
      </c>
      <c r="U120" s="343">
        <f t="shared" si="33"/>
        <v>450.8</v>
      </c>
      <c r="V120" s="343">
        <f t="shared" si="33"/>
        <v>0</v>
      </c>
      <c r="W120" s="343">
        <f t="shared" si="33"/>
        <v>0</v>
      </c>
      <c r="X120" s="343">
        <f t="shared" si="33"/>
        <v>0</v>
      </c>
      <c r="Y120" s="359">
        <f t="shared" si="33"/>
        <v>7136.9000000000005</v>
      </c>
      <c r="Z120" s="343"/>
      <c r="AA120" s="345"/>
      <c r="AB120" s="343" t="s">
        <v>120</v>
      </c>
    </row>
    <row r="121" spans="2:28" ht="17" thickBot="1" x14ac:dyDescent="0.25">
      <c r="B121" s="337" t="s">
        <v>121</v>
      </c>
      <c r="C121" s="338"/>
      <c r="D121" s="339"/>
      <c r="E121" s="340">
        <f>E119-E120</f>
        <v>122267.3</v>
      </c>
      <c r="F121" s="338">
        <f t="shared" ref="F121:M121" si="34">F119-F120</f>
        <v>19400</v>
      </c>
      <c r="G121" s="338">
        <f t="shared" si="34"/>
        <v>2640</v>
      </c>
      <c r="H121" s="357">
        <f t="shared" si="34"/>
        <v>12788</v>
      </c>
      <c r="I121" s="338">
        <f t="shared" si="34"/>
        <v>4440</v>
      </c>
      <c r="J121" s="357">
        <f t="shared" si="34"/>
        <v>2520</v>
      </c>
      <c r="K121" s="338">
        <f t="shared" si="34"/>
        <v>7852.2000000000007</v>
      </c>
      <c r="L121" s="357">
        <f t="shared" si="34"/>
        <v>10055.6</v>
      </c>
      <c r="M121" s="338">
        <f t="shared" si="34"/>
        <v>0</v>
      </c>
      <c r="N121" s="338">
        <f>N119-N120</f>
        <v>26548.899999999998</v>
      </c>
      <c r="O121" s="357">
        <f t="shared" ref="O121:W121" si="35">O119-O120</f>
        <v>0</v>
      </c>
      <c r="P121" s="338">
        <f t="shared" si="35"/>
        <v>0</v>
      </c>
      <c r="Q121" s="357">
        <f t="shared" si="35"/>
        <v>8730.7999999999993</v>
      </c>
      <c r="R121" s="338">
        <f t="shared" si="35"/>
        <v>6196.2</v>
      </c>
      <c r="S121" s="338">
        <f t="shared" si="35"/>
        <v>6421.6</v>
      </c>
      <c r="T121" s="357">
        <f t="shared" si="35"/>
        <v>6421.6</v>
      </c>
      <c r="U121" s="338">
        <f t="shared" si="35"/>
        <v>5041.5999999999995</v>
      </c>
      <c r="V121" s="338">
        <f t="shared" si="35"/>
        <v>0</v>
      </c>
      <c r="W121" s="338">
        <f t="shared" si="35"/>
        <v>3210.8</v>
      </c>
      <c r="X121" s="338">
        <f>X119-X120</f>
        <v>0</v>
      </c>
      <c r="Y121" s="360">
        <f>Y119-Y120</f>
        <v>93894.5</v>
      </c>
      <c r="Z121" s="338"/>
      <c r="AA121" s="341"/>
      <c r="AB121" s="338" t="s">
        <v>121</v>
      </c>
    </row>
    <row r="122" spans="2:28" ht="16" thickBot="1" x14ac:dyDescent="0.25"/>
    <row r="123" spans="2:28" x14ac:dyDescent="0.2">
      <c r="B123" s="812" t="s">
        <v>76</v>
      </c>
      <c r="C123" s="812" t="s">
        <v>239</v>
      </c>
      <c r="D123" s="812" t="s">
        <v>83</v>
      </c>
      <c r="E123" s="812" t="s">
        <v>19</v>
      </c>
      <c r="F123" s="812" t="s">
        <v>118</v>
      </c>
      <c r="G123" s="812" t="s">
        <v>70</v>
      </c>
      <c r="H123" s="814" t="s">
        <v>401</v>
      </c>
      <c r="I123" s="812" t="s">
        <v>382</v>
      </c>
      <c r="J123" s="816" t="s">
        <v>200</v>
      </c>
      <c r="K123" s="812" t="s">
        <v>114</v>
      </c>
      <c r="L123" s="810" t="s">
        <v>402</v>
      </c>
      <c r="M123" s="812" t="s">
        <v>333</v>
      </c>
      <c r="N123" s="812" t="s">
        <v>204</v>
      </c>
      <c r="O123" s="810" t="s">
        <v>75</v>
      </c>
      <c r="P123" s="812" t="s">
        <v>278</v>
      </c>
      <c r="Q123" s="810" t="s">
        <v>116</v>
      </c>
      <c r="R123" s="812" t="s">
        <v>331</v>
      </c>
      <c r="S123" s="812" t="s">
        <v>73</v>
      </c>
      <c r="T123" s="810" t="s">
        <v>112</v>
      </c>
      <c r="U123" s="812" t="s">
        <v>72</v>
      </c>
      <c r="V123" s="812" t="s">
        <v>425</v>
      </c>
      <c r="W123" s="812" t="s">
        <v>399</v>
      </c>
      <c r="X123" s="812" t="s">
        <v>400</v>
      </c>
      <c r="Y123" s="812" t="s">
        <v>19</v>
      </c>
      <c r="Z123" s="812" t="s">
        <v>239</v>
      </c>
      <c r="AA123" s="812" t="s">
        <v>83</v>
      </c>
      <c r="AB123" s="812" t="s">
        <v>76</v>
      </c>
    </row>
    <row r="124" spans="2:28" ht="16" thickBot="1" x14ac:dyDescent="0.25">
      <c r="B124" s="813"/>
      <c r="C124" s="813"/>
      <c r="D124" s="813"/>
      <c r="E124" s="813"/>
      <c r="F124" s="813"/>
      <c r="G124" s="813"/>
      <c r="H124" s="815"/>
      <c r="I124" s="813"/>
      <c r="J124" s="817"/>
      <c r="K124" s="813"/>
      <c r="L124" s="811"/>
      <c r="M124" s="813"/>
      <c r="N124" s="813"/>
      <c r="O124" s="811"/>
      <c r="P124" s="813"/>
      <c r="Q124" s="811"/>
      <c r="R124" s="813"/>
      <c r="S124" s="813"/>
      <c r="T124" s="811"/>
      <c r="U124" s="813"/>
      <c r="V124" s="813"/>
      <c r="W124" s="813"/>
      <c r="X124" s="813"/>
      <c r="Y124" s="813"/>
      <c r="Z124" s="813"/>
      <c r="AA124" s="813"/>
      <c r="AB124" s="813"/>
    </row>
    <row r="125" spans="2:28" ht="16" thickBot="1" x14ac:dyDescent="0.25">
      <c r="B125" s="332">
        <v>45698</v>
      </c>
      <c r="C125" s="334" t="s">
        <v>240</v>
      </c>
      <c r="D125" s="807" t="s">
        <v>63</v>
      </c>
      <c r="E125" s="335">
        <f t="shared" ref="E125:E138" si="36">SUM(F125:X125)</f>
        <v>33207.4</v>
      </c>
      <c r="F125" s="362">
        <v>7200</v>
      </c>
      <c r="G125" s="362"/>
      <c r="H125" s="361">
        <v>3887</v>
      </c>
      <c r="I125" s="362">
        <v>2400</v>
      </c>
      <c r="J125" s="361"/>
      <c r="K125" s="362">
        <v>2732.4</v>
      </c>
      <c r="L125" s="361">
        <v>3661.6</v>
      </c>
      <c r="M125" s="362">
        <v>4200</v>
      </c>
      <c r="N125" s="354">
        <v>9126.4</v>
      </c>
      <c r="O125" s="361"/>
      <c r="P125" s="362"/>
      <c r="Q125" s="361"/>
      <c r="R125" s="362"/>
      <c r="S125" s="354"/>
      <c r="T125" s="361"/>
      <c r="U125" s="362"/>
      <c r="V125" s="362"/>
      <c r="W125" s="362"/>
      <c r="X125" s="362"/>
      <c r="Y125" s="349" t="s">
        <v>407</v>
      </c>
      <c r="Z125" s="334" t="s">
        <v>240</v>
      </c>
      <c r="AA125" s="807" t="s">
        <v>63</v>
      </c>
      <c r="AB125" s="333">
        <f>B125</f>
        <v>45698</v>
      </c>
    </row>
    <row r="126" spans="2:28" ht="16" thickBot="1" x14ac:dyDescent="0.25">
      <c r="B126" s="346"/>
      <c r="C126" s="347" t="s">
        <v>89</v>
      </c>
      <c r="D126" s="809"/>
      <c r="E126" s="347">
        <f t="shared" si="36"/>
        <v>5352.5</v>
      </c>
      <c r="F126" s="356">
        <v>1500</v>
      </c>
      <c r="G126" s="356"/>
      <c r="H126" s="351"/>
      <c r="I126" s="356"/>
      <c r="J126" s="351"/>
      <c r="K126" s="356">
        <f>570.4+577.3</f>
        <v>1147.6999999999998</v>
      </c>
      <c r="L126" s="351"/>
      <c r="M126" s="355"/>
      <c r="N126" s="355">
        <v>2704.8</v>
      </c>
      <c r="O126" s="364"/>
      <c r="P126" s="356"/>
      <c r="Q126" s="351"/>
      <c r="R126" s="355"/>
      <c r="S126" s="365"/>
      <c r="T126" s="364"/>
      <c r="U126" s="365"/>
      <c r="V126" s="365"/>
      <c r="W126" s="365"/>
      <c r="X126" s="356"/>
      <c r="Y126" s="366">
        <f t="shared" ref="Y126:Y138" si="37">SUM(F126:X126)</f>
        <v>5352.5</v>
      </c>
      <c r="Z126" s="347" t="s">
        <v>89</v>
      </c>
      <c r="AA126" s="809"/>
      <c r="AB126" s="347"/>
    </row>
    <row r="127" spans="2:28" ht="16" thickBot="1" x14ac:dyDescent="0.25">
      <c r="B127" s="368">
        <v>45699</v>
      </c>
      <c r="C127" s="333" t="s">
        <v>240</v>
      </c>
      <c r="D127" s="807" t="s">
        <v>64</v>
      </c>
      <c r="E127" s="132">
        <f t="shared" si="36"/>
        <v>33136.1</v>
      </c>
      <c r="F127" s="354"/>
      <c r="G127" s="354"/>
      <c r="H127" s="369"/>
      <c r="I127" s="354"/>
      <c r="J127" s="369"/>
      <c r="K127" s="354"/>
      <c r="L127" s="369"/>
      <c r="M127" s="354"/>
      <c r="N127" s="354"/>
      <c r="O127" s="369"/>
      <c r="P127" s="354"/>
      <c r="Q127" s="369">
        <v>8730.7999999999993</v>
      </c>
      <c r="R127" s="354">
        <v>6196.2</v>
      </c>
      <c r="S127" s="354">
        <v>6421.6</v>
      </c>
      <c r="T127" s="369">
        <v>6421.6</v>
      </c>
      <c r="U127" s="354">
        <v>5365.9</v>
      </c>
      <c r="V127" s="354"/>
      <c r="W127" s="354"/>
      <c r="X127" s="354"/>
      <c r="Y127" s="349">
        <f t="shared" si="37"/>
        <v>33136.1</v>
      </c>
      <c r="Z127" s="333" t="s">
        <v>240</v>
      </c>
      <c r="AA127" s="807" t="s">
        <v>64</v>
      </c>
      <c r="AB127" s="333">
        <f>B127</f>
        <v>45699</v>
      </c>
    </row>
    <row r="128" spans="2:28" ht="16" thickBot="1" x14ac:dyDescent="0.25">
      <c r="B128" s="336"/>
      <c r="C128" s="131" t="s">
        <v>89</v>
      </c>
      <c r="D128" s="808"/>
      <c r="E128" s="131">
        <f t="shared" si="36"/>
        <v>0</v>
      </c>
      <c r="F128" s="370"/>
      <c r="G128" s="370"/>
      <c r="H128" s="371"/>
      <c r="I128" s="370"/>
      <c r="J128" s="371"/>
      <c r="K128" s="370"/>
      <c r="L128" s="371"/>
      <c r="M128" s="370"/>
      <c r="N128" s="370"/>
      <c r="O128" s="371"/>
      <c r="P128" s="370"/>
      <c r="Q128" s="371"/>
      <c r="R128" s="370"/>
      <c r="S128" s="370"/>
      <c r="T128" s="371"/>
      <c r="U128" s="370"/>
      <c r="V128" s="370"/>
      <c r="W128" s="370"/>
      <c r="X128" s="370"/>
      <c r="Y128" s="343">
        <f t="shared" si="37"/>
        <v>0</v>
      </c>
      <c r="Z128" s="131" t="s">
        <v>89</v>
      </c>
      <c r="AA128" s="808"/>
      <c r="AB128" s="131"/>
    </row>
    <row r="129" spans="2:28" ht="16" thickBot="1" x14ac:dyDescent="0.25">
      <c r="B129" s="332">
        <v>45700</v>
      </c>
      <c r="C129" s="334" t="s">
        <v>240</v>
      </c>
      <c r="D129" s="809" t="s">
        <v>65</v>
      </c>
      <c r="E129" s="335">
        <f t="shared" si="36"/>
        <v>28480.400000000001</v>
      </c>
      <c r="F129" s="367">
        <v>6000</v>
      </c>
      <c r="G129" s="367">
        <v>1200</v>
      </c>
      <c r="H129" s="350">
        <v>3210.8</v>
      </c>
      <c r="I129" s="367"/>
      <c r="J129" s="350">
        <v>3000</v>
      </c>
      <c r="K129" s="367">
        <v>2732.4</v>
      </c>
      <c r="L129" s="350">
        <v>3210.8</v>
      </c>
      <c r="M129" s="367"/>
      <c r="N129" s="367">
        <v>9126.4</v>
      </c>
      <c r="O129" s="350"/>
      <c r="P129" s="367"/>
      <c r="Q129" s="350"/>
      <c r="R129" s="367"/>
      <c r="S129" s="367"/>
      <c r="T129" s="350"/>
      <c r="U129" s="367"/>
      <c r="V129" s="367"/>
      <c r="W129" s="367"/>
      <c r="X129" s="367"/>
      <c r="Y129" s="338">
        <f t="shared" si="37"/>
        <v>28480.400000000001</v>
      </c>
      <c r="Z129" s="334" t="s">
        <v>240</v>
      </c>
      <c r="AA129" s="809" t="s">
        <v>65</v>
      </c>
      <c r="AB129" s="334">
        <f>B129</f>
        <v>45700</v>
      </c>
    </row>
    <row r="130" spans="2:28" ht="16" thickBot="1" x14ac:dyDescent="0.25">
      <c r="B130" s="346"/>
      <c r="C130" s="347" t="s">
        <v>89</v>
      </c>
      <c r="D130" s="809"/>
      <c r="E130" s="347">
        <f t="shared" si="36"/>
        <v>4807.5</v>
      </c>
      <c r="F130" s="356">
        <v>1300</v>
      </c>
      <c r="G130" s="356"/>
      <c r="H130" s="351"/>
      <c r="I130" s="356"/>
      <c r="J130" s="351"/>
      <c r="K130" s="356">
        <v>915.4</v>
      </c>
      <c r="L130" s="351"/>
      <c r="M130" s="356"/>
      <c r="N130" s="356">
        <v>2592.1</v>
      </c>
      <c r="O130" s="351"/>
      <c r="P130" s="356"/>
      <c r="Q130" s="351"/>
      <c r="R130" s="356"/>
      <c r="S130" s="356"/>
      <c r="T130" s="351"/>
      <c r="U130" s="356"/>
      <c r="V130" s="356"/>
      <c r="W130" s="356"/>
      <c r="X130" s="356"/>
      <c r="Y130" s="366">
        <f t="shared" si="37"/>
        <v>4807.5</v>
      </c>
      <c r="Z130" s="347" t="s">
        <v>89</v>
      </c>
      <c r="AA130" s="809"/>
      <c r="AB130" s="347"/>
    </row>
    <row r="131" spans="2:28" ht="16" thickBot="1" x14ac:dyDescent="0.25">
      <c r="B131" s="562">
        <v>45701</v>
      </c>
      <c r="C131" s="563" t="s">
        <v>240</v>
      </c>
      <c r="D131" s="807" t="s">
        <v>66</v>
      </c>
      <c r="E131" s="564">
        <f t="shared" si="36"/>
        <v>2760</v>
      </c>
      <c r="F131" s="372"/>
      <c r="G131" s="372"/>
      <c r="H131" s="373"/>
      <c r="I131" s="372"/>
      <c r="J131" s="373"/>
      <c r="K131" s="372"/>
      <c r="L131" s="373"/>
      <c r="M131" s="372"/>
      <c r="N131" s="372"/>
      <c r="O131" s="373"/>
      <c r="P131" s="372"/>
      <c r="Q131" s="373"/>
      <c r="R131" s="372"/>
      <c r="S131" s="372"/>
      <c r="T131" s="373"/>
      <c r="U131" s="372"/>
      <c r="V131" s="372"/>
      <c r="W131" s="372">
        <v>2760</v>
      </c>
      <c r="X131" s="372"/>
      <c r="Y131" s="565">
        <f t="shared" si="37"/>
        <v>2760</v>
      </c>
      <c r="Z131" s="563" t="s">
        <v>240</v>
      </c>
      <c r="AA131" s="807" t="s">
        <v>66</v>
      </c>
      <c r="AB131" s="563">
        <f>B131</f>
        <v>45701</v>
      </c>
    </row>
    <row r="132" spans="2:28" ht="16" thickBot="1" x14ac:dyDescent="0.25">
      <c r="B132" s="336"/>
      <c r="C132" s="131" t="s">
        <v>89</v>
      </c>
      <c r="D132" s="808"/>
      <c r="E132" s="131">
        <f t="shared" si="36"/>
        <v>345</v>
      </c>
      <c r="F132" s="370"/>
      <c r="G132" s="370"/>
      <c r="H132" s="371"/>
      <c r="I132" s="370"/>
      <c r="J132" s="371"/>
      <c r="K132" s="370"/>
      <c r="L132" s="371"/>
      <c r="M132" s="370"/>
      <c r="N132" s="370"/>
      <c r="O132" s="371"/>
      <c r="P132" s="370"/>
      <c r="Q132" s="371"/>
      <c r="R132" s="370"/>
      <c r="S132" s="370"/>
      <c r="T132" s="371"/>
      <c r="U132" s="370"/>
      <c r="V132" s="370"/>
      <c r="W132" s="370">
        <v>345</v>
      </c>
      <c r="X132" s="370"/>
      <c r="Y132" s="343">
        <f t="shared" si="37"/>
        <v>345</v>
      </c>
      <c r="Z132" s="131" t="s">
        <v>89</v>
      </c>
      <c r="AA132" s="808"/>
      <c r="AB132" s="131"/>
    </row>
    <row r="133" spans="2:28" ht="16" thickBot="1" x14ac:dyDescent="0.25">
      <c r="B133" s="566">
        <v>45702</v>
      </c>
      <c r="C133" s="567" t="s">
        <v>240</v>
      </c>
      <c r="D133" s="809" t="s">
        <v>67</v>
      </c>
      <c r="E133" s="568">
        <f t="shared" si="36"/>
        <v>28683.599999999999</v>
      </c>
      <c r="F133" s="367">
        <v>7400</v>
      </c>
      <c r="G133" s="367">
        <v>1200</v>
      </c>
      <c r="H133" s="350">
        <v>4112.3999999999996</v>
      </c>
      <c r="I133" s="367"/>
      <c r="J133" s="350"/>
      <c r="K133" s="367">
        <v>2732.4</v>
      </c>
      <c r="L133" s="350">
        <v>3661.6</v>
      </c>
      <c r="M133" s="367"/>
      <c r="N133" s="367">
        <v>9577.2000000000007</v>
      </c>
      <c r="O133" s="350"/>
      <c r="P133" s="367"/>
      <c r="Q133" s="350"/>
      <c r="R133" s="367"/>
      <c r="S133" s="367"/>
      <c r="T133" s="350"/>
      <c r="U133" s="367"/>
      <c r="V133" s="367"/>
      <c r="W133" s="367"/>
      <c r="X133" s="367"/>
      <c r="Y133" s="569">
        <f t="shared" si="37"/>
        <v>28683.599999999999</v>
      </c>
      <c r="Z133" s="567" t="s">
        <v>240</v>
      </c>
      <c r="AA133" s="809" t="s">
        <v>67</v>
      </c>
      <c r="AB133" s="567">
        <f>B133</f>
        <v>45702</v>
      </c>
    </row>
    <row r="134" spans="2:28" ht="16" thickBot="1" x14ac:dyDescent="0.25">
      <c r="B134" s="346"/>
      <c r="C134" s="347" t="s">
        <v>89</v>
      </c>
      <c r="D134" s="809"/>
      <c r="E134" s="347">
        <f t="shared" si="36"/>
        <v>4538.2</v>
      </c>
      <c r="F134" s="355">
        <v>1700</v>
      </c>
      <c r="G134" s="355"/>
      <c r="H134" s="351"/>
      <c r="I134" s="355"/>
      <c r="J134" s="351"/>
      <c r="K134" s="355"/>
      <c r="L134" s="351"/>
      <c r="M134" s="356"/>
      <c r="N134" s="356">
        <v>2838.2</v>
      </c>
      <c r="O134" s="351"/>
      <c r="P134" s="356"/>
      <c r="Q134" s="351"/>
      <c r="R134" s="356"/>
      <c r="S134" s="356"/>
      <c r="T134" s="351"/>
      <c r="U134" s="356"/>
      <c r="V134" s="356"/>
      <c r="W134" s="356"/>
      <c r="X134" s="356"/>
      <c r="Y134" s="366">
        <f t="shared" si="37"/>
        <v>4538.2</v>
      </c>
      <c r="Z134" s="347" t="s">
        <v>89</v>
      </c>
      <c r="AA134" s="809"/>
      <c r="AB134" s="347"/>
    </row>
    <row r="135" spans="2:28" ht="16" thickBot="1" x14ac:dyDescent="0.25">
      <c r="B135" s="368">
        <v>45703</v>
      </c>
      <c r="C135" s="333" t="s">
        <v>240</v>
      </c>
      <c r="D135" s="807" t="s">
        <v>68</v>
      </c>
      <c r="E135" s="132">
        <f t="shared" si="36"/>
        <v>12637.2</v>
      </c>
      <c r="F135" s="372"/>
      <c r="G135" s="372"/>
      <c r="H135" s="373"/>
      <c r="I135" s="372">
        <v>1680</v>
      </c>
      <c r="J135" s="373"/>
      <c r="K135" s="372"/>
      <c r="L135" s="373"/>
      <c r="M135" s="372"/>
      <c r="N135" s="372">
        <v>10957.2</v>
      </c>
      <c r="O135" s="373"/>
      <c r="P135" s="372"/>
      <c r="Q135" s="373"/>
      <c r="R135" s="372"/>
      <c r="S135" s="372"/>
      <c r="T135" s="373"/>
      <c r="U135" s="372"/>
      <c r="V135" s="372"/>
      <c r="W135" s="372"/>
      <c r="X135" s="372"/>
      <c r="Y135" s="349">
        <f t="shared" si="37"/>
        <v>12637.2</v>
      </c>
      <c r="Z135" s="333" t="s">
        <v>240</v>
      </c>
      <c r="AA135" s="807" t="s">
        <v>68</v>
      </c>
      <c r="AB135" s="333">
        <f>B135</f>
        <v>45703</v>
      </c>
    </row>
    <row r="136" spans="2:28" ht="16" thickBot="1" x14ac:dyDescent="0.25">
      <c r="B136" s="336"/>
      <c r="C136" s="131" t="s">
        <v>89</v>
      </c>
      <c r="D136" s="808"/>
      <c r="E136" s="131">
        <f t="shared" si="36"/>
        <v>2261.3000000000002</v>
      </c>
      <c r="F136" s="370"/>
      <c r="G136" s="370"/>
      <c r="H136" s="371"/>
      <c r="I136" s="370">
        <v>120</v>
      </c>
      <c r="J136" s="371"/>
      <c r="K136" s="370"/>
      <c r="L136" s="371"/>
      <c r="M136" s="370"/>
      <c r="N136" s="370">
        <v>2141.3000000000002</v>
      </c>
      <c r="O136" s="371"/>
      <c r="P136" s="370"/>
      <c r="Q136" s="371"/>
      <c r="R136" s="370"/>
      <c r="S136" s="370"/>
      <c r="T136" s="371"/>
      <c r="U136" s="370"/>
      <c r="V136" s="370"/>
      <c r="W136" s="370"/>
      <c r="X136" s="370"/>
      <c r="Y136" s="343">
        <f t="shared" si="37"/>
        <v>2261.3000000000002</v>
      </c>
      <c r="Z136" s="131" t="s">
        <v>89</v>
      </c>
      <c r="AA136" s="808"/>
      <c r="AB136" s="131"/>
    </row>
    <row r="137" spans="2:28" ht="16" thickBot="1" x14ac:dyDescent="0.25">
      <c r="B137" s="566">
        <v>45704</v>
      </c>
      <c r="C137" s="567" t="s">
        <v>240</v>
      </c>
      <c r="D137" s="809" t="s">
        <v>69</v>
      </c>
      <c r="E137" s="568">
        <f t="shared" si="36"/>
        <v>0</v>
      </c>
      <c r="F137" s="367"/>
      <c r="G137" s="367"/>
      <c r="H137" s="350"/>
      <c r="I137" s="367"/>
      <c r="J137" s="350"/>
      <c r="K137" s="367"/>
      <c r="L137" s="350"/>
      <c r="M137" s="367"/>
      <c r="N137" s="367"/>
      <c r="O137" s="350"/>
      <c r="P137" s="367"/>
      <c r="Q137" s="350"/>
      <c r="R137" s="367"/>
      <c r="S137" s="367"/>
      <c r="T137" s="350"/>
      <c r="U137" s="367"/>
      <c r="V137" s="367"/>
      <c r="W137" s="367"/>
      <c r="X137" s="367"/>
      <c r="Y137" s="569">
        <f t="shared" si="37"/>
        <v>0</v>
      </c>
      <c r="Z137" s="567" t="s">
        <v>240</v>
      </c>
      <c r="AA137" s="809" t="s">
        <v>69</v>
      </c>
      <c r="AB137" s="567">
        <f>B137</f>
        <v>45704</v>
      </c>
    </row>
    <row r="138" spans="2:28" ht="16" thickBot="1" x14ac:dyDescent="0.25">
      <c r="B138" s="346"/>
      <c r="C138" s="347" t="s">
        <v>89</v>
      </c>
      <c r="D138" s="808"/>
      <c r="E138" s="347">
        <f t="shared" si="36"/>
        <v>0</v>
      </c>
      <c r="F138" s="356"/>
      <c r="G138" s="356"/>
      <c r="H138" s="351"/>
      <c r="I138" s="356"/>
      <c r="J138" s="351"/>
      <c r="K138" s="356"/>
      <c r="L138" s="351"/>
      <c r="M138" s="356"/>
      <c r="N138" s="356"/>
      <c r="O138" s="351"/>
      <c r="P138" s="356"/>
      <c r="Q138" s="351"/>
      <c r="R138" s="356"/>
      <c r="S138" s="356"/>
      <c r="T138" s="351"/>
      <c r="U138" s="356"/>
      <c r="V138" s="356"/>
      <c r="W138" s="356"/>
      <c r="X138" s="356"/>
      <c r="Y138" s="363">
        <f t="shared" si="37"/>
        <v>0</v>
      </c>
      <c r="Z138" s="347" t="s">
        <v>89</v>
      </c>
      <c r="AA138" s="808"/>
      <c r="AB138" s="347"/>
    </row>
    <row r="139" spans="2:28" ht="17" thickBot="1" x14ac:dyDescent="0.25">
      <c r="B139" s="348" t="s">
        <v>119</v>
      </c>
      <c r="C139" s="349"/>
      <c r="D139" s="344"/>
      <c r="E139" s="133">
        <f>SUM(E131,E129,E127,E125,E133,E135,E137)</f>
        <v>138904.70000000001</v>
      </c>
      <c r="F139" s="349">
        <f t="shared" ref="F139:Y139" si="38">SUM(F125,F127,F129,F131,F133,F135,F137)</f>
        <v>20600</v>
      </c>
      <c r="G139" s="349">
        <f t="shared" si="38"/>
        <v>2400</v>
      </c>
      <c r="H139" s="352">
        <f t="shared" si="38"/>
        <v>11210.2</v>
      </c>
      <c r="I139" s="349">
        <f t="shared" si="38"/>
        <v>4080</v>
      </c>
      <c r="J139" s="352">
        <f t="shared" si="38"/>
        <v>3000</v>
      </c>
      <c r="K139" s="349">
        <f t="shared" si="38"/>
        <v>8197.2000000000007</v>
      </c>
      <c r="L139" s="352">
        <f t="shared" si="38"/>
        <v>10534</v>
      </c>
      <c r="M139" s="349">
        <f t="shared" si="38"/>
        <v>4200</v>
      </c>
      <c r="N139" s="349">
        <f t="shared" si="38"/>
        <v>38787.199999999997</v>
      </c>
      <c r="O139" s="352">
        <f t="shared" si="38"/>
        <v>0</v>
      </c>
      <c r="P139" s="349">
        <f t="shared" si="38"/>
        <v>0</v>
      </c>
      <c r="Q139" s="352">
        <f t="shared" si="38"/>
        <v>8730.7999999999993</v>
      </c>
      <c r="R139" s="349">
        <f t="shared" si="38"/>
        <v>6196.2</v>
      </c>
      <c r="S139" s="349">
        <f t="shared" si="38"/>
        <v>6421.6</v>
      </c>
      <c r="T139" s="352">
        <f t="shared" si="38"/>
        <v>6421.6</v>
      </c>
      <c r="U139" s="349">
        <f t="shared" si="38"/>
        <v>5365.9</v>
      </c>
      <c r="V139" s="349">
        <f t="shared" si="38"/>
        <v>0</v>
      </c>
      <c r="W139" s="349">
        <f t="shared" si="38"/>
        <v>2760</v>
      </c>
      <c r="X139" s="349">
        <f t="shared" si="38"/>
        <v>0</v>
      </c>
      <c r="Y139" s="358">
        <f t="shared" si="38"/>
        <v>105697.3</v>
      </c>
      <c r="Z139" s="349"/>
      <c r="AA139" s="345"/>
      <c r="AB139" s="349" t="s">
        <v>119</v>
      </c>
    </row>
    <row r="140" spans="2:28" ht="17" thickBot="1" x14ac:dyDescent="0.25">
      <c r="B140" s="342" t="s">
        <v>120</v>
      </c>
      <c r="C140" s="343"/>
      <c r="D140" s="344"/>
      <c r="E140" s="134">
        <f>SUM(E126,E128,E130,E132,E134,E136,E138)</f>
        <v>17304.5</v>
      </c>
      <c r="F140" s="343">
        <f t="shared" ref="F140:Y140" si="39">(F126+F128+F130+F132+F134+F136+F138)</f>
        <v>4500</v>
      </c>
      <c r="G140" s="343">
        <f t="shared" si="39"/>
        <v>0</v>
      </c>
      <c r="H140" s="353">
        <f t="shared" si="39"/>
        <v>0</v>
      </c>
      <c r="I140" s="343">
        <f t="shared" si="39"/>
        <v>120</v>
      </c>
      <c r="J140" s="353">
        <f t="shared" si="39"/>
        <v>0</v>
      </c>
      <c r="K140" s="343">
        <f t="shared" si="39"/>
        <v>2063.1</v>
      </c>
      <c r="L140" s="353">
        <f t="shared" si="39"/>
        <v>0</v>
      </c>
      <c r="M140" s="343">
        <f t="shared" si="39"/>
        <v>0</v>
      </c>
      <c r="N140" s="343">
        <f t="shared" si="39"/>
        <v>10276.4</v>
      </c>
      <c r="O140" s="353">
        <f t="shared" si="39"/>
        <v>0</v>
      </c>
      <c r="P140" s="343">
        <f t="shared" si="39"/>
        <v>0</v>
      </c>
      <c r="Q140" s="353">
        <f t="shared" si="39"/>
        <v>0</v>
      </c>
      <c r="R140" s="343">
        <f t="shared" si="39"/>
        <v>0</v>
      </c>
      <c r="S140" s="343">
        <f t="shared" si="39"/>
        <v>0</v>
      </c>
      <c r="T140" s="353">
        <f t="shared" si="39"/>
        <v>0</v>
      </c>
      <c r="U140" s="343">
        <f t="shared" si="39"/>
        <v>0</v>
      </c>
      <c r="V140" s="343">
        <f t="shared" si="39"/>
        <v>0</v>
      </c>
      <c r="W140" s="343">
        <f t="shared" si="39"/>
        <v>345</v>
      </c>
      <c r="X140" s="343">
        <f t="shared" si="39"/>
        <v>0</v>
      </c>
      <c r="Y140" s="359">
        <f t="shared" si="39"/>
        <v>17304.5</v>
      </c>
      <c r="Z140" s="343"/>
      <c r="AA140" s="345"/>
      <c r="AB140" s="343" t="s">
        <v>120</v>
      </c>
    </row>
    <row r="141" spans="2:28" ht="17" thickBot="1" x14ac:dyDescent="0.25">
      <c r="B141" s="337" t="s">
        <v>121</v>
      </c>
      <c r="C141" s="338"/>
      <c r="D141" s="339"/>
      <c r="E141" s="340">
        <f>E139-E140</f>
        <v>121600.20000000001</v>
      </c>
      <c r="F141" s="338">
        <f t="shared" ref="F141:M141" si="40">F139-F140</f>
        <v>16100</v>
      </c>
      <c r="G141" s="338">
        <f t="shared" si="40"/>
        <v>2400</v>
      </c>
      <c r="H141" s="357">
        <f t="shared" si="40"/>
        <v>11210.2</v>
      </c>
      <c r="I141" s="338">
        <f t="shared" si="40"/>
        <v>3960</v>
      </c>
      <c r="J141" s="357">
        <f t="shared" si="40"/>
        <v>3000</v>
      </c>
      <c r="K141" s="338">
        <f t="shared" si="40"/>
        <v>6134.1</v>
      </c>
      <c r="L141" s="357">
        <f t="shared" si="40"/>
        <v>10534</v>
      </c>
      <c r="M141" s="338">
        <f t="shared" si="40"/>
        <v>4200</v>
      </c>
      <c r="N141" s="338">
        <f>N139-N140</f>
        <v>28510.799999999996</v>
      </c>
      <c r="O141" s="357">
        <f t="shared" ref="O141:W141" si="41">O139-O140</f>
        <v>0</v>
      </c>
      <c r="P141" s="338">
        <f t="shared" si="41"/>
        <v>0</v>
      </c>
      <c r="Q141" s="357">
        <f t="shared" si="41"/>
        <v>8730.7999999999993</v>
      </c>
      <c r="R141" s="338">
        <f t="shared" si="41"/>
        <v>6196.2</v>
      </c>
      <c r="S141" s="338">
        <f t="shared" si="41"/>
        <v>6421.6</v>
      </c>
      <c r="T141" s="357">
        <f t="shared" si="41"/>
        <v>6421.6</v>
      </c>
      <c r="U141" s="338">
        <f t="shared" si="41"/>
        <v>5365.9</v>
      </c>
      <c r="V141" s="338">
        <f t="shared" si="41"/>
        <v>0</v>
      </c>
      <c r="W141" s="338">
        <f t="shared" si="41"/>
        <v>2415</v>
      </c>
      <c r="X141" s="338">
        <f>X139-X140</f>
        <v>0</v>
      </c>
      <c r="Y141" s="360">
        <f>Y139-Y140</f>
        <v>88392.8</v>
      </c>
      <c r="Z141" s="338"/>
      <c r="AA141" s="341"/>
      <c r="AB141" s="338" t="s">
        <v>121</v>
      </c>
    </row>
    <row r="142" spans="2:28" ht="16" thickBot="1" x14ac:dyDescent="0.25"/>
    <row r="143" spans="2:28" x14ac:dyDescent="0.2">
      <c r="B143" s="812" t="s">
        <v>76</v>
      </c>
      <c r="C143" s="812" t="s">
        <v>239</v>
      </c>
      <c r="D143" s="812" t="s">
        <v>83</v>
      </c>
      <c r="E143" s="812" t="s">
        <v>19</v>
      </c>
      <c r="F143" s="812" t="s">
        <v>118</v>
      </c>
      <c r="G143" s="812" t="s">
        <v>70</v>
      </c>
      <c r="H143" s="814" t="s">
        <v>401</v>
      </c>
      <c r="I143" s="812" t="s">
        <v>382</v>
      </c>
      <c r="J143" s="816" t="s">
        <v>200</v>
      </c>
      <c r="K143" s="812" t="s">
        <v>114</v>
      </c>
      <c r="L143" s="810" t="s">
        <v>402</v>
      </c>
      <c r="M143" s="812" t="s">
        <v>333</v>
      </c>
      <c r="N143" s="812" t="s">
        <v>204</v>
      </c>
      <c r="O143" s="810" t="s">
        <v>75</v>
      </c>
      <c r="P143" s="812" t="s">
        <v>278</v>
      </c>
      <c r="Q143" s="810" t="s">
        <v>116</v>
      </c>
      <c r="R143" s="812" t="s">
        <v>331</v>
      </c>
      <c r="S143" s="812" t="s">
        <v>73</v>
      </c>
      <c r="T143" s="810" t="s">
        <v>112</v>
      </c>
      <c r="U143" s="812" t="s">
        <v>72</v>
      </c>
      <c r="V143" s="812" t="s">
        <v>425</v>
      </c>
      <c r="W143" s="812" t="s">
        <v>399</v>
      </c>
      <c r="X143" s="812" t="s">
        <v>400</v>
      </c>
      <c r="Y143" s="812" t="s">
        <v>19</v>
      </c>
      <c r="Z143" s="812" t="s">
        <v>239</v>
      </c>
      <c r="AA143" s="812" t="s">
        <v>83</v>
      </c>
      <c r="AB143" s="812" t="s">
        <v>76</v>
      </c>
    </row>
    <row r="144" spans="2:28" ht="16" thickBot="1" x14ac:dyDescent="0.25">
      <c r="B144" s="813"/>
      <c r="C144" s="813"/>
      <c r="D144" s="813"/>
      <c r="E144" s="813"/>
      <c r="F144" s="813"/>
      <c r="G144" s="813"/>
      <c r="H144" s="815"/>
      <c r="I144" s="813"/>
      <c r="J144" s="817"/>
      <c r="K144" s="813"/>
      <c r="L144" s="811"/>
      <c r="M144" s="813"/>
      <c r="N144" s="813"/>
      <c r="O144" s="811"/>
      <c r="P144" s="813"/>
      <c r="Q144" s="811"/>
      <c r="R144" s="813"/>
      <c r="S144" s="813"/>
      <c r="T144" s="811"/>
      <c r="U144" s="813"/>
      <c r="V144" s="813"/>
      <c r="W144" s="813"/>
      <c r="X144" s="813"/>
      <c r="Y144" s="813"/>
      <c r="Z144" s="813"/>
      <c r="AA144" s="813"/>
      <c r="AB144" s="813"/>
    </row>
    <row r="145" spans="2:28" ht="16" thickBot="1" x14ac:dyDescent="0.25">
      <c r="B145" s="332">
        <v>45705</v>
      </c>
      <c r="C145" s="334" t="s">
        <v>240</v>
      </c>
      <c r="D145" s="807" t="s">
        <v>63</v>
      </c>
      <c r="E145" s="335">
        <f t="shared" ref="E145:E158" si="42">SUM(F145:X145)</f>
        <v>31482</v>
      </c>
      <c r="F145" s="362">
        <v>5700</v>
      </c>
      <c r="G145" s="362"/>
      <c r="H145" s="361">
        <v>3661.6</v>
      </c>
      <c r="I145" s="362">
        <v>2400</v>
      </c>
      <c r="J145" s="361"/>
      <c r="K145" s="362">
        <v>2732.4</v>
      </c>
      <c r="L145" s="361">
        <v>3661.6</v>
      </c>
      <c r="M145" s="362">
        <v>4200</v>
      </c>
      <c r="N145" s="354">
        <v>9126.4</v>
      </c>
      <c r="O145" s="361"/>
      <c r="P145" s="362"/>
      <c r="Q145" s="361"/>
      <c r="R145" s="362"/>
      <c r="S145" s="354"/>
      <c r="T145" s="361"/>
      <c r="U145" s="362"/>
      <c r="V145" s="362"/>
      <c r="W145" s="362"/>
      <c r="X145" s="362"/>
      <c r="Y145" s="349" t="s">
        <v>407</v>
      </c>
      <c r="Z145" s="334" t="s">
        <v>240</v>
      </c>
      <c r="AA145" s="807" t="s">
        <v>63</v>
      </c>
      <c r="AB145" s="333">
        <f>B145</f>
        <v>45705</v>
      </c>
    </row>
    <row r="146" spans="2:28" ht="16" thickBot="1" x14ac:dyDescent="0.25">
      <c r="B146" s="346"/>
      <c r="C146" s="347" t="s">
        <v>89</v>
      </c>
      <c r="D146" s="809"/>
      <c r="E146" s="347">
        <f t="shared" si="42"/>
        <v>2889.7</v>
      </c>
      <c r="F146" s="356"/>
      <c r="G146" s="356"/>
      <c r="H146" s="351"/>
      <c r="I146" s="356"/>
      <c r="J146" s="351"/>
      <c r="K146" s="356">
        <v>338.1</v>
      </c>
      <c r="L146" s="351"/>
      <c r="M146" s="355">
        <f>8*120</f>
        <v>960</v>
      </c>
      <c r="N146" s="355">
        <v>1591.6</v>
      </c>
      <c r="O146" s="364"/>
      <c r="P146" s="356"/>
      <c r="Q146" s="351"/>
      <c r="R146" s="355"/>
      <c r="S146" s="365"/>
      <c r="T146" s="364"/>
      <c r="U146" s="365"/>
      <c r="V146" s="365"/>
      <c r="W146" s="365"/>
      <c r="X146" s="356"/>
      <c r="Y146" s="366">
        <f t="shared" ref="Y146:Y158" si="43">SUM(F146:X146)</f>
        <v>2889.7</v>
      </c>
      <c r="Z146" s="347" t="s">
        <v>89</v>
      </c>
      <c r="AA146" s="809"/>
      <c r="AB146" s="347"/>
    </row>
    <row r="147" spans="2:28" ht="16" thickBot="1" x14ac:dyDescent="0.25">
      <c r="B147" s="368">
        <v>45706</v>
      </c>
      <c r="C147" s="333" t="s">
        <v>240</v>
      </c>
      <c r="D147" s="807" t="s">
        <v>64</v>
      </c>
      <c r="E147" s="132">
        <f t="shared" si="42"/>
        <v>0</v>
      </c>
      <c r="F147" s="354"/>
      <c r="G147" s="354"/>
      <c r="H147" s="369"/>
      <c r="I147" s="354"/>
      <c r="J147" s="369"/>
      <c r="K147" s="354"/>
      <c r="L147" s="369"/>
      <c r="M147" s="354"/>
      <c r="N147" s="354"/>
      <c r="O147" s="369"/>
      <c r="P147" s="354"/>
      <c r="Q147" s="369"/>
      <c r="R147" s="354"/>
      <c r="S147" s="354"/>
      <c r="T147" s="369"/>
      <c r="U147" s="354"/>
      <c r="V147" s="354"/>
      <c r="W147" s="354"/>
      <c r="X147" s="354"/>
      <c r="Y147" s="349">
        <f t="shared" si="43"/>
        <v>0</v>
      </c>
      <c r="Z147" s="333" t="s">
        <v>240</v>
      </c>
      <c r="AA147" s="807" t="s">
        <v>64</v>
      </c>
      <c r="AB147" s="333">
        <f>B147</f>
        <v>45706</v>
      </c>
    </row>
    <row r="148" spans="2:28" ht="16" thickBot="1" x14ac:dyDescent="0.25">
      <c r="B148" s="336"/>
      <c r="C148" s="131" t="s">
        <v>89</v>
      </c>
      <c r="D148" s="808"/>
      <c r="E148" s="131">
        <f t="shared" si="42"/>
        <v>0</v>
      </c>
      <c r="F148" s="370"/>
      <c r="G148" s="370"/>
      <c r="H148" s="371"/>
      <c r="I148" s="370"/>
      <c r="J148" s="371"/>
      <c r="K148" s="370"/>
      <c r="L148" s="371"/>
      <c r="M148" s="370"/>
      <c r="N148" s="370"/>
      <c r="O148" s="371"/>
      <c r="P148" s="370"/>
      <c r="Q148" s="371"/>
      <c r="R148" s="370"/>
      <c r="S148" s="370"/>
      <c r="T148" s="371"/>
      <c r="U148" s="370"/>
      <c r="V148" s="370"/>
      <c r="W148" s="370"/>
      <c r="X148" s="370"/>
      <c r="Y148" s="343">
        <f t="shared" si="43"/>
        <v>0</v>
      </c>
      <c r="Z148" s="131" t="s">
        <v>89</v>
      </c>
      <c r="AA148" s="808"/>
      <c r="AB148" s="131"/>
    </row>
    <row r="149" spans="2:28" ht="16" thickBot="1" x14ac:dyDescent="0.25">
      <c r="B149" s="332">
        <v>45707</v>
      </c>
      <c r="C149" s="334" t="s">
        <v>240</v>
      </c>
      <c r="D149" s="809" t="s">
        <v>65</v>
      </c>
      <c r="E149" s="335">
        <f t="shared" si="42"/>
        <v>26222</v>
      </c>
      <c r="F149" s="367">
        <v>3800</v>
      </c>
      <c r="G149" s="367">
        <v>1200</v>
      </c>
      <c r="H149" s="350">
        <v>3210.8</v>
      </c>
      <c r="I149" s="367"/>
      <c r="J149" s="350">
        <v>4800</v>
      </c>
      <c r="K149" s="367">
        <v>2732.4</v>
      </c>
      <c r="L149" s="350">
        <v>2281.6</v>
      </c>
      <c r="M149" s="367"/>
      <c r="N149" s="367">
        <v>8197.2000000000007</v>
      </c>
      <c r="O149" s="350"/>
      <c r="P149" s="367"/>
      <c r="Q149" s="350"/>
      <c r="R149" s="367"/>
      <c r="S149" s="367"/>
      <c r="T149" s="350"/>
      <c r="U149" s="367"/>
      <c r="V149" s="367"/>
      <c r="W149" s="367"/>
      <c r="X149" s="367"/>
      <c r="Y149" s="338">
        <f t="shared" si="43"/>
        <v>26222</v>
      </c>
      <c r="Z149" s="334" t="s">
        <v>240</v>
      </c>
      <c r="AA149" s="809" t="s">
        <v>65</v>
      </c>
      <c r="AB149" s="334">
        <f>B149</f>
        <v>45707</v>
      </c>
    </row>
    <row r="150" spans="2:28" ht="16" thickBot="1" x14ac:dyDescent="0.25">
      <c r="B150" s="346"/>
      <c r="C150" s="347" t="s">
        <v>89</v>
      </c>
      <c r="D150" s="809"/>
      <c r="E150" s="347">
        <f t="shared" si="42"/>
        <v>990</v>
      </c>
      <c r="F150" s="356">
        <v>300</v>
      </c>
      <c r="G150" s="356"/>
      <c r="H150" s="351"/>
      <c r="I150" s="356"/>
      <c r="J150" s="351"/>
      <c r="K150" s="356">
        <v>345</v>
      </c>
      <c r="L150" s="351"/>
      <c r="M150" s="356"/>
      <c r="N150" s="356">
        <v>345</v>
      </c>
      <c r="O150" s="351"/>
      <c r="P150" s="356"/>
      <c r="Q150" s="351"/>
      <c r="R150" s="356"/>
      <c r="S150" s="356"/>
      <c r="T150" s="351"/>
      <c r="U150" s="356"/>
      <c r="V150" s="356"/>
      <c r="W150" s="356"/>
      <c r="X150" s="356"/>
      <c r="Y150" s="366">
        <f t="shared" si="43"/>
        <v>990</v>
      </c>
      <c r="Z150" s="347" t="s">
        <v>89</v>
      </c>
      <c r="AA150" s="809"/>
      <c r="AB150" s="347"/>
    </row>
    <row r="151" spans="2:28" ht="16" thickBot="1" x14ac:dyDescent="0.25">
      <c r="B151" s="562">
        <v>45708</v>
      </c>
      <c r="C151" s="563" t="s">
        <v>240</v>
      </c>
      <c r="D151" s="807" t="s">
        <v>66</v>
      </c>
      <c r="E151" s="564">
        <f t="shared" si="42"/>
        <v>32333.399999999998</v>
      </c>
      <c r="F151" s="372"/>
      <c r="G151" s="372"/>
      <c r="H151" s="373">
        <v>4126.2</v>
      </c>
      <c r="I151" s="372"/>
      <c r="J151" s="373"/>
      <c r="K151" s="372"/>
      <c r="L151" s="373"/>
      <c r="M151" s="372"/>
      <c r="N151" s="372"/>
      <c r="O151" s="373"/>
      <c r="P151" s="372"/>
      <c r="Q151" s="373">
        <v>7364.6</v>
      </c>
      <c r="R151" s="372">
        <v>5041.6000000000004</v>
      </c>
      <c r="S151" s="372">
        <v>5041.6000000000004</v>
      </c>
      <c r="T151" s="373">
        <v>5041.6000000000004</v>
      </c>
      <c r="U151" s="372">
        <v>5717.8</v>
      </c>
      <c r="V151" s="372"/>
      <c r="W151" s="372"/>
      <c r="X151" s="372"/>
      <c r="Y151" s="565">
        <f t="shared" si="43"/>
        <v>32333.399999999998</v>
      </c>
      <c r="Z151" s="563" t="s">
        <v>240</v>
      </c>
      <c r="AA151" s="807" t="s">
        <v>66</v>
      </c>
      <c r="AB151" s="563">
        <f>B151</f>
        <v>45708</v>
      </c>
    </row>
    <row r="152" spans="2:28" ht="16" thickBot="1" x14ac:dyDescent="0.25">
      <c r="B152" s="336"/>
      <c r="C152" s="131" t="s">
        <v>89</v>
      </c>
      <c r="D152" s="808"/>
      <c r="E152" s="131">
        <f t="shared" si="42"/>
        <v>0</v>
      </c>
      <c r="F152" s="370"/>
      <c r="G152" s="370"/>
      <c r="H152" s="371"/>
      <c r="I152" s="370"/>
      <c r="J152" s="371"/>
      <c r="K152" s="370"/>
      <c r="L152" s="371"/>
      <c r="M152" s="370"/>
      <c r="N152" s="370"/>
      <c r="O152" s="371"/>
      <c r="P152" s="370"/>
      <c r="Q152" s="371"/>
      <c r="R152" s="370"/>
      <c r="S152" s="370"/>
      <c r="T152" s="371"/>
      <c r="U152" s="370"/>
      <c r="V152" s="370"/>
      <c r="W152" s="370"/>
      <c r="X152" s="370"/>
      <c r="Y152" s="343">
        <f t="shared" si="43"/>
        <v>0</v>
      </c>
      <c r="Z152" s="131" t="s">
        <v>89</v>
      </c>
      <c r="AA152" s="808"/>
      <c r="AB152" s="131"/>
    </row>
    <row r="153" spans="2:28" ht="16" thickBot="1" x14ac:dyDescent="0.25">
      <c r="B153" s="566">
        <v>45709</v>
      </c>
      <c r="C153" s="567" t="s">
        <v>240</v>
      </c>
      <c r="D153" s="809" t="s">
        <v>67</v>
      </c>
      <c r="E153" s="568">
        <f t="shared" si="42"/>
        <v>26628</v>
      </c>
      <c r="F153" s="367">
        <v>6400</v>
      </c>
      <c r="G153" s="367"/>
      <c r="H153" s="350">
        <v>4140</v>
      </c>
      <c r="I153" s="367">
        <v>1920</v>
      </c>
      <c r="J153" s="350"/>
      <c r="K153" s="367">
        <v>2732.4</v>
      </c>
      <c r="L153" s="350">
        <v>2760</v>
      </c>
      <c r="M153" s="367"/>
      <c r="N153" s="367">
        <v>8675.6</v>
      </c>
      <c r="O153" s="350"/>
      <c r="P153" s="367"/>
      <c r="Q153" s="350"/>
      <c r="R153" s="367"/>
      <c r="S153" s="367"/>
      <c r="T153" s="350"/>
      <c r="U153" s="367"/>
      <c r="V153" s="367"/>
      <c r="W153" s="367"/>
      <c r="X153" s="367"/>
      <c r="Y153" s="569">
        <f t="shared" si="43"/>
        <v>26628</v>
      </c>
      <c r="Z153" s="567" t="s">
        <v>240</v>
      </c>
      <c r="AA153" s="809" t="s">
        <v>67</v>
      </c>
      <c r="AB153" s="567">
        <f>B153</f>
        <v>45709</v>
      </c>
    </row>
    <row r="154" spans="2:28" ht="16" thickBot="1" x14ac:dyDescent="0.25">
      <c r="B154" s="346"/>
      <c r="C154" s="347" t="s">
        <v>89</v>
      </c>
      <c r="D154" s="809"/>
      <c r="E154" s="347">
        <f t="shared" si="42"/>
        <v>2556.1999999999998</v>
      </c>
      <c r="F154" s="355">
        <v>500</v>
      </c>
      <c r="G154" s="355"/>
      <c r="H154" s="351"/>
      <c r="I154" s="355"/>
      <c r="J154" s="351"/>
      <c r="K154" s="355"/>
      <c r="L154" s="351">
        <v>1041.9000000000001</v>
      </c>
      <c r="M154" s="356"/>
      <c r="N154" s="356">
        <v>1014.3</v>
      </c>
      <c r="O154" s="351"/>
      <c r="P154" s="356"/>
      <c r="Q154" s="351"/>
      <c r="R154" s="356"/>
      <c r="S154" s="356"/>
      <c r="T154" s="351"/>
      <c r="U154" s="356"/>
      <c r="V154" s="356"/>
      <c r="W154" s="356"/>
      <c r="X154" s="356"/>
      <c r="Y154" s="366">
        <f t="shared" si="43"/>
        <v>2556.1999999999998</v>
      </c>
      <c r="Z154" s="347" t="s">
        <v>89</v>
      </c>
      <c r="AA154" s="809"/>
      <c r="AB154" s="347"/>
    </row>
    <row r="155" spans="2:28" ht="16" thickBot="1" x14ac:dyDescent="0.25">
      <c r="B155" s="368">
        <v>45710</v>
      </c>
      <c r="C155" s="333" t="s">
        <v>240</v>
      </c>
      <c r="D155" s="807" t="s">
        <v>68</v>
      </c>
      <c r="E155" s="132">
        <f t="shared" si="42"/>
        <v>0</v>
      </c>
      <c r="F155" s="372"/>
      <c r="G155" s="372"/>
      <c r="H155" s="373"/>
      <c r="I155" s="372"/>
      <c r="J155" s="373"/>
      <c r="K155" s="372"/>
      <c r="L155" s="373"/>
      <c r="M155" s="372"/>
      <c r="N155" s="372"/>
      <c r="O155" s="373"/>
      <c r="P155" s="372"/>
      <c r="Q155" s="373"/>
      <c r="R155" s="372"/>
      <c r="S155" s="372"/>
      <c r="T155" s="373"/>
      <c r="U155" s="372"/>
      <c r="V155" s="372"/>
      <c r="W155" s="372"/>
      <c r="X155" s="372"/>
      <c r="Y155" s="349">
        <f t="shared" si="43"/>
        <v>0</v>
      </c>
      <c r="Z155" s="333" t="s">
        <v>240</v>
      </c>
      <c r="AA155" s="807" t="s">
        <v>68</v>
      </c>
      <c r="AB155" s="333">
        <f>B155</f>
        <v>45710</v>
      </c>
    </row>
    <row r="156" spans="2:28" ht="16" thickBot="1" x14ac:dyDescent="0.25">
      <c r="B156" s="336"/>
      <c r="C156" s="131" t="s">
        <v>89</v>
      </c>
      <c r="D156" s="808"/>
      <c r="E156" s="131">
        <f t="shared" si="42"/>
        <v>0</v>
      </c>
      <c r="F156" s="370"/>
      <c r="G156" s="370"/>
      <c r="H156" s="371"/>
      <c r="I156" s="370"/>
      <c r="J156" s="371"/>
      <c r="K156" s="370"/>
      <c r="L156" s="371"/>
      <c r="M156" s="370"/>
      <c r="N156" s="370"/>
      <c r="O156" s="371"/>
      <c r="P156" s="370"/>
      <c r="Q156" s="371"/>
      <c r="R156" s="370"/>
      <c r="S156" s="370"/>
      <c r="T156" s="371"/>
      <c r="U156" s="370"/>
      <c r="V156" s="370"/>
      <c r="W156" s="370"/>
      <c r="X156" s="370"/>
      <c r="Y156" s="343">
        <f t="shared" si="43"/>
        <v>0</v>
      </c>
      <c r="Z156" s="131" t="s">
        <v>89</v>
      </c>
      <c r="AA156" s="808"/>
      <c r="AB156" s="131"/>
    </row>
    <row r="157" spans="2:28" ht="16" thickBot="1" x14ac:dyDescent="0.25">
      <c r="B157" s="566">
        <v>45711</v>
      </c>
      <c r="C157" s="567" t="s">
        <v>240</v>
      </c>
      <c r="D157" s="809" t="s">
        <v>69</v>
      </c>
      <c r="E157" s="568">
        <f t="shared" si="42"/>
        <v>0</v>
      </c>
      <c r="F157" s="367"/>
      <c r="G157" s="367"/>
      <c r="H157" s="350"/>
      <c r="I157" s="367"/>
      <c r="J157" s="350"/>
      <c r="K157" s="367"/>
      <c r="L157" s="350"/>
      <c r="M157" s="367"/>
      <c r="N157" s="367"/>
      <c r="O157" s="350"/>
      <c r="P157" s="367"/>
      <c r="Q157" s="350"/>
      <c r="R157" s="367"/>
      <c r="S157" s="367"/>
      <c r="T157" s="350"/>
      <c r="U157" s="367"/>
      <c r="V157" s="367"/>
      <c r="W157" s="367"/>
      <c r="X157" s="367"/>
      <c r="Y157" s="569">
        <f t="shared" si="43"/>
        <v>0</v>
      </c>
      <c r="Z157" s="567" t="s">
        <v>240</v>
      </c>
      <c r="AA157" s="809" t="s">
        <v>69</v>
      </c>
      <c r="AB157" s="567">
        <f>B157</f>
        <v>45711</v>
      </c>
    </row>
    <row r="158" spans="2:28" ht="16" thickBot="1" x14ac:dyDescent="0.25">
      <c r="B158" s="346"/>
      <c r="C158" s="347" t="s">
        <v>89</v>
      </c>
      <c r="D158" s="808"/>
      <c r="E158" s="347">
        <f t="shared" si="42"/>
        <v>0</v>
      </c>
      <c r="F158" s="356"/>
      <c r="G158" s="356"/>
      <c r="H158" s="351"/>
      <c r="I158" s="356"/>
      <c r="J158" s="351"/>
      <c r="K158" s="356"/>
      <c r="L158" s="351"/>
      <c r="M158" s="356"/>
      <c r="N158" s="356"/>
      <c r="O158" s="351"/>
      <c r="P158" s="356"/>
      <c r="Q158" s="351"/>
      <c r="R158" s="356"/>
      <c r="S158" s="356"/>
      <c r="T158" s="351"/>
      <c r="U158" s="356"/>
      <c r="V158" s="356"/>
      <c r="W158" s="356"/>
      <c r="X158" s="356"/>
      <c r="Y158" s="363">
        <f t="shared" si="43"/>
        <v>0</v>
      </c>
      <c r="Z158" s="347" t="s">
        <v>89</v>
      </c>
      <c r="AA158" s="808"/>
      <c r="AB158" s="347"/>
    </row>
    <row r="159" spans="2:28" ht="17" thickBot="1" x14ac:dyDescent="0.25">
      <c r="B159" s="348" t="s">
        <v>119</v>
      </c>
      <c r="C159" s="349"/>
      <c r="D159" s="344"/>
      <c r="E159" s="133">
        <f>SUM(E151,E149,E147,E145,E153,E155,E157)</f>
        <v>116665.4</v>
      </c>
      <c r="F159" s="349">
        <f t="shared" ref="F159:Y159" si="44">SUM(F145,F147,F149,F151,F153,F155,F157)</f>
        <v>15900</v>
      </c>
      <c r="G159" s="349">
        <f t="shared" si="44"/>
        <v>1200</v>
      </c>
      <c r="H159" s="352">
        <f t="shared" si="44"/>
        <v>15138.599999999999</v>
      </c>
      <c r="I159" s="349">
        <f t="shared" si="44"/>
        <v>4320</v>
      </c>
      <c r="J159" s="352">
        <f t="shared" si="44"/>
        <v>4800</v>
      </c>
      <c r="K159" s="349">
        <f t="shared" si="44"/>
        <v>8197.2000000000007</v>
      </c>
      <c r="L159" s="352">
        <f t="shared" si="44"/>
        <v>8703.2000000000007</v>
      </c>
      <c r="M159" s="349">
        <f t="shared" si="44"/>
        <v>4200</v>
      </c>
      <c r="N159" s="349">
        <f t="shared" si="44"/>
        <v>25999.199999999997</v>
      </c>
      <c r="O159" s="352">
        <f t="shared" si="44"/>
        <v>0</v>
      </c>
      <c r="P159" s="349">
        <f t="shared" si="44"/>
        <v>0</v>
      </c>
      <c r="Q159" s="352">
        <f t="shared" si="44"/>
        <v>7364.6</v>
      </c>
      <c r="R159" s="349">
        <f t="shared" si="44"/>
        <v>5041.6000000000004</v>
      </c>
      <c r="S159" s="349">
        <f t="shared" si="44"/>
        <v>5041.6000000000004</v>
      </c>
      <c r="T159" s="352">
        <f t="shared" si="44"/>
        <v>5041.6000000000004</v>
      </c>
      <c r="U159" s="349">
        <f t="shared" si="44"/>
        <v>5717.8</v>
      </c>
      <c r="V159" s="349">
        <f t="shared" si="44"/>
        <v>0</v>
      </c>
      <c r="W159" s="349">
        <f t="shared" si="44"/>
        <v>0</v>
      </c>
      <c r="X159" s="349">
        <f t="shared" si="44"/>
        <v>0</v>
      </c>
      <c r="Y159" s="358">
        <f t="shared" si="44"/>
        <v>85183.4</v>
      </c>
      <c r="Z159" s="349"/>
      <c r="AA159" s="345"/>
      <c r="AB159" s="349" t="s">
        <v>119</v>
      </c>
    </row>
    <row r="160" spans="2:28" ht="17" thickBot="1" x14ac:dyDescent="0.25">
      <c r="B160" s="342" t="s">
        <v>120</v>
      </c>
      <c r="C160" s="343"/>
      <c r="D160" s="344"/>
      <c r="E160" s="134">
        <f>SUM(E146,E148,E150,E152,E154,E156,E158)</f>
        <v>6435.9</v>
      </c>
      <c r="F160" s="343">
        <f t="shared" ref="F160:Y160" si="45">(F146+F148+F150+F152+F154+F156+F158)</f>
        <v>800</v>
      </c>
      <c r="G160" s="343">
        <f t="shared" si="45"/>
        <v>0</v>
      </c>
      <c r="H160" s="353">
        <f t="shared" si="45"/>
        <v>0</v>
      </c>
      <c r="I160" s="343">
        <f t="shared" si="45"/>
        <v>0</v>
      </c>
      <c r="J160" s="353">
        <f t="shared" si="45"/>
        <v>0</v>
      </c>
      <c r="K160" s="343">
        <f t="shared" si="45"/>
        <v>683.1</v>
      </c>
      <c r="L160" s="353">
        <f t="shared" si="45"/>
        <v>1041.9000000000001</v>
      </c>
      <c r="M160" s="343">
        <f t="shared" si="45"/>
        <v>960</v>
      </c>
      <c r="N160" s="343">
        <f t="shared" si="45"/>
        <v>2950.8999999999996</v>
      </c>
      <c r="O160" s="353">
        <f t="shared" si="45"/>
        <v>0</v>
      </c>
      <c r="P160" s="343">
        <f t="shared" si="45"/>
        <v>0</v>
      </c>
      <c r="Q160" s="353">
        <f t="shared" si="45"/>
        <v>0</v>
      </c>
      <c r="R160" s="343">
        <f t="shared" si="45"/>
        <v>0</v>
      </c>
      <c r="S160" s="343">
        <f t="shared" si="45"/>
        <v>0</v>
      </c>
      <c r="T160" s="353">
        <f t="shared" si="45"/>
        <v>0</v>
      </c>
      <c r="U160" s="343">
        <f t="shared" si="45"/>
        <v>0</v>
      </c>
      <c r="V160" s="343">
        <f t="shared" si="45"/>
        <v>0</v>
      </c>
      <c r="W160" s="343">
        <f t="shared" si="45"/>
        <v>0</v>
      </c>
      <c r="X160" s="343">
        <f t="shared" si="45"/>
        <v>0</v>
      </c>
      <c r="Y160" s="359">
        <f t="shared" si="45"/>
        <v>6435.9</v>
      </c>
      <c r="Z160" s="343"/>
      <c r="AA160" s="345"/>
      <c r="AB160" s="343" t="s">
        <v>120</v>
      </c>
    </row>
    <row r="161" spans="2:28" ht="17" thickBot="1" x14ac:dyDescent="0.25">
      <c r="B161" s="337" t="s">
        <v>121</v>
      </c>
      <c r="C161" s="338"/>
      <c r="D161" s="339"/>
      <c r="E161" s="340">
        <f>E159-E160</f>
        <v>110229.5</v>
      </c>
      <c r="F161" s="338">
        <f t="shared" ref="F161:M161" si="46">F159-F160</f>
        <v>15100</v>
      </c>
      <c r="G161" s="338">
        <f t="shared" si="46"/>
        <v>1200</v>
      </c>
      <c r="H161" s="357">
        <f t="shared" si="46"/>
        <v>15138.599999999999</v>
      </c>
      <c r="I161" s="338">
        <f t="shared" si="46"/>
        <v>4320</v>
      </c>
      <c r="J161" s="357">
        <f t="shared" si="46"/>
        <v>4800</v>
      </c>
      <c r="K161" s="338">
        <f t="shared" si="46"/>
        <v>7514.1</v>
      </c>
      <c r="L161" s="357">
        <f t="shared" si="46"/>
        <v>7661.3000000000011</v>
      </c>
      <c r="M161" s="338">
        <f t="shared" si="46"/>
        <v>3240</v>
      </c>
      <c r="N161" s="338">
        <f>N159-N160</f>
        <v>23048.299999999996</v>
      </c>
      <c r="O161" s="357">
        <f t="shared" ref="O161:W161" si="47">O159-O160</f>
        <v>0</v>
      </c>
      <c r="P161" s="338">
        <f t="shared" si="47"/>
        <v>0</v>
      </c>
      <c r="Q161" s="357">
        <f t="shared" si="47"/>
        <v>7364.6</v>
      </c>
      <c r="R161" s="338">
        <f t="shared" si="47"/>
        <v>5041.6000000000004</v>
      </c>
      <c r="S161" s="338">
        <f t="shared" si="47"/>
        <v>5041.6000000000004</v>
      </c>
      <c r="T161" s="357">
        <f t="shared" si="47"/>
        <v>5041.6000000000004</v>
      </c>
      <c r="U161" s="338">
        <f t="shared" si="47"/>
        <v>5717.8</v>
      </c>
      <c r="V161" s="338">
        <f t="shared" si="47"/>
        <v>0</v>
      </c>
      <c r="W161" s="338">
        <f t="shared" si="47"/>
        <v>0</v>
      </c>
      <c r="X161" s="338">
        <f>X159-X160</f>
        <v>0</v>
      </c>
      <c r="Y161" s="360">
        <f>Y159-Y160</f>
        <v>78747.5</v>
      </c>
      <c r="Z161" s="338"/>
      <c r="AA161" s="341"/>
      <c r="AB161" s="338" t="s">
        <v>121</v>
      </c>
    </row>
    <row r="162" spans="2:28" ht="16" thickBot="1" x14ac:dyDescent="0.25"/>
    <row r="163" spans="2:28" x14ac:dyDescent="0.2">
      <c r="B163" s="812" t="s">
        <v>76</v>
      </c>
      <c r="C163" s="812" t="s">
        <v>239</v>
      </c>
      <c r="D163" s="812" t="s">
        <v>83</v>
      </c>
      <c r="E163" s="812" t="s">
        <v>19</v>
      </c>
      <c r="F163" s="812" t="s">
        <v>118</v>
      </c>
      <c r="G163" s="812" t="s">
        <v>70</v>
      </c>
      <c r="H163" s="814" t="s">
        <v>401</v>
      </c>
      <c r="I163" s="812" t="s">
        <v>382</v>
      </c>
      <c r="J163" s="816" t="s">
        <v>200</v>
      </c>
      <c r="K163" s="812" t="s">
        <v>114</v>
      </c>
      <c r="L163" s="810" t="s">
        <v>402</v>
      </c>
      <c r="M163" s="812" t="s">
        <v>333</v>
      </c>
      <c r="N163" s="812" t="s">
        <v>204</v>
      </c>
      <c r="O163" s="810" t="s">
        <v>75</v>
      </c>
      <c r="P163" s="812" t="s">
        <v>278</v>
      </c>
      <c r="Q163" s="810" t="s">
        <v>116</v>
      </c>
      <c r="R163" s="812" t="s">
        <v>331</v>
      </c>
      <c r="S163" s="812" t="s">
        <v>73</v>
      </c>
      <c r="T163" s="810" t="s">
        <v>112</v>
      </c>
      <c r="U163" s="812" t="s">
        <v>72</v>
      </c>
      <c r="V163" s="812" t="s">
        <v>425</v>
      </c>
      <c r="W163" s="812" t="s">
        <v>399</v>
      </c>
      <c r="X163" s="812" t="s">
        <v>400</v>
      </c>
      <c r="Y163" s="812" t="s">
        <v>19</v>
      </c>
      <c r="Z163" s="812" t="s">
        <v>239</v>
      </c>
      <c r="AA163" s="812" t="s">
        <v>83</v>
      </c>
      <c r="AB163" s="812" t="s">
        <v>76</v>
      </c>
    </row>
    <row r="164" spans="2:28" ht="16" thickBot="1" x14ac:dyDescent="0.25">
      <c r="B164" s="813"/>
      <c r="C164" s="813"/>
      <c r="D164" s="813"/>
      <c r="E164" s="813"/>
      <c r="F164" s="813"/>
      <c r="G164" s="813"/>
      <c r="H164" s="815"/>
      <c r="I164" s="813"/>
      <c r="J164" s="817"/>
      <c r="K164" s="813"/>
      <c r="L164" s="811"/>
      <c r="M164" s="813"/>
      <c r="N164" s="813"/>
      <c r="O164" s="811"/>
      <c r="P164" s="813"/>
      <c r="Q164" s="811"/>
      <c r="R164" s="813"/>
      <c r="S164" s="813"/>
      <c r="T164" s="811"/>
      <c r="U164" s="813"/>
      <c r="V164" s="813"/>
      <c r="W164" s="813"/>
      <c r="X164" s="813"/>
      <c r="Y164" s="813"/>
      <c r="Z164" s="813"/>
      <c r="AA164" s="813"/>
      <c r="AB164" s="813"/>
    </row>
    <row r="165" spans="2:28" ht="16" thickBot="1" x14ac:dyDescent="0.25">
      <c r="B165" s="332">
        <v>45712</v>
      </c>
      <c r="C165" s="334" t="s">
        <v>240</v>
      </c>
      <c r="D165" s="807" t="s">
        <v>63</v>
      </c>
      <c r="E165" s="335">
        <f t="shared" ref="E165:E178" si="48">SUM(F165:X165)</f>
        <v>28151.199999999997</v>
      </c>
      <c r="F165" s="362">
        <v>6600</v>
      </c>
      <c r="G165" s="362"/>
      <c r="H165" s="361">
        <v>3210.8</v>
      </c>
      <c r="I165" s="362"/>
      <c r="J165" s="361"/>
      <c r="K165" s="362">
        <v>2732.4</v>
      </c>
      <c r="L165" s="361">
        <v>2281.6</v>
      </c>
      <c r="M165" s="362">
        <v>4200</v>
      </c>
      <c r="N165" s="354">
        <v>9126.4</v>
      </c>
      <c r="O165" s="361"/>
      <c r="P165" s="362"/>
      <c r="Q165" s="361"/>
      <c r="R165" s="362"/>
      <c r="S165" s="354"/>
      <c r="T165" s="361"/>
      <c r="U165" s="362"/>
      <c r="V165" s="362"/>
      <c r="W165" s="362"/>
      <c r="X165" s="362"/>
      <c r="Y165" s="349" t="s">
        <v>407</v>
      </c>
      <c r="Z165" s="334" t="s">
        <v>240</v>
      </c>
      <c r="AA165" s="807" t="s">
        <v>63</v>
      </c>
      <c r="AB165" s="333">
        <f>B165</f>
        <v>45712</v>
      </c>
    </row>
    <row r="166" spans="2:28" ht="16" thickBot="1" x14ac:dyDescent="0.25">
      <c r="B166" s="346"/>
      <c r="C166" s="347" t="s">
        <v>89</v>
      </c>
      <c r="D166" s="809"/>
      <c r="E166" s="347">
        <f t="shared" si="48"/>
        <v>1680</v>
      </c>
      <c r="F166" s="356"/>
      <c r="G166" s="356"/>
      <c r="H166" s="351"/>
      <c r="I166" s="356"/>
      <c r="J166" s="351"/>
      <c r="K166" s="356"/>
      <c r="L166" s="351"/>
      <c r="M166" s="355">
        <f>14*120</f>
        <v>1680</v>
      </c>
      <c r="N166" s="355"/>
      <c r="O166" s="364"/>
      <c r="P166" s="356"/>
      <c r="Q166" s="351"/>
      <c r="R166" s="355"/>
      <c r="S166" s="365"/>
      <c r="T166" s="364"/>
      <c r="U166" s="365"/>
      <c r="V166" s="365"/>
      <c r="W166" s="365"/>
      <c r="X166" s="356"/>
      <c r="Y166" s="366">
        <f t="shared" ref="Y166:Y178" si="49">SUM(F166:X166)</f>
        <v>1680</v>
      </c>
      <c r="Z166" s="347" t="s">
        <v>89</v>
      </c>
      <c r="AA166" s="809"/>
      <c r="AB166" s="347"/>
    </row>
    <row r="167" spans="2:28" ht="16" thickBot="1" x14ac:dyDescent="0.25">
      <c r="B167" s="368">
        <v>45713</v>
      </c>
      <c r="C167" s="333" t="s">
        <v>240</v>
      </c>
      <c r="D167" s="807" t="s">
        <v>64</v>
      </c>
      <c r="E167" s="132">
        <f t="shared" si="48"/>
        <v>0</v>
      </c>
      <c r="F167" s="354"/>
      <c r="G167" s="354"/>
      <c r="H167" s="369"/>
      <c r="I167" s="354"/>
      <c r="J167" s="369"/>
      <c r="K167" s="354"/>
      <c r="L167" s="369"/>
      <c r="M167" s="354"/>
      <c r="N167" s="354"/>
      <c r="O167" s="369"/>
      <c r="P167" s="354"/>
      <c r="Q167" s="369"/>
      <c r="R167" s="354"/>
      <c r="S167" s="354"/>
      <c r="T167" s="369"/>
      <c r="U167" s="354"/>
      <c r="V167" s="354"/>
      <c r="W167" s="354"/>
      <c r="X167" s="354"/>
      <c r="Y167" s="349">
        <f t="shared" si="49"/>
        <v>0</v>
      </c>
      <c r="Z167" s="333" t="s">
        <v>240</v>
      </c>
      <c r="AA167" s="807" t="s">
        <v>64</v>
      </c>
      <c r="AB167" s="333">
        <f>B167</f>
        <v>45713</v>
      </c>
    </row>
    <row r="168" spans="2:28" ht="16" thickBot="1" x14ac:dyDescent="0.25">
      <c r="B168" s="336"/>
      <c r="C168" s="131" t="s">
        <v>89</v>
      </c>
      <c r="D168" s="808"/>
      <c r="E168" s="131">
        <f t="shared" si="48"/>
        <v>0</v>
      </c>
      <c r="F168" s="370"/>
      <c r="G168" s="370"/>
      <c r="H168" s="371"/>
      <c r="I168" s="370"/>
      <c r="J168" s="371"/>
      <c r="K168" s="370"/>
      <c r="L168" s="371"/>
      <c r="M168" s="370"/>
      <c r="N168" s="370"/>
      <c r="O168" s="371"/>
      <c r="P168" s="370"/>
      <c r="Q168" s="371"/>
      <c r="R168" s="370"/>
      <c r="S168" s="370"/>
      <c r="T168" s="371"/>
      <c r="U168" s="370"/>
      <c r="V168" s="370"/>
      <c r="W168" s="370"/>
      <c r="X168" s="370"/>
      <c r="Y168" s="343">
        <f t="shared" si="49"/>
        <v>0</v>
      </c>
      <c r="Z168" s="131" t="s">
        <v>89</v>
      </c>
      <c r="AA168" s="808"/>
      <c r="AB168" s="131"/>
    </row>
    <row r="169" spans="2:28" ht="16" thickBot="1" x14ac:dyDescent="0.25">
      <c r="B169" s="332">
        <v>45714</v>
      </c>
      <c r="C169" s="334" t="s">
        <v>240</v>
      </c>
      <c r="D169" s="809" t="s">
        <v>65</v>
      </c>
      <c r="E169" s="335">
        <f t="shared" si="48"/>
        <v>29312.799999999999</v>
      </c>
      <c r="F169" s="367">
        <v>6800</v>
      </c>
      <c r="G169" s="367">
        <v>1200</v>
      </c>
      <c r="H169" s="350">
        <v>4112.3999999999996</v>
      </c>
      <c r="I169" s="367">
        <v>1680</v>
      </c>
      <c r="J169" s="350"/>
      <c r="K169" s="367">
        <v>2732.4</v>
      </c>
      <c r="L169" s="350">
        <v>3210.8</v>
      </c>
      <c r="M169" s="367"/>
      <c r="N169" s="367">
        <v>9577.2000000000007</v>
      </c>
      <c r="O169" s="350"/>
      <c r="P169" s="367"/>
      <c r="Q169" s="350"/>
      <c r="R169" s="367"/>
      <c r="S169" s="367"/>
      <c r="T169" s="350"/>
      <c r="U169" s="367"/>
      <c r="V169" s="367"/>
      <c r="W169" s="367"/>
      <c r="X169" s="367"/>
      <c r="Y169" s="338">
        <f t="shared" si="49"/>
        <v>29312.799999999999</v>
      </c>
      <c r="Z169" s="334" t="s">
        <v>240</v>
      </c>
      <c r="AA169" s="809" t="s">
        <v>65</v>
      </c>
      <c r="AB169" s="334">
        <f>B169</f>
        <v>45714</v>
      </c>
    </row>
    <row r="170" spans="2:28" ht="16" thickBot="1" x14ac:dyDescent="0.25">
      <c r="B170" s="346"/>
      <c r="C170" s="347" t="s">
        <v>89</v>
      </c>
      <c r="D170" s="809"/>
      <c r="E170" s="347">
        <f t="shared" si="48"/>
        <v>5263.6</v>
      </c>
      <c r="F170" s="356">
        <v>700</v>
      </c>
      <c r="G170" s="356"/>
      <c r="H170" s="351"/>
      <c r="I170" s="356">
        <v>120</v>
      </c>
      <c r="J170" s="351"/>
      <c r="K170" s="356"/>
      <c r="L170" s="351">
        <f>915.4+112.7+908.5</f>
        <v>1936.6</v>
      </c>
      <c r="M170" s="356"/>
      <c r="N170" s="356">
        <v>2507</v>
      </c>
      <c r="O170" s="351"/>
      <c r="P170" s="356"/>
      <c r="Q170" s="351"/>
      <c r="R170" s="356"/>
      <c r="S170" s="356"/>
      <c r="T170" s="351"/>
      <c r="U170" s="356"/>
      <c r="V170" s="356"/>
      <c r="W170" s="356"/>
      <c r="X170" s="356"/>
      <c r="Y170" s="366">
        <f t="shared" si="49"/>
        <v>5263.6</v>
      </c>
      <c r="Z170" s="347" t="s">
        <v>89</v>
      </c>
      <c r="AA170" s="809"/>
      <c r="AB170" s="347"/>
    </row>
    <row r="171" spans="2:28" ht="16" thickBot="1" x14ac:dyDescent="0.25">
      <c r="B171" s="562">
        <v>45715</v>
      </c>
      <c r="C171" s="563" t="s">
        <v>240</v>
      </c>
      <c r="D171" s="807" t="s">
        <v>66</v>
      </c>
      <c r="E171" s="564">
        <f t="shared" si="48"/>
        <v>38527.199999999997</v>
      </c>
      <c r="F171" s="372"/>
      <c r="G171" s="372"/>
      <c r="H171" s="373"/>
      <c r="I171" s="372"/>
      <c r="J171" s="373"/>
      <c r="K171" s="372"/>
      <c r="L171" s="373"/>
      <c r="M171" s="372"/>
      <c r="N171" s="372"/>
      <c r="O171" s="373"/>
      <c r="P171" s="372"/>
      <c r="Q171" s="373">
        <v>8730.7999999999993</v>
      </c>
      <c r="R171" s="372">
        <v>5970.8</v>
      </c>
      <c r="S171" s="372">
        <v>5970.8</v>
      </c>
      <c r="T171" s="373">
        <v>5970.8</v>
      </c>
      <c r="U171" s="372">
        <v>5704</v>
      </c>
      <c r="V171" s="372"/>
      <c r="W171" s="372">
        <v>2760</v>
      </c>
      <c r="X171" s="372">
        <v>3420</v>
      </c>
      <c r="Y171" s="565">
        <f t="shared" si="49"/>
        <v>38527.199999999997</v>
      </c>
      <c r="Z171" s="563" t="s">
        <v>240</v>
      </c>
      <c r="AA171" s="807" t="s">
        <v>66</v>
      </c>
      <c r="AB171" s="563">
        <f>B171</f>
        <v>45715</v>
      </c>
    </row>
    <row r="172" spans="2:28" ht="16" thickBot="1" x14ac:dyDescent="0.25">
      <c r="B172" s="336"/>
      <c r="C172" s="131" t="s">
        <v>89</v>
      </c>
      <c r="D172" s="808"/>
      <c r="E172" s="131">
        <f t="shared" si="48"/>
        <v>1478.9</v>
      </c>
      <c r="F172" s="370"/>
      <c r="G172" s="370"/>
      <c r="H172" s="371"/>
      <c r="I172" s="370"/>
      <c r="J172" s="371"/>
      <c r="K172" s="370"/>
      <c r="L172" s="371"/>
      <c r="M172" s="370"/>
      <c r="N172" s="370"/>
      <c r="O172" s="371"/>
      <c r="P172" s="370"/>
      <c r="Q172" s="371">
        <v>676.2</v>
      </c>
      <c r="R172" s="370">
        <v>802.7</v>
      </c>
      <c r="S172" s="370"/>
      <c r="T172" s="371"/>
      <c r="U172" s="370"/>
      <c r="V172" s="370"/>
      <c r="W172" s="370"/>
      <c r="X172" s="370"/>
      <c r="Y172" s="343">
        <f t="shared" si="49"/>
        <v>1478.9</v>
      </c>
      <c r="Z172" s="131" t="s">
        <v>89</v>
      </c>
      <c r="AA172" s="808"/>
      <c r="AB172" s="131"/>
    </row>
    <row r="173" spans="2:28" ht="16" thickBot="1" x14ac:dyDescent="0.25">
      <c r="B173" s="566">
        <v>45716</v>
      </c>
      <c r="C173" s="567" t="s">
        <v>240</v>
      </c>
      <c r="D173" s="809" t="s">
        <v>67</v>
      </c>
      <c r="E173" s="568">
        <f t="shared" si="48"/>
        <v>37496</v>
      </c>
      <c r="F173" s="367">
        <v>6700</v>
      </c>
      <c r="G173" s="367">
        <v>1200</v>
      </c>
      <c r="H173" s="350">
        <v>5943.2</v>
      </c>
      <c r="I173" s="367">
        <v>2400</v>
      </c>
      <c r="J173" s="350">
        <v>3000</v>
      </c>
      <c r="K173" s="367">
        <v>3183.2</v>
      </c>
      <c r="L173" s="350">
        <v>3661.6</v>
      </c>
      <c r="M173" s="367"/>
      <c r="N173" s="367">
        <v>11408</v>
      </c>
      <c r="O173" s="350"/>
      <c r="P173" s="367"/>
      <c r="Q173" s="350"/>
      <c r="R173" s="367"/>
      <c r="S173" s="367"/>
      <c r="T173" s="350"/>
      <c r="U173" s="367"/>
      <c r="V173" s="367"/>
      <c r="W173" s="367"/>
      <c r="X173" s="367"/>
      <c r="Y173" s="569">
        <f t="shared" si="49"/>
        <v>37496</v>
      </c>
      <c r="Z173" s="567" t="s">
        <v>240</v>
      </c>
      <c r="AA173" s="809" t="s">
        <v>67</v>
      </c>
      <c r="AB173" s="567">
        <f>B173</f>
        <v>45716</v>
      </c>
    </row>
    <row r="174" spans="2:28" ht="16" thickBot="1" x14ac:dyDescent="0.25">
      <c r="B174" s="346"/>
      <c r="C174" s="347" t="s">
        <v>89</v>
      </c>
      <c r="D174" s="809"/>
      <c r="E174" s="347">
        <f t="shared" si="48"/>
        <v>4412</v>
      </c>
      <c r="F174" s="355">
        <v>1560</v>
      </c>
      <c r="G174" s="355"/>
      <c r="H174" s="351"/>
      <c r="I174" s="355"/>
      <c r="J174" s="351"/>
      <c r="K174" s="355"/>
      <c r="L174" s="351"/>
      <c r="M174" s="356"/>
      <c r="N174" s="356">
        <v>2852</v>
      </c>
      <c r="O174" s="351"/>
      <c r="P174" s="356"/>
      <c r="Q174" s="351"/>
      <c r="R174" s="356"/>
      <c r="S174" s="356"/>
      <c r="T174" s="351"/>
      <c r="U174" s="356"/>
      <c r="V174" s="356"/>
      <c r="W174" s="356"/>
      <c r="X174" s="356"/>
      <c r="Y174" s="366">
        <f t="shared" si="49"/>
        <v>4412</v>
      </c>
      <c r="Z174" s="347" t="s">
        <v>89</v>
      </c>
      <c r="AA174" s="809"/>
      <c r="AB174" s="347"/>
    </row>
    <row r="175" spans="2:28" ht="16" thickBot="1" x14ac:dyDescent="0.25">
      <c r="B175" s="368">
        <v>45717</v>
      </c>
      <c r="C175" s="333" t="s">
        <v>240</v>
      </c>
      <c r="D175" s="807" t="s">
        <v>68</v>
      </c>
      <c r="E175" s="132">
        <f t="shared" si="48"/>
        <v>0</v>
      </c>
      <c r="F175" s="372"/>
      <c r="G175" s="372"/>
      <c r="H175" s="373"/>
      <c r="I175" s="372"/>
      <c r="J175" s="373"/>
      <c r="K175" s="372"/>
      <c r="L175" s="373"/>
      <c r="M175" s="372"/>
      <c r="N175" s="372"/>
      <c r="O175" s="373"/>
      <c r="P175" s="372"/>
      <c r="Q175" s="373"/>
      <c r="R175" s="372"/>
      <c r="S175" s="372"/>
      <c r="T175" s="373"/>
      <c r="U175" s="372"/>
      <c r="V175" s="372"/>
      <c r="W175" s="372"/>
      <c r="X175" s="372"/>
      <c r="Y175" s="349">
        <f t="shared" si="49"/>
        <v>0</v>
      </c>
      <c r="Z175" s="333" t="s">
        <v>240</v>
      </c>
      <c r="AA175" s="807" t="s">
        <v>68</v>
      </c>
      <c r="AB175" s="333">
        <f>B175</f>
        <v>45717</v>
      </c>
    </row>
    <row r="176" spans="2:28" ht="16" thickBot="1" x14ac:dyDescent="0.25">
      <c r="B176" s="336"/>
      <c r="C176" s="131" t="s">
        <v>89</v>
      </c>
      <c r="D176" s="808"/>
      <c r="E176" s="131">
        <f t="shared" si="48"/>
        <v>0</v>
      </c>
      <c r="F176" s="370"/>
      <c r="G176" s="370"/>
      <c r="H176" s="371"/>
      <c r="I176" s="370"/>
      <c r="J176" s="371"/>
      <c r="K176" s="370"/>
      <c r="L176" s="371"/>
      <c r="M176" s="370"/>
      <c r="N176" s="370"/>
      <c r="O176" s="371"/>
      <c r="P176" s="370"/>
      <c r="Q176" s="371"/>
      <c r="R176" s="370"/>
      <c r="S176" s="370"/>
      <c r="T176" s="371"/>
      <c r="U176" s="370"/>
      <c r="V176" s="370"/>
      <c r="W176" s="370"/>
      <c r="X176" s="370"/>
      <c r="Y176" s="343">
        <f t="shared" si="49"/>
        <v>0</v>
      </c>
      <c r="Z176" s="131" t="s">
        <v>89</v>
      </c>
      <c r="AA176" s="808"/>
      <c r="AB176" s="131"/>
    </row>
    <row r="177" spans="2:28" ht="16" thickBot="1" x14ac:dyDescent="0.25">
      <c r="B177" s="566">
        <v>45718</v>
      </c>
      <c r="C177" s="567" t="s">
        <v>240</v>
      </c>
      <c r="D177" s="809" t="s">
        <v>69</v>
      </c>
      <c r="E177" s="568">
        <f t="shared" si="48"/>
        <v>0</v>
      </c>
      <c r="F177" s="367"/>
      <c r="G177" s="367"/>
      <c r="H177" s="350"/>
      <c r="I177" s="367"/>
      <c r="J177" s="350"/>
      <c r="K177" s="367"/>
      <c r="L177" s="350"/>
      <c r="M177" s="367"/>
      <c r="N177" s="367"/>
      <c r="O177" s="350"/>
      <c r="P177" s="367"/>
      <c r="Q177" s="350"/>
      <c r="R177" s="367"/>
      <c r="S177" s="367"/>
      <c r="T177" s="350"/>
      <c r="U177" s="367"/>
      <c r="V177" s="367"/>
      <c r="W177" s="367"/>
      <c r="X177" s="367"/>
      <c r="Y177" s="569">
        <f t="shared" si="49"/>
        <v>0</v>
      </c>
      <c r="Z177" s="567" t="s">
        <v>240</v>
      </c>
      <c r="AA177" s="809" t="s">
        <v>69</v>
      </c>
      <c r="AB177" s="567">
        <f>B177</f>
        <v>45718</v>
      </c>
    </row>
    <row r="178" spans="2:28" ht="16" thickBot="1" x14ac:dyDescent="0.25">
      <c r="B178" s="346"/>
      <c r="C178" s="347" t="s">
        <v>89</v>
      </c>
      <c r="D178" s="808"/>
      <c r="E178" s="347">
        <f t="shared" si="48"/>
        <v>0</v>
      </c>
      <c r="F178" s="356"/>
      <c r="G178" s="356"/>
      <c r="H178" s="351"/>
      <c r="I178" s="356"/>
      <c r="J178" s="351"/>
      <c r="K178" s="356"/>
      <c r="L178" s="351"/>
      <c r="M178" s="356"/>
      <c r="N178" s="356"/>
      <c r="O178" s="351"/>
      <c r="P178" s="356"/>
      <c r="Q178" s="351"/>
      <c r="R178" s="356"/>
      <c r="S178" s="356"/>
      <c r="T178" s="351"/>
      <c r="U178" s="356"/>
      <c r="V178" s="356"/>
      <c r="W178" s="356"/>
      <c r="X178" s="356"/>
      <c r="Y178" s="363">
        <f t="shared" si="49"/>
        <v>0</v>
      </c>
      <c r="Z178" s="347" t="s">
        <v>89</v>
      </c>
      <c r="AA178" s="808"/>
      <c r="AB178" s="347"/>
    </row>
    <row r="179" spans="2:28" ht="17" thickBot="1" x14ac:dyDescent="0.25">
      <c r="B179" s="348" t="s">
        <v>119</v>
      </c>
      <c r="C179" s="349"/>
      <c r="D179" s="344"/>
      <c r="E179" s="133">
        <f>SUM(E171,E169,E167,E165,E173,E175,E177)</f>
        <v>133487.20000000001</v>
      </c>
      <c r="F179" s="349">
        <f t="shared" ref="F179:Y179" si="50">SUM(F165,F167,F169,F171,F173,F175,F177)</f>
        <v>20100</v>
      </c>
      <c r="G179" s="349">
        <f t="shared" si="50"/>
        <v>2400</v>
      </c>
      <c r="H179" s="352">
        <f t="shared" si="50"/>
        <v>13266.4</v>
      </c>
      <c r="I179" s="349">
        <f t="shared" si="50"/>
        <v>4080</v>
      </c>
      <c r="J179" s="352">
        <f t="shared" si="50"/>
        <v>3000</v>
      </c>
      <c r="K179" s="349">
        <f t="shared" si="50"/>
        <v>8648</v>
      </c>
      <c r="L179" s="352">
        <f t="shared" si="50"/>
        <v>9154</v>
      </c>
      <c r="M179" s="349">
        <f t="shared" si="50"/>
        <v>4200</v>
      </c>
      <c r="N179" s="349">
        <f t="shared" si="50"/>
        <v>30111.599999999999</v>
      </c>
      <c r="O179" s="352">
        <f t="shared" si="50"/>
        <v>0</v>
      </c>
      <c r="P179" s="349">
        <f t="shared" si="50"/>
        <v>0</v>
      </c>
      <c r="Q179" s="352">
        <f t="shared" si="50"/>
        <v>8730.7999999999993</v>
      </c>
      <c r="R179" s="349">
        <f t="shared" si="50"/>
        <v>5970.8</v>
      </c>
      <c r="S179" s="349">
        <f t="shared" si="50"/>
        <v>5970.8</v>
      </c>
      <c r="T179" s="352">
        <f t="shared" si="50"/>
        <v>5970.8</v>
      </c>
      <c r="U179" s="349">
        <f t="shared" si="50"/>
        <v>5704</v>
      </c>
      <c r="V179" s="349">
        <f t="shared" si="50"/>
        <v>0</v>
      </c>
      <c r="W179" s="349">
        <f t="shared" si="50"/>
        <v>2760</v>
      </c>
      <c r="X179" s="349">
        <f t="shared" si="50"/>
        <v>3420</v>
      </c>
      <c r="Y179" s="358">
        <f t="shared" si="50"/>
        <v>105336</v>
      </c>
      <c r="Z179" s="349"/>
      <c r="AA179" s="345"/>
      <c r="AB179" s="349" t="s">
        <v>119</v>
      </c>
    </row>
    <row r="180" spans="2:28" ht="17" thickBot="1" x14ac:dyDescent="0.25">
      <c r="B180" s="342" t="s">
        <v>120</v>
      </c>
      <c r="C180" s="343"/>
      <c r="D180" s="344"/>
      <c r="E180" s="134">
        <f>SUM(E166,E168,E170,E172,E174,E176,E178)</f>
        <v>12834.5</v>
      </c>
      <c r="F180" s="343">
        <f t="shared" ref="F180:Y180" si="51">(F166+F168+F170+F172+F174+F176+F178)</f>
        <v>2260</v>
      </c>
      <c r="G180" s="343">
        <f t="shared" si="51"/>
        <v>0</v>
      </c>
      <c r="H180" s="353">
        <f t="shared" si="51"/>
        <v>0</v>
      </c>
      <c r="I180" s="343">
        <f t="shared" si="51"/>
        <v>120</v>
      </c>
      <c r="J180" s="353">
        <f t="shared" si="51"/>
        <v>0</v>
      </c>
      <c r="K180" s="343">
        <f t="shared" si="51"/>
        <v>0</v>
      </c>
      <c r="L180" s="353">
        <f t="shared" si="51"/>
        <v>1936.6</v>
      </c>
      <c r="M180" s="343">
        <f t="shared" si="51"/>
        <v>1680</v>
      </c>
      <c r="N180" s="343">
        <f t="shared" si="51"/>
        <v>5359</v>
      </c>
      <c r="O180" s="353">
        <f t="shared" si="51"/>
        <v>0</v>
      </c>
      <c r="P180" s="343">
        <f t="shared" si="51"/>
        <v>0</v>
      </c>
      <c r="Q180" s="353">
        <f t="shared" si="51"/>
        <v>676.2</v>
      </c>
      <c r="R180" s="343">
        <f t="shared" si="51"/>
        <v>802.7</v>
      </c>
      <c r="S180" s="343">
        <f t="shared" si="51"/>
        <v>0</v>
      </c>
      <c r="T180" s="353">
        <f t="shared" si="51"/>
        <v>0</v>
      </c>
      <c r="U180" s="343">
        <f t="shared" si="51"/>
        <v>0</v>
      </c>
      <c r="V180" s="343">
        <f t="shared" si="51"/>
        <v>0</v>
      </c>
      <c r="W180" s="343">
        <f t="shared" si="51"/>
        <v>0</v>
      </c>
      <c r="X180" s="343">
        <f t="shared" si="51"/>
        <v>0</v>
      </c>
      <c r="Y180" s="359">
        <f t="shared" si="51"/>
        <v>12834.5</v>
      </c>
      <c r="Z180" s="343"/>
      <c r="AA180" s="345"/>
      <c r="AB180" s="343" t="s">
        <v>120</v>
      </c>
    </row>
    <row r="181" spans="2:28" ht="17" thickBot="1" x14ac:dyDescent="0.25">
      <c r="B181" s="337" t="s">
        <v>121</v>
      </c>
      <c r="C181" s="338"/>
      <c r="D181" s="339"/>
      <c r="E181" s="340">
        <f>E179-E180</f>
        <v>120652.70000000001</v>
      </c>
      <c r="F181" s="338">
        <f t="shared" ref="F181:M181" si="52">F179-F180</f>
        <v>17840</v>
      </c>
      <c r="G181" s="338">
        <f t="shared" si="52"/>
        <v>2400</v>
      </c>
      <c r="H181" s="357">
        <f t="shared" si="52"/>
        <v>13266.4</v>
      </c>
      <c r="I181" s="338">
        <f t="shared" si="52"/>
        <v>3960</v>
      </c>
      <c r="J181" s="357">
        <f t="shared" si="52"/>
        <v>3000</v>
      </c>
      <c r="K181" s="338">
        <f t="shared" si="52"/>
        <v>8648</v>
      </c>
      <c r="L181" s="357">
        <f t="shared" si="52"/>
        <v>7217.4</v>
      </c>
      <c r="M181" s="338">
        <f t="shared" si="52"/>
        <v>2520</v>
      </c>
      <c r="N181" s="338">
        <f>N179-N180</f>
        <v>24752.6</v>
      </c>
      <c r="O181" s="357">
        <f t="shared" ref="O181:W181" si="53">O179-O180</f>
        <v>0</v>
      </c>
      <c r="P181" s="338">
        <f t="shared" si="53"/>
        <v>0</v>
      </c>
      <c r="Q181" s="357">
        <f t="shared" si="53"/>
        <v>8054.5999999999995</v>
      </c>
      <c r="R181" s="338">
        <f t="shared" si="53"/>
        <v>5168.1000000000004</v>
      </c>
      <c r="S181" s="338">
        <f t="shared" si="53"/>
        <v>5970.8</v>
      </c>
      <c r="T181" s="357">
        <f t="shared" si="53"/>
        <v>5970.8</v>
      </c>
      <c r="U181" s="338">
        <f t="shared" si="53"/>
        <v>5704</v>
      </c>
      <c r="V181" s="338">
        <f t="shared" si="53"/>
        <v>0</v>
      </c>
      <c r="W181" s="338">
        <f t="shared" si="53"/>
        <v>2760</v>
      </c>
      <c r="X181" s="338">
        <f>X179-X180</f>
        <v>3420</v>
      </c>
      <c r="Y181" s="360">
        <f>Y179-Y180</f>
        <v>92501.5</v>
      </c>
      <c r="Z181" s="338"/>
      <c r="AA181" s="341"/>
      <c r="AB181" s="338" t="s">
        <v>121</v>
      </c>
    </row>
    <row r="182" spans="2:28" ht="16" thickBot="1" x14ac:dyDescent="0.25"/>
    <row r="183" spans="2:28" x14ac:dyDescent="0.2">
      <c r="B183" s="812" t="s">
        <v>76</v>
      </c>
      <c r="C183" s="812" t="s">
        <v>239</v>
      </c>
      <c r="D183" s="812" t="s">
        <v>83</v>
      </c>
      <c r="E183" s="812" t="s">
        <v>19</v>
      </c>
      <c r="F183" s="812" t="s">
        <v>118</v>
      </c>
      <c r="G183" s="812" t="s">
        <v>70</v>
      </c>
      <c r="H183" s="814" t="s">
        <v>401</v>
      </c>
      <c r="I183" s="812" t="s">
        <v>382</v>
      </c>
      <c r="J183" s="816" t="s">
        <v>200</v>
      </c>
      <c r="K183" s="812" t="s">
        <v>114</v>
      </c>
      <c r="L183" s="810" t="s">
        <v>402</v>
      </c>
      <c r="M183" s="812" t="s">
        <v>333</v>
      </c>
      <c r="N183" s="812" t="s">
        <v>204</v>
      </c>
      <c r="O183" s="810" t="s">
        <v>75</v>
      </c>
      <c r="P183" s="812" t="s">
        <v>278</v>
      </c>
      <c r="Q183" s="810" t="s">
        <v>116</v>
      </c>
      <c r="R183" s="812" t="s">
        <v>331</v>
      </c>
      <c r="S183" s="812" t="s">
        <v>73</v>
      </c>
      <c r="T183" s="810" t="s">
        <v>112</v>
      </c>
      <c r="U183" s="812" t="s">
        <v>72</v>
      </c>
      <c r="V183" s="812" t="s">
        <v>425</v>
      </c>
      <c r="W183" s="812" t="s">
        <v>399</v>
      </c>
      <c r="X183" s="812" t="s">
        <v>400</v>
      </c>
      <c r="Y183" s="812" t="s">
        <v>19</v>
      </c>
      <c r="Z183" s="812" t="s">
        <v>239</v>
      </c>
      <c r="AA183" s="812" t="s">
        <v>83</v>
      </c>
      <c r="AB183" s="812" t="s">
        <v>76</v>
      </c>
    </row>
    <row r="184" spans="2:28" ht="16" thickBot="1" x14ac:dyDescent="0.25">
      <c r="B184" s="813"/>
      <c r="C184" s="813"/>
      <c r="D184" s="813"/>
      <c r="E184" s="813"/>
      <c r="F184" s="813"/>
      <c r="G184" s="813"/>
      <c r="H184" s="815"/>
      <c r="I184" s="813"/>
      <c r="J184" s="817"/>
      <c r="K184" s="813"/>
      <c r="L184" s="811"/>
      <c r="M184" s="813"/>
      <c r="N184" s="813"/>
      <c r="O184" s="811"/>
      <c r="P184" s="813"/>
      <c r="Q184" s="811"/>
      <c r="R184" s="813"/>
      <c r="S184" s="813"/>
      <c r="T184" s="811"/>
      <c r="U184" s="813"/>
      <c r="V184" s="813"/>
      <c r="W184" s="813"/>
      <c r="X184" s="813"/>
      <c r="Y184" s="813"/>
      <c r="Z184" s="813"/>
      <c r="AA184" s="813"/>
      <c r="AB184" s="813"/>
    </row>
    <row r="185" spans="2:28" ht="16" thickBot="1" x14ac:dyDescent="0.25">
      <c r="B185" s="332">
        <v>45719</v>
      </c>
      <c r="C185" s="334" t="s">
        <v>240</v>
      </c>
      <c r="D185" s="807" t="s">
        <v>63</v>
      </c>
      <c r="E185" s="335">
        <f t="shared" ref="E185:E198" si="54">SUM(F185:X185)</f>
        <v>30372.799999999999</v>
      </c>
      <c r="F185" s="362">
        <v>6900</v>
      </c>
      <c r="G185" s="362"/>
      <c r="H185" s="361">
        <v>3661.6</v>
      </c>
      <c r="I185" s="362">
        <v>2400</v>
      </c>
      <c r="J185" s="361"/>
      <c r="K185" s="362">
        <v>2732.4</v>
      </c>
      <c r="L185" s="361">
        <v>2281.6</v>
      </c>
      <c r="M185" s="362">
        <v>4200</v>
      </c>
      <c r="N185" s="354">
        <v>8197.2000000000007</v>
      </c>
      <c r="O185" s="361"/>
      <c r="P185" s="362"/>
      <c r="Q185" s="361"/>
      <c r="R185" s="362"/>
      <c r="S185" s="354"/>
      <c r="T185" s="361"/>
      <c r="U185" s="362"/>
      <c r="V185" s="362"/>
      <c r="W185" s="362"/>
      <c r="X185" s="362"/>
      <c r="Y185" s="349">
        <f t="shared" ref="Y185:Y198" si="55">SUM(F185:X185)</f>
        <v>30372.799999999999</v>
      </c>
      <c r="Z185" s="334" t="s">
        <v>240</v>
      </c>
      <c r="AA185" s="807" t="s">
        <v>63</v>
      </c>
      <c r="AB185" s="333">
        <f>B185</f>
        <v>45719</v>
      </c>
    </row>
    <row r="186" spans="2:28" ht="16" thickBot="1" x14ac:dyDescent="0.25">
      <c r="B186" s="346"/>
      <c r="C186" s="347" t="s">
        <v>89</v>
      </c>
      <c r="D186" s="809"/>
      <c r="E186" s="347">
        <f t="shared" si="54"/>
        <v>1148.9000000000001</v>
      </c>
      <c r="F186" s="356"/>
      <c r="G186" s="356"/>
      <c r="H186" s="351"/>
      <c r="I186" s="356">
        <v>120</v>
      </c>
      <c r="J186" s="351"/>
      <c r="K186" s="356"/>
      <c r="L186" s="351">
        <v>338.1</v>
      </c>
      <c r="M186" s="355">
        <v>240</v>
      </c>
      <c r="N186" s="355">
        <v>450.8</v>
      </c>
      <c r="O186" s="364"/>
      <c r="P186" s="356"/>
      <c r="Q186" s="351"/>
      <c r="R186" s="355"/>
      <c r="S186" s="365"/>
      <c r="T186" s="364"/>
      <c r="U186" s="365"/>
      <c r="V186" s="365"/>
      <c r="W186" s="365"/>
      <c r="X186" s="356"/>
      <c r="Y186" s="366">
        <f t="shared" si="55"/>
        <v>1148.9000000000001</v>
      </c>
      <c r="Z186" s="347" t="s">
        <v>89</v>
      </c>
      <c r="AA186" s="809"/>
      <c r="AB186" s="347"/>
    </row>
    <row r="187" spans="2:28" ht="16" thickBot="1" x14ac:dyDescent="0.25">
      <c r="B187" s="368">
        <v>45720</v>
      </c>
      <c r="C187" s="333" t="s">
        <v>240</v>
      </c>
      <c r="D187" s="807" t="s">
        <v>64</v>
      </c>
      <c r="E187" s="132">
        <f t="shared" si="54"/>
        <v>32319.599999999999</v>
      </c>
      <c r="F187" s="354"/>
      <c r="G187" s="354"/>
      <c r="H187" s="369"/>
      <c r="I187" s="354"/>
      <c r="J187" s="369"/>
      <c r="K187" s="354"/>
      <c r="L187" s="369"/>
      <c r="M187" s="354"/>
      <c r="N187" s="354"/>
      <c r="O187" s="369"/>
      <c r="P187" s="354"/>
      <c r="Q187" s="369">
        <v>7688.9</v>
      </c>
      <c r="R187" s="354">
        <v>6083.5</v>
      </c>
      <c r="S187" s="354">
        <v>6421.6</v>
      </c>
      <c r="T187" s="369">
        <v>6421.6</v>
      </c>
      <c r="U187" s="354">
        <v>5704</v>
      </c>
      <c r="V187" s="354"/>
      <c r="W187" s="354"/>
      <c r="X187" s="354"/>
      <c r="Y187" s="349">
        <f t="shared" si="55"/>
        <v>32319.599999999999</v>
      </c>
      <c r="Z187" s="333" t="s">
        <v>240</v>
      </c>
      <c r="AA187" s="807" t="s">
        <v>64</v>
      </c>
      <c r="AB187" s="333">
        <f>B187</f>
        <v>45720</v>
      </c>
    </row>
    <row r="188" spans="2:28" ht="16" thickBot="1" x14ac:dyDescent="0.25">
      <c r="B188" s="336"/>
      <c r="C188" s="131" t="s">
        <v>89</v>
      </c>
      <c r="D188" s="808"/>
      <c r="E188" s="131">
        <f t="shared" si="54"/>
        <v>478.4</v>
      </c>
      <c r="F188" s="370"/>
      <c r="G188" s="370"/>
      <c r="H188" s="371"/>
      <c r="I188" s="370"/>
      <c r="J188" s="371"/>
      <c r="K188" s="370"/>
      <c r="L188" s="371"/>
      <c r="M188" s="370"/>
      <c r="N188" s="370"/>
      <c r="O188" s="371"/>
      <c r="P188" s="370"/>
      <c r="Q188" s="371">
        <v>478.4</v>
      </c>
      <c r="R188" s="370"/>
      <c r="S188" s="370"/>
      <c r="T188" s="371"/>
      <c r="U188" s="370"/>
      <c r="V188" s="370"/>
      <c r="W188" s="370"/>
      <c r="X188" s="370"/>
      <c r="Y188" s="343">
        <f t="shared" si="55"/>
        <v>478.4</v>
      </c>
      <c r="Z188" s="131" t="s">
        <v>89</v>
      </c>
      <c r="AA188" s="808"/>
      <c r="AB188" s="131"/>
    </row>
    <row r="189" spans="2:28" ht="16" thickBot="1" x14ac:dyDescent="0.25">
      <c r="B189" s="332">
        <v>45721</v>
      </c>
      <c r="C189" s="334" t="s">
        <v>240</v>
      </c>
      <c r="D189" s="809" t="s">
        <v>65</v>
      </c>
      <c r="E189" s="335">
        <f t="shared" si="54"/>
        <v>25572.799999999999</v>
      </c>
      <c r="F189" s="367">
        <v>4500</v>
      </c>
      <c r="G189" s="367">
        <v>1200</v>
      </c>
      <c r="H189" s="350">
        <v>3661.6</v>
      </c>
      <c r="I189" s="367"/>
      <c r="J189" s="350">
        <v>3000</v>
      </c>
      <c r="K189" s="367">
        <v>2732.4</v>
      </c>
      <c r="L189" s="350">
        <v>2281.6</v>
      </c>
      <c r="M189" s="367"/>
      <c r="N189" s="367">
        <v>8197.2000000000007</v>
      </c>
      <c r="O189" s="350"/>
      <c r="P189" s="367"/>
      <c r="Q189" s="350"/>
      <c r="R189" s="367"/>
      <c r="S189" s="367"/>
      <c r="T189" s="350"/>
      <c r="U189" s="367"/>
      <c r="V189" s="367"/>
      <c r="W189" s="367"/>
      <c r="X189" s="367"/>
      <c r="Y189" s="338">
        <f t="shared" si="55"/>
        <v>25572.799999999999</v>
      </c>
      <c r="Z189" s="334" t="s">
        <v>240</v>
      </c>
      <c r="AA189" s="809" t="s">
        <v>65</v>
      </c>
      <c r="AB189" s="334">
        <f>B189</f>
        <v>45721</v>
      </c>
    </row>
    <row r="190" spans="2:28" ht="16" thickBot="1" x14ac:dyDescent="0.25">
      <c r="B190" s="346"/>
      <c r="C190" s="347" t="s">
        <v>89</v>
      </c>
      <c r="D190" s="809"/>
      <c r="E190" s="347">
        <f t="shared" si="54"/>
        <v>2050.1</v>
      </c>
      <c r="F190" s="356"/>
      <c r="G190" s="356"/>
      <c r="H190" s="351"/>
      <c r="I190" s="356"/>
      <c r="J190" s="351">
        <v>240</v>
      </c>
      <c r="K190" s="356">
        <v>1359.3</v>
      </c>
      <c r="L190" s="351"/>
      <c r="M190" s="356"/>
      <c r="N190" s="356">
        <v>450.8</v>
      </c>
      <c r="O190" s="351"/>
      <c r="P190" s="356"/>
      <c r="Q190" s="351"/>
      <c r="R190" s="356"/>
      <c r="S190" s="356"/>
      <c r="T190" s="351"/>
      <c r="U190" s="356"/>
      <c r="V190" s="356"/>
      <c r="W190" s="356"/>
      <c r="X190" s="356"/>
      <c r="Y190" s="366">
        <f t="shared" si="55"/>
        <v>2050.1</v>
      </c>
      <c r="Z190" s="347" t="s">
        <v>89</v>
      </c>
      <c r="AA190" s="809"/>
      <c r="AB190" s="347"/>
    </row>
    <row r="191" spans="2:28" ht="16" thickBot="1" x14ac:dyDescent="0.25">
      <c r="B191" s="562">
        <v>45722</v>
      </c>
      <c r="C191" s="563" t="s">
        <v>240</v>
      </c>
      <c r="D191" s="807" t="s">
        <v>66</v>
      </c>
      <c r="E191" s="564">
        <f t="shared" si="54"/>
        <v>5910.8</v>
      </c>
      <c r="F191" s="372">
        <v>2700</v>
      </c>
      <c r="G191" s="372"/>
      <c r="H191" s="373"/>
      <c r="I191" s="372"/>
      <c r="J191" s="373"/>
      <c r="K191" s="372"/>
      <c r="L191" s="373"/>
      <c r="M191" s="372"/>
      <c r="N191" s="372"/>
      <c r="O191" s="373"/>
      <c r="P191" s="372"/>
      <c r="Q191" s="373"/>
      <c r="R191" s="372"/>
      <c r="S191" s="372"/>
      <c r="T191" s="373"/>
      <c r="U191" s="372"/>
      <c r="V191" s="372"/>
      <c r="W191" s="372">
        <v>3210.8</v>
      </c>
      <c r="X191" s="372"/>
      <c r="Y191" s="565">
        <f t="shared" si="55"/>
        <v>5910.8</v>
      </c>
      <c r="Z191" s="563" t="s">
        <v>240</v>
      </c>
      <c r="AA191" s="807" t="s">
        <v>66</v>
      </c>
      <c r="AB191" s="563">
        <f>B191</f>
        <v>45722</v>
      </c>
    </row>
    <row r="192" spans="2:28" ht="16" thickBot="1" x14ac:dyDescent="0.25">
      <c r="B192" s="336"/>
      <c r="C192" s="131" t="s">
        <v>89</v>
      </c>
      <c r="D192" s="808"/>
      <c r="E192" s="131">
        <f t="shared" si="54"/>
        <v>0</v>
      </c>
      <c r="F192" s="370"/>
      <c r="G192" s="370"/>
      <c r="H192" s="371"/>
      <c r="I192" s="370"/>
      <c r="J192" s="371"/>
      <c r="K192" s="370"/>
      <c r="L192" s="371"/>
      <c r="M192" s="370"/>
      <c r="N192" s="370"/>
      <c r="O192" s="371"/>
      <c r="P192" s="370"/>
      <c r="Q192" s="371"/>
      <c r="R192" s="370"/>
      <c r="S192" s="370"/>
      <c r="T192" s="371"/>
      <c r="U192" s="370"/>
      <c r="V192" s="370"/>
      <c r="W192" s="370"/>
      <c r="X192" s="370"/>
      <c r="Y192" s="343">
        <f t="shared" si="55"/>
        <v>0</v>
      </c>
      <c r="Z192" s="131" t="s">
        <v>89</v>
      </c>
      <c r="AA192" s="808"/>
      <c r="AB192" s="131"/>
    </row>
    <row r="193" spans="2:28" ht="16" thickBot="1" x14ac:dyDescent="0.25">
      <c r="B193" s="566">
        <v>45723</v>
      </c>
      <c r="C193" s="567" t="s">
        <v>240</v>
      </c>
      <c r="D193" s="809" t="s">
        <v>67</v>
      </c>
      <c r="E193" s="568">
        <f t="shared" si="54"/>
        <v>31485.200000000001</v>
      </c>
      <c r="F193" s="367">
        <v>6900</v>
      </c>
      <c r="G193" s="367">
        <v>1200</v>
      </c>
      <c r="H193" s="350">
        <v>5014</v>
      </c>
      <c r="I193" s="367">
        <v>2400</v>
      </c>
      <c r="J193" s="350"/>
      <c r="K193" s="367">
        <v>2732.4</v>
      </c>
      <c r="L193" s="350">
        <v>3661.6</v>
      </c>
      <c r="M193" s="367"/>
      <c r="N193" s="367">
        <v>9577.2000000000007</v>
      </c>
      <c r="O193" s="350"/>
      <c r="P193" s="367"/>
      <c r="Q193" s="350"/>
      <c r="R193" s="367"/>
      <c r="S193" s="367"/>
      <c r="T193" s="350"/>
      <c r="U193" s="367"/>
      <c r="V193" s="367"/>
      <c r="W193" s="367"/>
      <c r="X193" s="367"/>
      <c r="Y193" s="569">
        <f t="shared" si="55"/>
        <v>31485.200000000001</v>
      </c>
      <c r="Z193" s="567" t="s">
        <v>240</v>
      </c>
      <c r="AA193" s="809" t="s">
        <v>67</v>
      </c>
      <c r="AB193" s="567">
        <f>B193</f>
        <v>45723</v>
      </c>
    </row>
    <row r="194" spans="2:28" ht="16" thickBot="1" x14ac:dyDescent="0.25">
      <c r="B194" s="346"/>
      <c r="C194" s="347" t="s">
        <v>89</v>
      </c>
      <c r="D194" s="809"/>
      <c r="E194" s="347">
        <f t="shared" si="54"/>
        <v>120</v>
      </c>
      <c r="F194" s="355"/>
      <c r="G194" s="355"/>
      <c r="H194" s="351"/>
      <c r="I194" s="355">
        <v>120</v>
      </c>
      <c r="J194" s="351"/>
      <c r="K194" s="355"/>
      <c r="L194" s="351"/>
      <c r="M194" s="356"/>
      <c r="N194" s="356"/>
      <c r="O194" s="351"/>
      <c r="P194" s="356"/>
      <c r="Q194" s="351"/>
      <c r="R194" s="356"/>
      <c r="S194" s="356"/>
      <c r="T194" s="351"/>
      <c r="U194" s="356"/>
      <c r="V194" s="356"/>
      <c r="W194" s="356"/>
      <c r="X194" s="356"/>
      <c r="Y194" s="366">
        <f t="shared" si="55"/>
        <v>120</v>
      </c>
      <c r="Z194" s="347" t="s">
        <v>89</v>
      </c>
      <c r="AA194" s="809"/>
      <c r="AB194" s="347"/>
    </row>
    <row r="195" spans="2:28" ht="16" thickBot="1" x14ac:dyDescent="0.25">
      <c r="B195" s="368">
        <v>45724</v>
      </c>
      <c r="C195" s="333" t="s">
        <v>240</v>
      </c>
      <c r="D195" s="807" t="s">
        <v>68</v>
      </c>
      <c r="E195" s="132">
        <f t="shared" si="54"/>
        <v>0</v>
      </c>
      <c r="F195" s="372"/>
      <c r="G195" s="372"/>
      <c r="H195" s="373"/>
      <c r="I195" s="372"/>
      <c r="J195" s="373"/>
      <c r="K195" s="372"/>
      <c r="L195" s="373"/>
      <c r="M195" s="372"/>
      <c r="N195" s="372"/>
      <c r="O195" s="373"/>
      <c r="P195" s="372"/>
      <c r="Q195" s="373"/>
      <c r="R195" s="372"/>
      <c r="S195" s="372"/>
      <c r="T195" s="373"/>
      <c r="U195" s="372"/>
      <c r="V195" s="372"/>
      <c r="W195" s="372"/>
      <c r="X195" s="372"/>
      <c r="Y195" s="349">
        <f t="shared" si="55"/>
        <v>0</v>
      </c>
      <c r="Z195" s="333" t="s">
        <v>240</v>
      </c>
      <c r="AA195" s="807" t="s">
        <v>68</v>
      </c>
      <c r="AB195" s="333">
        <f>B195</f>
        <v>45724</v>
      </c>
    </row>
    <row r="196" spans="2:28" ht="16" thickBot="1" x14ac:dyDescent="0.25">
      <c r="B196" s="336"/>
      <c r="C196" s="131" t="s">
        <v>89</v>
      </c>
      <c r="D196" s="808"/>
      <c r="E196" s="131">
        <f t="shared" si="54"/>
        <v>0</v>
      </c>
      <c r="F196" s="370"/>
      <c r="G196" s="370"/>
      <c r="H196" s="371"/>
      <c r="I196" s="370"/>
      <c r="J196" s="371"/>
      <c r="K196" s="370"/>
      <c r="L196" s="371"/>
      <c r="M196" s="370"/>
      <c r="N196" s="370"/>
      <c r="O196" s="371"/>
      <c r="P196" s="370"/>
      <c r="Q196" s="371"/>
      <c r="R196" s="370"/>
      <c r="S196" s="370"/>
      <c r="T196" s="371"/>
      <c r="U196" s="370"/>
      <c r="V196" s="370"/>
      <c r="W196" s="370"/>
      <c r="X196" s="370"/>
      <c r="Y196" s="343">
        <f t="shared" si="55"/>
        <v>0</v>
      </c>
      <c r="Z196" s="131" t="s">
        <v>89</v>
      </c>
      <c r="AA196" s="808"/>
      <c r="AB196" s="131"/>
    </row>
    <row r="197" spans="2:28" ht="16" thickBot="1" x14ac:dyDescent="0.25">
      <c r="B197" s="566">
        <v>45725</v>
      </c>
      <c r="C197" s="567" t="s">
        <v>240</v>
      </c>
      <c r="D197" s="809" t="s">
        <v>69</v>
      </c>
      <c r="E197" s="568">
        <f t="shared" si="54"/>
        <v>8197.2000000000007</v>
      </c>
      <c r="F197" s="367"/>
      <c r="G197" s="367"/>
      <c r="H197" s="350"/>
      <c r="I197" s="367"/>
      <c r="J197" s="350"/>
      <c r="K197" s="367"/>
      <c r="L197" s="350"/>
      <c r="M197" s="367"/>
      <c r="N197" s="367">
        <v>8197.2000000000007</v>
      </c>
      <c r="O197" s="350"/>
      <c r="P197" s="367"/>
      <c r="Q197" s="350"/>
      <c r="R197" s="367"/>
      <c r="S197" s="367"/>
      <c r="T197" s="350"/>
      <c r="U197" s="367"/>
      <c r="V197" s="367"/>
      <c r="W197" s="367"/>
      <c r="X197" s="367"/>
      <c r="Y197" s="569">
        <f t="shared" si="55"/>
        <v>8197.2000000000007</v>
      </c>
      <c r="Z197" s="567" t="s">
        <v>240</v>
      </c>
      <c r="AA197" s="809" t="s">
        <v>69</v>
      </c>
      <c r="AB197" s="567">
        <f>B197</f>
        <v>45725</v>
      </c>
    </row>
    <row r="198" spans="2:28" ht="16" thickBot="1" x14ac:dyDescent="0.25">
      <c r="B198" s="346"/>
      <c r="C198" s="347" t="s">
        <v>89</v>
      </c>
      <c r="D198" s="808"/>
      <c r="E198" s="347">
        <f t="shared" si="54"/>
        <v>0</v>
      </c>
      <c r="F198" s="356"/>
      <c r="G198" s="356"/>
      <c r="H198" s="351"/>
      <c r="I198" s="356"/>
      <c r="J198" s="351"/>
      <c r="K198" s="356"/>
      <c r="L198" s="351"/>
      <c r="M198" s="356"/>
      <c r="N198" s="356"/>
      <c r="O198" s="351"/>
      <c r="P198" s="356"/>
      <c r="Q198" s="351"/>
      <c r="R198" s="356"/>
      <c r="S198" s="356"/>
      <c r="T198" s="351"/>
      <c r="U198" s="356"/>
      <c r="V198" s="356"/>
      <c r="W198" s="356"/>
      <c r="X198" s="356"/>
      <c r="Y198" s="363">
        <f t="shared" si="55"/>
        <v>0</v>
      </c>
      <c r="Z198" s="347" t="s">
        <v>89</v>
      </c>
      <c r="AA198" s="808"/>
      <c r="AB198" s="347"/>
    </row>
    <row r="199" spans="2:28" ht="17" thickBot="1" x14ac:dyDescent="0.25">
      <c r="B199" s="348" t="s">
        <v>119</v>
      </c>
      <c r="C199" s="349"/>
      <c r="D199" s="344"/>
      <c r="E199" s="133">
        <f>SUM(E191,E189,E187,E185,E193,E195,E197)</f>
        <v>133858.4</v>
      </c>
      <c r="F199" s="349">
        <f t="shared" ref="F199:Y199" si="56">SUM(F185,F187,F189,F191,F193,F195,F197)</f>
        <v>21000</v>
      </c>
      <c r="G199" s="349">
        <f t="shared" si="56"/>
        <v>2400</v>
      </c>
      <c r="H199" s="352">
        <f t="shared" si="56"/>
        <v>12337.2</v>
      </c>
      <c r="I199" s="349">
        <f t="shared" si="56"/>
        <v>4800</v>
      </c>
      <c r="J199" s="352">
        <f t="shared" si="56"/>
        <v>3000</v>
      </c>
      <c r="K199" s="349">
        <f t="shared" si="56"/>
        <v>8197.2000000000007</v>
      </c>
      <c r="L199" s="352">
        <f t="shared" si="56"/>
        <v>8224.7999999999993</v>
      </c>
      <c r="M199" s="349">
        <f t="shared" si="56"/>
        <v>4200</v>
      </c>
      <c r="N199" s="349">
        <f t="shared" si="56"/>
        <v>34168.800000000003</v>
      </c>
      <c r="O199" s="352">
        <f t="shared" si="56"/>
        <v>0</v>
      </c>
      <c r="P199" s="349">
        <f t="shared" si="56"/>
        <v>0</v>
      </c>
      <c r="Q199" s="352">
        <f t="shared" si="56"/>
        <v>7688.9</v>
      </c>
      <c r="R199" s="349">
        <f t="shared" si="56"/>
        <v>6083.5</v>
      </c>
      <c r="S199" s="349">
        <f t="shared" si="56"/>
        <v>6421.6</v>
      </c>
      <c r="T199" s="352">
        <f t="shared" si="56"/>
        <v>6421.6</v>
      </c>
      <c r="U199" s="349">
        <f t="shared" si="56"/>
        <v>5704</v>
      </c>
      <c r="V199" s="349">
        <f t="shared" si="56"/>
        <v>0</v>
      </c>
      <c r="W199" s="349">
        <f t="shared" si="56"/>
        <v>3210.8</v>
      </c>
      <c r="X199" s="349">
        <f t="shared" si="56"/>
        <v>0</v>
      </c>
      <c r="Y199" s="358">
        <f t="shared" si="56"/>
        <v>133858.4</v>
      </c>
      <c r="Z199" s="349"/>
      <c r="AA199" s="345"/>
      <c r="AB199" s="349" t="s">
        <v>119</v>
      </c>
    </row>
    <row r="200" spans="2:28" ht="17" thickBot="1" x14ac:dyDescent="0.25">
      <c r="B200" s="342" t="s">
        <v>120</v>
      </c>
      <c r="C200" s="343"/>
      <c r="D200" s="344"/>
      <c r="E200" s="134">
        <f>SUM(E186,E188,E190,E192,E194,E196,E198)</f>
        <v>3797.4</v>
      </c>
      <c r="F200" s="343">
        <f t="shared" ref="F200:Y200" si="57">(F186+F188+F190+F192+F194+F196+F198)</f>
        <v>0</v>
      </c>
      <c r="G200" s="343">
        <f t="shared" si="57"/>
        <v>0</v>
      </c>
      <c r="H200" s="353">
        <f t="shared" si="57"/>
        <v>0</v>
      </c>
      <c r="I200" s="343">
        <f t="shared" si="57"/>
        <v>240</v>
      </c>
      <c r="J200" s="353">
        <f t="shared" si="57"/>
        <v>240</v>
      </c>
      <c r="K200" s="343">
        <f t="shared" si="57"/>
        <v>1359.3</v>
      </c>
      <c r="L200" s="353">
        <f t="shared" si="57"/>
        <v>338.1</v>
      </c>
      <c r="M200" s="343">
        <f t="shared" si="57"/>
        <v>240</v>
      </c>
      <c r="N200" s="343">
        <f t="shared" si="57"/>
        <v>901.6</v>
      </c>
      <c r="O200" s="353">
        <f t="shared" si="57"/>
        <v>0</v>
      </c>
      <c r="P200" s="343">
        <f t="shared" si="57"/>
        <v>0</v>
      </c>
      <c r="Q200" s="353">
        <f t="shared" si="57"/>
        <v>478.4</v>
      </c>
      <c r="R200" s="343">
        <f t="shared" si="57"/>
        <v>0</v>
      </c>
      <c r="S200" s="343">
        <f t="shared" si="57"/>
        <v>0</v>
      </c>
      <c r="T200" s="353">
        <f t="shared" si="57"/>
        <v>0</v>
      </c>
      <c r="U200" s="343">
        <f t="shared" si="57"/>
        <v>0</v>
      </c>
      <c r="V200" s="343">
        <f t="shared" si="57"/>
        <v>0</v>
      </c>
      <c r="W200" s="343">
        <f t="shared" si="57"/>
        <v>0</v>
      </c>
      <c r="X200" s="343">
        <f t="shared" si="57"/>
        <v>0</v>
      </c>
      <c r="Y200" s="359">
        <f t="shared" si="57"/>
        <v>3797.4</v>
      </c>
      <c r="Z200" s="343"/>
      <c r="AA200" s="345"/>
      <c r="AB200" s="343" t="s">
        <v>120</v>
      </c>
    </row>
    <row r="201" spans="2:28" ht="17" thickBot="1" x14ac:dyDescent="0.25">
      <c r="B201" s="337" t="s">
        <v>121</v>
      </c>
      <c r="C201" s="338"/>
      <c r="D201" s="339"/>
      <c r="E201" s="340">
        <f>E199-E200</f>
        <v>130061</v>
      </c>
      <c r="F201" s="338">
        <f t="shared" ref="F201:M201" si="58">F199-F200</f>
        <v>21000</v>
      </c>
      <c r="G201" s="338">
        <f t="shared" si="58"/>
        <v>2400</v>
      </c>
      <c r="H201" s="357">
        <f t="shared" si="58"/>
        <v>12337.2</v>
      </c>
      <c r="I201" s="338">
        <f t="shared" si="58"/>
        <v>4560</v>
      </c>
      <c r="J201" s="357">
        <f t="shared" si="58"/>
        <v>2760</v>
      </c>
      <c r="K201" s="338">
        <f t="shared" si="58"/>
        <v>6837.9000000000005</v>
      </c>
      <c r="L201" s="357">
        <f t="shared" si="58"/>
        <v>7886.6999999999989</v>
      </c>
      <c r="M201" s="338">
        <f t="shared" si="58"/>
        <v>3960</v>
      </c>
      <c r="N201" s="338">
        <f>N199-N200</f>
        <v>33267.200000000004</v>
      </c>
      <c r="O201" s="357">
        <f t="shared" ref="O201:W201" si="59">O199-O200</f>
        <v>0</v>
      </c>
      <c r="P201" s="338">
        <f t="shared" si="59"/>
        <v>0</v>
      </c>
      <c r="Q201" s="357">
        <f t="shared" si="59"/>
        <v>7210.5</v>
      </c>
      <c r="R201" s="338">
        <f t="shared" si="59"/>
        <v>6083.5</v>
      </c>
      <c r="S201" s="338">
        <f t="shared" si="59"/>
        <v>6421.6</v>
      </c>
      <c r="T201" s="357">
        <f t="shared" si="59"/>
        <v>6421.6</v>
      </c>
      <c r="U201" s="338">
        <f t="shared" si="59"/>
        <v>5704</v>
      </c>
      <c r="V201" s="338">
        <f t="shared" si="59"/>
        <v>0</v>
      </c>
      <c r="W201" s="338">
        <f t="shared" si="59"/>
        <v>3210.8</v>
      </c>
      <c r="X201" s="338">
        <f>X199-X200</f>
        <v>0</v>
      </c>
      <c r="Y201" s="360">
        <f>Y199-Y200</f>
        <v>130061</v>
      </c>
      <c r="Z201" s="338"/>
      <c r="AA201" s="341"/>
      <c r="AB201" s="338" t="s">
        <v>121</v>
      </c>
    </row>
    <row r="202" spans="2:28" ht="16" thickBot="1" x14ac:dyDescent="0.25"/>
    <row r="203" spans="2:28" x14ac:dyDescent="0.2">
      <c r="B203" s="812" t="s">
        <v>76</v>
      </c>
      <c r="C203" s="812" t="s">
        <v>239</v>
      </c>
      <c r="D203" s="812" t="s">
        <v>83</v>
      </c>
      <c r="E203" s="812" t="s">
        <v>19</v>
      </c>
      <c r="F203" s="812" t="s">
        <v>118</v>
      </c>
      <c r="G203" s="812" t="s">
        <v>70</v>
      </c>
      <c r="H203" s="814" t="s">
        <v>401</v>
      </c>
      <c r="I203" s="812" t="s">
        <v>382</v>
      </c>
      <c r="J203" s="816" t="s">
        <v>200</v>
      </c>
      <c r="K203" s="812" t="s">
        <v>114</v>
      </c>
      <c r="L203" s="810" t="s">
        <v>402</v>
      </c>
      <c r="M203" s="812" t="s">
        <v>333</v>
      </c>
      <c r="N203" s="812" t="s">
        <v>204</v>
      </c>
      <c r="O203" s="810" t="s">
        <v>75</v>
      </c>
      <c r="P203" s="812" t="s">
        <v>278</v>
      </c>
      <c r="Q203" s="810" t="s">
        <v>116</v>
      </c>
      <c r="R203" s="812" t="s">
        <v>331</v>
      </c>
      <c r="S203" s="812" t="s">
        <v>73</v>
      </c>
      <c r="T203" s="810" t="s">
        <v>112</v>
      </c>
      <c r="U203" s="812" t="s">
        <v>72</v>
      </c>
      <c r="V203" s="812" t="s">
        <v>425</v>
      </c>
      <c r="W203" s="812" t="s">
        <v>399</v>
      </c>
      <c r="X203" s="812" t="s">
        <v>400</v>
      </c>
      <c r="Y203" s="812" t="s">
        <v>19</v>
      </c>
      <c r="Z203" s="812" t="s">
        <v>239</v>
      </c>
      <c r="AA203" s="812" t="s">
        <v>83</v>
      </c>
      <c r="AB203" s="812" t="s">
        <v>76</v>
      </c>
    </row>
    <row r="204" spans="2:28" ht="16" thickBot="1" x14ac:dyDescent="0.25">
      <c r="B204" s="813"/>
      <c r="C204" s="813"/>
      <c r="D204" s="813"/>
      <c r="E204" s="813"/>
      <c r="F204" s="813"/>
      <c r="G204" s="813"/>
      <c r="H204" s="815"/>
      <c r="I204" s="813"/>
      <c r="J204" s="817"/>
      <c r="K204" s="813"/>
      <c r="L204" s="811"/>
      <c r="M204" s="813"/>
      <c r="N204" s="813"/>
      <c r="O204" s="811"/>
      <c r="P204" s="813"/>
      <c r="Q204" s="811"/>
      <c r="R204" s="813"/>
      <c r="S204" s="813"/>
      <c r="T204" s="811"/>
      <c r="U204" s="813"/>
      <c r="V204" s="813"/>
      <c r="W204" s="813"/>
      <c r="X204" s="813"/>
      <c r="Y204" s="813"/>
      <c r="Z204" s="813"/>
      <c r="AA204" s="813"/>
      <c r="AB204" s="813"/>
    </row>
    <row r="205" spans="2:28" ht="16" thickBot="1" x14ac:dyDescent="0.25">
      <c r="B205" s="332">
        <v>45726</v>
      </c>
      <c r="C205" s="334" t="s">
        <v>240</v>
      </c>
      <c r="D205" s="807" t="s">
        <v>63</v>
      </c>
      <c r="E205" s="335">
        <f t="shared" ref="E205:E218" si="60">SUM(F205:X205)</f>
        <v>35952.800000000003</v>
      </c>
      <c r="F205" s="362">
        <v>8100</v>
      </c>
      <c r="G205" s="362"/>
      <c r="H205" s="361">
        <v>4112.3999999999996</v>
      </c>
      <c r="I205" s="362">
        <v>2400</v>
      </c>
      <c r="J205" s="361">
        <v>3000</v>
      </c>
      <c r="K205" s="362">
        <v>2732.4</v>
      </c>
      <c r="L205" s="361">
        <v>2281.6</v>
      </c>
      <c r="M205" s="362">
        <v>4200</v>
      </c>
      <c r="N205" s="354">
        <v>9126.4</v>
      </c>
      <c r="O205" s="361"/>
      <c r="P205" s="362"/>
      <c r="Q205" s="361"/>
      <c r="R205" s="362"/>
      <c r="S205" s="354"/>
      <c r="T205" s="361"/>
      <c r="U205" s="362"/>
      <c r="V205" s="362"/>
      <c r="W205" s="362"/>
      <c r="X205" s="362"/>
      <c r="Y205" s="349">
        <f t="shared" ref="Y205:Y218" si="61">SUM(F205:X205)</f>
        <v>35952.800000000003</v>
      </c>
      <c r="Z205" s="334" t="s">
        <v>240</v>
      </c>
      <c r="AA205" s="807" t="s">
        <v>63</v>
      </c>
      <c r="AB205" s="333">
        <f>B205</f>
        <v>45726</v>
      </c>
    </row>
    <row r="206" spans="2:28" ht="16" thickBot="1" x14ac:dyDescent="0.25">
      <c r="B206" s="346"/>
      <c r="C206" s="347" t="s">
        <v>89</v>
      </c>
      <c r="D206" s="809"/>
      <c r="E206" s="347">
        <f t="shared" si="60"/>
        <v>1072.7</v>
      </c>
      <c r="F206" s="356">
        <v>600</v>
      </c>
      <c r="G206" s="356"/>
      <c r="H206" s="351"/>
      <c r="I206" s="356"/>
      <c r="J206" s="351"/>
      <c r="K206" s="356">
        <v>112.7</v>
      </c>
      <c r="L206" s="351"/>
      <c r="M206" s="355">
        <v>360</v>
      </c>
      <c r="N206" s="355"/>
      <c r="O206" s="364"/>
      <c r="P206" s="356"/>
      <c r="Q206" s="351"/>
      <c r="R206" s="355"/>
      <c r="S206" s="365"/>
      <c r="T206" s="364"/>
      <c r="U206" s="365"/>
      <c r="V206" s="365"/>
      <c r="W206" s="365"/>
      <c r="X206" s="356"/>
      <c r="Y206" s="366">
        <f t="shared" si="61"/>
        <v>1072.7</v>
      </c>
      <c r="Z206" s="347" t="s">
        <v>89</v>
      </c>
      <c r="AA206" s="809"/>
      <c r="AB206" s="347"/>
    </row>
    <row r="207" spans="2:28" ht="16" thickBot="1" x14ac:dyDescent="0.25">
      <c r="B207" s="368">
        <v>45727</v>
      </c>
      <c r="C207" s="333" t="s">
        <v>240</v>
      </c>
      <c r="D207" s="807" t="s">
        <v>64</v>
      </c>
      <c r="E207" s="132">
        <f t="shared" si="60"/>
        <v>29573.4</v>
      </c>
      <c r="F207" s="354"/>
      <c r="G207" s="354"/>
      <c r="H207" s="369"/>
      <c r="I207" s="354"/>
      <c r="J207" s="369"/>
      <c r="K207" s="354"/>
      <c r="L207" s="369"/>
      <c r="M207" s="354"/>
      <c r="N207" s="354"/>
      <c r="O207" s="369"/>
      <c r="P207" s="354"/>
      <c r="Q207" s="369">
        <v>7350.8</v>
      </c>
      <c r="R207" s="354">
        <v>5506.2</v>
      </c>
      <c r="S207" s="354">
        <v>5506.2</v>
      </c>
      <c r="T207" s="369">
        <v>5506.2</v>
      </c>
      <c r="U207" s="354">
        <v>5704</v>
      </c>
      <c r="V207" s="354"/>
      <c r="W207" s="354"/>
      <c r="X207" s="354"/>
      <c r="Y207" s="349">
        <f t="shared" si="61"/>
        <v>29573.4</v>
      </c>
      <c r="Z207" s="333" t="s">
        <v>240</v>
      </c>
      <c r="AA207" s="807" t="s">
        <v>64</v>
      </c>
      <c r="AB207" s="333">
        <f>B207</f>
        <v>45727</v>
      </c>
    </row>
    <row r="208" spans="2:28" ht="16" thickBot="1" x14ac:dyDescent="0.25">
      <c r="B208" s="336"/>
      <c r="C208" s="131" t="s">
        <v>89</v>
      </c>
      <c r="D208" s="808"/>
      <c r="E208" s="131">
        <f t="shared" si="60"/>
        <v>1472</v>
      </c>
      <c r="F208" s="370"/>
      <c r="G208" s="370"/>
      <c r="H208" s="371"/>
      <c r="I208" s="370"/>
      <c r="J208" s="371"/>
      <c r="K208" s="370"/>
      <c r="L208" s="371"/>
      <c r="M208" s="370"/>
      <c r="N208" s="370"/>
      <c r="O208" s="371"/>
      <c r="P208" s="370"/>
      <c r="Q208" s="371">
        <v>450.8</v>
      </c>
      <c r="R208" s="370">
        <v>683.1</v>
      </c>
      <c r="S208" s="370">
        <v>338.1</v>
      </c>
      <c r="T208" s="371"/>
      <c r="U208" s="370"/>
      <c r="V208" s="370"/>
      <c r="W208" s="370"/>
      <c r="X208" s="370"/>
      <c r="Y208" s="343">
        <f t="shared" si="61"/>
        <v>1472</v>
      </c>
      <c r="Z208" s="131" t="s">
        <v>89</v>
      </c>
      <c r="AA208" s="808"/>
      <c r="AB208" s="131"/>
    </row>
    <row r="209" spans="2:28" ht="16" thickBot="1" x14ac:dyDescent="0.25">
      <c r="B209" s="332">
        <v>45728</v>
      </c>
      <c r="C209" s="334" t="s">
        <v>240</v>
      </c>
      <c r="D209" s="809" t="s">
        <v>65</v>
      </c>
      <c r="E209" s="335">
        <f t="shared" si="60"/>
        <v>25052.799999999999</v>
      </c>
      <c r="F209" s="367">
        <v>5600</v>
      </c>
      <c r="G209" s="367">
        <v>1200</v>
      </c>
      <c r="H209" s="350">
        <v>4112.3999999999996</v>
      </c>
      <c r="I209" s="367"/>
      <c r="J209" s="350"/>
      <c r="K209" s="367">
        <v>2732.4</v>
      </c>
      <c r="L209" s="350">
        <v>2281.6</v>
      </c>
      <c r="M209" s="367"/>
      <c r="N209" s="367">
        <v>9126.4</v>
      </c>
      <c r="O209" s="350"/>
      <c r="P209" s="367"/>
      <c r="Q209" s="350"/>
      <c r="R209" s="367"/>
      <c r="S209" s="367"/>
      <c r="T209" s="350"/>
      <c r="U209" s="367"/>
      <c r="V209" s="367"/>
      <c r="W209" s="367"/>
      <c r="X209" s="367"/>
      <c r="Y209" s="338">
        <f t="shared" si="61"/>
        <v>25052.799999999999</v>
      </c>
      <c r="Z209" s="334" t="s">
        <v>240</v>
      </c>
      <c r="AA209" s="809" t="s">
        <v>65</v>
      </c>
      <c r="AB209" s="334">
        <f>B209</f>
        <v>45728</v>
      </c>
    </row>
    <row r="210" spans="2:28" ht="16" thickBot="1" x14ac:dyDescent="0.25">
      <c r="B210" s="346"/>
      <c r="C210" s="347" t="s">
        <v>89</v>
      </c>
      <c r="D210" s="809"/>
      <c r="E210" s="347">
        <f t="shared" si="60"/>
        <v>300</v>
      </c>
      <c r="F210" s="356">
        <v>300</v>
      </c>
      <c r="G210" s="356"/>
      <c r="H210" s="351"/>
      <c r="I210" s="356"/>
      <c r="J210" s="351"/>
      <c r="K210" s="356"/>
      <c r="L210" s="351"/>
      <c r="M210" s="356"/>
      <c r="N210" s="356"/>
      <c r="O210" s="351"/>
      <c r="P210" s="356"/>
      <c r="Q210" s="351"/>
      <c r="R210" s="356"/>
      <c r="S210" s="356"/>
      <c r="T210" s="351"/>
      <c r="U210" s="356"/>
      <c r="V210" s="356"/>
      <c r="W210" s="356"/>
      <c r="X210" s="356"/>
      <c r="Y210" s="366">
        <f t="shared" si="61"/>
        <v>300</v>
      </c>
      <c r="Z210" s="347" t="s">
        <v>89</v>
      </c>
      <c r="AA210" s="809"/>
      <c r="AB210" s="347"/>
    </row>
    <row r="211" spans="2:28" ht="16" thickBot="1" x14ac:dyDescent="0.25">
      <c r="B211" s="562">
        <v>45729</v>
      </c>
      <c r="C211" s="563" t="s">
        <v>240</v>
      </c>
      <c r="D211" s="807" t="s">
        <v>66</v>
      </c>
      <c r="E211" s="564">
        <f t="shared" si="60"/>
        <v>0</v>
      </c>
      <c r="F211" s="372"/>
      <c r="G211" s="372"/>
      <c r="H211" s="373"/>
      <c r="I211" s="372"/>
      <c r="J211" s="373"/>
      <c r="K211" s="372"/>
      <c r="L211" s="373"/>
      <c r="M211" s="372"/>
      <c r="N211" s="372"/>
      <c r="O211" s="373"/>
      <c r="P211" s="372"/>
      <c r="Q211" s="373"/>
      <c r="R211" s="372"/>
      <c r="S211" s="372"/>
      <c r="T211" s="373"/>
      <c r="U211" s="372"/>
      <c r="V211" s="372"/>
      <c r="W211" s="372"/>
      <c r="X211" s="372"/>
      <c r="Y211" s="565">
        <f t="shared" si="61"/>
        <v>0</v>
      </c>
      <c r="Z211" s="563" t="s">
        <v>240</v>
      </c>
      <c r="AA211" s="807" t="s">
        <v>66</v>
      </c>
      <c r="AB211" s="563">
        <f>B211</f>
        <v>45729</v>
      </c>
    </row>
    <row r="212" spans="2:28" ht="16" thickBot="1" x14ac:dyDescent="0.25">
      <c r="B212" s="336"/>
      <c r="C212" s="131" t="s">
        <v>89</v>
      </c>
      <c r="D212" s="808"/>
      <c r="E212" s="131">
        <f t="shared" si="60"/>
        <v>0</v>
      </c>
      <c r="F212" s="370"/>
      <c r="G212" s="370"/>
      <c r="H212" s="371"/>
      <c r="I212" s="370"/>
      <c r="J212" s="371"/>
      <c r="K212" s="370"/>
      <c r="L212" s="371"/>
      <c r="M212" s="370"/>
      <c r="N212" s="370"/>
      <c r="O212" s="371"/>
      <c r="P212" s="370"/>
      <c r="Q212" s="371"/>
      <c r="R212" s="370"/>
      <c r="S212" s="370"/>
      <c r="T212" s="371"/>
      <c r="U212" s="370"/>
      <c r="V212" s="370"/>
      <c r="W212" s="370"/>
      <c r="X212" s="370"/>
      <c r="Y212" s="343">
        <f t="shared" si="61"/>
        <v>0</v>
      </c>
      <c r="Z212" s="131" t="s">
        <v>89</v>
      </c>
      <c r="AA212" s="808"/>
      <c r="AB212" s="131"/>
    </row>
    <row r="213" spans="2:28" ht="16" thickBot="1" x14ac:dyDescent="0.25">
      <c r="B213" s="566">
        <v>45730</v>
      </c>
      <c r="C213" s="567" t="s">
        <v>240</v>
      </c>
      <c r="D213" s="809" t="s">
        <v>67</v>
      </c>
      <c r="E213" s="568">
        <f t="shared" si="60"/>
        <v>28856</v>
      </c>
      <c r="F213" s="367">
        <v>6400</v>
      </c>
      <c r="G213" s="367"/>
      <c r="H213" s="350">
        <v>5014</v>
      </c>
      <c r="I213" s="367">
        <v>2400</v>
      </c>
      <c r="J213" s="350"/>
      <c r="K213" s="367">
        <v>2732.4</v>
      </c>
      <c r="L213" s="350">
        <v>3210.8</v>
      </c>
      <c r="M213" s="367"/>
      <c r="N213" s="367">
        <v>9098.7999999999993</v>
      </c>
      <c r="O213" s="350"/>
      <c r="P213" s="367"/>
      <c r="Q213" s="350"/>
      <c r="R213" s="367"/>
      <c r="S213" s="367"/>
      <c r="T213" s="350"/>
      <c r="U213" s="367"/>
      <c r="V213" s="367"/>
      <c r="W213" s="367"/>
      <c r="X213" s="367"/>
      <c r="Y213" s="569">
        <f t="shared" si="61"/>
        <v>28856</v>
      </c>
      <c r="Z213" s="567" t="s">
        <v>240</v>
      </c>
      <c r="AA213" s="809" t="s">
        <v>67</v>
      </c>
      <c r="AB213" s="567">
        <f>B213</f>
        <v>45730</v>
      </c>
    </row>
    <row r="214" spans="2:28" ht="16" thickBot="1" x14ac:dyDescent="0.25">
      <c r="B214" s="346"/>
      <c r="C214" s="347" t="s">
        <v>89</v>
      </c>
      <c r="D214" s="809"/>
      <c r="E214" s="347">
        <f t="shared" si="60"/>
        <v>1832.3</v>
      </c>
      <c r="F214" s="355">
        <v>1600</v>
      </c>
      <c r="G214" s="355"/>
      <c r="H214" s="351"/>
      <c r="I214" s="355"/>
      <c r="J214" s="351"/>
      <c r="K214" s="355"/>
      <c r="L214" s="351"/>
      <c r="M214" s="356"/>
      <c r="N214" s="356">
        <v>232.3</v>
      </c>
      <c r="O214" s="351"/>
      <c r="P214" s="356"/>
      <c r="Q214" s="351"/>
      <c r="R214" s="356"/>
      <c r="S214" s="356"/>
      <c r="T214" s="351"/>
      <c r="U214" s="356"/>
      <c r="V214" s="356"/>
      <c r="W214" s="356"/>
      <c r="X214" s="356"/>
      <c r="Y214" s="366">
        <f t="shared" si="61"/>
        <v>1832.3</v>
      </c>
      <c r="Z214" s="347" t="s">
        <v>89</v>
      </c>
      <c r="AA214" s="809"/>
      <c r="AB214" s="347"/>
    </row>
    <row r="215" spans="2:28" ht="16" thickBot="1" x14ac:dyDescent="0.25">
      <c r="B215" s="368">
        <v>45731</v>
      </c>
      <c r="C215" s="333" t="s">
        <v>240</v>
      </c>
      <c r="D215" s="807" t="s">
        <v>68</v>
      </c>
      <c r="E215" s="132">
        <f t="shared" si="60"/>
        <v>0</v>
      </c>
      <c r="F215" s="372"/>
      <c r="G215" s="372"/>
      <c r="H215" s="373"/>
      <c r="I215" s="372"/>
      <c r="J215" s="373"/>
      <c r="K215" s="372"/>
      <c r="L215" s="373"/>
      <c r="M215" s="372"/>
      <c r="N215" s="372"/>
      <c r="O215" s="373"/>
      <c r="P215" s="372"/>
      <c r="Q215" s="373"/>
      <c r="R215" s="372"/>
      <c r="S215" s="372"/>
      <c r="T215" s="373"/>
      <c r="U215" s="372"/>
      <c r="V215" s="372"/>
      <c r="W215" s="372"/>
      <c r="X215" s="372"/>
      <c r="Y215" s="349">
        <f t="shared" si="61"/>
        <v>0</v>
      </c>
      <c r="Z215" s="333" t="s">
        <v>240</v>
      </c>
      <c r="AA215" s="807" t="s">
        <v>68</v>
      </c>
      <c r="AB215" s="333">
        <f>B215</f>
        <v>45731</v>
      </c>
    </row>
    <row r="216" spans="2:28" ht="16" thickBot="1" x14ac:dyDescent="0.25">
      <c r="B216" s="336"/>
      <c r="C216" s="131" t="s">
        <v>89</v>
      </c>
      <c r="D216" s="808"/>
      <c r="E216" s="131">
        <f t="shared" si="60"/>
        <v>0</v>
      </c>
      <c r="F216" s="370"/>
      <c r="G216" s="370"/>
      <c r="H216" s="371"/>
      <c r="I216" s="370"/>
      <c r="J216" s="371"/>
      <c r="K216" s="370"/>
      <c r="L216" s="371"/>
      <c r="M216" s="370"/>
      <c r="N216" s="370"/>
      <c r="O216" s="371"/>
      <c r="P216" s="370"/>
      <c r="Q216" s="371"/>
      <c r="R216" s="370"/>
      <c r="S216" s="370"/>
      <c r="T216" s="371"/>
      <c r="U216" s="370"/>
      <c r="V216" s="370"/>
      <c r="W216" s="370"/>
      <c r="X216" s="370"/>
      <c r="Y216" s="343">
        <f t="shared" si="61"/>
        <v>0</v>
      </c>
      <c r="Z216" s="131" t="s">
        <v>89</v>
      </c>
      <c r="AA216" s="808"/>
      <c r="AB216" s="131"/>
    </row>
    <row r="217" spans="2:28" ht="16" thickBot="1" x14ac:dyDescent="0.25">
      <c r="B217" s="566">
        <v>45732</v>
      </c>
      <c r="C217" s="567" t="s">
        <v>240</v>
      </c>
      <c r="D217" s="809" t="s">
        <v>69</v>
      </c>
      <c r="E217" s="568">
        <f t="shared" si="60"/>
        <v>0</v>
      </c>
      <c r="F217" s="367"/>
      <c r="G217" s="367"/>
      <c r="H217" s="350"/>
      <c r="I217" s="367"/>
      <c r="J217" s="350"/>
      <c r="K217" s="367"/>
      <c r="L217" s="350"/>
      <c r="M217" s="367"/>
      <c r="N217" s="367"/>
      <c r="O217" s="350"/>
      <c r="P217" s="367"/>
      <c r="Q217" s="350"/>
      <c r="R217" s="367"/>
      <c r="S217" s="367"/>
      <c r="T217" s="350"/>
      <c r="U217" s="367"/>
      <c r="V217" s="367"/>
      <c r="W217" s="367"/>
      <c r="X217" s="367"/>
      <c r="Y217" s="569">
        <f t="shared" si="61"/>
        <v>0</v>
      </c>
      <c r="Z217" s="567" t="s">
        <v>240</v>
      </c>
      <c r="AA217" s="809" t="s">
        <v>69</v>
      </c>
      <c r="AB217" s="567">
        <f>B217</f>
        <v>45732</v>
      </c>
    </row>
    <row r="218" spans="2:28" ht="16" thickBot="1" x14ac:dyDescent="0.25">
      <c r="B218" s="346"/>
      <c r="C218" s="347" t="s">
        <v>89</v>
      </c>
      <c r="D218" s="808"/>
      <c r="E218" s="347">
        <f t="shared" si="60"/>
        <v>0</v>
      </c>
      <c r="F218" s="356"/>
      <c r="G218" s="356"/>
      <c r="H218" s="351"/>
      <c r="I218" s="356"/>
      <c r="J218" s="351"/>
      <c r="K218" s="356"/>
      <c r="L218" s="351"/>
      <c r="M218" s="356"/>
      <c r="N218" s="356"/>
      <c r="O218" s="351"/>
      <c r="P218" s="356"/>
      <c r="Q218" s="351"/>
      <c r="R218" s="356"/>
      <c r="S218" s="356"/>
      <c r="T218" s="351"/>
      <c r="U218" s="356"/>
      <c r="V218" s="356"/>
      <c r="W218" s="356"/>
      <c r="X218" s="356"/>
      <c r="Y218" s="363">
        <f t="shared" si="61"/>
        <v>0</v>
      </c>
      <c r="Z218" s="347" t="s">
        <v>89</v>
      </c>
      <c r="AA218" s="808"/>
      <c r="AB218" s="347"/>
    </row>
    <row r="219" spans="2:28" ht="17" thickBot="1" x14ac:dyDescent="0.25">
      <c r="B219" s="348" t="s">
        <v>119</v>
      </c>
      <c r="C219" s="349"/>
      <c r="D219" s="344"/>
      <c r="E219" s="133">
        <f>SUM(E211,E209,E207,E205,E213,E215,E217)</f>
        <v>119435</v>
      </c>
      <c r="F219" s="349">
        <f t="shared" ref="F219:Y219" si="62">SUM(F205,F207,F209,F211,F213,F215,F217)</f>
        <v>20100</v>
      </c>
      <c r="G219" s="349">
        <f t="shared" si="62"/>
        <v>1200</v>
      </c>
      <c r="H219" s="352">
        <f t="shared" si="62"/>
        <v>13238.8</v>
      </c>
      <c r="I219" s="349">
        <f t="shared" si="62"/>
        <v>4800</v>
      </c>
      <c r="J219" s="352">
        <f t="shared" si="62"/>
        <v>3000</v>
      </c>
      <c r="K219" s="349">
        <f t="shared" si="62"/>
        <v>8197.2000000000007</v>
      </c>
      <c r="L219" s="352">
        <f t="shared" si="62"/>
        <v>7774</v>
      </c>
      <c r="M219" s="349">
        <f t="shared" si="62"/>
        <v>4200</v>
      </c>
      <c r="N219" s="349">
        <f t="shared" si="62"/>
        <v>27351.599999999999</v>
      </c>
      <c r="O219" s="352">
        <f t="shared" si="62"/>
        <v>0</v>
      </c>
      <c r="P219" s="349">
        <f t="shared" si="62"/>
        <v>0</v>
      </c>
      <c r="Q219" s="352">
        <f t="shared" si="62"/>
        <v>7350.8</v>
      </c>
      <c r="R219" s="349">
        <f t="shared" si="62"/>
        <v>5506.2</v>
      </c>
      <c r="S219" s="349">
        <f t="shared" si="62"/>
        <v>5506.2</v>
      </c>
      <c r="T219" s="352">
        <f t="shared" si="62"/>
        <v>5506.2</v>
      </c>
      <c r="U219" s="349">
        <f t="shared" si="62"/>
        <v>5704</v>
      </c>
      <c r="V219" s="349">
        <f t="shared" si="62"/>
        <v>0</v>
      </c>
      <c r="W219" s="349">
        <f t="shared" si="62"/>
        <v>0</v>
      </c>
      <c r="X219" s="349">
        <f t="shared" si="62"/>
        <v>0</v>
      </c>
      <c r="Y219" s="358">
        <f t="shared" si="62"/>
        <v>119435</v>
      </c>
      <c r="Z219" s="349"/>
      <c r="AA219" s="345"/>
      <c r="AB219" s="349" t="s">
        <v>119</v>
      </c>
    </row>
    <row r="220" spans="2:28" ht="17" thickBot="1" x14ac:dyDescent="0.25">
      <c r="B220" s="342" t="s">
        <v>120</v>
      </c>
      <c r="C220" s="343"/>
      <c r="D220" s="344"/>
      <c r="E220" s="134">
        <f>SUM(E206,E208,E210,E212,E214,E216,E218)</f>
        <v>4677</v>
      </c>
      <c r="F220" s="343">
        <f t="shared" ref="F220:Y220" si="63">(F206+F208+F210+F212+F214+F216+F218)</f>
        <v>2500</v>
      </c>
      <c r="G220" s="343">
        <f t="shared" si="63"/>
        <v>0</v>
      </c>
      <c r="H220" s="353">
        <f t="shared" si="63"/>
        <v>0</v>
      </c>
      <c r="I220" s="343">
        <f t="shared" si="63"/>
        <v>0</v>
      </c>
      <c r="J220" s="353">
        <f t="shared" si="63"/>
        <v>0</v>
      </c>
      <c r="K220" s="343">
        <f t="shared" si="63"/>
        <v>112.7</v>
      </c>
      <c r="L220" s="353">
        <f t="shared" si="63"/>
        <v>0</v>
      </c>
      <c r="M220" s="343">
        <f t="shared" si="63"/>
        <v>360</v>
      </c>
      <c r="N220" s="343">
        <f t="shared" si="63"/>
        <v>232.3</v>
      </c>
      <c r="O220" s="353">
        <f t="shared" si="63"/>
        <v>0</v>
      </c>
      <c r="P220" s="343">
        <f t="shared" si="63"/>
        <v>0</v>
      </c>
      <c r="Q220" s="353">
        <f t="shared" si="63"/>
        <v>450.8</v>
      </c>
      <c r="R220" s="343">
        <f t="shared" si="63"/>
        <v>683.1</v>
      </c>
      <c r="S220" s="343">
        <f t="shared" si="63"/>
        <v>338.1</v>
      </c>
      <c r="T220" s="353">
        <f t="shared" si="63"/>
        <v>0</v>
      </c>
      <c r="U220" s="343">
        <f t="shared" si="63"/>
        <v>0</v>
      </c>
      <c r="V220" s="343">
        <f t="shared" si="63"/>
        <v>0</v>
      </c>
      <c r="W220" s="343">
        <f t="shared" si="63"/>
        <v>0</v>
      </c>
      <c r="X220" s="343">
        <f t="shared" si="63"/>
        <v>0</v>
      </c>
      <c r="Y220" s="359">
        <f t="shared" si="63"/>
        <v>4677</v>
      </c>
      <c r="Z220" s="343"/>
      <c r="AA220" s="345"/>
      <c r="AB220" s="343" t="s">
        <v>120</v>
      </c>
    </row>
    <row r="221" spans="2:28" ht="17" thickBot="1" x14ac:dyDescent="0.25">
      <c r="B221" s="337" t="s">
        <v>121</v>
      </c>
      <c r="C221" s="338"/>
      <c r="D221" s="339"/>
      <c r="E221" s="340">
        <f>E219-E220</f>
        <v>114758</v>
      </c>
      <c r="F221" s="338">
        <f t="shared" ref="F221:M221" si="64">F219-F220</f>
        <v>17600</v>
      </c>
      <c r="G221" s="338">
        <f t="shared" si="64"/>
        <v>1200</v>
      </c>
      <c r="H221" s="357">
        <f t="shared" si="64"/>
        <v>13238.8</v>
      </c>
      <c r="I221" s="338">
        <f t="shared" si="64"/>
        <v>4800</v>
      </c>
      <c r="J221" s="357">
        <f t="shared" si="64"/>
        <v>3000</v>
      </c>
      <c r="K221" s="338">
        <f t="shared" si="64"/>
        <v>8084.5000000000009</v>
      </c>
      <c r="L221" s="357">
        <f t="shared" si="64"/>
        <v>7774</v>
      </c>
      <c r="M221" s="338">
        <f t="shared" si="64"/>
        <v>3840</v>
      </c>
      <c r="N221" s="338">
        <f>N219-N220</f>
        <v>27119.3</v>
      </c>
      <c r="O221" s="357">
        <f t="shared" ref="O221:W221" si="65">O219-O220</f>
        <v>0</v>
      </c>
      <c r="P221" s="338">
        <f t="shared" si="65"/>
        <v>0</v>
      </c>
      <c r="Q221" s="357">
        <f t="shared" si="65"/>
        <v>6900</v>
      </c>
      <c r="R221" s="338">
        <f t="shared" si="65"/>
        <v>4823.0999999999995</v>
      </c>
      <c r="S221" s="338">
        <f t="shared" si="65"/>
        <v>5168.0999999999995</v>
      </c>
      <c r="T221" s="357">
        <f t="shared" si="65"/>
        <v>5506.2</v>
      </c>
      <c r="U221" s="338">
        <f t="shared" si="65"/>
        <v>5704</v>
      </c>
      <c r="V221" s="338">
        <f t="shared" si="65"/>
        <v>0</v>
      </c>
      <c r="W221" s="338">
        <f t="shared" si="65"/>
        <v>0</v>
      </c>
      <c r="X221" s="338">
        <f>X219-X220</f>
        <v>0</v>
      </c>
      <c r="Y221" s="360">
        <f>Y219-Y220</f>
        <v>114758</v>
      </c>
      <c r="Z221" s="338"/>
      <c r="AA221" s="341"/>
      <c r="AB221" s="338" t="s">
        <v>121</v>
      </c>
    </row>
    <row r="222" spans="2:28" ht="16" thickBot="1" x14ac:dyDescent="0.25"/>
    <row r="223" spans="2:28" x14ac:dyDescent="0.2">
      <c r="B223" s="812" t="s">
        <v>76</v>
      </c>
      <c r="C223" s="812" t="s">
        <v>239</v>
      </c>
      <c r="D223" s="812" t="s">
        <v>83</v>
      </c>
      <c r="E223" s="812" t="s">
        <v>19</v>
      </c>
      <c r="F223" s="812" t="s">
        <v>118</v>
      </c>
      <c r="G223" s="812" t="s">
        <v>70</v>
      </c>
      <c r="H223" s="814" t="s">
        <v>401</v>
      </c>
      <c r="I223" s="812" t="s">
        <v>382</v>
      </c>
      <c r="J223" s="816" t="s">
        <v>200</v>
      </c>
      <c r="K223" s="812" t="s">
        <v>114</v>
      </c>
      <c r="L223" s="810" t="s">
        <v>402</v>
      </c>
      <c r="M223" s="812" t="s">
        <v>333</v>
      </c>
      <c r="N223" s="812" t="s">
        <v>204</v>
      </c>
      <c r="O223" s="810" t="s">
        <v>75</v>
      </c>
      <c r="P223" s="812" t="s">
        <v>278</v>
      </c>
      <c r="Q223" s="810" t="s">
        <v>116</v>
      </c>
      <c r="R223" s="812" t="s">
        <v>331</v>
      </c>
      <c r="S223" s="812" t="s">
        <v>73</v>
      </c>
      <c r="T223" s="810" t="s">
        <v>112</v>
      </c>
      <c r="U223" s="812" t="s">
        <v>72</v>
      </c>
      <c r="V223" s="812" t="s">
        <v>425</v>
      </c>
      <c r="W223" s="812" t="s">
        <v>399</v>
      </c>
      <c r="X223" s="812" t="s">
        <v>400</v>
      </c>
      <c r="Y223" s="812" t="s">
        <v>19</v>
      </c>
      <c r="Z223" s="812" t="s">
        <v>239</v>
      </c>
      <c r="AA223" s="812" t="s">
        <v>83</v>
      </c>
      <c r="AB223" s="812" t="s">
        <v>76</v>
      </c>
    </row>
    <row r="224" spans="2:28" ht="16" thickBot="1" x14ac:dyDescent="0.25">
      <c r="B224" s="813"/>
      <c r="C224" s="813"/>
      <c r="D224" s="813"/>
      <c r="E224" s="813"/>
      <c r="F224" s="813"/>
      <c r="G224" s="813"/>
      <c r="H224" s="815"/>
      <c r="I224" s="813"/>
      <c r="J224" s="817"/>
      <c r="K224" s="813"/>
      <c r="L224" s="811"/>
      <c r="M224" s="813"/>
      <c r="N224" s="813"/>
      <c r="O224" s="811"/>
      <c r="P224" s="813"/>
      <c r="Q224" s="811"/>
      <c r="R224" s="813"/>
      <c r="S224" s="813"/>
      <c r="T224" s="811"/>
      <c r="U224" s="813"/>
      <c r="V224" s="813"/>
      <c r="W224" s="813"/>
      <c r="X224" s="813"/>
      <c r="Y224" s="813"/>
      <c r="Z224" s="813"/>
      <c r="AA224" s="813"/>
      <c r="AB224" s="813"/>
    </row>
    <row r="225" spans="2:28" ht="16" thickBot="1" x14ac:dyDescent="0.25">
      <c r="B225" s="332">
        <v>45733</v>
      </c>
      <c r="C225" s="334" t="s">
        <v>240</v>
      </c>
      <c r="D225" s="807" t="s">
        <v>63</v>
      </c>
      <c r="E225" s="335">
        <f t="shared" ref="E225:E238" si="66">SUM(F225:X225)</f>
        <v>34043.599999999999</v>
      </c>
      <c r="F225" s="362">
        <v>6700</v>
      </c>
      <c r="G225" s="362">
        <v>1440</v>
      </c>
      <c r="H225" s="361">
        <v>4112.3999999999996</v>
      </c>
      <c r="I225" s="362"/>
      <c r="J225" s="361">
        <v>3000</v>
      </c>
      <c r="K225" s="362">
        <v>2732.4</v>
      </c>
      <c r="L225" s="361">
        <v>2732.4</v>
      </c>
      <c r="M225" s="362">
        <v>4200</v>
      </c>
      <c r="N225" s="354">
        <v>9126.4</v>
      </c>
      <c r="O225" s="361"/>
      <c r="P225" s="362"/>
      <c r="Q225" s="361"/>
      <c r="R225" s="362"/>
      <c r="S225" s="354"/>
      <c r="T225" s="361"/>
      <c r="U225" s="362"/>
      <c r="V225" s="362"/>
      <c r="W225" s="362"/>
      <c r="X225" s="362"/>
      <c r="Y225" s="349">
        <f t="shared" ref="Y225:Y238" si="67">SUM(F225:X225)</f>
        <v>34043.599999999999</v>
      </c>
      <c r="Z225" s="334" t="s">
        <v>240</v>
      </c>
      <c r="AA225" s="807" t="s">
        <v>63</v>
      </c>
      <c r="AB225" s="333">
        <f>B225</f>
        <v>45733</v>
      </c>
    </row>
    <row r="226" spans="2:28" ht="16" thickBot="1" x14ac:dyDescent="0.25">
      <c r="B226" s="346"/>
      <c r="C226" s="347" t="s">
        <v>89</v>
      </c>
      <c r="D226" s="809"/>
      <c r="E226" s="347">
        <f t="shared" si="66"/>
        <v>2430.4</v>
      </c>
      <c r="F226" s="356"/>
      <c r="G226" s="356"/>
      <c r="H226" s="351"/>
      <c r="I226" s="356"/>
      <c r="J226" s="351"/>
      <c r="K226" s="356">
        <v>570.4</v>
      </c>
      <c r="L226" s="351">
        <v>232.3</v>
      </c>
      <c r="M226" s="355">
        <f>4*120</f>
        <v>480</v>
      </c>
      <c r="N226" s="355">
        <v>1147.7</v>
      </c>
      <c r="O226" s="364"/>
      <c r="P226" s="356"/>
      <c r="Q226" s="351"/>
      <c r="R226" s="355"/>
      <c r="S226" s="365"/>
      <c r="T226" s="364"/>
      <c r="U226" s="365"/>
      <c r="V226" s="365"/>
      <c r="W226" s="365"/>
      <c r="X226" s="356"/>
      <c r="Y226" s="366">
        <f t="shared" si="67"/>
        <v>2430.4</v>
      </c>
      <c r="Z226" s="347" t="s">
        <v>89</v>
      </c>
      <c r="AA226" s="809"/>
      <c r="AB226" s="347"/>
    </row>
    <row r="227" spans="2:28" ht="16" thickBot="1" x14ac:dyDescent="0.25">
      <c r="B227" s="368">
        <v>45734</v>
      </c>
      <c r="C227" s="333" t="s">
        <v>240</v>
      </c>
      <c r="D227" s="807" t="s">
        <v>64</v>
      </c>
      <c r="E227" s="132">
        <f t="shared" si="66"/>
        <v>29122.600000000002</v>
      </c>
      <c r="F227" s="354"/>
      <c r="G227" s="354"/>
      <c r="H227" s="369"/>
      <c r="I227" s="354"/>
      <c r="J227" s="369"/>
      <c r="K227" s="354"/>
      <c r="L227" s="369"/>
      <c r="M227" s="354"/>
      <c r="N227" s="354"/>
      <c r="O227" s="369"/>
      <c r="P227" s="354"/>
      <c r="Q227" s="369">
        <v>6900</v>
      </c>
      <c r="R227" s="354">
        <v>5506.2</v>
      </c>
      <c r="S227" s="354">
        <v>5506.2</v>
      </c>
      <c r="T227" s="369">
        <v>5506.2</v>
      </c>
      <c r="U227" s="354">
        <v>5704</v>
      </c>
      <c r="V227" s="354"/>
      <c r="W227" s="354"/>
      <c r="X227" s="354"/>
      <c r="Y227" s="349">
        <f t="shared" si="67"/>
        <v>29122.600000000002</v>
      </c>
      <c r="Z227" s="333" t="s">
        <v>240</v>
      </c>
      <c r="AA227" s="807" t="s">
        <v>64</v>
      </c>
      <c r="AB227" s="333">
        <f>B227</f>
        <v>45734</v>
      </c>
    </row>
    <row r="228" spans="2:28" ht="16" thickBot="1" x14ac:dyDescent="0.25">
      <c r="B228" s="336"/>
      <c r="C228" s="131" t="s">
        <v>89</v>
      </c>
      <c r="D228" s="808"/>
      <c r="E228" s="131">
        <f t="shared" si="66"/>
        <v>2964.7</v>
      </c>
      <c r="F228" s="370"/>
      <c r="G228" s="370"/>
      <c r="H228" s="371"/>
      <c r="I228" s="370"/>
      <c r="J228" s="371"/>
      <c r="K228" s="370"/>
      <c r="L228" s="371"/>
      <c r="M228" s="370"/>
      <c r="N228" s="370"/>
      <c r="O228" s="371"/>
      <c r="P228" s="370"/>
      <c r="Q228" s="371">
        <v>345</v>
      </c>
      <c r="R228" s="370">
        <v>1584.7</v>
      </c>
      <c r="S228" s="370">
        <v>1035</v>
      </c>
      <c r="T228" s="371"/>
      <c r="U228" s="370"/>
      <c r="V228" s="370"/>
      <c r="W228" s="370"/>
      <c r="X228" s="370"/>
      <c r="Y228" s="343">
        <f t="shared" si="67"/>
        <v>2964.7</v>
      </c>
      <c r="Z228" s="131" t="s">
        <v>89</v>
      </c>
      <c r="AA228" s="808"/>
      <c r="AB228" s="131"/>
    </row>
    <row r="229" spans="2:28" ht="16" thickBot="1" x14ac:dyDescent="0.25">
      <c r="B229" s="332">
        <v>45735</v>
      </c>
      <c r="C229" s="334" t="s">
        <v>240</v>
      </c>
      <c r="D229" s="809" t="s">
        <v>65</v>
      </c>
      <c r="E229" s="335">
        <f t="shared" si="66"/>
        <v>21171.200000000001</v>
      </c>
      <c r="F229" s="367">
        <v>5200</v>
      </c>
      <c r="G229" s="367"/>
      <c r="H229" s="350">
        <v>3661.6</v>
      </c>
      <c r="I229" s="367"/>
      <c r="J229" s="350"/>
      <c r="K229" s="367">
        <v>2732.4</v>
      </c>
      <c r="L229" s="350">
        <v>2281.6</v>
      </c>
      <c r="M229" s="367"/>
      <c r="N229" s="367">
        <v>7295.6</v>
      </c>
      <c r="O229" s="350"/>
      <c r="P229" s="367"/>
      <c r="Q229" s="350"/>
      <c r="R229" s="367"/>
      <c r="S229" s="367"/>
      <c r="T229" s="350"/>
      <c r="U229" s="367"/>
      <c r="V229" s="367"/>
      <c r="W229" s="367"/>
      <c r="X229" s="367"/>
      <c r="Y229" s="338">
        <f t="shared" si="67"/>
        <v>21171.200000000001</v>
      </c>
      <c r="Z229" s="334" t="s">
        <v>240</v>
      </c>
      <c r="AA229" s="809" t="s">
        <v>65</v>
      </c>
      <c r="AB229" s="334">
        <f>B229</f>
        <v>45735</v>
      </c>
    </row>
    <row r="230" spans="2:28" ht="16" thickBot="1" x14ac:dyDescent="0.25">
      <c r="B230" s="346"/>
      <c r="C230" s="347" t="s">
        <v>89</v>
      </c>
      <c r="D230" s="809"/>
      <c r="E230" s="347">
        <f t="shared" si="66"/>
        <v>1409.3</v>
      </c>
      <c r="F230" s="356"/>
      <c r="G230" s="356"/>
      <c r="H230" s="351"/>
      <c r="I230" s="356"/>
      <c r="J230" s="351"/>
      <c r="K230" s="356"/>
      <c r="L230" s="351">
        <v>457.7</v>
      </c>
      <c r="M230" s="356"/>
      <c r="N230" s="356">
        <v>951.6</v>
      </c>
      <c r="O230" s="351"/>
      <c r="P230" s="356"/>
      <c r="Q230" s="351"/>
      <c r="R230" s="356"/>
      <c r="S230" s="356"/>
      <c r="T230" s="351"/>
      <c r="U230" s="356"/>
      <c r="V230" s="356"/>
      <c r="W230" s="356"/>
      <c r="X230" s="356"/>
      <c r="Y230" s="366">
        <f t="shared" si="67"/>
        <v>1409.3</v>
      </c>
      <c r="Z230" s="347" t="s">
        <v>89</v>
      </c>
      <c r="AA230" s="809"/>
      <c r="AB230" s="347"/>
    </row>
    <row r="231" spans="2:28" ht="16" thickBot="1" x14ac:dyDescent="0.25">
      <c r="B231" s="562">
        <v>45736</v>
      </c>
      <c r="C231" s="563" t="s">
        <v>240</v>
      </c>
      <c r="D231" s="807" t="s">
        <v>66</v>
      </c>
      <c r="E231" s="564">
        <f t="shared" si="66"/>
        <v>3668.5</v>
      </c>
      <c r="F231" s="372"/>
      <c r="G231" s="372"/>
      <c r="H231" s="373"/>
      <c r="I231" s="372"/>
      <c r="J231" s="373"/>
      <c r="K231" s="372"/>
      <c r="L231" s="373"/>
      <c r="M231" s="372"/>
      <c r="N231" s="372"/>
      <c r="O231" s="373"/>
      <c r="P231" s="372"/>
      <c r="Q231" s="373"/>
      <c r="R231" s="372"/>
      <c r="S231" s="372"/>
      <c r="T231" s="373"/>
      <c r="U231" s="372"/>
      <c r="V231" s="372"/>
      <c r="W231" s="372">
        <v>3668.5</v>
      </c>
      <c r="X231" s="372"/>
      <c r="Y231" s="565">
        <f t="shared" si="67"/>
        <v>3668.5</v>
      </c>
      <c r="Z231" s="563" t="s">
        <v>240</v>
      </c>
      <c r="AA231" s="807" t="s">
        <v>66</v>
      </c>
      <c r="AB231" s="563">
        <f>B231</f>
        <v>45736</v>
      </c>
    </row>
    <row r="232" spans="2:28" ht="16" thickBot="1" x14ac:dyDescent="0.25">
      <c r="B232" s="336"/>
      <c r="C232" s="131" t="s">
        <v>89</v>
      </c>
      <c r="D232" s="808"/>
      <c r="E232" s="131">
        <f t="shared" si="66"/>
        <v>0</v>
      </c>
      <c r="F232" s="370"/>
      <c r="G232" s="370"/>
      <c r="H232" s="371"/>
      <c r="I232" s="370"/>
      <c r="J232" s="371"/>
      <c r="K232" s="370"/>
      <c r="L232" s="371"/>
      <c r="M232" s="370"/>
      <c r="N232" s="370"/>
      <c r="O232" s="371"/>
      <c r="P232" s="370"/>
      <c r="Q232" s="371"/>
      <c r="R232" s="370"/>
      <c r="S232" s="370"/>
      <c r="T232" s="371"/>
      <c r="U232" s="370"/>
      <c r="V232" s="370"/>
      <c r="W232" s="370"/>
      <c r="X232" s="370"/>
      <c r="Y232" s="343">
        <f t="shared" si="67"/>
        <v>0</v>
      </c>
      <c r="Z232" s="131" t="s">
        <v>89</v>
      </c>
      <c r="AA232" s="808"/>
      <c r="AB232" s="131"/>
    </row>
    <row r="233" spans="2:28" ht="16" thickBot="1" x14ac:dyDescent="0.25">
      <c r="B233" s="566">
        <v>45737</v>
      </c>
      <c r="C233" s="567" t="s">
        <v>240</v>
      </c>
      <c r="D233" s="809" t="s">
        <v>67</v>
      </c>
      <c r="E233" s="568">
        <f t="shared" si="66"/>
        <v>34646</v>
      </c>
      <c r="F233" s="367">
        <v>8050</v>
      </c>
      <c r="G233" s="367"/>
      <c r="H233" s="350">
        <v>5943.2</v>
      </c>
      <c r="I233" s="367">
        <v>2400</v>
      </c>
      <c r="J233" s="350"/>
      <c r="K233" s="367">
        <v>3183.2</v>
      </c>
      <c r="L233" s="350">
        <v>3661.6</v>
      </c>
      <c r="M233" s="367"/>
      <c r="N233" s="367">
        <v>11408</v>
      </c>
      <c r="O233" s="350"/>
      <c r="P233" s="367"/>
      <c r="Q233" s="350"/>
      <c r="R233" s="367"/>
      <c r="S233" s="367"/>
      <c r="T233" s="350"/>
      <c r="U233" s="367"/>
      <c r="V233" s="367"/>
      <c r="W233" s="367"/>
      <c r="X233" s="367"/>
      <c r="Y233" s="569">
        <f t="shared" si="67"/>
        <v>34646</v>
      </c>
      <c r="Z233" s="567" t="s">
        <v>240</v>
      </c>
      <c r="AA233" s="809" t="s">
        <v>67</v>
      </c>
      <c r="AB233" s="567">
        <f>B233</f>
        <v>45737</v>
      </c>
    </row>
    <row r="234" spans="2:28" ht="16" thickBot="1" x14ac:dyDescent="0.25">
      <c r="B234" s="346"/>
      <c r="C234" s="347" t="s">
        <v>89</v>
      </c>
      <c r="D234" s="809"/>
      <c r="E234" s="347">
        <f t="shared" si="66"/>
        <v>2182.7000000000003</v>
      </c>
      <c r="F234" s="355">
        <v>900</v>
      </c>
      <c r="G234" s="355"/>
      <c r="H234" s="351"/>
      <c r="I234" s="355">
        <v>480</v>
      </c>
      <c r="J234" s="351"/>
      <c r="K234" s="355">
        <v>570.4</v>
      </c>
      <c r="L234" s="351"/>
      <c r="M234" s="356"/>
      <c r="N234" s="356">
        <v>232.3</v>
      </c>
      <c r="O234" s="351"/>
      <c r="P234" s="356"/>
      <c r="Q234" s="351"/>
      <c r="R234" s="356"/>
      <c r="S234" s="356"/>
      <c r="T234" s="351"/>
      <c r="U234" s="356"/>
      <c r="V234" s="356"/>
      <c r="W234" s="356"/>
      <c r="X234" s="356"/>
      <c r="Y234" s="366">
        <f t="shared" si="67"/>
        <v>2182.7000000000003</v>
      </c>
      <c r="Z234" s="347" t="s">
        <v>89</v>
      </c>
      <c r="AA234" s="809"/>
      <c r="AB234" s="347"/>
    </row>
    <row r="235" spans="2:28" ht="16" thickBot="1" x14ac:dyDescent="0.25">
      <c r="B235" s="368">
        <v>45738</v>
      </c>
      <c r="C235" s="333" t="s">
        <v>240</v>
      </c>
      <c r="D235" s="807" t="s">
        <v>68</v>
      </c>
      <c r="E235" s="132">
        <f t="shared" si="66"/>
        <v>0</v>
      </c>
      <c r="F235" s="372"/>
      <c r="G235" s="372"/>
      <c r="H235" s="373"/>
      <c r="I235" s="372"/>
      <c r="J235" s="373"/>
      <c r="K235" s="372"/>
      <c r="L235" s="373"/>
      <c r="M235" s="372"/>
      <c r="N235" s="372"/>
      <c r="O235" s="373"/>
      <c r="P235" s="372"/>
      <c r="Q235" s="373"/>
      <c r="R235" s="372"/>
      <c r="S235" s="372"/>
      <c r="T235" s="373"/>
      <c r="U235" s="372"/>
      <c r="V235" s="372"/>
      <c r="W235" s="372"/>
      <c r="X235" s="372"/>
      <c r="Y235" s="349">
        <f t="shared" si="67"/>
        <v>0</v>
      </c>
      <c r="Z235" s="333" t="s">
        <v>240</v>
      </c>
      <c r="AA235" s="807" t="s">
        <v>68</v>
      </c>
      <c r="AB235" s="333">
        <f>B235</f>
        <v>45738</v>
      </c>
    </row>
    <row r="236" spans="2:28" ht="16" thickBot="1" x14ac:dyDescent="0.25">
      <c r="B236" s="336"/>
      <c r="C236" s="131" t="s">
        <v>89</v>
      </c>
      <c r="D236" s="808"/>
      <c r="E236" s="131">
        <f t="shared" si="66"/>
        <v>0</v>
      </c>
      <c r="F236" s="370"/>
      <c r="G236" s="370"/>
      <c r="H236" s="371"/>
      <c r="I236" s="370"/>
      <c r="J236" s="371"/>
      <c r="K236" s="370"/>
      <c r="L236" s="371"/>
      <c r="M236" s="370"/>
      <c r="N236" s="370"/>
      <c r="O236" s="371"/>
      <c r="P236" s="370"/>
      <c r="Q236" s="371"/>
      <c r="R236" s="370"/>
      <c r="S236" s="370"/>
      <c r="T236" s="371"/>
      <c r="U236" s="370"/>
      <c r="V236" s="370"/>
      <c r="W236" s="370"/>
      <c r="X236" s="370"/>
      <c r="Y236" s="343">
        <f t="shared" si="67"/>
        <v>0</v>
      </c>
      <c r="Z236" s="131" t="s">
        <v>89</v>
      </c>
      <c r="AA236" s="808"/>
      <c r="AB236" s="131"/>
    </row>
    <row r="237" spans="2:28" ht="16" thickBot="1" x14ac:dyDescent="0.25">
      <c r="B237" s="566">
        <v>45739</v>
      </c>
      <c r="C237" s="567" t="s">
        <v>240</v>
      </c>
      <c r="D237" s="809" t="s">
        <v>69</v>
      </c>
      <c r="E237" s="568">
        <f t="shared" si="66"/>
        <v>0</v>
      </c>
      <c r="F237" s="367"/>
      <c r="G237" s="367"/>
      <c r="H237" s="350"/>
      <c r="I237" s="367"/>
      <c r="J237" s="350"/>
      <c r="K237" s="367"/>
      <c r="L237" s="350"/>
      <c r="M237" s="367"/>
      <c r="N237" s="367"/>
      <c r="O237" s="350"/>
      <c r="P237" s="367"/>
      <c r="Q237" s="350"/>
      <c r="R237" s="367"/>
      <c r="S237" s="367"/>
      <c r="T237" s="350"/>
      <c r="U237" s="367"/>
      <c r="V237" s="367"/>
      <c r="W237" s="367"/>
      <c r="X237" s="367"/>
      <c r="Y237" s="569">
        <f t="shared" si="67"/>
        <v>0</v>
      </c>
      <c r="Z237" s="567" t="s">
        <v>240</v>
      </c>
      <c r="AA237" s="809" t="s">
        <v>69</v>
      </c>
      <c r="AB237" s="567">
        <f>B237</f>
        <v>45739</v>
      </c>
    </row>
    <row r="238" spans="2:28" ht="16" thickBot="1" x14ac:dyDescent="0.25">
      <c r="B238" s="346"/>
      <c r="C238" s="347" t="s">
        <v>89</v>
      </c>
      <c r="D238" s="808"/>
      <c r="E238" s="347">
        <f t="shared" si="66"/>
        <v>0</v>
      </c>
      <c r="F238" s="356"/>
      <c r="G238" s="356"/>
      <c r="H238" s="351"/>
      <c r="I238" s="356"/>
      <c r="J238" s="351"/>
      <c r="K238" s="356"/>
      <c r="L238" s="351"/>
      <c r="M238" s="356"/>
      <c r="N238" s="356"/>
      <c r="O238" s="351"/>
      <c r="P238" s="356"/>
      <c r="Q238" s="351"/>
      <c r="R238" s="356"/>
      <c r="S238" s="356"/>
      <c r="T238" s="351"/>
      <c r="U238" s="356"/>
      <c r="V238" s="356"/>
      <c r="W238" s="356"/>
      <c r="X238" s="356"/>
      <c r="Y238" s="363">
        <f t="shared" si="67"/>
        <v>0</v>
      </c>
      <c r="Z238" s="347" t="s">
        <v>89</v>
      </c>
      <c r="AA238" s="808"/>
      <c r="AB238" s="347"/>
    </row>
    <row r="239" spans="2:28" ht="17" thickBot="1" x14ac:dyDescent="0.25">
      <c r="B239" s="348" t="s">
        <v>119</v>
      </c>
      <c r="C239" s="349"/>
      <c r="D239" s="344"/>
      <c r="E239" s="133">
        <f>SUM(E231,E229,E227,E225,E233,E235,E237)</f>
        <v>122651.9</v>
      </c>
      <c r="F239" s="349">
        <f t="shared" ref="F239:Y239" si="68">SUM(F225,F227,F229,F231,F233,F235,F237)</f>
        <v>19950</v>
      </c>
      <c r="G239" s="349">
        <f t="shared" si="68"/>
        <v>1440</v>
      </c>
      <c r="H239" s="352">
        <f t="shared" si="68"/>
        <v>13717.2</v>
      </c>
      <c r="I239" s="349">
        <f t="shared" si="68"/>
        <v>2400</v>
      </c>
      <c r="J239" s="352">
        <f t="shared" si="68"/>
        <v>3000</v>
      </c>
      <c r="K239" s="349">
        <f t="shared" si="68"/>
        <v>8648</v>
      </c>
      <c r="L239" s="352">
        <f t="shared" si="68"/>
        <v>8675.6</v>
      </c>
      <c r="M239" s="349">
        <f t="shared" si="68"/>
        <v>4200</v>
      </c>
      <c r="N239" s="349">
        <f t="shared" si="68"/>
        <v>27830</v>
      </c>
      <c r="O239" s="352">
        <f t="shared" si="68"/>
        <v>0</v>
      </c>
      <c r="P239" s="349">
        <f t="shared" si="68"/>
        <v>0</v>
      </c>
      <c r="Q239" s="352">
        <f t="shared" si="68"/>
        <v>6900</v>
      </c>
      <c r="R239" s="349">
        <f t="shared" si="68"/>
        <v>5506.2</v>
      </c>
      <c r="S239" s="349">
        <f t="shared" si="68"/>
        <v>5506.2</v>
      </c>
      <c r="T239" s="352">
        <f t="shared" si="68"/>
        <v>5506.2</v>
      </c>
      <c r="U239" s="349">
        <f t="shared" si="68"/>
        <v>5704</v>
      </c>
      <c r="V239" s="349">
        <f t="shared" si="68"/>
        <v>0</v>
      </c>
      <c r="W239" s="349">
        <f t="shared" si="68"/>
        <v>3668.5</v>
      </c>
      <c r="X239" s="349">
        <f t="shared" si="68"/>
        <v>0</v>
      </c>
      <c r="Y239" s="358">
        <f t="shared" si="68"/>
        <v>122651.9</v>
      </c>
      <c r="Z239" s="349"/>
      <c r="AA239" s="345"/>
      <c r="AB239" s="349" t="s">
        <v>119</v>
      </c>
    </row>
    <row r="240" spans="2:28" ht="17" thickBot="1" x14ac:dyDescent="0.25">
      <c r="B240" s="342" t="s">
        <v>120</v>
      </c>
      <c r="C240" s="343"/>
      <c r="D240" s="344"/>
      <c r="E240" s="134">
        <f>SUM(E226,E228,E230,E232,E234,E236,E238)</f>
        <v>8987.1</v>
      </c>
      <c r="F240" s="343">
        <f t="shared" ref="F240:Y240" si="69">(F226+F228+F230+F232+F234+F236+F238)</f>
        <v>900</v>
      </c>
      <c r="G240" s="343">
        <f t="shared" si="69"/>
        <v>0</v>
      </c>
      <c r="H240" s="353">
        <f t="shared" si="69"/>
        <v>0</v>
      </c>
      <c r="I240" s="343">
        <f t="shared" si="69"/>
        <v>480</v>
      </c>
      <c r="J240" s="353">
        <f t="shared" si="69"/>
        <v>0</v>
      </c>
      <c r="K240" s="343">
        <f t="shared" si="69"/>
        <v>1140.8</v>
      </c>
      <c r="L240" s="353">
        <f t="shared" si="69"/>
        <v>690</v>
      </c>
      <c r="M240" s="343">
        <f t="shared" si="69"/>
        <v>480</v>
      </c>
      <c r="N240" s="343">
        <f t="shared" si="69"/>
        <v>2331.6000000000004</v>
      </c>
      <c r="O240" s="353">
        <f t="shared" si="69"/>
        <v>0</v>
      </c>
      <c r="P240" s="343">
        <f t="shared" si="69"/>
        <v>0</v>
      </c>
      <c r="Q240" s="353">
        <f t="shared" si="69"/>
        <v>345</v>
      </c>
      <c r="R240" s="343">
        <f t="shared" si="69"/>
        <v>1584.7</v>
      </c>
      <c r="S240" s="343">
        <f t="shared" si="69"/>
        <v>1035</v>
      </c>
      <c r="T240" s="353">
        <f t="shared" si="69"/>
        <v>0</v>
      </c>
      <c r="U240" s="343">
        <f t="shared" si="69"/>
        <v>0</v>
      </c>
      <c r="V240" s="343">
        <f t="shared" si="69"/>
        <v>0</v>
      </c>
      <c r="W240" s="343">
        <f t="shared" si="69"/>
        <v>0</v>
      </c>
      <c r="X240" s="343">
        <f t="shared" si="69"/>
        <v>0</v>
      </c>
      <c r="Y240" s="359">
        <f t="shared" si="69"/>
        <v>8987.1</v>
      </c>
      <c r="Z240" s="343"/>
      <c r="AA240" s="345"/>
      <c r="AB240" s="343" t="s">
        <v>120</v>
      </c>
    </row>
    <row r="241" spans="2:28" ht="17" thickBot="1" x14ac:dyDescent="0.25">
      <c r="B241" s="337" t="s">
        <v>121</v>
      </c>
      <c r="C241" s="338"/>
      <c r="D241" s="339"/>
      <c r="E241" s="340">
        <f>E239-E240</f>
        <v>113664.79999999999</v>
      </c>
      <c r="F241" s="338">
        <f t="shared" ref="F241:M241" si="70">F239-F240</f>
        <v>19050</v>
      </c>
      <c r="G241" s="338">
        <f t="shared" si="70"/>
        <v>1440</v>
      </c>
      <c r="H241" s="357">
        <f t="shared" si="70"/>
        <v>13717.2</v>
      </c>
      <c r="I241" s="338">
        <f t="shared" si="70"/>
        <v>1920</v>
      </c>
      <c r="J241" s="357">
        <f t="shared" si="70"/>
        <v>3000</v>
      </c>
      <c r="K241" s="338">
        <f t="shared" si="70"/>
        <v>7507.2</v>
      </c>
      <c r="L241" s="357">
        <f t="shared" si="70"/>
        <v>7985.6</v>
      </c>
      <c r="M241" s="338">
        <f t="shared" si="70"/>
        <v>3720</v>
      </c>
      <c r="N241" s="338">
        <f>N239-N240</f>
        <v>25498.400000000001</v>
      </c>
      <c r="O241" s="357">
        <f t="shared" ref="O241:W241" si="71">O239-O240</f>
        <v>0</v>
      </c>
      <c r="P241" s="338">
        <f t="shared" si="71"/>
        <v>0</v>
      </c>
      <c r="Q241" s="357">
        <f t="shared" si="71"/>
        <v>6555</v>
      </c>
      <c r="R241" s="338">
        <f t="shared" si="71"/>
        <v>3921.5</v>
      </c>
      <c r="S241" s="338">
        <f t="shared" si="71"/>
        <v>4471.2</v>
      </c>
      <c r="T241" s="357">
        <f t="shared" si="71"/>
        <v>5506.2</v>
      </c>
      <c r="U241" s="338">
        <f t="shared" si="71"/>
        <v>5704</v>
      </c>
      <c r="V241" s="338">
        <f t="shared" si="71"/>
        <v>0</v>
      </c>
      <c r="W241" s="338">
        <f t="shared" si="71"/>
        <v>3668.5</v>
      </c>
      <c r="X241" s="338">
        <f>X239-X240</f>
        <v>0</v>
      </c>
      <c r="Y241" s="360">
        <f>Y239-Y240</f>
        <v>113664.79999999999</v>
      </c>
      <c r="Z241" s="338"/>
      <c r="AA241" s="341"/>
      <c r="AB241" s="338" t="s">
        <v>121</v>
      </c>
    </row>
    <row r="242" spans="2:28" ht="16" thickBot="1" x14ac:dyDescent="0.25"/>
    <row r="243" spans="2:28" x14ac:dyDescent="0.2">
      <c r="B243" s="812" t="s">
        <v>76</v>
      </c>
      <c r="C243" s="812" t="s">
        <v>239</v>
      </c>
      <c r="D243" s="812" t="s">
        <v>83</v>
      </c>
      <c r="E243" s="812" t="s">
        <v>19</v>
      </c>
      <c r="F243" s="812" t="s">
        <v>118</v>
      </c>
      <c r="G243" s="812" t="s">
        <v>70</v>
      </c>
      <c r="H243" s="814" t="s">
        <v>401</v>
      </c>
      <c r="I243" s="812" t="s">
        <v>382</v>
      </c>
      <c r="J243" s="816" t="s">
        <v>200</v>
      </c>
      <c r="K243" s="812" t="s">
        <v>114</v>
      </c>
      <c r="L243" s="810" t="s">
        <v>402</v>
      </c>
      <c r="M243" s="812" t="s">
        <v>333</v>
      </c>
      <c r="N243" s="812" t="s">
        <v>204</v>
      </c>
      <c r="O243" s="810" t="s">
        <v>75</v>
      </c>
      <c r="P243" s="812" t="s">
        <v>278</v>
      </c>
      <c r="Q243" s="810" t="s">
        <v>116</v>
      </c>
      <c r="R243" s="812" t="s">
        <v>331</v>
      </c>
      <c r="S243" s="812" t="s">
        <v>73</v>
      </c>
      <c r="T243" s="810" t="s">
        <v>112</v>
      </c>
      <c r="U243" s="812" t="s">
        <v>72</v>
      </c>
      <c r="V243" s="812" t="s">
        <v>425</v>
      </c>
      <c r="W243" s="812" t="s">
        <v>399</v>
      </c>
      <c r="X243" s="812" t="s">
        <v>400</v>
      </c>
      <c r="Y243" s="812" t="s">
        <v>19</v>
      </c>
      <c r="Z243" s="812" t="s">
        <v>239</v>
      </c>
      <c r="AA243" s="812" t="s">
        <v>83</v>
      </c>
      <c r="AB243" s="812" t="s">
        <v>76</v>
      </c>
    </row>
    <row r="244" spans="2:28" ht="16" thickBot="1" x14ac:dyDescent="0.25">
      <c r="B244" s="813"/>
      <c r="C244" s="813"/>
      <c r="D244" s="813"/>
      <c r="E244" s="813"/>
      <c r="F244" s="813"/>
      <c r="G244" s="813"/>
      <c r="H244" s="815"/>
      <c r="I244" s="813"/>
      <c r="J244" s="817"/>
      <c r="K244" s="813"/>
      <c r="L244" s="811"/>
      <c r="M244" s="813"/>
      <c r="N244" s="813"/>
      <c r="O244" s="811"/>
      <c r="P244" s="813"/>
      <c r="Q244" s="811"/>
      <c r="R244" s="813"/>
      <c r="S244" s="813"/>
      <c r="T244" s="811"/>
      <c r="U244" s="813"/>
      <c r="V244" s="813"/>
      <c r="W244" s="813"/>
      <c r="X244" s="813"/>
      <c r="Y244" s="813"/>
      <c r="Z244" s="813"/>
      <c r="AA244" s="813"/>
      <c r="AB244" s="813"/>
    </row>
    <row r="245" spans="2:28" ht="16" thickBot="1" x14ac:dyDescent="0.25">
      <c r="B245" s="332">
        <v>45740</v>
      </c>
      <c r="C245" s="334" t="s">
        <v>240</v>
      </c>
      <c r="D245" s="807" t="s">
        <v>63</v>
      </c>
      <c r="E245" s="335">
        <f t="shared" ref="E245:E258" si="72">SUM(F245:X245)</f>
        <v>29924.799999999999</v>
      </c>
      <c r="F245" s="362">
        <v>6000</v>
      </c>
      <c r="G245" s="362"/>
      <c r="H245" s="361">
        <v>3661.6</v>
      </c>
      <c r="I245" s="362"/>
      <c r="J245" s="361"/>
      <c r="K245" s="362">
        <v>2732.4</v>
      </c>
      <c r="L245" s="361">
        <v>2281.6</v>
      </c>
      <c r="M245" s="362">
        <v>4200</v>
      </c>
      <c r="N245" s="354">
        <v>11049.2</v>
      </c>
      <c r="O245" s="361"/>
      <c r="P245" s="362"/>
      <c r="Q245" s="361"/>
      <c r="R245" s="362"/>
      <c r="S245" s="354"/>
      <c r="T245" s="361"/>
      <c r="U245" s="362"/>
      <c r="V245" s="362"/>
      <c r="W245" s="362"/>
      <c r="X245" s="362"/>
      <c r="Y245" s="349">
        <f t="shared" ref="Y245:Y258" si="73">SUM(F245:X245)</f>
        <v>29924.799999999999</v>
      </c>
      <c r="Z245" s="334" t="s">
        <v>240</v>
      </c>
      <c r="AA245" s="807" t="s">
        <v>63</v>
      </c>
      <c r="AB245" s="333">
        <f>B245</f>
        <v>45740</v>
      </c>
    </row>
    <row r="246" spans="2:28" ht="16" thickBot="1" x14ac:dyDescent="0.25">
      <c r="B246" s="346"/>
      <c r="C246" s="347" t="s">
        <v>89</v>
      </c>
      <c r="D246" s="809"/>
      <c r="E246" s="347">
        <f t="shared" si="72"/>
        <v>1118.8</v>
      </c>
      <c r="F246" s="356">
        <v>400</v>
      </c>
      <c r="G246" s="356"/>
      <c r="H246" s="351"/>
      <c r="I246" s="356"/>
      <c r="J246" s="351"/>
      <c r="K246" s="356"/>
      <c r="L246" s="351"/>
      <c r="M246" s="355">
        <v>360</v>
      </c>
      <c r="N246" s="355">
        <v>358.8</v>
      </c>
      <c r="O246" s="364"/>
      <c r="P246" s="356"/>
      <c r="Q246" s="351"/>
      <c r="R246" s="355"/>
      <c r="S246" s="365"/>
      <c r="T246" s="364"/>
      <c r="U246" s="365"/>
      <c r="V246" s="365"/>
      <c r="W246" s="365"/>
      <c r="X246" s="356"/>
      <c r="Y246" s="366">
        <f t="shared" si="73"/>
        <v>1118.8</v>
      </c>
      <c r="Z246" s="347" t="s">
        <v>89</v>
      </c>
      <c r="AA246" s="809"/>
      <c r="AB246" s="347"/>
    </row>
    <row r="247" spans="2:28" ht="16" thickBot="1" x14ac:dyDescent="0.25">
      <c r="B247" s="368">
        <v>45741</v>
      </c>
      <c r="C247" s="333" t="s">
        <v>240</v>
      </c>
      <c r="D247" s="807" t="s">
        <v>64</v>
      </c>
      <c r="E247" s="132">
        <f t="shared" si="72"/>
        <v>32945.199999999997</v>
      </c>
      <c r="F247" s="354"/>
      <c r="G247" s="354"/>
      <c r="H247" s="369"/>
      <c r="I247" s="354"/>
      <c r="J247" s="369"/>
      <c r="K247" s="354"/>
      <c r="L247" s="369"/>
      <c r="M247" s="354"/>
      <c r="N247" s="354"/>
      <c r="O247" s="369"/>
      <c r="P247" s="354"/>
      <c r="Q247" s="369">
        <v>8730.7999999999993</v>
      </c>
      <c r="R247" s="354">
        <v>5970.8</v>
      </c>
      <c r="S247" s="354">
        <v>5970.8</v>
      </c>
      <c r="T247" s="369">
        <v>5970.8</v>
      </c>
      <c r="U247" s="354">
        <v>6302</v>
      </c>
      <c r="V247" s="354"/>
      <c r="W247" s="354"/>
      <c r="X247" s="354"/>
      <c r="Y247" s="349">
        <f t="shared" si="73"/>
        <v>32945.199999999997</v>
      </c>
      <c r="Z247" s="333" t="s">
        <v>240</v>
      </c>
      <c r="AA247" s="807" t="s">
        <v>64</v>
      </c>
      <c r="AB247" s="333">
        <f>B247</f>
        <v>45741</v>
      </c>
    </row>
    <row r="248" spans="2:28" ht="16" thickBot="1" x14ac:dyDescent="0.25">
      <c r="B248" s="336"/>
      <c r="C248" s="131" t="s">
        <v>89</v>
      </c>
      <c r="D248" s="808"/>
      <c r="E248" s="131">
        <f t="shared" si="72"/>
        <v>2944</v>
      </c>
      <c r="F248" s="370"/>
      <c r="G248" s="370"/>
      <c r="H248" s="371"/>
      <c r="I248" s="370"/>
      <c r="J248" s="371"/>
      <c r="K248" s="370"/>
      <c r="L248" s="371"/>
      <c r="M248" s="370"/>
      <c r="N248" s="370"/>
      <c r="O248" s="371"/>
      <c r="P248" s="370"/>
      <c r="Q248" s="371">
        <v>690</v>
      </c>
      <c r="R248" s="370">
        <v>788.9</v>
      </c>
      <c r="S248" s="370"/>
      <c r="T248" s="371"/>
      <c r="U248" s="370">
        <v>1465.1</v>
      </c>
      <c r="V248" s="370"/>
      <c r="W248" s="370"/>
      <c r="X248" s="370"/>
      <c r="Y248" s="343">
        <f t="shared" si="73"/>
        <v>2944</v>
      </c>
      <c r="Z248" s="131" t="s">
        <v>89</v>
      </c>
      <c r="AA248" s="808"/>
      <c r="AB248" s="131"/>
    </row>
    <row r="249" spans="2:28" ht="16" thickBot="1" x14ac:dyDescent="0.25">
      <c r="B249" s="332">
        <v>45742</v>
      </c>
      <c r="C249" s="334" t="s">
        <v>240</v>
      </c>
      <c r="D249" s="809" t="s">
        <v>65</v>
      </c>
      <c r="E249" s="335">
        <f t="shared" si="72"/>
        <v>27003.599999999999</v>
      </c>
      <c r="F249" s="367">
        <v>7100</v>
      </c>
      <c r="G249" s="367">
        <v>1200</v>
      </c>
      <c r="H249" s="350">
        <v>4112.3999999999996</v>
      </c>
      <c r="I249" s="367"/>
      <c r="J249" s="350"/>
      <c r="K249" s="367">
        <v>2732.4</v>
      </c>
      <c r="L249" s="350">
        <v>2281.6</v>
      </c>
      <c r="M249" s="367"/>
      <c r="N249" s="367">
        <v>9577.2000000000007</v>
      </c>
      <c r="O249" s="350"/>
      <c r="P249" s="367"/>
      <c r="Q249" s="350"/>
      <c r="R249" s="367"/>
      <c r="S249" s="367"/>
      <c r="T249" s="350"/>
      <c r="U249" s="367"/>
      <c r="V249" s="367"/>
      <c r="W249" s="367"/>
      <c r="X249" s="367"/>
      <c r="Y249" s="338">
        <f t="shared" si="73"/>
        <v>27003.599999999999</v>
      </c>
      <c r="Z249" s="334" t="s">
        <v>240</v>
      </c>
      <c r="AA249" s="809" t="s">
        <v>65</v>
      </c>
      <c r="AB249" s="334">
        <f>B249</f>
        <v>45742</v>
      </c>
    </row>
    <row r="250" spans="2:28" ht="16" thickBot="1" x14ac:dyDescent="0.25">
      <c r="B250" s="346"/>
      <c r="C250" s="347" t="s">
        <v>89</v>
      </c>
      <c r="D250" s="809"/>
      <c r="E250" s="347">
        <f t="shared" si="72"/>
        <v>2732.4</v>
      </c>
      <c r="F250" s="356"/>
      <c r="G250" s="356"/>
      <c r="H250" s="351"/>
      <c r="I250" s="356"/>
      <c r="J250" s="351"/>
      <c r="K250" s="356">
        <v>1472</v>
      </c>
      <c r="L250" s="351">
        <v>1035</v>
      </c>
      <c r="M250" s="356"/>
      <c r="N250" s="356">
        <v>225.4</v>
      </c>
      <c r="O250" s="351"/>
      <c r="P250" s="356"/>
      <c r="Q250" s="351"/>
      <c r="R250" s="356"/>
      <c r="S250" s="356"/>
      <c r="T250" s="351"/>
      <c r="U250" s="356"/>
      <c r="V250" s="356"/>
      <c r="W250" s="356"/>
      <c r="X250" s="356"/>
      <c r="Y250" s="366">
        <f t="shared" si="73"/>
        <v>2732.4</v>
      </c>
      <c r="Z250" s="347" t="s">
        <v>89</v>
      </c>
      <c r="AA250" s="809"/>
      <c r="AB250" s="347"/>
    </row>
    <row r="251" spans="2:28" ht="16" thickBot="1" x14ac:dyDescent="0.25">
      <c r="B251" s="562">
        <v>45743</v>
      </c>
      <c r="C251" s="563" t="s">
        <v>240</v>
      </c>
      <c r="D251" s="807" t="s">
        <v>66</v>
      </c>
      <c r="E251" s="564">
        <f t="shared" si="72"/>
        <v>6171.9</v>
      </c>
      <c r="F251" s="372"/>
      <c r="G251" s="372"/>
      <c r="H251" s="373"/>
      <c r="I251" s="372"/>
      <c r="J251" s="373"/>
      <c r="K251" s="372"/>
      <c r="L251" s="373"/>
      <c r="M251" s="372"/>
      <c r="N251" s="372"/>
      <c r="O251" s="373"/>
      <c r="P251" s="372"/>
      <c r="Q251" s="373"/>
      <c r="R251" s="372"/>
      <c r="S251" s="372"/>
      <c r="T251" s="373"/>
      <c r="U251" s="372"/>
      <c r="V251" s="372"/>
      <c r="W251" s="372">
        <v>3111.9</v>
      </c>
      <c r="X251" s="372">
        <v>3060</v>
      </c>
      <c r="Y251" s="565">
        <f t="shared" si="73"/>
        <v>6171.9</v>
      </c>
      <c r="Z251" s="563" t="s">
        <v>240</v>
      </c>
      <c r="AA251" s="807" t="s">
        <v>66</v>
      </c>
      <c r="AB251" s="563">
        <f>B251</f>
        <v>45743</v>
      </c>
    </row>
    <row r="252" spans="2:28" ht="16" thickBot="1" x14ac:dyDescent="0.25">
      <c r="B252" s="336"/>
      <c r="C252" s="131" t="s">
        <v>89</v>
      </c>
      <c r="D252" s="808"/>
      <c r="E252" s="131">
        <f t="shared" si="72"/>
        <v>1619.2</v>
      </c>
      <c r="F252" s="370"/>
      <c r="G252" s="370"/>
      <c r="H252" s="371"/>
      <c r="I252" s="370"/>
      <c r="J252" s="371"/>
      <c r="K252" s="370"/>
      <c r="L252" s="371"/>
      <c r="M252" s="370"/>
      <c r="N252" s="370"/>
      <c r="O252" s="371"/>
      <c r="P252" s="370"/>
      <c r="Q252" s="371"/>
      <c r="R252" s="370"/>
      <c r="S252" s="370"/>
      <c r="T252" s="371"/>
      <c r="U252" s="370"/>
      <c r="V252" s="370"/>
      <c r="W252" s="370">
        <v>1619.2</v>
      </c>
      <c r="X252" s="370"/>
      <c r="Y252" s="343">
        <f t="shared" si="73"/>
        <v>1619.2</v>
      </c>
      <c r="Z252" s="131" t="s">
        <v>89</v>
      </c>
      <c r="AA252" s="808"/>
      <c r="AB252" s="131"/>
    </row>
    <row r="253" spans="2:28" ht="16" thickBot="1" x14ac:dyDescent="0.25">
      <c r="B253" s="566">
        <v>45744</v>
      </c>
      <c r="C253" s="567" t="s">
        <v>240</v>
      </c>
      <c r="D253" s="809" t="s">
        <v>67</v>
      </c>
      <c r="E253" s="568">
        <f t="shared" si="72"/>
        <v>34576</v>
      </c>
      <c r="F253" s="367">
        <v>5700</v>
      </c>
      <c r="G253" s="367"/>
      <c r="H253" s="350">
        <v>5943.2</v>
      </c>
      <c r="I253" s="367">
        <v>1680</v>
      </c>
      <c r="J253" s="350">
        <v>3000</v>
      </c>
      <c r="K253" s="367">
        <v>3183.2</v>
      </c>
      <c r="L253" s="350">
        <v>3661.6</v>
      </c>
      <c r="M253" s="367"/>
      <c r="N253" s="367">
        <v>11408</v>
      </c>
      <c r="O253" s="350"/>
      <c r="P253" s="367"/>
      <c r="Q253" s="350"/>
      <c r="R253" s="367"/>
      <c r="S253" s="367"/>
      <c r="T253" s="350"/>
      <c r="U253" s="367"/>
      <c r="V253" s="367"/>
      <c r="W253" s="367"/>
      <c r="X253" s="367"/>
      <c r="Y253" s="569">
        <f t="shared" si="73"/>
        <v>34576</v>
      </c>
      <c r="Z253" s="567" t="s">
        <v>240</v>
      </c>
      <c r="AA253" s="809" t="s">
        <v>67</v>
      </c>
      <c r="AB253" s="567">
        <f>B253</f>
        <v>45744</v>
      </c>
    </row>
    <row r="254" spans="2:28" ht="16" thickBot="1" x14ac:dyDescent="0.25">
      <c r="B254" s="346"/>
      <c r="C254" s="347" t="s">
        <v>89</v>
      </c>
      <c r="D254" s="809"/>
      <c r="E254" s="347">
        <f t="shared" si="72"/>
        <v>2305.1</v>
      </c>
      <c r="F254" s="355"/>
      <c r="G254" s="355"/>
      <c r="H254" s="351"/>
      <c r="I254" s="355">
        <f>7*120</f>
        <v>840</v>
      </c>
      <c r="J254" s="351"/>
      <c r="K254" s="355">
        <v>1127</v>
      </c>
      <c r="L254" s="351"/>
      <c r="M254" s="356"/>
      <c r="N254" s="356">
        <v>338.1</v>
      </c>
      <c r="O254" s="351"/>
      <c r="P254" s="356"/>
      <c r="Q254" s="351"/>
      <c r="R254" s="356"/>
      <c r="S254" s="356"/>
      <c r="T254" s="351"/>
      <c r="U254" s="356"/>
      <c r="V254" s="356"/>
      <c r="W254" s="356"/>
      <c r="X254" s="356"/>
      <c r="Y254" s="366">
        <f t="shared" si="73"/>
        <v>2305.1</v>
      </c>
      <c r="Z254" s="347" t="s">
        <v>89</v>
      </c>
      <c r="AA254" s="809"/>
      <c r="AB254" s="347"/>
    </row>
    <row r="255" spans="2:28" ht="16" thickBot="1" x14ac:dyDescent="0.25">
      <c r="B255" s="368">
        <v>45745</v>
      </c>
      <c r="C255" s="333" t="s">
        <v>240</v>
      </c>
      <c r="D255" s="807" t="s">
        <v>68</v>
      </c>
      <c r="E255" s="132">
        <f t="shared" si="72"/>
        <v>0</v>
      </c>
      <c r="F255" s="372"/>
      <c r="G255" s="372"/>
      <c r="H255" s="373"/>
      <c r="I255" s="372"/>
      <c r="J255" s="373"/>
      <c r="K255" s="372"/>
      <c r="L255" s="373"/>
      <c r="M255" s="372"/>
      <c r="N255" s="372"/>
      <c r="O255" s="373"/>
      <c r="P255" s="372"/>
      <c r="Q255" s="373"/>
      <c r="R255" s="372"/>
      <c r="S255" s="372"/>
      <c r="T255" s="373"/>
      <c r="U255" s="372"/>
      <c r="V255" s="372"/>
      <c r="W255" s="372"/>
      <c r="X255" s="372"/>
      <c r="Y255" s="349">
        <f t="shared" si="73"/>
        <v>0</v>
      </c>
      <c r="Z255" s="333" t="s">
        <v>240</v>
      </c>
      <c r="AA255" s="807" t="s">
        <v>68</v>
      </c>
      <c r="AB255" s="333">
        <f>B255</f>
        <v>45745</v>
      </c>
    </row>
    <row r="256" spans="2:28" ht="16" thickBot="1" x14ac:dyDescent="0.25">
      <c r="B256" s="336"/>
      <c r="C256" s="131" t="s">
        <v>89</v>
      </c>
      <c r="D256" s="808"/>
      <c r="E256" s="131">
        <f t="shared" si="72"/>
        <v>0</v>
      </c>
      <c r="F256" s="370"/>
      <c r="G256" s="370"/>
      <c r="H256" s="371"/>
      <c r="I256" s="370"/>
      <c r="J256" s="371"/>
      <c r="K256" s="370"/>
      <c r="L256" s="371"/>
      <c r="M256" s="370"/>
      <c r="N256" s="370"/>
      <c r="O256" s="371"/>
      <c r="P256" s="370"/>
      <c r="Q256" s="371"/>
      <c r="R256" s="370"/>
      <c r="S256" s="370"/>
      <c r="T256" s="371"/>
      <c r="U256" s="370"/>
      <c r="V256" s="370"/>
      <c r="W256" s="370"/>
      <c r="X256" s="370"/>
      <c r="Y256" s="343">
        <f t="shared" si="73"/>
        <v>0</v>
      </c>
      <c r="Z256" s="131" t="s">
        <v>89</v>
      </c>
      <c r="AA256" s="808"/>
      <c r="AB256" s="131"/>
    </row>
    <row r="257" spans="2:28" ht="16" thickBot="1" x14ac:dyDescent="0.25">
      <c r="B257" s="566">
        <v>45746</v>
      </c>
      <c r="C257" s="567" t="s">
        <v>240</v>
      </c>
      <c r="D257" s="809" t="s">
        <v>69</v>
      </c>
      <c r="E257" s="568">
        <f t="shared" si="72"/>
        <v>11597.2</v>
      </c>
      <c r="F257" s="367">
        <v>3400</v>
      </c>
      <c r="G257" s="367"/>
      <c r="H257" s="350"/>
      <c r="I257" s="367"/>
      <c r="J257" s="350"/>
      <c r="K257" s="367"/>
      <c r="L257" s="350"/>
      <c r="M257" s="367"/>
      <c r="N257" s="367">
        <v>8197.2000000000007</v>
      </c>
      <c r="O257" s="350"/>
      <c r="P257" s="367"/>
      <c r="Q257" s="350"/>
      <c r="R257" s="367"/>
      <c r="S257" s="367"/>
      <c r="T257" s="350"/>
      <c r="U257" s="367"/>
      <c r="V257" s="367"/>
      <c r="W257" s="367"/>
      <c r="X257" s="367"/>
      <c r="Y257" s="569">
        <f t="shared" si="73"/>
        <v>11597.2</v>
      </c>
      <c r="Z257" s="567" t="s">
        <v>240</v>
      </c>
      <c r="AA257" s="809" t="s">
        <v>69</v>
      </c>
      <c r="AB257" s="567">
        <f>B257</f>
        <v>45746</v>
      </c>
    </row>
    <row r="258" spans="2:28" ht="16" thickBot="1" x14ac:dyDescent="0.25">
      <c r="B258" s="346"/>
      <c r="C258" s="347" t="s">
        <v>89</v>
      </c>
      <c r="D258" s="808"/>
      <c r="E258" s="347">
        <f t="shared" si="72"/>
        <v>0</v>
      </c>
      <c r="F258" s="356"/>
      <c r="G258" s="356"/>
      <c r="H258" s="351"/>
      <c r="I258" s="356"/>
      <c r="J258" s="351"/>
      <c r="K258" s="356"/>
      <c r="L258" s="351"/>
      <c r="M258" s="356"/>
      <c r="N258" s="356"/>
      <c r="O258" s="351"/>
      <c r="P258" s="356"/>
      <c r="Q258" s="351"/>
      <c r="R258" s="356"/>
      <c r="S258" s="356"/>
      <c r="T258" s="351"/>
      <c r="U258" s="356"/>
      <c r="V258" s="356"/>
      <c r="W258" s="356"/>
      <c r="X258" s="356"/>
      <c r="Y258" s="363">
        <f t="shared" si="73"/>
        <v>0</v>
      </c>
      <c r="Z258" s="347" t="s">
        <v>89</v>
      </c>
      <c r="AA258" s="808"/>
      <c r="AB258" s="347"/>
    </row>
    <row r="259" spans="2:28" ht="17" thickBot="1" x14ac:dyDescent="0.25">
      <c r="B259" s="348" t="s">
        <v>119</v>
      </c>
      <c r="C259" s="349"/>
      <c r="D259" s="344"/>
      <c r="E259" s="133">
        <f>SUM(E251,E249,E247,E245,E253,E255,E257)</f>
        <v>142218.70000000001</v>
      </c>
      <c r="F259" s="349">
        <f t="shared" ref="F259:Y259" si="74">SUM(F245,F247,F249,F251,F253,F255,F257)</f>
        <v>22200</v>
      </c>
      <c r="G259" s="349">
        <f t="shared" si="74"/>
        <v>1200</v>
      </c>
      <c r="H259" s="352">
        <f t="shared" si="74"/>
        <v>13717.2</v>
      </c>
      <c r="I259" s="349">
        <f t="shared" si="74"/>
        <v>1680</v>
      </c>
      <c r="J259" s="352">
        <f t="shared" si="74"/>
        <v>3000</v>
      </c>
      <c r="K259" s="349">
        <f t="shared" si="74"/>
        <v>8648</v>
      </c>
      <c r="L259" s="352">
        <f t="shared" si="74"/>
        <v>8224.7999999999993</v>
      </c>
      <c r="M259" s="349">
        <f t="shared" si="74"/>
        <v>4200</v>
      </c>
      <c r="N259" s="349">
        <f t="shared" si="74"/>
        <v>40231.600000000006</v>
      </c>
      <c r="O259" s="352">
        <f t="shared" si="74"/>
        <v>0</v>
      </c>
      <c r="P259" s="349">
        <f t="shared" si="74"/>
        <v>0</v>
      </c>
      <c r="Q259" s="352">
        <f t="shared" si="74"/>
        <v>8730.7999999999993</v>
      </c>
      <c r="R259" s="349">
        <f t="shared" si="74"/>
        <v>5970.8</v>
      </c>
      <c r="S259" s="349">
        <f t="shared" si="74"/>
        <v>5970.8</v>
      </c>
      <c r="T259" s="352">
        <f t="shared" si="74"/>
        <v>5970.8</v>
      </c>
      <c r="U259" s="349">
        <f t="shared" si="74"/>
        <v>6302</v>
      </c>
      <c r="V259" s="349">
        <f t="shared" si="74"/>
        <v>0</v>
      </c>
      <c r="W259" s="349">
        <f t="shared" si="74"/>
        <v>3111.9</v>
      </c>
      <c r="X259" s="349">
        <f t="shared" si="74"/>
        <v>3060</v>
      </c>
      <c r="Y259" s="358">
        <f t="shared" si="74"/>
        <v>142218.70000000001</v>
      </c>
      <c r="Z259" s="349"/>
      <c r="AA259" s="345"/>
      <c r="AB259" s="349" t="s">
        <v>119</v>
      </c>
    </row>
    <row r="260" spans="2:28" ht="17" thickBot="1" x14ac:dyDescent="0.25">
      <c r="B260" s="342" t="s">
        <v>120</v>
      </c>
      <c r="C260" s="343"/>
      <c r="D260" s="344"/>
      <c r="E260" s="134">
        <f>SUM(E246,E248,E250,E252,E254,E256,E258)</f>
        <v>10719.500000000002</v>
      </c>
      <c r="F260" s="343">
        <f t="shared" ref="F260:Y260" si="75">(F246+F248+F250+F252+F254+F256+F258)</f>
        <v>400</v>
      </c>
      <c r="G260" s="343">
        <f t="shared" si="75"/>
        <v>0</v>
      </c>
      <c r="H260" s="353">
        <f t="shared" si="75"/>
        <v>0</v>
      </c>
      <c r="I260" s="343">
        <f t="shared" si="75"/>
        <v>840</v>
      </c>
      <c r="J260" s="353">
        <f t="shared" si="75"/>
        <v>0</v>
      </c>
      <c r="K260" s="343">
        <f t="shared" si="75"/>
        <v>2599</v>
      </c>
      <c r="L260" s="353">
        <f t="shared" si="75"/>
        <v>1035</v>
      </c>
      <c r="M260" s="343">
        <f t="shared" si="75"/>
        <v>360</v>
      </c>
      <c r="N260" s="343">
        <f t="shared" si="75"/>
        <v>922.30000000000007</v>
      </c>
      <c r="O260" s="353">
        <f t="shared" si="75"/>
        <v>0</v>
      </c>
      <c r="P260" s="343">
        <f t="shared" si="75"/>
        <v>0</v>
      </c>
      <c r="Q260" s="353">
        <f t="shared" si="75"/>
        <v>690</v>
      </c>
      <c r="R260" s="343">
        <f t="shared" si="75"/>
        <v>788.9</v>
      </c>
      <c r="S260" s="343">
        <f t="shared" si="75"/>
        <v>0</v>
      </c>
      <c r="T260" s="353">
        <f t="shared" si="75"/>
        <v>0</v>
      </c>
      <c r="U260" s="343">
        <f t="shared" si="75"/>
        <v>1465.1</v>
      </c>
      <c r="V260" s="343">
        <f t="shared" si="75"/>
        <v>0</v>
      </c>
      <c r="W260" s="343">
        <f t="shared" si="75"/>
        <v>1619.2</v>
      </c>
      <c r="X260" s="343">
        <f t="shared" si="75"/>
        <v>0</v>
      </c>
      <c r="Y260" s="359">
        <f t="shared" si="75"/>
        <v>10719.500000000002</v>
      </c>
      <c r="Z260" s="343"/>
      <c r="AA260" s="345"/>
      <c r="AB260" s="343" t="s">
        <v>120</v>
      </c>
    </row>
    <row r="261" spans="2:28" ht="17" thickBot="1" x14ac:dyDescent="0.25">
      <c r="B261" s="337" t="s">
        <v>121</v>
      </c>
      <c r="C261" s="338"/>
      <c r="D261" s="339"/>
      <c r="E261" s="340">
        <f>E259-E260</f>
        <v>131499.20000000001</v>
      </c>
      <c r="F261" s="338">
        <f t="shared" ref="F261:M261" si="76">F259-F260</f>
        <v>21800</v>
      </c>
      <c r="G261" s="338">
        <f t="shared" si="76"/>
        <v>1200</v>
      </c>
      <c r="H261" s="357">
        <f t="shared" si="76"/>
        <v>13717.2</v>
      </c>
      <c r="I261" s="338">
        <f t="shared" si="76"/>
        <v>840</v>
      </c>
      <c r="J261" s="357">
        <f t="shared" si="76"/>
        <v>3000</v>
      </c>
      <c r="K261" s="338">
        <f t="shared" si="76"/>
        <v>6049</v>
      </c>
      <c r="L261" s="357">
        <f t="shared" si="76"/>
        <v>7189.7999999999993</v>
      </c>
      <c r="M261" s="338">
        <f t="shared" si="76"/>
        <v>3840</v>
      </c>
      <c r="N261" s="338">
        <f>N259-N260</f>
        <v>39309.300000000003</v>
      </c>
      <c r="O261" s="357">
        <f t="shared" ref="O261:W261" si="77">O259-O260</f>
        <v>0</v>
      </c>
      <c r="P261" s="338">
        <f t="shared" si="77"/>
        <v>0</v>
      </c>
      <c r="Q261" s="357">
        <f t="shared" si="77"/>
        <v>8040.7999999999993</v>
      </c>
      <c r="R261" s="338">
        <f t="shared" si="77"/>
        <v>5181.9000000000005</v>
      </c>
      <c r="S261" s="338">
        <f t="shared" si="77"/>
        <v>5970.8</v>
      </c>
      <c r="T261" s="357">
        <f t="shared" si="77"/>
        <v>5970.8</v>
      </c>
      <c r="U261" s="338">
        <f t="shared" si="77"/>
        <v>4836.8999999999996</v>
      </c>
      <c r="V261" s="338">
        <f t="shared" si="77"/>
        <v>0</v>
      </c>
      <c r="W261" s="338">
        <f t="shared" si="77"/>
        <v>1492.7</v>
      </c>
      <c r="X261" s="338">
        <f>X259-X260</f>
        <v>3060</v>
      </c>
      <c r="Y261" s="360">
        <f>Y259-Y260</f>
        <v>131499.20000000001</v>
      </c>
      <c r="Z261" s="338"/>
      <c r="AA261" s="341"/>
      <c r="AB261" s="338" t="s">
        <v>121</v>
      </c>
    </row>
    <row r="262" spans="2:28" ht="16" thickBot="1" x14ac:dyDescent="0.25"/>
    <row r="263" spans="2:28" x14ac:dyDescent="0.2">
      <c r="B263" s="812" t="s">
        <v>76</v>
      </c>
      <c r="C263" s="812" t="s">
        <v>239</v>
      </c>
      <c r="D263" s="812" t="s">
        <v>83</v>
      </c>
      <c r="E263" s="812" t="s">
        <v>19</v>
      </c>
      <c r="F263" s="812" t="s">
        <v>118</v>
      </c>
      <c r="G263" s="812" t="s">
        <v>70</v>
      </c>
      <c r="H263" s="814" t="s">
        <v>401</v>
      </c>
      <c r="I263" s="812" t="s">
        <v>382</v>
      </c>
      <c r="J263" s="816" t="s">
        <v>200</v>
      </c>
      <c r="K263" s="812" t="s">
        <v>114</v>
      </c>
      <c r="L263" s="810" t="s">
        <v>402</v>
      </c>
      <c r="M263" s="812" t="s">
        <v>333</v>
      </c>
      <c r="N263" s="812" t="s">
        <v>204</v>
      </c>
      <c r="O263" s="810" t="s">
        <v>75</v>
      </c>
      <c r="P263" s="812" t="s">
        <v>278</v>
      </c>
      <c r="Q263" s="810" t="s">
        <v>116</v>
      </c>
      <c r="R263" s="812" t="s">
        <v>331</v>
      </c>
      <c r="S263" s="812" t="s">
        <v>73</v>
      </c>
      <c r="T263" s="810" t="s">
        <v>112</v>
      </c>
      <c r="U263" s="812" t="s">
        <v>72</v>
      </c>
      <c r="V263" s="812" t="s">
        <v>425</v>
      </c>
      <c r="W263" s="812" t="s">
        <v>399</v>
      </c>
      <c r="X263" s="812" t="s">
        <v>400</v>
      </c>
      <c r="Y263" s="812" t="s">
        <v>19</v>
      </c>
      <c r="Z263" s="812" t="s">
        <v>239</v>
      </c>
      <c r="AA263" s="812" t="s">
        <v>83</v>
      </c>
      <c r="AB263" s="812" t="s">
        <v>76</v>
      </c>
    </row>
    <row r="264" spans="2:28" ht="16" thickBot="1" x14ac:dyDescent="0.25">
      <c r="B264" s="813"/>
      <c r="C264" s="813"/>
      <c r="D264" s="813"/>
      <c r="E264" s="813"/>
      <c r="F264" s="813"/>
      <c r="G264" s="813"/>
      <c r="H264" s="815"/>
      <c r="I264" s="813"/>
      <c r="J264" s="817"/>
      <c r="K264" s="813"/>
      <c r="L264" s="811"/>
      <c r="M264" s="813"/>
      <c r="N264" s="813"/>
      <c r="O264" s="811"/>
      <c r="P264" s="813"/>
      <c r="Q264" s="811"/>
      <c r="R264" s="813"/>
      <c r="S264" s="813"/>
      <c r="T264" s="811"/>
      <c r="U264" s="813"/>
      <c r="V264" s="813"/>
      <c r="W264" s="813"/>
      <c r="X264" s="813"/>
      <c r="Y264" s="813"/>
      <c r="Z264" s="813"/>
      <c r="AA264" s="813"/>
      <c r="AB264" s="813"/>
    </row>
    <row r="265" spans="2:28" ht="16" thickBot="1" x14ac:dyDescent="0.25">
      <c r="B265" s="332">
        <v>45747</v>
      </c>
      <c r="C265" s="334" t="s">
        <v>240</v>
      </c>
      <c r="D265" s="807" t="s">
        <v>63</v>
      </c>
      <c r="E265" s="335">
        <f t="shared" ref="E265:E278" si="78">SUM(F265:X265)</f>
        <v>28743.600000000002</v>
      </c>
      <c r="F265" s="362">
        <v>6200</v>
      </c>
      <c r="G265" s="362">
        <v>1440</v>
      </c>
      <c r="H265" s="361">
        <v>3661.6</v>
      </c>
      <c r="I265" s="362">
        <v>2400</v>
      </c>
      <c r="J265" s="361"/>
      <c r="K265" s="362">
        <v>2732.4</v>
      </c>
      <c r="L265" s="361">
        <v>2732.4</v>
      </c>
      <c r="M265" s="362"/>
      <c r="N265" s="354">
        <v>9577.2000000000007</v>
      </c>
      <c r="O265" s="361"/>
      <c r="P265" s="362"/>
      <c r="Q265" s="361"/>
      <c r="R265" s="362"/>
      <c r="S265" s="354"/>
      <c r="T265" s="361"/>
      <c r="U265" s="362"/>
      <c r="V265" s="362"/>
      <c r="W265" s="362"/>
      <c r="X265" s="362"/>
      <c r="Y265" s="349">
        <f t="shared" ref="Y265:Y278" si="79">SUM(F265:X265)</f>
        <v>28743.600000000002</v>
      </c>
      <c r="Z265" s="334" t="s">
        <v>240</v>
      </c>
      <c r="AA265" s="807" t="s">
        <v>63</v>
      </c>
      <c r="AB265" s="333">
        <f>B265</f>
        <v>45747</v>
      </c>
    </row>
    <row r="266" spans="2:28" ht="16" thickBot="1" x14ac:dyDescent="0.25">
      <c r="B266" s="346"/>
      <c r="C266" s="347" t="s">
        <v>89</v>
      </c>
      <c r="D266" s="809"/>
      <c r="E266" s="347">
        <f t="shared" si="78"/>
        <v>1697.3999999999999</v>
      </c>
      <c r="F266" s="356"/>
      <c r="G266" s="356"/>
      <c r="H266" s="351"/>
      <c r="I266" s="356"/>
      <c r="J266" s="351"/>
      <c r="K266" s="356">
        <v>1246.5999999999999</v>
      </c>
      <c r="L266" s="351">
        <v>450.8</v>
      </c>
      <c r="M266" s="355"/>
      <c r="N266" s="355"/>
      <c r="O266" s="364"/>
      <c r="P266" s="356"/>
      <c r="Q266" s="351"/>
      <c r="R266" s="355"/>
      <c r="S266" s="365"/>
      <c r="T266" s="364"/>
      <c r="U266" s="365"/>
      <c r="V266" s="365"/>
      <c r="W266" s="365"/>
      <c r="X266" s="356"/>
      <c r="Y266" s="366">
        <f t="shared" si="79"/>
        <v>1697.3999999999999</v>
      </c>
      <c r="Z266" s="347" t="s">
        <v>89</v>
      </c>
      <c r="AA266" s="809"/>
      <c r="AB266" s="347"/>
    </row>
    <row r="267" spans="2:28" ht="16" thickBot="1" x14ac:dyDescent="0.25">
      <c r="B267" s="368">
        <v>45748</v>
      </c>
      <c r="C267" s="333" t="s">
        <v>240</v>
      </c>
      <c r="D267" s="807" t="s">
        <v>64</v>
      </c>
      <c r="E267" s="132">
        <f t="shared" si="78"/>
        <v>32648.5</v>
      </c>
      <c r="F267" s="354"/>
      <c r="G267" s="354"/>
      <c r="H267" s="369"/>
      <c r="I267" s="354"/>
      <c r="J267" s="369"/>
      <c r="K267" s="354"/>
      <c r="L267" s="369"/>
      <c r="M267" s="354"/>
      <c r="N267" s="354"/>
      <c r="O267" s="369"/>
      <c r="P267" s="354"/>
      <c r="Q267" s="369">
        <v>8772.2000000000007</v>
      </c>
      <c r="R267" s="354">
        <v>5970.8</v>
      </c>
      <c r="S267" s="354">
        <v>5970.8</v>
      </c>
      <c r="T267" s="369">
        <v>5970.8</v>
      </c>
      <c r="U267" s="354">
        <v>5963.9</v>
      </c>
      <c r="V267" s="354"/>
      <c r="W267" s="354"/>
      <c r="X267" s="354"/>
      <c r="Y267" s="349">
        <f t="shared" si="79"/>
        <v>32648.5</v>
      </c>
      <c r="Z267" s="333" t="s">
        <v>240</v>
      </c>
      <c r="AA267" s="807" t="s">
        <v>64</v>
      </c>
      <c r="AB267" s="333">
        <f>B267</f>
        <v>45748</v>
      </c>
    </row>
    <row r="268" spans="2:28" ht="16" thickBot="1" x14ac:dyDescent="0.25">
      <c r="B268" s="336"/>
      <c r="C268" s="131" t="s">
        <v>89</v>
      </c>
      <c r="D268" s="808"/>
      <c r="E268" s="131">
        <f t="shared" si="78"/>
        <v>2408.1</v>
      </c>
      <c r="F268" s="370"/>
      <c r="G268" s="370"/>
      <c r="H268" s="371"/>
      <c r="I268" s="370"/>
      <c r="J268" s="371"/>
      <c r="K268" s="370"/>
      <c r="L268" s="371"/>
      <c r="M268" s="370"/>
      <c r="N268" s="370"/>
      <c r="O268" s="371"/>
      <c r="P268" s="370"/>
      <c r="Q268" s="371"/>
      <c r="R268" s="370">
        <v>788.9</v>
      </c>
      <c r="S268" s="370">
        <v>112.7</v>
      </c>
      <c r="T268" s="371"/>
      <c r="U268" s="370">
        <v>1506.5</v>
      </c>
      <c r="V268" s="370"/>
      <c r="W268" s="370"/>
      <c r="X268" s="370"/>
      <c r="Y268" s="343">
        <f t="shared" si="79"/>
        <v>2408.1</v>
      </c>
      <c r="Z268" s="131" t="s">
        <v>89</v>
      </c>
      <c r="AA268" s="808"/>
      <c r="AB268" s="131"/>
    </row>
    <row r="269" spans="2:28" ht="16" thickBot="1" x14ac:dyDescent="0.25">
      <c r="B269" s="332">
        <v>45749</v>
      </c>
      <c r="C269" s="334" t="s">
        <v>240</v>
      </c>
      <c r="D269" s="809" t="s">
        <v>65</v>
      </c>
      <c r="E269" s="335">
        <f t="shared" si="78"/>
        <v>28103.600000000002</v>
      </c>
      <c r="F269" s="367">
        <v>5200</v>
      </c>
      <c r="G269" s="367"/>
      <c r="H269" s="350">
        <v>4112.3999999999996</v>
      </c>
      <c r="I269" s="367"/>
      <c r="J269" s="350"/>
      <c r="K269" s="367">
        <v>2732.4</v>
      </c>
      <c r="L269" s="350">
        <v>2281.6</v>
      </c>
      <c r="M269" s="367">
        <v>4200</v>
      </c>
      <c r="N269" s="367">
        <v>9577.2000000000007</v>
      </c>
      <c r="O269" s="350"/>
      <c r="P269" s="367"/>
      <c r="Q269" s="350"/>
      <c r="R269" s="367"/>
      <c r="S269" s="367"/>
      <c r="T269" s="350"/>
      <c r="U269" s="367"/>
      <c r="V269" s="367"/>
      <c r="W269" s="367"/>
      <c r="X269" s="367"/>
      <c r="Y269" s="338">
        <f t="shared" si="79"/>
        <v>28103.600000000002</v>
      </c>
      <c r="Z269" s="334" t="s">
        <v>240</v>
      </c>
      <c r="AA269" s="809" t="s">
        <v>65</v>
      </c>
      <c r="AB269" s="334">
        <f>B269</f>
        <v>45749</v>
      </c>
    </row>
    <row r="270" spans="2:28" ht="16" thickBot="1" x14ac:dyDescent="0.25">
      <c r="B270" s="346"/>
      <c r="C270" s="347" t="s">
        <v>89</v>
      </c>
      <c r="D270" s="809"/>
      <c r="E270" s="347">
        <f t="shared" si="78"/>
        <v>2409.3000000000002</v>
      </c>
      <c r="F270" s="356"/>
      <c r="G270" s="356"/>
      <c r="H270" s="351"/>
      <c r="I270" s="356"/>
      <c r="J270" s="351"/>
      <c r="K270" s="356"/>
      <c r="L270" s="351">
        <v>225.4</v>
      </c>
      <c r="M270" s="356">
        <v>360</v>
      </c>
      <c r="N270" s="356">
        <v>1823.9</v>
      </c>
      <c r="O270" s="351"/>
      <c r="P270" s="356"/>
      <c r="Q270" s="351"/>
      <c r="R270" s="356"/>
      <c r="S270" s="356"/>
      <c r="T270" s="351"/>
      <c r="U270" s="356"/>
      <c r="V270" s="356"/>
      <c r="W270" s="356"/>
      <c r="X270" s="356"/>
      <c r="Y270" s="366">
        <f t="shared" si="79"/>
        <v>2409.3000000000002</v>
      </c>
      <c r="Z270" s="347" t="s">
        <v>89</v>
      </c>
      <c r="AA270" s="809"/>
      <c r="AB270" s="347"/>
    </row>
    <row r="271" spans="2:28" ht="16" thickBot="1" x14ac:dyDescent="0.25">
      <c r="B271" s="562">
        <v>45750</v>
      </c>
      <c r="C271" s="563" t="s">
        <v>240</v>
      </c>
      <c r="D271" s="807" t="s">
        <v>66</v>
      </c>
      <c r="E271" s="564">
        <f t="shared" si="78"/>
        <v>3781.2</v>
      </c>
      <c r="F271" s="372"/>
      <c r="G271" s="372"/>
      <c r="H271" s="373"/>
      <c r="I271" s="372"/>
      <c r="J271" s="373"/>
      <c r="K271" s="372"/>
      <c r="L271" s="373"/>
      <c r="M271" s="372"/>
      <c r="N271" s="372"/>
      <c r="O271" s="373"/>
      <c r="P271" s="372"/>
      <c r="Q271" s="373"/>
      <c r="R271" s="372"/>
      <c r="S271" s="372"/>
      <c r="T271" s="373"/>
      <c r="U271" s="372"/>
      <c r="V271" s="372"/>
      <c r="W271" s="372">
        <v>3781.2</v>
      </c>
      <c r="X271" s="372"/>
      <c r="Y271" s="565">
        <f t="shared" si="79"/>
        <v>3781.2</v>
      </c>
      <c r="Z271" s="563" t="s">
        <v>240</v>
      </c>
      <c r="AA271" s="807" t="s">
        <v>66</v>
      </c>
      <c r="AB271" s="563">
        <f>B271</f>
        <v>45750</v>
      </c>
    </row>
    <row r="272" spans="2:28" ht="16" thickBot="1" x14ac:dyDescent="0.25">
      <c r="B272" s="336"/>
      <c r="C272" s="131" t="s">
        <v>89</v>
      </c>
      <c r="D272" s="808"/>
      <c r="E272" s="131">
        <f t="shared" si="78"/>
        <v>1605.4</v>
      </c>
      <c r="F272" s="370"/>
      <c r="G272" s="370"/>
      <c r="H272" s="371"/>
      <c r="I272" s="370"/>
      <c r="J272" s="371"/>
      <c r="K272" s="370"/>
      <c r="L272" s="371"/>
      <c r="M272" s="370"/>
      <c r="N272" s="370"/>
      <c r="O272" s="371"/>
      <c r="P272" s="370"/>
      <c r="Q272" s="371"/>
      <c r="R272" s="370"/>
      <c r="S272" s="370"/>
      <c r="T272" s="371"/>
      <c r="U272" s="370"/>
      <c r="V272" s="370"/>
      <c r="W272" s="370">
        <v>1605.4</v>
      </c>
      <c r="X272" s="370"/>
      <c r="Y272" s="343">
        <f t="shared" si="79"/>
        <v>1605.4</v>
      </c>
      <c r="Z272" s="131" t="s">
        <v>89</v>
      </c>
      <c r="AA272" s="808"/>
      <c r="AB272" s="131"/>
    </row>
    <row r="273" spans="2:28" ht="16" thickBot="1" x14ac:dyDescent="0.25">
      <c r="B273" s="566">
        <v>45751</v>
      </c>
      <c r="C273" s="567" t="s">
        <v>240</v>
      </c>
      <c r="D273" s="809" t="s">
        <v>67</v>
      </c>
      <c r="E273" s="568">
        <f t="shared" si="78"/>
        <v>34996</v>
      </c>
      <c r="F273" s="367">
        <v>4200</v>
      </c>
      <c r="G273" s="367">
        <v>1200</v>
      </c>
      <c r="H273" s="350">
        <v>5943.2</v>
      </c>
      <c r="I273" s="367">
        <v>2400</v>
      </c>
      <c r="J273" s="350">
        <v>3000</v>
      </c>
      <c r="K273" s="367">
        <v>3183.2</v>
      </c>
      <c r="L273" s="350">
        <v>3661.6</v>
      </c>
      <c r="M273" s="367"/>
      <c r="N273" s="367">
        <v>11408</v>
      </c>
      <c r="O273" s="350"/>
      <c r="P273" s="367"/>
      <c r="Q273" s="350"/>
      <c r="R273" s="367"/>
      <c r="S273" s="367"/>
      <c r="T273" s="350"/>
      <c r="U273" s="367"/>
      <c r="V273" s="367"/>
      <c r="W273" s="367"/>
      <c r="X273" s="367"/>
      <c r="Y273" s="569">
        <f t="shared" si="79"/>
        <v>34996</v>
      </c>
      <c r="Z273" s="567" t="s">
        <v>240</v>
      </c>
      <c r="AA273" s="809" t="s">
        <v>67</v>
      </c>
      <c r="AB273" s="567">
        <f>B273</f>
        <v>45751</v>
      </c>
    </row>
    <row r="274" spans="2:28" ht="16" thickBot="1" x14ac:dyDescent="0.25">
      <c r="B274" s="346"/>
      <c r="C274" s="347" t="s">
        <v>89</v>
      </c>
      <c r="D274" s="809"/>
      <c r="E274" s="347">
        <f t="shared" si="78"/>
        <v>1040</v>
      </c>
      <c r="F274" s="355">
        <v>200</v>
      </c>
      <c r="G274" s="355"/>
      <c r="H274" s="351"/>
      <c r="I274" s="355">
        <v>120</v>
      </c>
      <c r="J274" s="351">
        <f>6*120</f>
        <v>720</v>
      </c>
      <c r="K274" s="355"/>
      <c r="L274" s="351"/>
      <c r="M274" s="356"/>
      <c r="N274" s="356"/>
      <c r="O274" s="351"/>
      <c r="P274" s="356"/>
      <c r="Q274" s="351"/>
      <c r="R274" s="356"/>
      <c r="S274" s="356"/>
      <c r="T274" s="351"/>
      <c r="U274" s="356"/>
      <c r="V274" s="356"/>
      <c r="W274" s="356"/>
      <c r="X274" s="356"/>
      <c r="Y274" s="366">
        <f t="shared" si="79"/>
        <v>1040</v>
      </c>
      <c r="Z274" s="347" t="s">
        <v>89</v>
      </c>
      <c r="AA274" s="809"/>
      <c r="AB274" s="347"/>
    </row>
    <row r="275" spans="2:28" ht="16" thickBot="1" x14ac:dyDescent="0.25">
      <c r="B275" s="368">
        <v>45752</v>
      </c>
      <c r="C275" s="333" t="s">
        <v>240</v>
      </c>
      <c r="D275" s="807" t="s">
        <v>68</v>
      </c>
      <c r="E275" s="132">
        <f t="shared" si="78"/>
        <v>0</v>
      </c>
      <c r="F275" s="372"/>
      <c r="G275" s="372"/>
      <c r="H275" s="373"/>
      <c r="I275" s="372"/>
      <c r="J275" s="373"/>
      <c r="K275" s="372"/>
      <c r="L275" s="373"/>
      <c r="M275" s="372"/>
      <c r="N275" s="372"/>
      <c r="O275" s="373"/>
      <c r="P275" s="372"/>
      <c r="Q275" s="373"/>
      <c r="R275" s="372"/>
      <c r="S275" s="372"/>
      <c r="T275" s="373"/>
      <c r="U275" s="372"/>
      <c r="V275" s="372"/>
      <c r="W275" s="372"/>
      <c r="X275" s="372"/>
      <c r="Y275" s="349">
        <f t="shared" si="79"/>
        <v>0</v>
      </c>
      <c r="Z275" s="333" t="s">
        <v>240</v>
      </c>
      <c r="AA275" s="807" t="s">
        <v>68</v>
      </c>
      <c r="AB275" s="333">
        <f>B275</f>
        <v>45752</v>
      </c>
    </row>
    <row r="276" spans="2:28" ht="16" thickBot="1" x14ac:dyDescent="0.25">
      <c r="B276" s="336"/>
      <c r="C276" s="131" t="s">
        <v>89</v>
      </c>
      <c r="D276" s="808"/>
      <c r="E276" s="131">
        <f t="shared" si="78"/>
        <v>0</v>
      </c>
      <c r="F276" s="370"/>
      <c r="G276" s="370"/>
      <c r="H276" s="371"/>
      <c r="I276" s="370"/>
      <c r="J276" s="371"/>
      <c r="K276" s="370"/>
      <c r="L276" s="371"/>
      <c r="M276" s="370"/>
      <c r="N276" s="370"/>
      <c r="O276" s="371"/>
      <c r="P276" s="370"/>
      <c r="Q276" s="371"/>
      <c r="R276" s="370"/>
      <c r="S276" s="370"/>
      <c r="T276" s="371"/>
      <c r="U276" s="370"/>
      <c r="V276" s="370"/>
      <c r="W276" s="370"/>
      <c r="X276" s="370"/>
      <c r="Y276" s="343">
        <f t="shared" si="79"/>
        <v>0</v>
      </c>
      <c r="Z276" s="131" t="s">
        <v>89</v>
      </c>
      <c r="AA276" s="808"/>
      <c r="AB276" s="131"/>
    </row>
    <row r="277" spans="2:28" ht="16" thickBot="1" x14ac:dyDescent="0.25">
      <c r="B277" s="566">
        <v>45753</v>
      </c>
      <c r="C277" s="567" t="s">
        <v>240</v>
      </c>
      <c r="D277" s="809" t="s">
        <v>69</v>
      </c>
      <c r="E277" s="568">
        <f t="shared" si="78"/>
        <v>13697.2</v>
      </c>
      <c r="F277" s="367">
        <v>5500</v>
      </c>
      <c r="G277" s="367"/>
      <c r="H277" s="350"/>
      <c r="I277" s="367"/>
      <c r="J277" s="350"/>
      <c r="K277" s="367"/>
      <c r="L277" s="350"/>
      <c r="M277" s="367"/>
      <c r="N277" s="367">
        <v>8197.2000000000007</v>
      </c>
      <c r="O277" s="350"/>
      <c r="P277" s="367"/>
      <c r="Q277" s="350"/>
      <c r="R277" s="367"/>
      <c r="S277" s="367"/>
      <c r="T277" s="350"/>
      <c r="U277" s="367"/>
      <c r="V277" s="367"/>
      <c r="W277" s="367"/>
      <c r="X277" s="367"/>
      <c r="Y277" s="569">
        <f t="shared" si="79"/>
        <v>13697.2</v>
      </c>
      <c r="Z277" s="567" t="s">
        <v>240</v>
      </c>
      <c r="AA277" s="809" t="s">
        <v>69</v>
      </c>
      <c r="AB277" s="567">
        <f>B277</f>
        <v>45753</v>
      </c>
    </row>
    <row r="278" spans="2:28" ht="16" thickBot="1" x14ac:dyDescent="0.25">
      <c r="B278" s="346"/>
      <c r="C278" s="347" t="s">
        <v>89</v>
      </c>
      <c r="D278" s="808"/>
      <c r="E278" s="347">
        <f t="shared" si="78"/>
        <v>0</v>
      </c>
      <c r="F278" s="356"/>
      <c r="G278" s="356"/>
      <c r="H278" s="351"/>
      <c r="I278" s="356"/>
      <c r="J278" s="351"/>
      <c r="K278" s="356"/>
      <c r="L278" s="351"/>
      <c r="M278" s="356"/>
      <c r="N278" s="356"/>
      <c r="O278" s="351"/>
      <c r="P278" s="356"/>
      <c r="Q278" s="351"/>
      <c r="R278" s="356"/>
      <c r="S278" s="356"/>
      <c r="T278" s="351"/>
      <c r="U278" s="356"/>
      <c r="V278" s="356"/>
      <c r="W278" s="356"/>
      <c r="X278" s="356"/>
      <c r="Y278" s="363">
        <f t="shared" si="79"/>
        <v>0</v>
      </c>
      <c r="Z278" s="347" t="s">
        <v>89</v>
      </c>
      <c r="AA278" s="808"/>
      <c r="AB278" s="347"/>
    </row>
    <row r="279" spans="2:28" ht="17" thickBot="1" x14ac:dyDescent="0.25">
      <c r="B279" s="348" t="s">
        <v>119</v>
      </c>
      <c r="C279" s="349"/>
      <c r="D279" s="344"/>
      <c r="E279" s="133">
        <f>SUM(E271,E269,E267,E265,E273,E275,E277)</f>
        <v>141970.1</v>
      </c>
      <c r="F279" s="349">
        <f t="shared" ref="F279:Y279" si="80">SUM(F265,F267,F269,F271,F273,F275,F277)</f>
        <v>21100</v>
      </c>
      <c r="G279" s="349">
        <f t="shared" si="80"/>
        <v>2640</v>
      </c>
      <c r="H279" s="352">
        <f t="shared" si="80"/>
        <v>13717.2</v>
      </c>
      <c r="I279" s="349">
        <f t="shared" si="80"/>
        <v>4800</v>
      </c>
      <c r="J279" s="352">
        <f t="shared" si="80"/>
        <v>3000</v>
      </c>
      <c r="K279" s="349">
        <f t="shared" si="80"/>
        <v>8648</v>
      </c>
      <c r="L279" s="352">
        <f t="shared" si="80"/>
        <v>8675.6</v>
      </c>
      <c r="M279" s="349">
        <f t="shared" si="80"/>
        <v>4200</v>
      </c>
      <c r="N279" s="349">
        <f t="shared" si="80"/>
        <v>38759.600000000006</v>
      </c>
      <c r="O279" s="352">
        <f t="shared" si="80"/>
        <v>0</v>
      </c>
      <c r="P279" s="349">
        <f t="shared" si="80"/>
        <v>0</v>
      </c>
      <c r="Q279" s="352">
        <f t="shared" si="80"/>
        <v>8772.2000000000007</v>
      </c>
      <c r="R279" s="349">
        <f t="shared" si="80"/>
        <v>5970.8</v>
      </c>
      <c r="S279" s="349">
        <f t="shared" si="80"/>
        <v>5970.8</v>
      </c>
      <c r="T279" s="352">
        <f t="shared" si="80"/>
        <v>5970.8</v>
      </c>
      <c r="U279" s="349">
        <f t="shared" si="80"/>
        <v>5963.9</v>
      </c>
      <c r="V279" s="349">
        <f t="shared" si="80"/>
        <v>0</v>
      </c>
      <c r="W279" s="349">
        <f t="shared" si="80"/>
        <v>3781.2</v>
      </c>
      <c r="X279" s="349">
        <f t="shared" si="80"/>
        <v>0</v>
      </c>
      <c r="Y279" s="358">
        <f t="shared" si="80"/>
        <v>141970.1</v>
      </c>
      <c r="Z279" s="349"/>
      <c r="AA279" s="345"/>
      <c r="AB279" s="349" t="s">
        <v>119</v>
      </c>
    </row>
    <row r="280" spans="2:28" ht="17" thickBot="1" x14ac:dyDescent="0.25">
      <c r="B280" s="342" t="s">
        <v>120</v>
      </c>
      <c r="C280" s="343"/>
      <c r="D280" s="344"/>
      <c r="E280" s="134">
        <f>SUM(E266,E268,E270,E272,E274,E276,E278)</f>
        <v>9160.2000000000007</v>
      </c>
      <c r="F280" s="343">
        <f t="shared" ref="F280:Y280" si="81">(F266+F268+F270+F272+F274+F276+F278)</f>
        <v>200</v>
      </c>
      <c r="G280" s="343">
        <f t="shared" si="81"/>
        <v>0</v>
      </c>
      <c r="H280" s="353">
        <f t="shared" si="81"/>
        <v>0</v>
      </c>
      <c r="I280" s="343">
        <f t="shared" si="81"/>
        <v>120</v>
      </c>
      <c r="J280" s="353">
        <f t="shared" si="81"/>
        <v>720</v>
      </c>
      <c r="K280" s="343">
        <f t="shared" si="81"/>
        <v>1246.5999999999999</v>
      </c>
      <c r="L280" s="353">
        <f t="shared" si="81"/>
        <v>676.2</v>
      </c>
      <c r="M280" s="343">
        <f t="shared" si="81"/>
        <v>360</v>
      </c>
      <c r="N280" s="343">
        <f t="shared" si="81"/>
        <v>1823.9</v>
      </c>
      <c r="O280" s="353">
        <f t="shared" si="81"/>
        <v>0</v>
      </c>
      <c r="P280" s="343">
        <f t="shared" si="81"/>
        <v>0</v>
      </c>
      <c r="Q280" s="353">
        <f t="shared" si="81"/>
        <v>0</v>
      </c>
      <c r="R280" s="343">
        <f t="shared" si="81"/>
        <v>788.9</v>
      </c>
      <c r="S280" s="343">
        <f t="shared" si="81"/>
        <v>112.7</v>
      </c>
      <c r="T280" s="353">
        <f t="shared" si="81"/>
        <v>0</v>
      </c>
      <c r="U280" s="343">
        <f t="shared" si="81"/>
        <v>1506.5</v>
      </c>
      <c r="V280" s="343">
        <f t="shared" si="81"/>
        <v>0</v>
      </c>
      <c r="W280" s="343">
        <f t="shared" si="81"/>
        <v>1605.4</v>
      </c>
      <c r="X280" s="343">
        <f t="shared" si="81"/>
        <v>0</v>
      </c>
      <c r="Y280" s="359">
        <f t="shared" si="81"/>
        <v>9160.2000000000007</v>
      </c>
      <c r="Z280" s="343"/>
      <c r="AA280" s="345"/>
      <c r="AB280" s="343" t="s">
        <v>120</v>
      </c>
    </row>
    <row r="281" spans="2:28" ht="17" thickBot="1" x14ac:dyDescent="0.25">
      <c r="B281" s="337" t="s">
        <v>121</v>
      </c>
      <c r="C281" s="338"/>
      <c r="D281" s="339"/>
      <c r="E281" s="340">
        <f>E279-E280</f>
        <v>132809.9</v>
      </c>
      <c r="F281" s="338">
        <f t="shared" ref="F281:M281" si="82">F279-F280</f>
        <v>20900</v>
      </c>
      <c r="G281" s="338">
        <f t="shared" si="82"/>
        <v>2640</v>
      </c>
      <c r="H281" s="357">
        <f t="shared" si="82"/>
        <v>13717.2</v>
      </c>
      <c r="I281" s="338">
        <f t="shared" si="82"/>
        <v>4680</v>
      </c>
      <c r="J281" s="357">
        <f t="shared" si="82"/>
        <v>2280</v>
      </c>
      <c r="K281" s="338">
        <f t="shared" si="82"/>
        <v>7401.4</v>
      </c>
      <c r="L281" s="357">
        <f t="shared" si="82"/>
        <v>7999.4000000000005</v>
      </c>
      <c r="M281" s="338">
        <f t="shared" si="82"/>
        <v>3840</v>
      </c>
      <c r="N281" s="338">
        <f>N279-N280</f>
        <v>36935.700000000004</v>
      </c>
      <c r="O281" s="357">
        <f t="shared" ref="O281:W281" si="83">O279-O280</f>
        <v>0</v>
      </c>
      <c r="P281" s="338">
        <f t="shared" si="83"/>
        <v>0</v>
      </c>
      <c r="Q281" s="357">
        <f t="shared" si="83"/>
        <v>8772.2000000000007</v>
      </c>
      <c r="R281" s="338">
        <f t="shared" si="83"/>
        <v>5181.9000000000005</v>
      </c>
      <c r="S281" s="338">
        <f t="shared" si="83"/>
        <v>5858.1</v>
      </c>
      <c r="T281" s="357">
        <f t="shared" si="83"/>
        <v>5970.8</v>
      </c>
      <c r="U281" s="338">
        <f t="shared" si="83"/>
        <v>4457.3999999999996</v>
      </c>
      <c r="V281" s="338">
        <f t="shared" si="83"/>
        <v>0</v>
      </c>
      <c r="W281" s="338">
        <f t="shared" si="83"/>
        <v>2175.7999999999997</v>
      </c>
      <c r="X281" s="338">
        <f>X279-X280</f>
        <v>0</v>
      </c>
      <c r="Y281" s="360">
        <f>Y279-Y280</f>
        <v>132809.9</v>
      </c>
      <c r="Z281" s="338"/>
      <c r="AA281" s="341"/>
      <c r="AB281" s="338" t="s">
        <v>121</v>
      </c>
    </row>
    <row r="282" spans="2:28" ht="16" thickBot="1" x14ac:dyDescent="0.25"/>
    <row r="283" spans="2:28" x14ac:dyDescent="0.2">
      <c r="B283" s="812" t="s">
        <v>76</v>
      </c>
      <c r="C283" s="812" t="s">
        <v>239</v>
      </c>
      <c r="D283" s="812" t="s">
        <v>83</v>
      </c>
      <c r="E283" s="812" t="s">
        <v>19</v>
      </c>
      <c r="F283" s="812" t="s">
        <v>118</v>
      </c>
      <c r="G283" s="812" t="s">
        <v>70</v>
      </c>
      <c r="H283" s="814" t="s">
        <v>401</v>
      </c>
      <c r="I283" s="812" t="s">
        <v>382</v>
      </c>
      <c r="J283" s="816" t="s">
        <v>200</v>
      </c>
      <c r="K283" s="812" t="s">
        <v>114</v>
      </c>
      <c r="L283" s="810" t="s">
        <v>402</v>
      </c>
      <c r="M283" s="812" t="s">
        <v>333</v>
      </c>
      <c r="N283" s="812" t="s">
        <v>204</v>
      </c>
      <c r="O283" s="810" t="s">
        <v>75</v>
      </c>
      <c r="P283" s="812" t="s">
        <v>278</v>
      </c>
      <c r="Q283" s="810" t="s">
        <v>116</v>
      </c>
      <c r="R283" s="812" t="s">
        <v>331</v>
      </c>
      <c r="S283" s="812" t="s">
        <v>73</v>
      </c>
      <c r="T283" s="810" t="s">
        <v>112</v>
      </c>
      <c r="U283" s="812" t="s">
        <v>72</v>
      </c>
      <c r="V283" s="812" t="s">
        <v>425</v>
      </c>
      <c r="W283" s="812" t="s">
        <v>399</v>
      </c>
      <c r="X283" s="812" t="s">
        <v>400</v>
      </c>
      <c r="Y283" s="812" t="s">
        <v>19</v>
      </c>
      <c r="Z283" s="812" t="s">
        <v>239</v>
      </c>
      <c r="AA283" s="812" t="s">
        <v>83</v>
      </c>
      <c r="AB283" s="812" t="s">
        <v>76</v>
      </c>
    </row>
    <row r="284" spans="2:28" ht="16" thickBot="1" x14ac:dyDescent="0.25">
      <c r="B284" s="813"/>
      <c r="C284" s="813"/>
      <c r="D284" s="813"/>
      <c r="E284" s="813"/>
      <c r="F284" s="813"/>
      <c r="G284" s="813"/>
      <c r="H284" s="815"/>
      <c r="I284" s="813"/>
      <c r="J284" s="817"/>
      <c r="K284" s="813"/>
      <c r="L284" s="811"/>
      <c r="M284" s="813"/>
      <c r="N284" s="813"/>
      <c r="O284" s="811"/>
      <c r="P284" s="813"/>
      <c r="Q284" s="811"/>
      <c r="R284" s="813"/>
      <c r="S284" s="813"/>
      <c r="T284" s="811"/>
      <c r="U284" s="813"/>
      <c r="V284" s="813"/>
      <c r="W284" s="813"/>
      <c r="X284" s="813"/>
      <c r="Y284" s="813"/>
      <c r="Z284" s="813"/>
      <c r="AA284" s="813"/>
      <c r="AB284" s="813"/>
    </row>
    <row r="285" spans="2:28" ht="16" thickBot="1" x14ac:dyDescent="0.25">
      <c r="B285" s="332">
        <v>45754</v>
      </c>
      <c r="C285" s="334" t="s">
        <v>240</v>
      </c>
      <c r="D285" s="807" t="s">
        <v>63</v>
      </c>
      <c r="E285" s="335">
        <f t="shared" ref="E285:E298" si="84">SUM(F285:X285)</f>
        <v>23923.599999999999</v>
      </c>
      <c r="F285" s="362">
        <v>6600</v>
      </c>
      <c r="G285" s="362"/>
      <c r="H285" s="361">
        <v>3661.6</v>
      </c>
      <c r="I285" s="362"/>
      <c r="J285" s="361"/>
      <c r="K285" s="362">
        <v>2732.4</v>
      </c>
      <c r="L285" s="361">
        <v>2281.6</v>
      </c>
      <c r="M285" s="362"/>
      <c r="N285" s="354">
        <v>8648</v>
      </c>
      <c r="O285" s="361"/>
      <c r="P285" s="362"/>
      <c r="Q285" s="361"/>
      <c r="R285" s="362"/>
      <c r="S285" s="354"/>
      <c r="T285" s="361"/>
      <c r="U285" s="362"/>
      <c r="V285" s="362"/>
      <c r="W285" s="362"/>
      <c r="X285" s="362"/>
      <c r="Y285" s="349">
        <f t="shared" ref="Y285:Y298" si="85">SUM(F285:X285)</f>
        <v>23923.599999999999</v>
      </c>
      <c r="Z285" s="334" t="s">
        <v>240</v>
      </c>
      <c r="AA285" s="807" t="s">
        <v>63</v>
      </c>
      <c r="AB285" s="333">
        <f>B285</f>
        <v>45754</v>
      </c>
    </row>
    <row r="286" spans="2:28" ht="16" thickBot="1" x14ac:dyDescent="0.25">
      <c r="B286" s="346"/>
      <c r="C286" s="347" t="s">
        <v>89</v>
      </c>
      <c r="D286" s="809"/>
      <c r="E286" s="347">
        <f t="shared" si="84"/>
        <v>112.7</v>
      </c>
      <c r="F286" s="356"/>
      <c r="G286" s="356"/>
      <c r="H286" s="351"/>
      <c r="I286" s="356"/>
      <c r="J286" s="351"/>
      <c r="K286" s="356">
        <v>112.7</v>
      </c>
      <c r="L286" s="351"/>
      <c r="M286" s="355"/>
      <c r="N286" s="355"/>
      <c r="O286" s="364"/>
      <c r="P286" s="356"/>
      <c r="Q286" s="351"/>
      <c r="R286" s="355"/>
      <c r="S286" s="365"/>
      <c r="T286" s="364"/>
      <c r="U286" s="365"/>
      <c r="V286" s="365"/>
      <c r="W286" s="365"/>
      <c r="X286" s="356"/>
      <c r="Y286" s="366">
        <f t="shared" si="85"/>
        <v>112.7</v>
      </c>
      <c r="Z286" s="347" t="s">
        <v>89</v>
      </c>
      <c r="AA286" s="809"/>
      <c r="AB286" s="347"/>
    </row>
    <row r="287" spans="2:28" ht="16" thickBot="1" x14ac:dyDescent="0.25">
      <c r="B287" s="368">
        <v>45755</v>
      </c>
      <c r="C287" s="333" t="s">
        <v>240</v>
      </c>
      <c r="D287" s="807" t="s">
        <v>64</v>
      </c>
      <c r="E287" s="132">
        <f t="shared" si="84"/>
        <v>26792.699999999997</v>
      </c>
      <c r="F287" s="354"/>
      <c r="G287" s="354"/>
      <c r="H287" s="369"/>
      <c r="I287" s="354"/>
      <c r="J287" s="369"/>
      <c r="K287" s="354"/>
      <c r="L287" s="369"/>
      <c r="M287" s="354"/>
      <c r="N287" s="354"/>
      <c r="O287" s="369"/>
      <c r="P287" s="354"/>
      <c r="Q287" s="369">
        <v>6752.8</v>
      </c>
      <c r="R287" s="354">
        <v>4816.2</v>
      </c>
      <c r="S287" s="354">
        <v>5041.6000000000004</v>
      </c>
      <c r="T287" s="369">
        <v>5041.6000000000004</v>
      </c>
      <c r="U287" s="354">
        <v>5140.5</v>
      </c>
      <c r="V287" s="354"/>
      <c r="W287" s="354"/>
      <c r="X287" s="354"/>
      <c r="Y287" s="349">
        <f t="shared" si="85"/>
        <v>26792.699999999997</v>
      </c>
      <c r="Z287" s="333" t="s">
        <v>240</v>
      </c>
      <c r="AA287" s="807" t="s">
        <v>64</v>
      </c>
      <c r="AB287" s="333">
        <f>B287</f>
        <v>45755</v>
      </c>
    </row>
    <row r="288" spans="2:28" ht="16" thickBot="1" x14ac:dyDescent="0.25">
      <c r="B288" s="336"/>
      <c r="C288" s="131" t="s">
        <v>89</v>
      </c>
      <c r="D288" s="808"/>
      <c r="E288" s="131">
        <f t="shared" si="84"/>
        <v>1690.5</v>
      </c>
      <c r="F288" s="370"/>
      <c r="G288" s="370"/>
      <c r="H288" s="371"/>
      <c r="I288" s="370"/>
      <c r="J288" s="371"/>
      <c r="K288" s="370"/>
      <c r="L288" s="371"/>
      <c r="M288" s="370"/>
      <c r="N288" s="370"/>
      <c r="O288" s="371"/>
      <c r="P288" s="370"/>
      <c r="Q288" s="371">
        <v>338.1</v>
      </c>
      <c r="R288" s="370">
        <v>788.9</v>
      </c>
      <c r="S288" s="370"/>
      <c r="T288" s="371"/>
      <c r="U288" s="370">
        <v>563.5</v>
      </c>
      <c r="V288" s="370"/>
      <c r="W288" s="370"/>
      <c r="X288" s="370"/>
      <c r="Y288" s="343">
        <f t="shared" si="85"/>
        <v>1690.5</v>
      </c>
      <c r="Z288" s="131" t="s">
        <v>89</v>
      </c>
      <c r="AA288" s="808"/>
      <c r="AB288" s="131"/>
    </row>
    <row r="289" spans="2:28" ht="16" thickBot="1" x14ac:dyDescent="0.25">
      <c r="B289" s="332">
        <v>45756</v>
      </c>
      <c r="C289" s="334" t="s">
        <v>240</v>
      </c>
      <c r="D289" s="809" t="s">
        <v>65</v>
      </c>
      <c r="E289" s="335">
        <f t="shared" si="84"/>
        <v>31422.799999999999</v>
      </c>
      <c r="F289" s="367">
        <v>4800</v>
      </c>
      <c r="G289" s="367">
        <v>1200</v>
      </c>
      <c r="H289" s="350">
        <v>3661.6</v>
      </c>
      <c r="I289" s="367">
        <v>2040</v>
      </c>
      <c r="J289" s="350">
        <v>3000</v>
      </c>
      <c r="K289" s="367">
        <v>2042.4</v>
      </c>
      <c r="L289" s="350">
        <v>2281.6</v>
      </c>
      <c r="M289" s="367">
        <v>4200</v>
      </c>
      <c r="N289" s="367">
        <v>8197.2000000000007</v>
      </c>
      <c r="O289" s="350"/>
      <c r="P289" s="367"/>
      <c r="Q289" s="350"/>
      <c r="R289" s="367"/>
      <c r="S289" s="367"/>
      <c r="T289" s="350"/>
      <c r="U289" s="367"/>
      <c r="V289" s="367"/>
      <c r="W289" s="367"/>
      <c r="X289" s="367"/>
      <c r="Y289" s="338">
        <f t="shared" si="85"/>
        <v>31422.799999999999</v>
      </c>
      <c r="Z289" s="334" t="s">
        <v>240</v>
      </c>
      <c r="AA289" s="809" t="s">
        <v>65</v>
      </c>
      <c r="AB289" s="334">
        <f>B289</f>
        <v>45756</v>
      </c>
    </row>
    <row r="290" spans="2:28" ht="16" thickBot="1" x14ac:dyDescent="0.25">
      <c r="B290" s="346"/>
      <c r="C290" s="347" t="s">
        <v>89</v>
      </c>
      <c r="D290" s="809"/>
      <c r="E290" s="347">
        <f t="shared" si="84"/>
        <v>458.1</v>
      </c>
      <c r="F290" s="356"/>
      <c r="G290" s="356"/>
      <c r="H290" s="351"/>
      <c r="I290" s="356"/>
      <c r="J290" s="351"/>
      <c r="K290" s="356"/>
      <c r="L290" s="351"/>
      <c r="M290" s="356">
        <f>1*120</f>
        <v>120</v>
      </c>
      <c r="N290" s="356">
        <v>338.1</v>
      </c>
      <c r="O290" s="351"/>
      <c r="P290" s="356"/>
      <c r="Q290" s="351"/>
      <c r="R290" s="356"/>
      <c r="S290" s="356"/>
      <c r="T290" s="351"/>
      <c r="U290" s="356"/>
      <c r="V290" s="356"/>
      <c r="W290" s="356"/>
      <c r="X290" s="356"/>
      <c r="Y290" s="366">
        <f t="shared" si="85"/>
        <v>458.1</v>
      </c>
      <c r="Z290" s="347" t="s">
        <v>89</v>
      </c>
      <c r="AA290" s="809"/>
      <c r="AB290" s="347"/>
    </row>
    <row r="291" spans="2:28" ht="16" thickBot="1" x14ac:dyDescent="0.25">
      <c r="B291" s="562">
        <v>45757</v>
      </c>
      <c r="C291" s="563" t="s">
        <v>240</v>
      </c>
      <c r="D291" s="807" t="s">
        <v>66</v>
      </c>
      <c r="E291" s="564">
        <f t="shared" si="84"/>
        <v>6100.8</v>
      </c>
      <c r="F291" s="372">
        <v>2200</v>
      </c>
      <c r="G291" s="372"/>
      <c r="H291" s="373"/>
      <c r="I291" s="372"/>
      <c r="J291" s="373"/>
      <c r="K291" s="372"/>
      <c r="L291" s="373"/>
      <c r="M291" s="372"/>
      <c r="N291" s="372"/>
      <c r="O291" s="373"/>
      <c r="P291" s="372"/>
      <c r="Q291" s="373"/>
      <c r="R291" s="372"/>
      <c r="S291" s="372"/>
      <c r="T291" s="373"/>
      <c r="U291" s="372"/>
      <c r="V291" s="372"/>
      <c r="W291" s="372">
        <v>3900.8</v>
      </c>
      <c r="X291" s="372"/>
      <c r="Y291" s="565">
        <f t="shared" si="85"/>
        <v>6100.8</v>
      </c>
      <c r="Z291" s="563" t="s">
        <v>240</v>
      </c>
      <c r="AA291" s="807" t="s">
        <v>66</v>
      </c>
      <c r="AB291" s="563">
        <f>B291</f>
        <v>45757</v>
      </c>
    </row>
    <row r="292" spans="2:28" ht="16" thickBot="1" x14ac:dyDescent="0.25">
      <c r="B292" s="336"/>
      <c r="C292" s="131" t="s">
        <v>89</v>
      </c>
      <c r="D292" s="808"/>
      <c r="E292" s="131">
        <f t="shared" si="84"/>
        <v>1499.6</v>
      </c>
      <c r="F292" s="370"/>
      <c r="G292" s="370"/>
      <c r="H292" s="371"/>
      <c r="I292" s="370"/>
      <c r="J292" s="371"/>
      <c r="K292" s="370"/>
      <c r="L292" s="371"/>
      <c r="M292" s="370"/>
      <c r="N292" s="370"/>
      <c r="O292" s="371"/>
      <c r="P292" s="370"/>
      <c r="Q292" s="371"/>
      <c r="R292" s="370"/>
      <c r="S292" s="370"/>
      <c r="T292" s="371"/>
      <c r="U292" s="370"/>
      <c r="V292" s="370"/>
      <c r="W292" s="370">
        <v>1499.6</v>
      </c>
      <c r="X292" s="370"/>
      <c r="Y292" s="343">
        <f t="shared" si="85"/>
        <v>1499.6</v>
      </c>
      <c r="Z292" s="131" t="s">
        <v>89</v>
      </c>
      <c r="AA292" s="808"/>
      <c r="AB292" s="131"/>
    </row>
    <row r="293" spans="2:28" ht="16" thickBot="1" x14ac:dyDescent="0.25">
      <c r="B293" s="566">
        <v>45758</v>
      </c>
      <c r="C293" s="567" t="s">
        <v>240</v>
      </c>
      <c r="D293" s="809" t="s">
        <v>67</v>
      </c>
      <c r="E293" s="568">
        <f t="shared" si="84"/>
        <v>25519</v>
      </c>
      <c r="F293" s="367">
        <v>5900</v>
      </c>
      <c r="G293" s="367"/>
      <c r="H293" s="350">
        <v>4577</v>
      </c>
      <c r="I293" s="367"/>
      <c r="J293" s="350"/>
      <c r="K293" s="367">
        <v>2732.4</v>
      </c>
      <c r="L293" s="350">
        <v>3661.6</v>
      </c>
      <c r="M293" s="367"/>
      <c r="N293" s="367">
        <v>8648</v>
      </c>
      <c r="O293" s="350"/>
      <c r="P293" s="367"/>
      <c r="Q293" s="350"/>
      <c r="R293" s="367"/>
      <c r="S293" s="367"/>
      <c r="T293" s="350"/>
      <c r="U293" s="367"/>
      <c r="V293" s="367"/>
      <c r="W293" s="367"/>
      <c r="X293" s="367"/>
      <c r="Y293" s="569">
        <f t="shared" si="85"/>
        <v>25519</v>
      </c>
      <c r="Z293" s="567" t="s">
        <v>240</v>
      </c>
      <c r="AA293" s="809" t="s">
        <v>67</v>
      </c>
      <c r="AB293" s="567">
        <f>B293</f>
        <v>45758</v>
      </c>
    </row>
    <row r="294" spans="2:28" ht="16" thickBot="1" x14ac:dyDescent="0.25">
      <c r="B294" s="346"/>
      <c r="C294" s="347" t="s">
        <v>89</v>
      </c>
      <c r="D294" s="809"/>
      <c r="E294" s="347">
        <f t="shared" si="84"/>
        <v>2963.5</v>
      </c>
      <c r="F294" s="355">
        <v>2400</v>
      </c>
      <c r="G294" s="355"/>
      <c r="H294" s="351"/>
      <c r="I294" s="355"/>
      <c r="J294" s="351"/>
      <c r="K294" s="355">
        <v>112.7</v>
      </c>
      <c r="L294" s="351"/>
      <c r="M294" s="356"/>
      <c r="N294" s="356">
        <v>450.8</v>
      </c>
      <c r="O294" s="351"/>
      <c r="P294" s="356"/>
      <c r="Q294" s="351"/>
      <c r="R294" s="356"/>
      <c r="S294" s="356"/>
      <c r="T294" s="351"/>
      <c r="U294" s="356"/>
      <c r="V294" s="356"/>
      <c r="W294" s="356"/>
      <c r="X294" s="356"/>
      <c r="Y294" s="366">
        <f t="shared" si="85"/>
        <v>2963.5</v>
      </c>
      <c r="Z294" s="347" t="s">
        <v>89</v>
      </c>
      <c r="AA294" s="809"/>
      <c r="AB294" s="347"/>
    </row>
    <row r="295" spans="2:28" ht="16" thickBot="1" x14ac:dyDescent="0.25">
      <c r="B295" s="368">
        <v>45759</v>
      </c>
      <c r="C295" s="333" t="s">
        <v>240</v>
      </c>
      <c r="D295" s="807" t="s">
        <v>68</v>
      </c>
      <c r="E295" s="132">
        <f t="shared" si="84"/>
        <v>0</v>
      </c>
      <c r="F295" s="372"/>
      <c r="G295" s="372"/>
      <c r="H295" s="373"/>
      <c r="I295" s="372"/>
      <c r="J295" s="373"/>
      <c r="K295" s="372"/>
      <c r="L295" s="373"/>
      <c r="M295" s="372"/>
      <c r="N295" s="372"/>
      <c r="O295" s="373"/>
      <c r="P295" s="372"/>
      <c r="Q295" s="373"/>
      <c r="R295" s="372"/>
      <c r="S295" s="372"/>
      <c r="T295" s="373"/>
      <c r="U295" s="372"/>
      <c r="V295" s="372"/>
      <c r="W295" s="372"/>
      <c r="X295" s="372"/>
      <c r="Y295" s="349">
        <f t="shared" si="85"/>
        <v>0</v>
      </c>
      <c r="Z295" s="333" t="s">
        <v>240</v>
      </c>
      <c r="AA295" s="807" t="s">
        <v>68</v>
      </c>
      <c r="AB295" s="333">
        <f>B295</f>
        <v>45759</v>
      </c>
    </row>
    <row r="296" spans="2:28" ht="16" thickBot="1" x14ac:dyDescent="0.25">
      <c r="B296" s="336"/>
      <c r="C296" s="131" t="s">
        <v>89</v>
      </c>
      <c r="D296" s="808"/>
      <c r="E296" s="131">
        <f t="shared" si="84"/>
        <v>0</v>
      </c>
      <c r="F296" s="370"/>
      <c r="G296" s="370"/>
      <c r="H296" s="371"/>
      <c r="I296" s="370"/>
      <c r="J296" s="371"/>
      <c r="K296" s="370"/>
      <c r="L296" s="371"/>
      <c r="M296" s="370"/>
      <c r="N296" s="370"/>
      <c r="O296" s="371"/>
      <c r="P296" s="370"/>
      <c r="Q296" s="371"/>
      <c r="R296" s="370"/>
      <c r="S296" s="370"/>
      <c r="T296" s="371"/>
      <c r="U296" s="370"/>
      <c r="V296" s="370"/>
      <c r="W296" s="370"/>
      <c r="X296" s="370"/>
      <c r="Y296" s="343">
        <f t="shared" si="85"/>
        <v>0</v>
      </c>
      <c r="Z296" s="131" t="s">
        <v>89</v>
      </c>
      <c r="AA296" s="808"/>
      <c r="AB296" s="131"/>
    </row>
    <row r="297" spans="2:28" ht="16" thickBot="1" x14ac:dyDescent="0.25">
      <c r="B297" s="566">
        <v>45760</v>
      </c>
      <c r="C297" s="567" t="s">
        <v>240</v>
      </c>
      <c r="D297" s="809" t="s">
        <v>69</v>
      </c>
      <c r="E297" s="568">
        <f t="shared" si="84"/>
        <v>0</v>
      </c>
      <c r="F297" s="367"/>
      <c r="G297" s="367"/>
      <c r="H297" s="350"/>
      <c r="I297" s="367"/>
      <c r="J297" s="350"/>
      <c r="K297" s="367"/>
      <c r="L297" s="350"/>
      <c r="M297" s="367"/>
      <c r="N297" s="367"/>
      <c r="O297" s="350"/>
      <c r="P297" s="367"/>
      <c r="Q297" s="350"/>
      <c r="R297" s="367"/>
      <c r="S297" s="367"/>
      <c r="T297" s="350"/>
      <c r="U297" s="367"/>
      <c r="V297" s="367"/>
      <c r="W297" s="367"/>
      <c r="X297" s="367"/>
      <c r="Y297" s="569">
        <f t="shared" si="85"/>
        <v>0</v>
      </c>
      <c r="Z297" s="567" t="s">
        <v>240</v>
      </c>
      <c r="AA297" s="809" t="s">
        <v>69</v>
      </c>
      <c r="AB297" s="567">
        <f>B297</f>
        <v>45760</v>
      </c>
    </row>
    <row r="298" spans="2:28" ht="16" thickBot="1" x14ac:dyDescent="0.25">
      <c r="B298" s="346"/>
      <c r="C298" s="347" t="s">
        <v>89</v>
      </c>
      <c r="D298" s="808"/>
      <c r="E298" s="347">
        <f t="shared" si="84"/>
        <v>0</v>
      </c>
      <c r="F298" s="356"/>
      <c r="G298" s="356"/>
      <c r="H298" s="351"/>
      <c r="I298" s="356"/>
      <c r="J298" s="351"/>
      <c r="K298" s="356"/>
      <c r="L298" s="351"/>
      <c r="M298" s="356"/>
      <c r="N298" s="356"/>
      <c r="O298" s="351"/>
      <c r="P298" s="356"/>
      <c r="Q298" s="351"/>
      <c r="R298" s="356"/>
      <c r="S298" s="356"/>
      <c r="T298" s="351"/>
      <c r="U298" s="356"/>
      <c r="V298" s="356"/>
      <c r="W298" s="356"/>
      <c r="X298" s="356"/>
      <c r="Y298" s="363">
        <f t="shared" si="85"/>
        <v>0</v>
      </c>
      <c r="Z298" s="347" t="s">
        <v>89</v>
      </c>
      <c r="AA298" s="808"/>
      <c r="AB298" s="347"/>
    </row>
    <row r="299" spans="2:28" ht="17" thickBot="1" x14ac:dyDescent="0.25">
      <c r="B299" s="348" t="s">
        <v>119</v>
      </c>
      <c r="C299" s="349"/>
      <c r="D299" s="344"/>
      <c r="E299" s="133">
        <f>SUM(E291,E289,E287,E285,E293,E295,E297)</f>
        <v>113758.9</v>
      </c>
      <c r="F299" s="349">
        <f t="shared" ref="F299:Y299" si="86">SUM(F285,F287,F289,F291,F293,F295,F297)</f>
        <v>19500</v>
      </c>
      <c r="G299" s="349">
        <f t="shared" si="86"/>
        <v>1200</v>
      </c>
      <c r="H299" s="352">
        <f t="shared" si="86"/>
        <v>11900.2</v>
      </c>
      <c r="I299" s="349">
        <f t="shared" si="86"/>
        <v>2040</v>
      </c>
      <c r="J299" s="352">
        <f t="shared" si="86"/>
        <v>3000</v>
      </c>
      <c r="K299" s="349">
        <f t="shared" si="86"/>
        <v>7507.2000000000007</v>
      </c>
      <c r="L299" s="352">
        <f t="shared" si="86"/>
        <v>8224.7999999999993</v>
      </c>
      <c r="M299" s="349">
        <f t="shared" si="86"/>
        <v>4200</v>
      </c>
      <c r="N299" s="349">
        <f t="shared" si="86"/>
        <v>25493.200000000001</v>
      </c>
      <c r="O299" s="352">
        <f t="shared" si="86"/>
        <v>0</v>
      </c>
      <c r="P299" s="349">
        <f t="shared" si="86"/>
        <v>0</v>
      </c>
      <c r="Q299" s="352">
        <f t="shared" si="86"/>
        <v>6752.8</v>
      </c>
      <c r="R299" s="349">
        <f t="shared" si="86"/>
        <v>4816.2</v>
      </c>
      <c r="S299" s="349">
        <f t="shared" si="86"/>
        <v>5041.6000000000004</v>
      </c>
      <c r="T299" s="352">
        <f t="shared" si="86"/>
        <v>5041.6000000000004</v>
      </c>
      <c r="U299" s="349">
        <f t="shared" si="86"/>
        <v>5140.5</v>
      </c>
      <c r="V299" s="349">
        <f t="shared" si="86"/>
        <v>0</v>
      </c>
      <c r="W299" s="349">
        <f t="shared" si="86"/>
        <v>3900.8</v>
      </c>
      <c r="X299" s="349">
        <f t="shared" si="86"/>
        <v>0</v>
      </c>
      <c r="Y299" s="358">
        <f t="shared" si="86"/>
        <v>113758.9</v>
      </c>
      <c r="Z299" s="349"/>
      <c r="AA299" s="345"/>
      <c r="AB299" s="349" t="s">
        <v>119</v>
      </c>
    </row>
    <row r="300" spans="2:28" ht="17" thickBot="1" x14ac:dyDescent="0.25">
      <c r="B300" s="342" t="s">
        <v>120</v>
      </c>
      <c r="C300" s="343"/>
      <c r="D300" s="344"/>
      <c r="E300" s="134">
        <f>SUM(E286,E288,E290,E292,E294,E296,E298)</f>
        <v>6724.4</v>
      </c>
      <c r="F300" s="343">
        <f t="shared" ref="F300:Y300" si="87">(F286+F288+F290+F292+F294+F296+F298)</f>
        <v>2400</v>
      </c>
      <c r="G300" s="343">
        <f t="shared" si="87"/>
        <v>0</v>
      </c>
      <c r="H300" s="353">
        <f t="shared" si="87"/>
        <v>0</v>
      </c>
      <c r="I300" s="343">
        <f t="shared" si="87"/>
        <v>0</v>
      </c>
      <c r="J300" s="353">
        <f t="shared" si="87"/>
        <v>0</v>
      </c>
      <c r="K300" s="343">
        <f t="shared" si="87"/>
        <v>225.4</v>
      </c>
      <c r="L300" s="353">
        <f t="shared" si="87"/>
        <v>0</v>
      </c>
      <c r="M300" s="343">
        <f t="shared" si="87"/>
        <v>120</v>
      </c>
      <c r="N300" s="343">
        <f t="shared" si="87"/>
        <v>788.90000000000009</v>
      </c>
      <c r="O300" s="353">
        <f t="shared" si="87"/>
        <v>0</v>
      </c>
      <c r="P300" s="343">
        <f t="shared" si="87"/>
        <v>0</v>
      </c>
      <c r="Q300" s="353">
        <f t="shared" si="87"/>
        <v>338.1</v>
      </c>
      <c r="R300" s="343">
        <f t="shared" si="87"/>
        <v>788.9</v>
      </c>
      <c r="S300" s="343">
        <f t="shared" si="87"/>
        <v>0</v>
      </c>
      <c r="T300" s="353">
        <f t="shared" si="87"/>
        <v>0</v>
      </c>
      <c r="U300" s="343">
        <f t="shared" si="87"/>
        <v>563.5</v>
      </c>
      <c r="V300" s="343">
        <f t="shared" si="87"/>
        <v>0</v>
      </c>
      <c r="W300" s="343">
        <f t="shared" si="87"/>
        <v>1499.6</v>
      </c>
      <c r="X300" s="343">
        <f t="shared" si="87"/>
        <v>0</v>
      </c>
      <c r="Y300" s="359">
        <f t="shared" si="87"/>
        <v>6724.4</v>
      </c>
      <c r="Z300" s="343"/>
      <c r="AA300" s="345"/>
      <c r="AB300" s="343" t="s">
        <v>120</v>
      </c>
    </row>
    <row r="301" spans="2:28" ht="17" thickBot="1" x14ac:dyDescent="0.25">
      <c r="B301" s="337" t="s">
        <v>121</v>
      </c>
      <c r="C301" s="338"/>
      <c r="D301" s="339"/>
      <c r="E301" s="340">
        <f>E299-E300</f>
        <v>107034.5</v>
      </c>
      <c r="F301" s="338">
        <f t="shared" ref="F301:M301" si="88">F299-F300</f>
        <v>17100</v>
      </c>
      <c r="G301" s="338">
        <f t="shared" si="88"/>
        <v>1200</v>
      </c>
      <c r="H301" s="357">
        <f t="shared" si="88"/>
        <v>11900.2</v>
      </c>
      <c r="I301" s="338">
        <f t="shared" si="88"/>
        <v>2040</v>
      </c>
      <c r="J301" s="357">
        <f t="shared" si="88"/>
        <v>3000</v>
      </c>
      <c r="K301" s="338">
        <f t="shared" si="88"/>
        <v>7281.8000000000011</v>
      </c>
      <c r="L301" s="357">
        <f t="shared" si="88"/>
        <v>8224.7999999999993</v>
      </c>
      <c r="M301" s="338">
        <f t="shared" si="88"/>
        <v>4080</v>
      </c>
      <c r="N301" s="338">
        <f>N299-N300</f>
        <v>24704.3</v>
      </c>
      <c r="O301" s="357">
        <f t="shared" ref="O301:W301" si="89">O299-O300</f>
        <v>0</v>
      </c>
      <c r="P301" s="338">
        <f t="shared" si="89"/>
        <v>0</v>
      </c>
      <c r="Q301" s="357">
        <f t="shared" si="89"/>
        <v>6414.7</v>
      </c>
      <c r="R301" s="338">
        <f t="shared" si="89"/>
        <v>4027.2999999999997</v>
      </c>
      <c r="S301" s="338">
        <f t="shared" si="89"/>
        <v>5041.6000000000004</v>
      </c>
      <c r="T301" s="357">
        <f t="shared" si="89"/>
        <v>5041.6000000000004</v>
      </c>
      <c r="U301" s="338">
        <f t="shared" si="89"/>
        <v>4577</v>
      </c>
      <c r="V301" s="338">
        <f t="shared" si="89"/>
        <v>0</v>
      </c>
      <c r="W301" s="338">
        <f t="shared" si="89"/>
        <v>2401.2000000000003</v>
      </c>
      <c r="X301" s="338">
        <f>X299-X300</f>
        <v>0</v>
      </c>
      <c r="Y301" s="360">
        <f>Y299-Y300</f>
        <v>107034.5</v>
      </c>
      <c r="Z301" s="338"/>
      <c r="AA301" s="341"/>
      <c r="AB301" s="338" t="s">
        <v>121</v>
      </c>
    </row>
    <row r="302" spans="2:28" ht="16" thickBot="1" x14ac:dyDescent="0.25"/>
    <row r="303" spans="2:28" x14ac:dyDescent="0.2">
      <c r="B303" s="812" t="s">
        <v>76</v>
      </c>
      <c r="C303" s="812" t="s">
        <v>239</v>
      </c>
      <c r="D303" s="812" t="s">
        <v>83</v>
      </c>
      <c r="E303" s="812" t="s">
        <v>19</v>
      </c>
      <c r="F303" s="812" t="s">
        <v>118</v>
      </c>
      <c r="G303" s="812" t="s">
        <v>70</v>
      </c>
      <c r="H303" s="814" t="s">
        <v>401</v>
      </c>
      <c r="I303" s="812" t="s">
        <v>382</v>
      </c>
      <c r="J303" s="816" t="s">
        <v>200</v>
      </c>
      <c r="K303" s="812" t="s">
        <v>114</v>
      </c>
      <c r="L303" s="810" t="s">
        <v>402</v>
      </c>
      <c r="M303" s="812" t="s">
        <v>333</v>
      </c>
      <c r="N303" s="812" t="s">
        <v>204</v>
      </c>
      <c r="O303" s="810" t="s">
        <v>75</v>
      </c>
      <c r="P303" s="812" t="s">
        <v>278</v>
      </c>
      <c r="Q303" s="810" t="s">
        <v>116</v>
      </c>
      <c r="R303" s="812" t="s">
        <v>331</v>
      </c>
      <c r="S303" s="812" t="s">
        <v>73</v>
      </c>
      <c r="T303" s="810" t="s">
        <v>112</v>
      </c>
      <c r="U303" s="812" t="s">
        <v>72</v>
      </c>
      <c r="V303" s="812" t="s">
        <v>425</v>
      </c>
      <c r="W303" s="812" t="s">
        <v>399</v>
      </c>
      <c r="X303" s="812" t="s">
        <v>400</v>
      </c>
      <c r="Y303" s="812" t="s">
        <v>19</v>
      </c>
      <c r="Z303" s="812" t="s">
        <v>239</v>
      </c>
      <c r="AA303" s="812" t="s">
        <v>83</v>
      </c>
      <c r="AB303" s="812" t="s">
        <v>76</v>
      </c>
    </row>
    <row r="304" spans="2:28" ht="16" thickBot="1" x14ac:dyDescent="0.25">
      <c r="B304" s="813"/>
      <c r="C304" s="813"/>
      <c r="D304" s="813"/>
      <c r="E304" s="813"/>
      <c r="F304" s="813"/>
      <c r="G304" s="813"/>
      <c r="H304" s="815"/>
      <c r="I304" s="813"/>
      <c r="J304" s="817"/>
      <c r="K304" s="813"/>
      <c r="L304" s="811"/>
      <c r="M304" s="813"/>
      <c r="N304" s="813"/>
      <c r="O304" s="811"/>
      <c r="P304" s="813"/>
      <c r="Q304" s="811"/>
      <c r="R304" s="813"/>
      <c r="S304" s="813"/>
      <c r="T304" s="811"/>
      <c r="U304" s="813"/>
      <c r="V304" s="813"/>
      <c r="W304" s="813"/>
      <c r="X304" s="813"/>
      <c r="Y304" s="813"/>
      <c r="Z304" s="813"/>
      <c r="AA304" s="813"/>
      <c r="AB304" s="813"/>
    </row>
    <row r="305" spans="2:28" ht="16" thickBot="1" x14ac:dyDescent="0.25">
      <c r="B305" s="332">
        <v>45761</v>
      </c>
      <c r="C305" s="334" t="s">
        <v>240</v>
      </c>
      <c r="D305" s="807" t="s">
        <v>63</v>
      </c>
      <c r="E305" s="335">
        <f t="shared" ref="E305:E318" si="90">SUM(F305:X305)</f>
        <v>24967.399999999998</v>
      </c>
      <c r="F305" s="362">
        <v>6100</v>
      </c>
      <c r="G305" s="362">
        <v>1200</v>
      </c>
      <c r="H305" s="361">
        <v>3661.6</v>
      </c>
      <c r="I305" s="362">
        <v>2400</v>
      </c>
      <c r="J305" s="361"/>
      <c r="K305" s="362">
        <v>2042.4</v>
      </c>
      <c r="L305" s="361">
        <v>2281.6</v>
      </c>
      <c r="M305" s="362"/>
      <c r="N305" s="354">
        <v>7281.8</v>
      </c>
      <c r="O305" s="361"/>
      <c r="P305" s="362"/>
      <c r="Q305" s="361"/>
      <c r="R305" s="362"/>
      <c r="S305" s="354"/>
      <c r="T305" s="361"/>
      <c r="U305" s="362"/>
      <c r="V305" s="362"/>
      <c r="W305" s="362"/>
      <c r="X305" s="362"/>
      <c r="Y305" s="349">
        <f t="shared" ref="Y305:Y318" si="91">SUM(F305:X305)</f>
        <v>24967.399999999998</v>
      </c>
      <c r="Z305" s="334" t="s">
        <v>240</v>
      </c>
      <c r="AA305" s="807" t="s">
        <v>63</v>
      </c>
      <c r="AB305" s="333">
        <f>B305</f>
        <v>45761</v>
      </c>
    </row>
    <row r="306" spans="2:28" ht="16" thickBot="1" x14ac:dyDescent="0.25">
      <c r="B306" s="346"/>
      <c r="C306" s="347" t="s">
        <v>89</v>
      </c>
      <c r="D306" s="809"/>
      <c r="E306" s="347">
        <f t="shared" si="90"/>
        <v>1929.7</v>
      </c>
      <c r="F306" s="356"/>
      <c r="G306" s="356"/>
      <c r="H306" s="351"/>
      <c r="I306" s="356"/>
      <c r="J306" s="351"/>
      <c r="K306" s="356">
        <v>795.8</v>
      </c>
      <c r="L306" s="351"/>
      <c r="M306" s="355"/>
      <c r="N306" s="355">
        <v>1133.9000000000001</v>
      </c>
      <c r="O306" s="364"/>
      <c r="P306" s="356"/>
      <c r="Q306" s="351"/>
      <c r="R306" s="355"/>
      <c r="S306" s="365"/>
      <c r="T306" s="364"/>
      <c r="U306" s="365"/>
      <c r="V306" s="365"/>
      <c r="W306" s="365"/>
      <c r="X306" s="356"/>
      <c r="Y306" s="366">
        <f t="shared" si="91"/>
        <v>1929.7</v>
      </c>
      <c r="Z306" s="347" t="s">
        <v>89</v>
      </c>
      <c r="AA306" s="809"/>
      <c r="AB306" s="347"/>
    </row>
    <row r="307" spans="2:28" ht="16" thickBot="1" x14ac:dyDescent="0.25">
      <c r="B307" s="368">
        <v>45762</v>
      </c>
      <c r="C307" s="333" t="s">
        <v>240</v>
      </c>
      <c r="D307" s="807" t="s">
        <v>64</v>
      </c>
      <c r="E307" s="132">
        <f t="shared" si="90"/>
        <v>28094.5</v>
      </c>
      <c r="F307" s="354"/>
      <c r="G307" s="354"/>
      <c r="H307" s="369"/>
      <c r="I307" s="354"/>
      <c r="J307" s="369"/>
      <c r="K307" s="354"/>
      <c r="L307" s="369"/>
      <c r="M307" s="354"/>
      <c r="N307" s="354"/>
      <c r="O307" s="369"/>
      <c r="P307" s="354"/>
      <c r="Q307" s="369">
        <v>7829.2</v>
      </c>
      <c r="R307" s="354">
        <v>5041.6000000000004</v>
      </c>
      <c r="S307" s="354">
        <v>5041.6000000000004</v>
      </c>
      <c r="T307" s="369">
        <v>5041.6000000000004</v>
      </c>
      <c r="U307" s="354">
        <v>5140.5</v>
      </c>
      <c r="V307" s="354"/>
      <c r="W307" s="354"/>
      <c r="X307" s="354"/>
      <c r="Y307" s="349">
        <f t="shared" si="91"/>
        <v>28094.5</v>
      </c>
      <c r="Z307" s="333" t="s">
        <v>240</v>
      </c>
      <c r="AA307" s="807" t="s">
        <v>64</v>
      </c>
      <c r="AB307" s="333">
        <f>B307</f>
        <v>45762</v>
      </c>
    </row>
    <row r="308" spans="2:28" ht="16" thickBot="1" x14ac:dyDescent="0.25">
      <c r="B308" s="336"/>
      <c r="C308" s="131" t="s">
        <v>89</v>
      </c>
      <c r="D308" s="808"/>
      <c r="E308" s="131">
        <f t="shared" si="90"/>
        <v>2394.2999999999997</v>
      </c>
      <c r="F308" s="370"/>
      <c r="G308" s="370"/>
      <c r="H308" s="371"/>
      <c r="I308" s="370"/>
      <c r="J308" s="371"/>
      <c r="K308" s="370"/>
      <c r="L308" s="371"/>
      <c r="M308" s="370"/>
      <c r="N308" s="370"/>
      <c r="O308" s="371"/>
      <c r="P308" s="370"/>
      <c r="Q308" s="371">
        <v>2056.1999999999998</v>
      </c>
      <c r="R308" s="370"/>
      <c r="S308" s="370">
        <v>338.1</v>
      </c>
      <c r="T308" s="371"/>
      <c r="U308" s="370"/>
      <c r="V308" s="370"/>
      <c r="W308" s="370"/>
      <c r="X308" s="370"/>
      <c r="Y308" s="343">
        <f t="shared" si="91"/>
        <v>2394.2999999999997</v>
      </c>
      <c r="Z308" s="131" t="s">
        <v>89</v>
      </c>
      <c r="AA308" s="808"/>
      <c r="AB308" s="131"/>
    </row>
    <row r="309" spans="2:28" ht="16" thickBot="1" x14ac:dyDescent="0.25">
      <c r="B309" s="332">
        <v>45763</v>
      </c>
      <c r="C309" s="334" t="s">
        <v>240</v>
      </c>
      <c r="D309" s="809" t="s">
        <v>65</v>
      </c>
      <c r="E309" s="335">
        <f t="shared" si="90"/>
        <v>35129.800000000003</v>
      </c>
      <c r="F309" s="367">
        <v>8100</v>
      </c>
      <c r="G309" s="367"/>
      <c r="H309" s="350">
        <v>4577</v>
      </c>
      <c r="I309" s="367"/>
      <c r="J309" s="350"/>
      <c r="K309" s="367">
        <v>3183.2</v>
      </c>
      <c r="L309" s="350">
        <v>3661.6</v>
      </c>
      <c r="M309" s="367">
        <v>4200</v>
      </c>
      <c r="N309" s="367">
        <v>11408</v>
      </c>
      <c r="O309" s="350"/>
      <c r="P309" s="367"/>
      <c r="Q309" s="350"/>
      <c r="R309" s="367"/>
      <c r="S309" s="367"/>
      <c r="T309" s="350"/>
      <c r="U309" s="367"/>
      <c r="V309" s="367"/>
      <c r="W309" s="367"/>
      <c r="X309" s="367"/>
      <c r="Y309" s="338">
        <f t="shared" si="91"/>
        <v>35129.800000000003</v>
      </c>
      <c r="Z309" s="334" t="s">
        <v>240</v>
      </c>
      <c r="AA309" s="809" t="s">
        <v>65</v>
      </c>
      <c r="AB309" s="334">
        <f>B309</f>
        <v>45763</v>
      </c>
    </row>
    <row r="310" spans="2:28" ht="16" thickBot="1" x14ac:dyDescent="0.25">
      <c r="B310" s="346"/>
      <c r="C310" s="347" t="s">
        <v>89</v>
      </c>
      <c r="D310" s="809"/>
      <c r="E310" s="347">
        <f t="shared" si="90"/>
        <v>3593.6</v>
      </c>
      <c r="F310" s="356">
        <v>500</v>
      </c>
      <c r="G310" s="356"/>
      <c r="H310" s="351"/>
      <c r="I310" s="356"/>
      <c r="J310" s="351"/>
      <c r="K310" s="356"/>
      <c r="L310" s="351">
        <v>1584.7</v>
      </c>
      <c r="M310" s="356">
        <f>6*120</f>
        <v>720</v>
      </c>
      <c r="N310" s="356">
        <v>788.9</v>
      </c>
      <c r="O310" s="351"/>
      <c r="P310" s="356"/>
      <c r="Q310" s="351"/>
      <c r="R310" s="356"/>
      <c r="S310" s="356"/>
      <c r="T310" s="351"/>
      <c r="U310" s="356"/>
      <c r="V310" s="356"/>
      <c r="W310" s="356"/>
      <c r="X310" s="356"/>
      <c r="Y310" s="366">
        <f t="shared" si="91"/>
        <v>3593.6</v>
      </c>
      <c r="Z310" s="347" t="s">
        <v>89</v>
      </c>
      <c r="AA310" s="809"/>
      <c r="AB310" s="347"/>
    </row>
    <row r="311" spans="2:28" ht="16" thickBot="1" x14ac:dyDescent="0.25">
      <c r="B311" s="562">
        <v>45764</v>
      </c>
      <c r="C311" s="563" t="s">
        <v>240</v>
      </c>
      <c r="D311" s="807" t="s">
        <v>66</v>
      </c>
      <c r="E311" s="564">
        <f t="shared" si="90"/>
        <v>55558.799999999988</v>
      </c>
      <c r="F311" s="372"/>
      <c r="G311" s="372"/>
      <c r="H311" s="373"/>
      <c r="I311" s="372"/>
      <c r="J311" s="373"/>
      <c r="K311" s="372"/>
      <c r="L311" s="373"/>
      <c r="M311" s="372"/>
      <c r="N311" s="372">
        <v>26197</v>
      </c>
      <c r="O311" s="373"/>
      <c r="P311" s="372"/>
      <c r="Q311" s="373">
        <v>8744.6</v>
      </c>
      <c r="R311" s="372">
        <v>3661.6</v>
      </c>
      <c r="S311" s="372">
        <v>4126.2</v>
      </c>
      <c r="T311" s="373">
        <v>4126.2</v>
      </c>
      <c r="U311" s="372">
        <v>4126.2</v>
      </c>
      <c r="V311" s="372"/>
      <c r="W311" s="372">
        <v>4577</v>
      </c>
      <c r="X311" s="372"/>
      <c r="Y311" s="565">
        <f t="shared" si="91"/>
        <v>55558.799999999988</v>
      </c>
      <c r="Z311" s="563" t="s">
        <v>240</v>
      </c>
      <c r="AA311" s="807" t="s">
        <v>66</v>
      </c>
      <c r="AB311" s="563">
        <f>B311</f>
        <v>45764</v>
      </c>
    </row>
    <row r="312" spans="2:28" ht="16" thickBot="1" x14ac:dyDescent="0.25">
      <c r="B312" s="336"/>
      <c r="C312" s="131" t="s">
        <v>89</v>
      </c>
      <c r="D312" s="808"/>
      <c r="E312" s="131">
        <f t="shared" si="90"/>
        <v>4563.2</v>
      </c>
      <c r="F312" s="370"/>
      <c r="G312" s="370"/>
      <c r="H312" s="371"/>
      <c r="I312" s="370"/>
      <c r="J312" s="371"/>
      <c r="K312" s="370"/>
      <c r="L312" s="371"/>
      <c r="M312" s="370"/>
      <c r="N312" s="370">
        <v>1127</v>
      </c>
      <c r="O312" s="371"/>
      <c r="P312" s="370"/>
      <c r="Q312" s="371"/>
      <c r="R312" s="370">
        <v>1492.7</v>
      </c>
      <c r="S312" s="370"/>
      <c r="T312" s="371"/>
      <c r="U312" s="370"/>
      <c r="V312" s="370"/>
      <c r="W312" s="370">
        <v>1943.5</v>
      </c>
      <c r="X312" s="370"/>
      <c r="Y312" s="343">
        <f t="shared" si="91"/>
        <v>4563.2</v>
      </c>
      <c r="Z312" s="131" t="s">
        <v>89</v>
      </c>
      <c r="AA312" s="808"/>
      <c r="AB312" s="131"/>
    </row>
    <row r="313" spans="2:28" ht="16" thickBot="1" x14ac:dyDescent="0.25">
      <c r="B313" s="566">
        <v>45765</v>
      </c>
      <c r="C313" s="567" t="s">
        <v>240</v>
      </c>
      <c r="D313" s="809" t="s">
        <v>67</v>
      </c>
      <c r="E313" s="568">
        <f t="shared" si="90"/>
        <v>25209.600000000002</v>
      </c>
      <c r="F313" s="367">
        <v>6600</v>
      </c>
      <c r="G313" s="367"/>
      <c r="H313" s="350">
        <v>7323.2</v>
      </c>
      <c r="I313" s="367">
        <v>2160</v>
      </c>
      <c r="J313" s="350"/>
      <c r="K313" s="367">
        <v>4098.6000000000004</v>
      </c>
      <c r="L313" s="350">
        <v>5027.8</v>
      </c>
      <c r="M313" s="367"/>
      <c r="N313" s="367"/>
      <c r="O313" s="350"/>
      <c r="P313" s="367"/>
      <c r="Q313" s="350"/>
      <c r="R313" s="367"/>
      <c r="S313" s="367"/>
      <c r="T313" s="350"/>
      <c r="U313" s="367"/>
      <c r="V313" s="367"/>
      <c r="W313" s="367"/>
      <c r="X313" s="367"/>
      <c r="Y313" s="569">
        <f t="shared" si="91"/>
        <v>25209.600000000002</v>
      </c>
      <c r="Z313" s="567" t="s">
        <v>240</v>
      </c>
      <c r="AA313" s="809" t="s">
        <v>67</v>
      </c>
      <c r="AB313" s="567">
        <f>B313</f>
        <v>45765</v>
      </c>
    </row>
    <row r="314" spans="2:28" ht="16" thickBot="1" x14ac:dyDescent="0.25">
      <c r="B314" s="346"/>
      <c r="C314" s="347" t="s">
        <v>89</v>
      </c>
      <c r="D314" s="809"/>
      <c r="E314" s="347">
        <f t="shared" si="90"/>
        <v>908.5</v>
      </c>
      <c r="F314" s="355"/>
      <c r="G314" s="355"/>
      <c r="H314" s="351"/>
      <c r="I314" s="355"/>
      <c r="J314" s="351"/>
      <c r="K314" s="355">
        <v>450.8</v>
      </c>
      <c r="L314" s="351">
        <v>457.7</v>
      </c>
      <c r="M314" s="356"/>
      <c r="N314" s="356"/>
      <c r="O314" s="351"/>
      <c r="P314" s="356"/>
      <c r="Q314" s="351"/>
      <c r="R314" s="356"/>
      <c r="S314" s="356"/>
      <c r="T314" s="351"/>
      <c r="U314" s="356"/>
      <c r="V314" s="356"/>
      <c r="W314" s="356"/>
      <c r="X314" s="356"/>
      <c r="Y314" s="366">
        <f t="shared" si="91"/>
        <v>908.5</v>
      </c>
      <c r="Z314" s="347" t="s">
        <v>89</v>
      </c>
      <c r="AA314" s="809"/>
      <c r="AB314" s="347"/>
    </row>
    <row r="315" spans="2:28" ht="16" thickBot="1" x14ac:dyDescent="0.25">
      <c r="B315" s="368">
        <v>45766</v>
      </c>
      <c r="C315" s="333" t="s">
        <v>240</v>
      </c>
      <c r="D315" s="807" t="s">
        <v>68</v>
      </c>
      <c r="E315" s="132">
        <f t="shared" si="90"/>
        <v>0</v>
      </c>
      <c r="F315" s="372"/>
      <c r="G315" s="372"/>
      <c r="H315" s="373"/>
      <c r="I315" s="372"/>
      <c r="J315" s="373"/>
      <c r="K315" s="372"/>
      <c r="L315" s="373"/>
      <c r="M315" s="372"/>
      <c r="N315" s="372"/>
      <c r="O315" s="373"/>
      <c r="P315" s="372"/>
      <c r="Q315" s="373"/>
      <c r="R315" s="372"/>
      <c r="S315" s="372"/>
      <c r="T315" s="373"/>
      <c r="U315" s="372"/>
      <c r="V315" s="372"/>
      <c r="W315" s="372"/>
      <c r="X315" s="372"/>
      <c r="Y315" s="349">
        <f t="shared" si="91"/>
        <v>0</v>
      </c>
      <c r="Z315" s="333" t="s">
        <v>240</v>
      </c>
      <c r="AA315" s="807" t="s">
        <v>68</v>
      </c>
      <c r="AB315" s="333">
        <f>B315</f>
        <v>45766</v>
      </c>
    </row>
    <row r="316" spans="2:28" ht="16" thickBot="1" x14ac:dyDescent="0.25">
      <c r="B316" s="336"/>
      <c r="C316" s="131" t="s">
        <v>89</v>
      </c>
      <c r="D316" s="808"/>
      <c r="E316" s="131">
        <f t="shared" si="90"/>
        <v>0</v>
      </c>
      <c r="F316" s="370"/>
      <c r="G316" s="370"/>
      <c r="H316" s="371"/>
      <c r="I316" s="370"/>
      <c r="J316" s="371"/>
      <c r="K316" s="370"/>
      <c r="L316" s="371"/>
      <c r="M316" s="370"/>
      <c r="N316" s="370"/>
      <c r="O316" s="371"/>
      <c r="P316" s="370"/>
      <c r="Q316" s="371"/>
      <c r="R316" s="370"/>
      <c r="S316" s="370"/>
      <c r="T316" s="371"/>
      <c r="U316" s="370"/>
      <c r="V316" s="370"/>
      <c r="W316" s="370"/>
      <c r="X316" s="370"/>
      <c r="Y316" s="343">
        <f t="shared" si="91"/>
        <v>0</v>
      </c>
      <c r="Z316" s="131" t="s">
        <v>89</v>
      </c>
      <c r="AA316" s="808"/>
      <c r="AB316" s="131"/>
    </row>
    <row r="317" spans="2:28" ht="16" thickBot="1" x14ac:dyDescent="0.25">
      <c r="B317" s="566">
        <v>45767</v>
      </c>
      <c r="C317" s="567" t="s">
        <v>240</v>
      </c>
      <c r="D317" s="809" t="s">
        <v>69</v>
      </c>
      <c r="E317" s="568">
        <f t="shared" si="90"/>
        <v>0</v>
      </c>
      <c r="F317" s="367"/>
      <c r="G317" s="367"/>
      <c r="H317" s="350"/>
      <c r="I317" s="367"/>
      <c r="J317" s="350"/>
      <c r="K317" s="367"/>
      <c r="L317" s="350"/>
      <c r="M317" s="367"/>
      <c r="N317" s="367"/>
      <c r="O317" s="350"/>
      <c r="P317" s="367"/>
      <c r="Q317" s="350"/>
      <c r="R317" s="367"/>
      <c r="S317" s="367"/>
      <c r="T317" s="350"/>
      <c r="U317" s="367"/>
      <c r="V317" s="367"/>
      <c r="W317" s="367"/>
      <c r="X317" s="367"/>
      <c r="Y317" s="569">
        <f t="shared" si="91"/>
        <v>0</v>
      </c>
      <c r="Z317" s="567" t="s">
        <v>240</v>
      </c>
      <c r="AA317" s="809" t="s">
        <v>69</v>
      </c>
      <c r="AB317" s="567">
        <f>B317</f>
        <v>45767</v>
      </c>
    </row>
    <row r="318" spans="2:28" ht="16" thickBot="1" x14ac:dyDescent="0.25">
      <c r="B318" s="346"/>
      <c r="C318" s="347" t="s">
        <v>89</v>
      </c>
      <c r="D318" s="808"/>
      <c r="E318" s="347">
        <f t="shared" si="90"/>
        <v>0</v>
      </c>
      <c r="F318" s="356"/>
      <c r="G318" s="356"/>
      <c r="H318" s="351"/>
      <c r="I318" s="356"/>
      <c r="J318" s="351"/>
      <c r="K318" s="356"/>
      <c r="L318" s="351"/>
      <c r="M318" s="356"/>
      <c r="N318" s="356"/>
      <c r="O318" s="351"/>
      <c r="P318" s="356"/>
      <c r="Q318" s="351"/>
      <c r="R318" s="356"/>
      <c r="S318" s="356"/>
      <c r="T318" s="351"/>
      <c r="U318" s="356"/>
      <c r="V318" s="356"/>
      <c r="W318" s="356"/>
      <c r="X318" s="356"/>
      <c r="Y318" s="363">
        <f t="shared" si="91"/>
        <v>0</v>
      </c>
      <c r="Z318" s="347" t="s">
        <v>89</v>
      </c>
      <c r="AA318" s="808"/>
      <c r="AB318" s="347"/>
    </row>
    <row r="319" spans="2:28" ht="17" thickBot="1" x14ac:dyDescent="0.25">
      <c r="B319" s="348" t="s">
        <v>119</v>
      </c>
      <c r="C319" s="349"/>
      <c r="D319" s="344"/>
      <c r="E319" s="133">
        <f>SUM(E311,E309,E307,E305,E313,E315,E317)</f>
        <v>168960.1</v>
      </c>
      <c r="F319" s="349">
        <f t="shared" ref="F319:Y319" si="92">SUM(F305,F307,F309,F311,F313,F315,F317)</f>
        <v>20800</v>
      </c>
      <c r="G319" s="349">
        <f t="shared" si="92"/>
        <v>1200</v>
      </c>
      <c r="H319" s="352">
        <f t="shared" si="92"/>
        <v>15561.8</v>
      </c>
      <c r="I319" s="349">
        <f t="shared" si="92"/>
        <v>4560</v>
      </c>
      <c r="J319" s="352">
        <f t="shared" si="92"/>
        <v>0</v>
      </c>
      <c r="K319" s="349">
        <f t="shared" si="92"/>
        <v>9324.2000000000007</v>
      </c>
      <c r="L319" s="352">
        <f t="shared" si="92"/>
        <v>10971</v>
      </c>
      <c r="M319" s="349">
        <f t="shared" si="92"/>
        <v>4200</v>
      </c>
      <c r="N319" s="349">
        <f t="shared" si="92"/>
        <v>44886.8</v>
      </c>
      <c r="O319" s="352">
        <f t="shared" si="92"/>
        <v>0</v>
      </c>
      <c r="P319" s="349">
        <f t="shared" si="92"/>
        <v>0</v>
      </c>
      <c r="Q319" s="352">
        <f t="shared" si="92"/>
        <v>16573.8</v>
      </c>
      <c r="R319" s="349">
        <f t="shared" si="92"/>
        <v>8703.2000000000007</v>
      </c>
      <c r="S319" s="349">
        <f t="shared" si="92"/>
        <v>9167.7999999999993</v>
      </c>
      <c r="T319" s="352">
        <f t="shared" si="92"/>
        <v>9167.7999999999993</v>
      </c>
      <c r="U319" s="349">
        <f t="shared" si="92"/>
        <v>9266.7000000000007</v>
      </c>
      <c r="V319" s="349">
        <f t="shared" si="92"/>
        <v>0</v>
      </c>
      <c r="W319" s="349">
        <f t="shared" si="92"/>
        <v>4577</v>
      </c>
      <c r="X319" s="349">
        <f t="shared" si="92"/>
        <v>0</v>
      </c>
      <c r="Y319" s="358">
        <f t="shared" si="92"/>
        <v>168960.1</v>
      </c>
      <c r="Z319" s="349"/>
      <c r="AA319" s="345"/>
      <c r="AB319" s="349" t="s">
        <v>119</v>
      </c>
    </row>
    <row r="320" spans="2:28" ht="17" thickBot="1" x14ac:dyDescent="0.25">
      <c r="B320" s="342" t="s">
        <v>120</v>
      </c>
      <c r="C320" s="343"/>
      <c r="D320" s="344"/>
      <c r="E320" s="134">
        <f>SUM(E306,E308,E310,E312,E314,E316,E318)</f>
        <v>13389.3</v>
      </c>
      <c r="F320" s="343">
        <f t="shared" ref="F320:Y320" si="93">(F306+F308+F310+F312+F314+F316+F318)</f>
        <v>500</v>
      </c>
      <c r="G320" s="343">
        <f t="shared" si="93"/>
        <v>0</v>
      </c>
      <c r="H320" s="353">
        <f t="shared" si="93"/>
        <v>0</v>
      </c>
      <c r="I320" s="343">
        <f t="shared" si="93"/>
        <v>0</v>
      </c>
      <c r="J320" s="353">
        <f t="shared" si="93"/>
        <v>0</v>
      </c>
      <c r="K320" s="343">
        <f t="shared" si="93"/>
        <v>1246.5999999999999</v>
      </c>
      <c r="L320" s="353">
        <f t="shared" si="93"/>
        <v>2042.4</v>
      </c>
      <c r="M320" s="343">
        <f t="shared" si="93"/>
        <v>720</v>
      </c>
      <c r="N320" s="343">
        <f t="shared" si="93"/>
        <v>3049.8</v>
      </c>
      <c r="O320" s="353">
        <f t="shared" si="93"/>
        <v>0</v>
      </c>
      <c r="P320" s="343">
        <f t="shared" si="93"/>
        <v>0</v>
      </c>
      <c r="Q320" s="353">
        <f t="shared" si="93"/>
        <v>2056.1999999999998</v>
      </c>
      <c r="R320" s="343">
        <f t="shared" si="93"/>
        <v>1492.7</v>
      </c>
      <c r="S320" s="343">
        <f t="shared" si="93"/>
        <v>338.1</v>
      </c>
      <c r="T320" s="353">
        <f t="shared" si="93"/>
        <v>0</v>
      </c>
      <c r="U320" s="343">
        <f t="shared" si="93"/>
        <v>0</v>
      </c>
      <c r="V320" s="343">
        <f t="shared" si="93"/>
        <v>0</v>
      </c>
      <c r="W320" s="343">
        <f t="shared" si="93"/>
        <v>1943.5</v>
      </c>
      <c r="X320" s="343">
        <f t="shared" si="93"/>
        <v>0</v>
      </c>
      <c r="Y320" s="359">
        <f t="shared" si="93"/>
        <v>13389.3</v>
      </c>
      <c r="Z320" s="343"/>
      <c r="AA320" s="345"/>
      <c r="AB320" s="343" t="s">
        <v>120</v>
      </c>
    </row>
    <row r="321" spans="2:28" ht="17" thickBot="1" x14ac:dyDescent="0.25">
      <c r="B321" s="337" t="s">
        <v>121</v>
      </c>
      <c r="C321" s="338"/>
      <c r="D321" s="339"/>
      <c r="E321" s="340">
        <f>E319-E320</f>
        <v>155570.80000000002</v>
      </c>
      <c r="F321" s="338">
        <f t="shared" ref="F321:M321" si="94">F319-F320</f>
        <v>20300</v>
      </c>
      <c r="G321" s="338">
        <f t="shared" si="94"/>
        <v>1200</v>
      </c>
      <c r="H321" s="357">
        <f t="shared" si="94"/>
        <v>15561.8</v>
      </c>
      <c r="I321" s="338">
        <f t="shared" si="94"/>
        <v>4560</v>
      </c>
      <c r="J321" s="357">
        <f t="shared" si="94"/>
        <v>0</v>
      </c>
      <c r="K321" s="338">
        <f t="shared" si="94"/>
        <v>8077.6</v>
      </c>
      <c r="L321" s="357">
        <f t="shared" si="94"/>
        <v>8928.6</v>
      </c>
      <c r="M321" s="338">
        <f t="shared" si="94"/>
        <v>3480</v>
      </c>
      <c r="N321" s="338">
        <f>N319-N320</f>
        <v>41837</v>
      </c>
      <c r="O321" s="357">
        <f t="shared" ref="O321:W321" si="95">O319-O320</f>
        <v>0</v>
      </c>
      <c r="P321" s="338">
        <f t="shared" si="95"/>
        <v>0</v>
      </c>
      <c r="Q321" s="357">
        <f t="shared" si="95"/>
        <v>14517.599999999999</v>
      </c>
      <c r="R321" s="338">
        <f t="shared" si="95"/>
        <v>7210.5000000000009</v>
      </c>
      <c r="S321" s="338">
        <f t="shared" si="95"/>
        <v>8829.6999999999989</v>
      </c>
      <c r="T321" s="357">
        <f t="shared" si="95"/>
        <v>9167.7999999999993</v>
      </c>
      <c r="U321" s="338">
        <f t="shared" si="95"/>
        <v>9266.7000000000007</v>
      </c>
      <c r="V321" s="338">
        <f t="shared" si="95"/>
        <v>0</v>
      </c>
      <c r="W321" s="338">
        <f t="shared" si="95"/>
        <v>2633.5</v>
      </c>
      <c r="X321" s="338">
        <f>X319-X320</f>
        <v>0</v>
      </c>
      <c r="Y321" s="360">
        <f>Y319-Y320</f>
        <v>155570.80000000002</v>
      </c>
      <c r="Z321" s="338"/>
      <c r="AA321" s="341"/>
      <c r="AB321" s="338" t="s">
        <v>121</v>
      </c>
    </row>
    <row r="322" spans="2:28" ht="16" thickBot="1" x14ac:dyDescent="0.25"/>
    <row r="323" spans="2:28" x14ac:dyDescent="0.2">
      <c r="B323" s="812" t="s">
        <v>76</v>
      </c>
      <c r="C323" s="812" t="s">
        <v>239</v>
      </c>
      <c r="D323" s="812" t="s">
        <v>83</v>
      </c>
      <c r="E323" s="812" t="s">
        <v>19</v>
      </c>
      <c r="F323" s="812" t="s">
        <v>118</v>
      </c>
      <c r="G323" s="812" t="s">
        <v>70</v>
      </c>
      <c r="H323" s="814" t="s">
        <v>401</v>
      </c>
      <c r="I323" s="812" t="s">
        <v>382</v>
      </c>
      <c r="J323" s="816" t="s">
        <v>200</v>
      </c>
      <c r="K323" s="812" t="s">
        <v>114</v>
      </c>
      <c r="L323" s="810" t="s">
        <v>402</v>
      </c>
      <c r="M323" s="812" t="s">
        <v>333</v>
      </c>
      <c r="N323" s="812" t="s">
        <v>204</v>
      </c>
      <c r="O323" s="810" t="s">
        <v>75</v>
      </c>
      <c r="P323" s="812" t="s">
        <v>278</v>
      </c>
      <c r="Q323" s="810" t="s">
        <v>116</v>
      </c>
      <c r="R323" s="812" t="s">
        <v>331</v>
      </c>
      <c r="S323" s="812" t="s">
        <v>73</v>
      </c>
      <c r="T323" s="810" t="s">
        <v>112</v>
      </c>
      <c r="U323" s="812" t="s">
        <v>72</v>
      </c>
      <c r="V323" s="812" t="s">
        <v>425</v>
      </c>
      <c r="W323" s="812" t="s">
        <v>399</v>
      </c>
      <c r="X323" s="812" t="s">
        <v>400</v>
      </c>
      <c r="Y323" s="812" t="s">
        <v>19</v>
      </c>
      <c r="Z323" s="812" t="s">
        <v>239</v>
      </c>
      <c r="AA323" s="812" t="s">
        <v>83</v>
      </c>
      <c r="AB323" s="812" t="s">
        <v>76</v>
      </c>
    </row>
    <row r="324" spans="2:28" ht="16" thickBot="1" x14ac:dyDescent="0.25">
      <c r="B324" s="813"/>
      <c r="C324" s="813"/>
      <c r="D324" s="813"/>
      <c r="E324" s="813"/>
      <c r="F324" s="813"/>
      <c r="G324" s="813"/>
      <c r="H324" s="815"/>
      <c r="I324" s="813"/>
      <c r="J324" s="817"/>
      <c r="K324" s="813"/>
      <c r="L324" s="811"/>
      <c r="M324" s="813"/>
      <c r="N324" s="813"/>
      <c r="O324" s="811"/>
      <c r="P324" s="813"/>
      <c r="Q324" s="811"/>
      <c r="R324" s="813"/>
      <c r="S324" s="813"/>
      <c r="T324" s="811"/>
      <c r="U324" s="813"/>
      <c r="V324" s="813"/>
      <c r="W324" s="813"/>
      <c r="X324" s="813"/>
      <c r="Y324" s="813"/>
      <c r="Z324" s="813"/>
      <c r="AA324" s="813"/>
      <c r="AB324" s="813"/>
    </row>
    <row r="325" spans="2:28" ht="16" thickBot="1" x14ac:dyDescent="0.25">
      <c r="B325" s="332">
        <v>45768</v>
      </c>
      <c r="C325" s="334" t="s">
        <v>240</v>
      </c>
      <c r="D325" s="807" t="s">
        <v>63</v>
      </c>
      <c r="E325" s="335">
        <f t="shared" ref="E325:E338" si="96">SUM(F325:X325)</f>
        <v>26612.799999999999</v>
      </c>
      <c r="F325" s="362">
        <v>5600</v>
      </c>
      <c r="G325" s="362"/>
      <c r="H325" s="361">
        <v>5041.6000000000004</v>
      </c>
      <c r="I325" s="362"/>
      <c r="J325" s="361"/>
      <c r="K325" s="362">
        <v>2732.4</v>
      </c>
      <c r="L325" s="361">
        <v>3661.6</v>
      </c>
      <c r="M325" s="362"/>
      <c r="N325" s="354">
        <v>9577.2000000000007</v>
      </c>
      <c r="O325" s="361"/>
      <c r="P325" s="362"/>
      <c r="Q325" s="361"/>
      <c r="R325" s="362"/>
      <c r="S325" s="354"/>
      <c r="T325" s="361"/>
      <c r="U325" s="362"/>
      <c r="V325" s="362"/>
      <c r="W325" s="362"/>
      <c r="X325" s="362"/>
      <c r="Y325" s="349">
        <f t="shared" ref="Y325:Y338" si="97">SUM(F325:X325)</f>
        <v>26612.799999999999</v>
      </c>
      <c r="Z325" s="334" t="s">
        <v>240</v>
      </c>
      <c r="AA325" s="807" t="s">
        <v>63</v>
      </c>
      <c r="AB325" s="333">
        <f>B325</f>
        <v>45768</v>
      </c>
    </row>
    <row r="326" spans="2:28" ht="16" thickBot="1" x14ac:dyDescent="0.25">
      <c r="B326" s="346"/>
      <c r="C326" s="347" t="s">
        <v>89</v>
      </c>
      <c r="D326" s="809"/>
      <c r="E326" s="347">
        <f t="shared" si="96"/>
        <v>719.6</v>
      </c>
      <c r="F326" s="356">
        <v>600</v>
      </c>
      <c r="G326" s="356"/>
      <c r="H326" s="351"/>
      <c r="I326" s="356"/>
      <c r="J326" s="351"/>
      <c r="K326" s="356"/>
      <c r="L326" s="351">
        <v>119.6</v>
      </c>
      <c r="M326" s="355"/>
      <c r="N326" s="355"/>
      <c r="O326" s="364"/>
      <c r="P326" s="356"/>
      <c r="Q326" s="351"/>
      <c r="R326" s="355"/>
      <c r="S326" s="365"/>
      <c r="T326" s="364"/>
      <c r="U326" s="365"/>
      <c r="V326" s="365"/>
      <c r="W326" s="365"/>
      <c r="X326" s="356"/>
      <c r="Y326" s="366">
        <f t="shared" si="97"/>
        <v>719.6</v>
      </c>
      <c r="Z326" s="347" t="s">
        <v>89</v>
      </c>
      <c r="AA326" s="809"/>
      <c r="AB326" s="347"/>
    </row>
    <row r="327" spans="2:28" ht="16" thickBot="1" x14ac:dyDescent="0.25">
      <c r="B327" s="368">
        <v>45769</v>
      </c>
      <c r="C327" s="333" t="s">
        <v>240</v>
      </c>
      <c r="D327" s="807" t="s">
        <v>64</v>
      </c>
      <c r="E327" s="132">
        <f t="shared" si="96"/>
        <v>29157.100000000002</v>
      </c>
      <c r="F327" s="354"/>
      <c r="G327" s="354"/>
      <c r="H327" s="369"/>
      <c r="I327" s="354"/>
      <c r="J327" s="369"/>
      <c r="K327" s="354"/>
      <c r="L327" s="369"/>
      <c r="M327" s="354"/>
      <c r="N327" s="354"/>
      <c r="O327" s="369"/>
      <c r="P327" s="354"/>
      <c r="Q327" s="369">
        <v>8286.9</v>
      </c>
      <c r="R327" s="354">
        <v>4351.6000000000004</v>
      </c>
      <c r="S327" s="354">
        <v>5506.2</v>
      </c>
      <c r="T327" s="369">
        <v>5506.2</v>
      </c>
      <c r="U327" s="354">
        <v>5506.2</v>
      </c>
      <c r="V327" s="354"/>
      <c r="W327" s="354"/>
      <c r="X327" s="354"/>
      <c r="Y327" s="349">
        <f t="shared" si="97"/>
        <v>29157.100000000002</v>
      </c>
      <c r="Z327" s="333" t="s">
        <v>240</v>
      </c>
      <c r="AA327" s="807" t="s">
        <v>64</v>
      </c>
      <c r="AB327" s="333">
        <f>B327</f>
        <v>45769</v>
      </c>
    </row>
    <row r="328" spans="2:28" ht="16" thickBot="1" x14ac:dyDescent="0.25">
      <c r="B328" s="336"/>
      <c r="C328" s="131" t="s">
        <v>89</v>
      </c>
      <c r="D328" s="808"/>
      <c r="E328" s="131">
        <f t="shared" si="96"/>
        <v>3979</v>
      </c>
      <c r="F328" s="370"/>
      <c r="G328" s="370"/>
      <c r="H328" s="371"/>
      <c r="I328" s="370"/>
      <c r="J328" s="371"/>
      <c r="K328" s="370"/>
      <c r="L328" s="371"/>
      <c r="M328" s="370"/>
      <c r="N328" s="370"/>
      <c r="O328" s="371"/>
      <c r="P328" s="370"/>
      <c r="Q328" s="371">
        <v>1915.9</v>
      </c>
      <c r="R328" s="370">
        <v>2063.1</v>
      </c>
      <c r="S328" s="370"/>
      <c r="T328" s="371"/>
      <c r="U328" s="370"/>
      <c r="V328" s="370"/>
      <c r="W328" s="370"/>
      <c r="X328" s="370"/>
      <c r="Y328" s="343">
        <f t="shared" si="97"/>
        <v>3979</v>
      </c>
      <c r="Z328" s="131" t="s">
        <v>89</v>
      </c>
      <c r="AA328" s="808"/>
      <c r="AB328" s="131"/>
    </row>
    <row r="329" spans="2:28" ht="16" thickBot="1" x14ac:dyDescent="0.25">
      <c r="B329" s="332">
        <v>45770</v>
      </c>
      <c r="C329" s="334" t="s">
        <v>240</v>
      </c>
      <c r="D329" s="809" t="s">
        <v>65</v>
      </c>
      <c r="E329" s="335">
        <f t="shared" si="96"/>
        <v>30668.2</v>
      </c>
      <c r="F329" s="367">
        <v>5200</v>
      </c>
      <c r="G329" s="367">
        <v>1440</v>
      </c>
      <c r="H329" s="350">
        <v>4577</v>
      </c>
      <c r="I329" s="367"/>
      <c r="J329" s="350">
        <v>2040</v>
      </c>
      <c r="K329" s="367">
        <v>2732.4</v>
      </c>
      <c r="L329" s="350">
        <v>2281.6</v>
      </c>
      <c r="M329" s="367">
        <v>4200</v>
      </c>
      <c r="N329" s="367">
        <v>8197.2000000000007</v>
      </c>
      <c r="O329" s="350"/>
      <c r="P329" s="367"/>
      <c r="Q329" s="350"/>
      <c r="R329" s="367"/>
      <c r="S329" s="367"/>
      <c r="T329" s="350"/>
      <c r="U329" s="367"/>
      <c r="V329" s="367"/>
      <c r="W329" s="367"/>
      <c r="X329" s="367"/>
      <c r="Y329" s="338">
        <f t="shared" si="97"/>
        <v>30668.2</v>
      </c>
      <c r="Z329" s="334" t="s">
        <v>240</v>
      </c>
      <c r="AA329" s="809" t="s">
        <v>65</v>
      </c>
      <c r="AB329" s="334">
        <f>B329</f>
        <v>45770</v>
      </c>
    </row>
    <row r="330" spans="2:28" ht="16" thickBot="1" x14ac:dyDescent="0.25">
      <c r="B330" s="346"/>
      <c r="C330" s="347" t="s">
        <v>89</v>
      </c>
      <c r="D330" s="809"/>
      <c r="E330" s="347">
        <f t="shared" si="96"/>
        <v>4737.8</v>
      </c>
      <c r="F330" s="356">
        <v>2200</v>
      </c>
      <c r="G330" s="356"/>
      <c r="H330" s="351"/>
      <c r="I330" s="356"/>
      <c r="J330" s="351">
        <f>8*120</f>
        <v>960</v>
      </c>
      <c r="K330" s="356"/>
      <c r="L330" s="351"/>
      <c r="M330" s="356"/>
      <c r="N330" s="356">
        <v>1577.8</v>
      </c>
      <c r="O330" s="351"/>
      <c r="P330" s="356"/>
      <c r="Q330" s="351"/>
      <c r="R330" s="356"/>
      <c r="S330" s="356"/>
      <c r="T330" s="351"/>
      <c r="U330" s="356"/>
      <c r="V330" s="356"/>
      <c r="W330" s="356"/>
      <c r="X330" s="356"/>
      <c r="Y330" s="366">
        <f t="shared" si="97"/>
        <v>4737.8</v>
      </c>
      <c r="Z330" s="347" t="s">
        <v>89</v>
      </c>
      <c r="AA330" s="809"/>
      <c r="AB330" s="347"/>
    </row>
    <row r="331" spans="2:28" ht="16" thickBot="1" x14ac:dyDescent="0.25">
      <c r="B331" s="562">
        <v>45771</v>
      </c>
      <c r="C331" s="563" t="s">
        <v>240</v>
      </c>
      <c r="D331" s="807" t="s">
        <v>66</v>
      </c>
      <c r="E331" s="564">
        <f t="shared" si="96"/>
        <v>4112.3999999999996</v>
      </c>
      <c r="F331" s="372"/>
      <c r="G331" s="372"/>
      <c r="H331" s="373"/>
      <c r="I331" s="372"/>
      <c r="J331" s="373"/>
      <c r="K331" s="372"/>
      <c r="L331" s="373"/>
      <c r="M331" s="372"/>
      <c r="N331" s="372"/>
      <c r="O331" s="373"/>
      <c r="P331" s="372"/>
      <c r="Q331" s="373"/>
      <c r="R331" s="372"/>
      <c r="S331" s="372"/>
      <c r="T331" s="373"/>
      <c r="U331" s="372"/>
      <c r="V331" s="372"/>
      <c r="W331" s="372">
        <v>4112.3999999999996</v>
      </c>
      <c r="X331" s="372"/>
      <c r="Y331" s="565">
        <f t="shared" si="97"/>
        <v>4112.3999999999996</v>
      </c>
      <c r="Z331" s="563" t="s">
        <v>240</v>
      </c>
      <c r="AA331" s="807" t="s">
        <v>66</v>
      </c>
      <c r="AB331" s="563">
        <f>B331</f>
        <v>45771</v>
      </c>
    </row>
    <row r="332" spans="2:28" ht="16" thickBot="1" x14ac:dyDescent="0.25">
      <c r="B332" s="336"/>
      <c r="C332" s="131" t="s">
        <v>89</v>
      </c>
      <c r="D332" s="808"/>
      <c r="E332" s="131">
        <f t="shared" si="96"/>
        <v>563.5</v>
      </c>
      <c r="F332" s="370"/>
      <c r="G332" s="370"/>
      <c r="H332" s="371"/>
      <c r="I332" s="370"/>
      <c r="J332" s="371"/>
      <c r="K332" s="370"/>
      <c r="L332" s="371"/>
      <c r="M332" s="370"/>
      <c r="N332" s="370"/>
      <c r="O332" s="371"/>
      <c r="P332" s="370"/>
      <c r="Q332" s="371"/>
      <c r="R332" s="370"/>
      <c r="S332" s="370"/>
      <c r="T332" s="371"/>
      <c r="U332" s="370"/>
      <c r="V332" s="370"/>
      <c r="W332" s="370">
        <v>563.5</v>
      </c>
      <c r="X332" s="370"/>
      <c r="Y332" s="343">
        <f t="shared" si="97"/>
        <v>563.5</v>
      </c>
      <c r="Z332" s="131" t="s">
        <v>89</v>
      </c>
      <c r="AA332" s="808"/>
      <c r="AB332" s="131"/>
    </row>
    <row r="333" spans="2:28" ht="16" thickBot="1" x14ac:dyDescent="0.25">
      <c r="B333" s="566">
        <v>45772</v>
      </c>
      <c r="C333" s="567" t="s">
        <v>240</v>
      </c>
      <c r="D333" s="809" t="s">
        <v>67</v>
      </c>
      <c r="E333" s="568">
        <f t="shared" si="96"/>
        <v>29589.8</v>
      </c>
      <c r="F333" s="367">
        <v>4900</v>
      </c>
      <c r="G333" s="367">
        <v>1200</v>
      </c>
      <c r="H333" s="350">
        <v>5027.8</v>
      </c>
      <c r="I333" s="367">
        <v>2040</v>
      </c>
      <c r="J333" s="350"/>
      <c r="K333" s="367">
        <v>2732.4</v>
      </c>
      <c r="L333" s="350">
        <v>2281.6</v>
      </c>
      <c r="M333" s="367"/>
      <c r="N333" s="367">
        <v>11408</v>
      </c>
      <c r="O333" s="350"/>
      <c r="P333" s="367"/>
      <c r="Q333" s="350"/>
      <c r="R333" s="367"/>
      <c r="S333" s="367"/>
      <c r="T333" s="350"/>
      <c r="U333" s="367"/>
      <c r="V333" s="367"/>
      <c r="W333" s="367"/>
      <c r="X333" s="367"/>
      <c r="Y333" s="569">
        <f t="shared" si="97"/>
        <v>29589.8</v>
      </c>
      <c r="Z333" s="567" t="s">
        <v>240</v>
      </c>
      <c r="AA333" s="809" t="s">
        <v>67</v>
      </c>
      <c r="AB333" s="567">
        <f>B333</f>
        <v>45772</v>
      </c>
    </row>
    <row r="334" spans="2:28" ht="16" thickBot="1" x14ac:dyDescent="0.25">
      <c r="B334" s="346"/>
      <c r="C334" s="347" t="s">
        <v>89</v>
      </c>
      <c r="D334" s="809"/>
      <c r="E334" s="347">
        <f t="shared" si="96"/>
        <v>7257.5</v>
      </c>
      <c r="F334" s="355">
        <v>300</v>
      </c>
      <c r="G334" s="355"/>
      <c r="H334" s="351">
        <v>232.3</v>
      </c>
      <c r="I334" s="355"/>
      <c r="J334" s="351"/>
      <c r="K334" s="355">
        <v>1380</v>
      </c>
      <c r="L334" s="351">
        <v>570.4</v>
      </c>
      <c r="M334" s="356"/>
      <c r="N334" s="356">
        <v>4774.8</v>
      </c>
      <c r="O334" s="351"/>
      <c r="P334" s="356"/>
      <c r="Q334" s="351"/>
      <c r="R334" s="356"/>
      <c r="S334" s="356"/>
      <c r="T334" s="351"/>
      <c r="U334" s="356"/>
      <c r="V334" s="356"/>
      <c r="W334" s="356"/>
      <c r="X334" s="356"/>
      <c r="Y334" s="366">
        <f t="shared" si="97"/>
        <v>7257.5</v>
      </c>
      <c r="Z334" s="347" t="s">
        <v>89</v>
      </c>
      <c r="AA334" s="809"/>
      <c r="AB334" s="347"/>
    </row>
    <row r="335" spans="2:28" ht="16" thickBot="1" x14ac:dyDescent="0.25">
      <c r="B335" s="368">
        <v>45773</v>
      </c>
      <c r="C335" s="333" t="s">
        <v>240</v>
      </c>
      <c r="D335" s="807" t="s">
        <v>68</v>
      </c>
      <c r="E335" s="132">
        <f t="shared" si="96"/>
        <v>0</v>
      </c>
      <c r="F335" s="372"/>
      <c r="G335" s="372"/>
      <c r="H335" s="373"/>
      <c r="I335" s="372"/>
      <c r="J335" s="373"/>
      <c r="K335" s="372"/>
      <c r="L335" s="373"/>
      <c r="M335" s="372"/>
      <c r="N335" s="372"/>
      <c r="O335" s="373"/>
      <c r="P335" s="372"/>
      <c r="Q335" s="373"/>
      <c r="R335" s="372"/>
      <c r="S335" s="372"/>
      <c r="T335" s="373"/>
      <c r="U335" s="372"/>
      <c r="V335" s="372"/>
      <c r="W335" s="372"/>
      <c r="X335" s="372"/>
      <c r="Y335" s="349">
        <f t="shared" si="97"/>
        <v>0</v>
      </c>
      <c r="Z335" s="333" t="s">
        <v>240</v>
      </c>
      <c r="AA335" s="807" t="s">
        <v>68</v>
      </c>
      <c r="AB335" s="333">
        <f>B335</f>
        <v>45773</v>
      </c>
    </row>
    <row r="336" spans="2:28" ht="16" thickBot="1" x14ac:dyDescent="0.25">
      <c r="B336" s="336"/>
      <c r="C336" s="131" t="s">
        <v>89</v>
      </c>
      <c r="D336" s="808"/>
      <c r="E336" s="131">
        <f t="shared" si="96"/>
        <v>0</v>
      </c>
      <c r="F336" s="370"/>
      <c r="G336" s="370"/>
      <c r="H336" s="371"/>
      <c r="I336" s="370"/>
      <c r="J336" s="371"/>
      <c r="K336" s="370"/>
      <c r="L336" s="371"/>
      <c r="M336" s="370"/>
      <c r="N336" s="370"/>
      <c r="O336" s="371"/>
      <c r="P336" s="370"/>
      <c r="Q336" s="371"/>
      <c r="R336" s="370"/>
      <c r="S336" s="370"/>
      <c r="T336" s="371"/>
      <c r="U336" s="370"/>
      <c r="V336" s="370"/>
      <c r="W336" s="370"/>
      <c r="X336" s="370"/>
      <c r="Y336" s="343">
        <f t="shared" si="97"/>
        <v>0</v>
      </c>
      <c r="Z336" s="131" t="s">
        <v>89</v>
      </c>
      <c r="AA336" s="808"/>
      <c r="AB336" s="131"/>
    </row>
    <row r="337" spans="2:28" ht="16" thickBot="1" x14ac:dyDescent="0.25">
      <c r="B337" s="566">
        <v>45774</v>
      </c>
      <c r="C337" s="567" t="s">
        <v>240</v>
      </c>
      <c r="D337" s="809" t="s">
        <v>69</v>
      </c>
      <c r="E337" s="568">
        <f t="shared" si="96"/>
        <v>0</v>
      </c>
      <c r="F337" s="367"/>
      <c r="G337" s="367"/>
      <c r="H337" s="350"/>
      <c r="I337" s="367"/>
      <c r="J337" s="350"/>
      <c r="K337" s="367"/>
      <c r="L337" s="350"/>
      <c r="M337" s="367"/>
      <c r="N337" s="367"/>
      <c r="O337" s="350"/>
      <c r="P337" s="367"/>
      <c r="Q337" s="350"/>
      <c r="R337" s="367"/>
      <c r="S337" s="367"/>
      <c r="T337" s="350"/>
      <c r="U337" s="367"/>
      <c r="V337" s="367"/>
      <c r="W337" s="367"/>
      <c r="X337" s="367"/>
      <c r="Y337" s="569">
        <f t="shared" si="97"/>
        <v>0</v>
      </c>
      <c r="Z337" s="567" t="s">
        <v>240</v>
      </c>
      <c r="AA337" s="809" t="s">
        <v>69</v>
      </c>
      <c r="AB337" s="567">
        <f>B337</f>
        <v>45774</v>
      </c>
    </row>
    <row r="338" spans="2:28" ht="16" thickBot="1" x14ac:dyDescent="0.25">
      <c r="B338" s="346"/>
      <c r="C338" s="347" t="s">
        <v>89</v>
      </c>
      <c r="D338" s="808"/>
      <c r="E338" s="347">
        <f t="shared" si="96"/>
        <v>0</v>
      </c>
      <c r="F338" s="356"/>
      <c r="G338" s="356"/>
      <c r="H338" s="351"/>
      <c r="I338" s="356"/>
      <c r="J338" s="351"/>
      <c r="K338" s="356"/>
      <c r="L338" s="351"/>
      <c r="M338" s="356"/>
      <c r="N338" s="356"/>
      <c r="O338" s="351"/>
      <c r="P338" s="356"/>
      <c r="Q338" s="351"/>
      <c r="R338" s="356"/>
      <c r="S338" s="356"/>
      <c r="T338" s="351"/>
      <c r="U338" s="356"/>
      <c r="V338" s="356"/>
      <c r="W338" s="356"/>
      <c r="X338" s="356"/>
      <c r="Y338" s="363">
        <f t="shared" si="97"/>
        <v>0</v>
      </c>
      <c r="Z338" s="347" t="s">
        <v>89</v>
      </c>
      <c r="AA338" s="808"/>
      <c r="AB338" s="347"/>
    </row>
    <row r="339" spans="2:28" ht="17" thickBot="1" x14ac:dyDescent="0.25">
      <c r="B339" s="348" t="s">
        <v>119</v>
      </c>
      <c r="C339" s="349"/>
      <c r="D339" s="344"/>
      <c r="E339" s="133">
        <f>SUM(E331,E329,E327,E325,E333,E335,E337)</f>
        <v>120140.3</v>
      </c>
      <c r="F339" s="349">
        <f t="shared" ref="F339:Y339" si="98">SUM(F325,F327,F329,F331,F333,F335,F337)</f>
        <v>15700</v>
      </c>
      <c r="G339" s="349">
        <f t="shared" si="98"/>
        <v>2640</v>
      </c>
      <c r="H339" s="352">
        <f t="shared" si="98"/>
        <v>14646.400000000001</v>
      </c>
      <c r="I339" s="349">
        <f t="shared" si="98"/>
        <v>2040</v>
      </c>
      <c r="J339" s="352">
        <f t="shared" si="98"/>
        <v>2040</v>
      </c>
      <c r="K339" s="349">
        <f t="shared" si="98"/>
        <v>8197.2000000000007</v>
      </c>
      <c r="L339" s="352">
        <f t="shared" si="98"/>
        <v>8224.7999999999993</v>
      </c>
      <c r="M339" s="349">
        <f t="shared" si="98"/>
        <v>4200</v>
      </c>
      <c r="N339" s="349">
        <f t="shared" si="98"/>
        <v>29182.400000000001</v>
      </c>
      <c r="O339" s="352">
        <f t="shared" si="98"/>
        <v>0</v>
      </c>
      <c r="P339" s="349">
        <f t="shared" si="98"/>
        <v>0</v>
      </c>
      <c r="Q339" s="352">
        <f t="shared" si="98"/>
        <v>8286.9</v>
      </c>
      <c r="R339" s="349">
        <f t="shared" si="98"/>
        <v>4351.6000000000004</v>
      </c>
      <c r="S339" s="349">
        <f t="shared" si="98"/>
        <v>5506.2</v>
      </c>
      <c r="T339" s="352">
        <f t="shared" si="98"/>
        <v>5506.2</v>
      </c>
      <c r="U339" s="349">
        <f t="shared" si="98"/>
        <v>5506.2</v>
      </c>
      <c r="V339" s="349">
        <f t="shared" si="98"/>
        <v>0</v>
      </c>
      <c r="W339" s="349">
        <f t="shared" si="98"/>
        <v>4112.3999999999996</v>
      </c>
      <c r="X339" s="349">
        <f t="shared" si="98"/>
        <v>0</v>
      </c>
      <c r="Y339" s="358">
        <f t="shared" si="98"/>
        <v>120140.3</v>
      </c>
      <c r="Z339" s="349"/>
      <c r="AA339" s="345"/>
      <c r="AB339" s="349" t="s">
        <v>119</v>
      </c>
    </row>
    <row r="340" spans="2:28" ht="17" thickBot="1" x14ac:dyDescent="0.25">
      <c r="B340" s="342" t="s">
        <v>120</v>
      </c>
      <c r="C340" s="343"/>
      <c r="D340" s="344"/>
      <c r="E340" s="134">
        <f>SUM(E326,E328,E330,E332,E334,E336,E338)</f>
        <v>17257.400000000001</v>
      </c>
      <c r="F340" s="343">
        <f t="shared" ref="F340:Y340" si="99">(F326+F328+F330+F332+F334+F336+F338)</f>
        <v>3100</v>
      </c>
      <c r="G340" s="343">
        <f t="shared" si="99"/>
        <v>0</v>
      </c>
      <c r="H340" s="353">
        <f t="shared" si="99"/>
        <v>232.3</v>
      </c>
      <c r="I340" s="343">
        <f t="shared" si="99"/>
        <v>0</v>
      </c>
      <c r="J340" s="353">
        <f t="shared" si="99"/>
        <v>960</v>
      </c>
      <c r="K340" s="343">
        <f t="shared" si="99"/>
        <v>1380</v>
      </c>
      <c r="L340" s="353">
        <f t="shared" si="99"/>
        <v>690</v>
      </c>
      <c r="M340" s="343">
        <f t="shared" si="99"/>
        <v>0</v>
      </c>
      <c r="N340" s="343">
        <f t="shared" si="99"/>
        <v>6352.6</v>
      </c>
      <c r="O340" s="353">
        <f t="shared" si="99"/>
        <v>0</v>
      </c>
      <c r="P340" s="343">
        <f t="shared" si="99"/>
        <v>0</v>
      </c>
      <c r="Q340" s="353">
        <f t="shared" si="99"/>
        <v>1915.9</v>
      </c>
      <c r="R340" s="343">
        <f t="shared" si="99"/>
        <v>2063.1</v>
      </c>
      <c r="S340" s="343">
        <f t="shared" si="99"/>
        <v>0</v>
      </c>
      <c r="T340" s="353">
        <f t="shared" si="99"/>
        <v>0</v>
      </c>
      <c r="U340" s="343">
        <f t="shared" si="99"/>
        <v>0</v>
      </c>
      <c r="V340" s="343">
        <f t="shared" si="99"/>
        <v>0</v>
      </c>
      <c r="W340" s="343">
        <f t="shared" si="99"/>
        <v>563.5</v>
      </c>
      <c r="X340" s="343">
        <f t="shared" si="99"/>
        <v>0</v>
      </c>
      <c r="Y340" s="359">
        <f t="shared" si="99"/>
        <v>17257.400000000001</v>
      </c>
      <c r="Z340" s="343"/>
      <c r="AA340" s="345"/>
      <c r="AB340" s="343" t="s">
        <v>120</v>
      </c>
    </row>
    <row r="341" spans="2:28" ht="17" thickBot="1" x14ac:dyDescent="0.25">
      <c r="B341" s="337" t="s">
        <v>121</v>
      </c>
      <c r="C341" s="338"/>
      <c r="D341" s="339"/>
      <c r="E341" s="340">
        <f>E339-E340</f>
        <v>102882.9</v>
      </c>
      <c r="F341" s="338">
        <f t="shared" ref="F341:M341" si="100">F339-F340</f>
        <v>12600</v>
      </c>
      <c r="G341" s="338">
        <f t="shared" si="100"/>
        <v>2640</v>
      </c>
      <c r="H341" s="357">
        <f t="shared" si="100"/>
        <v>14414.100000000002</v>
      </c>
      <c r="I341" s="338">
        <f t="shared" si="100"/>
        <v>2040</v>
      </c>
      <c r="J341" s="357">
        <f t="shared" si="100"/>
        <v>1080</v>
      </c>
      <c r="K341" s="338">
        <f t="shared" si="100"/>
        <v>6817.2000000000007</v>
      </c>
      <c r="L341" s="357">
        <f t="shared" si="100"/>
        <v>7534.7999999999993</v>
      </c>
      <c r="M341" s="338">
        <f t="shared" si="100"/>
        <v>4200</v>
      </c>
      <c r="N341" s="338">
        <f>N339-N340</f>
        <v>22829.800000000003</v>
      </c>
      <c r="O341" s="357">
        <f t="shared" ref="O341:W341" si="101">O339-O340</f>
        <v>0</v>
      </c>
      <c r="P341" s="338">
        <f t="shared" si="101"/>
        <v>0</v>
      </c>
      <c r="Q341" s="357">
        <f t="shared" si="101"/>
        <v>6371</v>
      </c>
      <c r="R341" s="338">
        <f t="shared" si="101"/>
        <v>2288.5000000000005</v>
      </c>
      <c r="S341" s="338">
        <f t="shared" si="101"/>
        <v>5506.2</v>
      </c>
      <c r="T341" s="357">
        <f t="shared" si="101"/>
        <v>5506.2</v>
      </c>
      <c r="U341" s="338">
        <f t="shared" si="101"/>
        <v>5506.2</v>
      </c>
      <c r="V341" s="338">
        <f t="shared" si="101"/>
        <v>0</v>
      </c>
      <c r="W341" s="338">
        <f t="shared" si="101"/>
        <v>3548.8999999999996</v>
      </c>
      <c r="X341" s="338">
        <f>X339-X340</f>
        <v>0</v>
      </c>
      <c r="Y341" s="360">
        <f>Y339-Y340</f>
        <v>102882.9</v>
      </c>
      <c r="Z341" s="338"/>
      <c r="AA341" s="341"/>
      <c r="AB341" s="338" t="s">
        <v>121</v>
      </c>
    </row>
    <row r="342" spans="2:28" ht="16" thickBot="1" x14ac:dyDescent="0.25"/>
    <row r="343" spans="2:28" x14ac:dyDescent="0.2">
      <c r="B343" s="812" t="s">
        <v>76</v>
      </c>
      <c r="C343" s="812" t="s">
        <v>239</v>
      </c>
      <c r="D343" s="812" t="s">
        <v>83</v>
      </c>
      <c r="E343" s="812" t="s">
        <v>19</v>
      </c>
      <c r="F343" s="812" t="s">
        <v>118</v>
      </c>
      <c r="G343" s="812" t="s">
        <v>70</v>
      </c>
      <c r="H343" s="814" t="s">
        <v>401</v>
      </c>
      <c r="I343" s="812" t="s">
        <v>382</v>
      </c>
      <c r="J343" s="816" t="s">
        <v>200</v>
      </c>
      <c r="K343" s="812" t="s">
        <v>114</v>
      </c>
      <c r="L343" s="810" t="s">
        <v>402</v>
      </c>
      <c r="M343" s="812" t="s">
        <v>333</v>
      </c>
      <c r="N343" s="812" t="s">
        <v>204</v>
      </c>
      <c r="O343" s="810" t="s">
        <v>75</v>
      </c>
      <c r="P343" s="812" t="s">
        <v>278</v>
      </c>
      <c r="Q343" s="810" t="s">
        <v>116</v>
      </c>
      <c r="R343" s="812" t="s">
        <v>331</v>
      </c>
      <c r="S343" s="812" t="s">
        <v>73</v>
      </c>
      <c r="T343" s="810" t="s">
        <v>112</v>
      </c>
      <c r="U343" s="812" t="s">
        <v>72</v>
      </c>
      <c r="V343" s="812" t="s">
        <v>425</v>
      </c>
      <c r="W343" s="812" t="s">
        <v>399</v>
      </c>
      <c r="X343" s="812" t="s">
        <v>400</v>
      </c>
      <c r="Y343" s="812" t="s">
        <v>19</v>
      </c>
      <c r="Z343" s="812" t="s">
        <v>239</v>
      </c>
      <c r="AA343" s="812" t="s">
        <v>83</v>
      </c>
      <c r="AB343" s="812" t="s">
        <v>76</v>
      </c>
    </row>
    <row r="344" spans="2:28" ht="16" thickBot="1" x14ac:dyDescent="0.25">
      <c r="B344" s="813"/>
      <c r="C344" s="813"/>
      <c r="D344" s="813"/>
      <c r="E344" s="813"/>
      <c r="F344" s="813"/>
      <c r="G344" s="813"/>
      <c r="H344" s="815"/>
      <c r="I344" s="813"/>
      <c r="J344" s="817"/>
      <c r="K344" s="813"/>
      <c r="L344" s="811"/>
      <c r="M344" s="813"/>
      <c r="N344" s="813"/>
      <c r="O344" s="811"/>
      <c r="P344" s="813"/>
      <c r="Q344" s="811"/>
      <c r="R344" s="813"/>
      <c r="S344" s="813"/>
      <c r="T344" s="811"/>
      <c r="U344" s="813"/>
      <c r="V344" s="813"/>
      <c r="W344" s="813"/>
      <c r="X344" s="813"/>
      <c r="Y344" s="813"/>
      <c r="Z344" s="813"/>
      <c r="AA344" s="813"/>
      <c r="AB344" s="813"/>
    </row>
    <row r="345" spans="2:28" ht="16" thickBot="1" x14ac:dyDescent="0.25">
      <c r="B345" s="332">
        <v>45775</v>
      </c>
      <c r="C345" s="334" t="s">
        <v>240</v>
      </c>
      <c r="D345" s="807" t="s">
        <v>63</v>
      </c>
      <c r="E345" s="335">
        <f t="shared" ref="E345:E358" si="102">SUM(F345:X345)</f>
        <v>28052.799999999999</v>
      </c>
      <c r="F345" s="362">
        <v>6800</v>
      </c>
      <c r="G345" s="362"/>
      <c r="H345" s="361">
        <v>3661.6</v>
      </c>
      <c r="I345" s="362"/>
      <c r="J345" s="361">
        <v>3000</v>
      </c>
      <c r="K345" s="362">
        <v>2732.4</v>
      </c>
      <c r="L345" s="361">
        <v>2281.6</v>
      </c>
      <c r="M345" s="362"/>
      <c r="N345" s="354">
        <v>9577.2000000000007</v>
      </c>
      <c r="O345" s="361"/>
      <c r="P345" s="362"/>
      <c r="Q345" s="361"/>
      <c r="R345" s="362"/>
      <c r="S345" s="354"/>
      <c r="T345" s="361"/>
      <c r="U345" s="362"/>
      <c r="V345" s="362"/>
      <c r="W345" s="362"/>
      <c r="X345" s="362"/>
      <c r="Y345" s="349">
        <f t="shared" ref="Y345:Y358" si="103">SUM(F345:X345)</f>
        <v>28052.799999999999</v>
      </c>
      <c r="Z345" s="334" t="s">
        <v>240</v>
      </c>
      <c r="AA345" s="807" t="s">
        <v>63</v>
      </c>
      <c r="AB345" s="333">
        <f>B345</f>
        <v>45775</v>
      </c>
    </row>
    <row r="346" spans="2:28" ht="16" thickBot="1" x14ac:dyDescent="0.25">
      <c r="B346" s="346"/>
      <c r="C346" s="347" t="s">
        <v>89</v>
      </c>
      <c r="D346" s="809"/>
      <c r="E346" s="347">
        <f t="shared" si="102"/>
        <v>4911.3</v>
      </c>
      <c r="F346" s="356">
        <v>700</v>
      </c>
      <c r="G346" s="356"/>
      <c r="H346" s="351"/>
      <c r="I346" s="356"/>
      <c r="J346" s="351"/>
      <c r="K346" s="356">
        <v>802.7</v>
      </c>
      <c r="L346" s="351"/>
      <c r="M346" s="355"/>
      <c r="N346" s="355">
        <v>3408.6</v>
      </c>
      <c r="O346" s="364"/>
      <c r="P346" s="356"/>
      <c r="Q346" s="351"/>
      <c r="R346" s="355"/>
      <c r="S346" s="365"/>
      <c r="T346" s="364"/>
      <c r="U346" s="365"/>
      <c r="V346" s="365"/>
      <c r="W346" s="365"/>
      <c r="X346" s="356"/>
      <c r="Y346" s="366">
        <f t="shared" si="103"/>
        <v>4911.3</v>
      </c>
      <c r="Z346" s="347" t="s">
        <v>89</v>
      </c>
      <c r="AA346" s="809"/>
      <c r="AB346" s="347"/>
    </row>
    <row r="347" spans="2:28" ht="16" thickBot="1" x14ac:dyDescent="0.25">
      <c r="B347" s="368">
        <v>45776</v>
      </c>
      <c r="C347" s="333" t="s">
        <v>240</v>
      </c>
      <c r="D347" s="807" t="s">
        <v>64</v>
      </c>
      <c r="E347" s="132">
        <f t="shared" si="102"/>
        <v>28699.4</v>
      </c>
      <c r="F347" s="354"/>
      <c r="G347" s="354"/>
      <c r="H347" s="369"/>
      <c r="I347" s="354"/>
      <c r="J347" s="369"/>
      <c r="K347" s="354"/>
      <c r="L347" s="369"/>
      <c r="M347" s="354"/>
      <c r="N347" s="354"/>
      <c r="O347" s="369"/>
      <c r="P347" s="354"/>
      <c r="Q347" s="369">
        <v>8293.7999999999993</v>
      </c>
      <c r="R347" s="354">
        <v>4351.6000000000004</v>
      </c>
      <c r="S347" s="354">
        <v>5506.2</v>
      </c>
      <c r="T347" s="369">
        <v>5506.2</v>
      </c>
      <c r="U347" s="354">
        <v>5041.6000000000004</v>
      </c>
      <c r="V347" s="354"/>
      <c r="W347" s="354"/>
      <c r="X347" s="354"/>
      <c r="Y347" s="349">
        <f t="shared" si="103"/>
        <v>28699.4</v>
      </c>
      <c r="Z347" s="333" t="s">
        <v>240</v>
      </c>
      <c r="AA347" s="807" t="s">
        <v>64</v>
      </c>
      <c r="AB347" s="333">
        <f>B347</f>
        <v>45776</v>
      </c>
    </row>
    <row r="348" spans="2:28" ht="16" thickBot="1" x14ac:dyDescent="0.25">
      <c r="B348" s="336"/>
      <c r="C348" s="131" t="s">
        <v>89</v>
      </c>
      <c r="D348" s="808"/>
      <c r="E348" s="131">
        <f t="shared" si="102"/>
        <v>7527.9</v>
      </c>
      <c r="F348" s="370"/>
      <c r="G348" s="370"/>
      <c r="H348" s="371"/>
      <c r="I348" s="370"/>
      <c r="J348" s="371"/>
      <c r="K348" s="370"/>
      <c r="L348" s="371"/>
      <c r="M348" s="370"/>
      <c r="N348" s="370"/>
      <c r="O348" s="371"/>
      <c r="P348" s="370"/>
      <c r="Q348" s="371">
        <v>2937.1</v>
      </c>
      <c r="R348" s="370">
        <v>2520.8000000000002</v>
      </c>
      <c r="S348" s="370">
        <v>2070</v>
      </c>
      <c r="T348" s="371"/>
      <c r="U348" s="370"/>
      <c r="V348" s="370"/>
      <c r="W348" s="370"/>
      <c r="X348" s="370"/>
      <c r="Y348" s="343">
        <f t="shared" si="103"/>
        <v>7527.9</v>
      </c>
      <c r="Z348" s="131" t="s">
        <v>89</v>
      </c>
      <c r="AA348" s="808"/>
      <c r="AB348" s="131"/>
    </row>
    <row r="349" spans="2:28" ht="16" thickBot="1" x14ac:dyDescent="0.25">
      <c r="B349" s="332">
        <v>45777</v>
      </c>
      <c r="C349" s="334" t="s">
        <v>240</v>
      </c>
      <c r="D349" s="809" t="s">
        <v>65</v>
      </c>
      <c r="E349" s="335">
        <f t="shared" si="102"/>
        <v>28387.4</v>
      </c>
      <c r="F349" s="367">
        <v>5500</v>
      </c>
      <c r="G349" s="367"/>
      <c r="H349" s="350">
        <v>3661.6</v>
      </c>
      <c r="I349" s="367">
        <v>2040</v>
      </c>
      <c r="J349" s="350"/>
      <c r="K349" s="367">
        <v>2507</v>
      </c>
      <c r="L349" s="350">
        <v>2281.6</v>
      </c>
      <c r="M349" s="367">
        <v>4200</v>
      </c>
      <c r="N349" s="367">
        <v>8197.2000000000007</v>
      </c>
      <c r="O349" s="350"/>
      <c r="P349" s="367"/>
      <c r="Q349" s="350"/>
      <c r="R349" s="367"/>
      <c r="S349" s="367"/>
      <c r="T349" s="350"/>
      <c r="U349" s="367"/>
      <c r="V349" s="367"/>
      <c r="W349" s="367"/>
      <c r="X349" s="367"/>
      <c r="Y349" s="338">
        <f t="shared" si="103"/>
        <v>28387.4</v>
      </c>
      <c r="Z349" s="334" t="s">
        <v>240</v>
      </c>
      <c r="AA349" s="809" t="s">
        <v>65</v>
      </c>
      <c r="AB349" s="334">
        <f>B349</f>
        <v>45777</v>
      </c>
    </row>
    <row r="350" spans="2:28" ht="16" thickBot="1" x14ac:dyDescent="0.25">
      <c r="B350" s="346"/>
      <c r="C350" s="347" t="s">
        <v>89</v>
      </c>
      <c r="D350" s="809"/>
      <c r="E350" s="347">
        <f t="shared" si="102"/>
        <v>2875.1000000000004</v>
      </c>
      <c r="F350" s="356"/>
      <c r="G350" s="356"/>
      <c r="H350" s="351"/>
      <c r="I350" s="356">
        <v>360</v>
      </c>
      <c r="J350" s="351"/>
      <c r="K350" s="356"/>
      <c r="L350" s="351">
        <v>802.7</v>
      </c>
      <c r="M350" s="356">
        <f>3*120</f>
        <v>360</v>
      </c>
      <c r="N350" s="356">
        <v>1352.4</v>
      </c>
      <c r="O350" s="351"/>
      <c r="P350" s="356"/>
      <c r="Q350" s="351"/>
      <c r="R350" s="356"/>
      <c r="S350" s="356"/>
      <c r="T350" s="351"/>
      <c r="U350" s="356"/>
      <c r="V350" s="356"/>
      <c r="W350" s="356"/>
      <c r="X350" s="356"/>
      <c r="Y350" s="366">
        <f t="shared" si="103"/>
        <v>2875.1000000000004</v>
      </c>
      <c r="Z350" s="347" t="s">
        <v>89</v>
      </c>
      <c r="AA350" s="809"/>
      <c r="AB350" s="347"/>
    </row>
    <row r="351" spans="2:28" ht="16" thickBot="1" x14ac:dyDescent="0.25">
      <c r="B351" s="562">
        <v>45778</v>
      </c>
      <c r="C351" s="563" t="s">
        <v>240</v>
      </c>
      <c r="D351" s="807" t="s">
        <v>66</v>
      </c>
      <c r="E351" s="564">
        <f t="shared" si="102"/>
        <v>3429.3</v>
      </c>
      <c r="F351" s="372"/>
      <c r="G351" s="372"/>
      <c r="H351" s="373"/>
      <c r="I351" s="372"/>
      <c r="J351" s="373"/>
      <c r="K351" s="372"/>
      <c r="L351" s="373"/>
      <c r="M351" s="372"/>
      <c r="N351" s="372"/>
      <c r="O351" s="373"/>
      <c r="P351" s="372"/>
      <c r="Q351" s="373"/>
      <c r="R351" s="372"/>
      <c r="S351" s="372"/>
      <c r="T351" s="373"/>
      <c r="U351" s="372"/>
      <c r="V351" s="372"/>
      <c r="W351" s="372">
        <v>3429.3</v>
      </c>
      <c r="X351" s="372"/>
      <c r="Y351" s="565">
        <f t="shared" si="103"/>
        <v>3429.3</v>
      </c>
      <c r="Z351" s="563" t="s">
        <v>240</v>
      </c>
      <c r="AA351" s="807" t="s">
        <v>66</v>
      </c>
      <c r="AB351" s="563">
        <f>B351</f>
        <v>45778</v>
      </c>
    </row>
    <row r="352" spans="2:28" ht="16" thickBot="1" x14ac:dyDescent="0.25">
      <c r="B352" s="336"/>
      <c r="C352" s="131" t="s">
        <v>89</v>
      </c>
      <c r="D352" s="808"/>
      <c r="E352" s="131">
        <f t="shared" si="102"/>
        <v>1359.3</v>
      </c>
      <c r="F352" s="370"/>
      <c r="G352" s="370"/>
      <c r="H352" s="371"/>
      <c r="I352" s="370"/>
      <c r="J352" s="371"/>
      <c r="K352" s="370"/>
      <c r="L352" s="371"/>
      <c r="M352" s="370"/>
      <c r="N352" s="370"/>
      <c r="O352" s="371"/>
      <c r="P352" s="370"/>
      <c r="Q352" s="371"/>
      <c r="R352" s="370"/>
      <c r="S352" s="370"/>
      <c r="T352" s="371"/>
      <c r="U352" s="370"/>
      <c r="V352" s="370"/>
      <c r="W352" s="370">
        <v>1359.3</v>
      </c>
      <c r="X352" s="370"/>
      <c r="Y352" s="343">
        <f t="shared" si="103"/>
        <v>1359.3</v>
      </c>
      <c r="Z352" s="131" t="s">
        <v>89</v>
      </c>
      <c r="AA352" s="808"/>
      <c r="AB352" s="131"/>
    </row>
    <row r="353" spans="2:28" ht="16" thickBot="1" x14ac:dyDescent="0.25">
      <c r="B353" s="566">
        <v>45779</v>
      </c>
      <c r="C353" s="567" t="s">
        <v>240</v>
      </c>
      <c r="D353" s="809" t="s">
        <v>67</v>
      </c>
      <c r="E353" s="568">
        <f t="shared" si="102"/>
        <v>36639.199999999997</v>
      </c>
      <c r="F353" s="367">
        <v>8600</v>
      </c>
      <c r="G353" s="367"/>
      <c r="H353" s="350">
        <v>5943.2</v>
      </c>
      <c r="I353" s="367">
        <v>2040</v>
      </c>
      <c r="J353" s="350"/>
      <c r="K353" s="367">
        <v>3183.2</v>
      </c>
      <c r="L353" s="350">
        <v>3661.6</v>
      </c>
      <c r="M353" s="367"/>
      <c r="N353" s="367">
        <v>13211.2</v>
      </c>
      <c r="O353" s="350"/>
      <c r="P353" s="367"/>
      <c r="Q353" s="350"/>
      <c r="R353" s="367"/>
      <c r="S353" s="367"/>
      <c r="T353" s="350"/>
      <c r="U353" s="367"/>
      <c r="V353" s="367"/>
      <c r="W353" s="367"/>
      <c r="X353" s="367"/>
      <c r="Y353" s="569">
        <f t="shared" si="103"/>
        <v>36639.199999999997</v>
      </c>
      <c r="Z353" s="567" t="s">
        <v>240</v>
      </c>
      <c r="AA353" s="809" t="s">
        <v>67</v>
      </c>
      <c r="AB353" s="567">
        <f>B353</f>
        <v>45779</v>
      </c>
    </row>
    <row r="354" spans="2:28" ht="16" thickBot="1" x14ac:dyDescent="0.25">
      <c r="B354" s="346"/>
      <c r="C354" s="347" t="s">
        <v>89</v>
      </c>
      <c r="D354" s="809"/>
      <c r="E354" s="347">
        <f t="shared" si="102"/>
        <v>676.2</v>
      </c>
      <c r="F354" s="355"/>
      <c r="G354" s="355"/>
      <c r="H354" s="351"/>
      <c r="I354" s="355"/>
      <c r="J354" s="351"/>
      <c r="K354" s="355"/>
      <c r="L354" s="351"/>
      <c r="M354" s="356"/>
      <c r="N354" s="356">
        <v>676.2</v>
      </c>
      <c r="O354" s="351"/>
      <c r="P354" s="356"/>
      <c r="Q354" s="351"/>
      <c r="R354" s="356"/>
      <c r="S354" s="356"/>
      <c r="T354" s="351"/>
      <c r="U354" s="356"/>
      <c r="V354" s="356"/>
      <c r="W354" s="356"/>
      <c r="X354" s="356"/>
      <c r="Y354" s="366">
        <f t="shared" si="103"/>
        <v>676.2</v>
      </c>
      <c r="Z354" s="347" t="s">
        <v>89</v>
      </c>
      <c r="AA354" s="809"/>
      <c r="AB354" s="347"/>
    </row>
    <row r="355" spans="2:28" ht="16" thickBot="1" x14ac:dyDescent="0.25">
      <c r="B355" s="368">
        <v>45780</v>
      </c>
      <c r="C355" s="333" t="s">
        <v>240</v>
      </c>
      <c r="D355" s="807" t="s">
        <v>68</v>
      </c>
      <c r="E355" s="132">
        <f t="shared" si="102"/>
        <v>18564.2</v>
      </c>
      <c r="F355" s="372">
        <v>5100</v>
      </c>
      <c r="G355" s="372"/>
      <c r="H355" s="373"/>
      <c r="I355" s="372"/>
      <c r="J355" s="373"/>
      <c r="K355" s="372"/>
      <c r="L355" s="373"/>
      <c r="M355" s="372"/>
      <c r="N355" s="372">
        <v>13464.2</v>
      </c>
      <c r="O355" s="373"/>
      <c r="P355" s="372"/>
      <c r="Q355" s="373"/>
      <c r="R355" s="372"/>
      <c r="S355" s="372"/>
      <c r="T355" s="373"/>
      <c r="U355" s="372"/>
      <c r="V355" s="372"/>
      <c r="W355" s="372"/>
      <c r="X355" s="372"/>
      <c r="Y355" s="349">
        <f t="shared" si="103"/>
        <v>18564.2</v>
      </c>
      <c r="Z355" s="333" t="s">
        <v>240</v>
      </c>
      <c r="AA355" s="807" t="s">
        <v>68</v>
      </c>
      <c r="AB355" s="333">
        <f>B355</f>
        <v>45780</v>
      </c>
    </row>
    <row r="356" spans="2:28" ht="16" thickBot="1" x14ac:dyDescent="0.25">
      <c r="B356" s="336"/>
      <c r="C356" s="131" t="s">
        <v>89</v>
      </c>
      <c r="D356" s="808"/>
      <c r="E356" s="131">
        <f t="shared" si="102"/>
        <v>0</v>
      </c>
      <c r="F356" s="370"/>
      <c r="G356" s="370"/>
      <c r="H356" s="371"/>
      <c r="I356" s="370"/>
      <c r="J356" s="371"/>
      <c r="K356" s="370"/>
      <c r="L356" s="371"/>
      <c r="M356" s="370"/>
      <c r="N356" s="370"/>
      <c r="O356" s="371"/>
      <c r="P356" s="370"/>
      <c r="Q356" s="371"/>
      <c r="R356" s="370"/>
      <c r="S356" s="370"/>
      <c r="T356" s="371"/>
      <c r="U356" s="370"/>
      <c r="V356" s="370"/>
      <c r="W356" s="370"/>
      <c r="X356" s="370"/>
      <c r="Y356" s="343">
        <f t="shared" si="103"/>
        <v>0</v>
      </c>
      <c r="Z356" s="131" t="s">
        <v>89</v>
      </c>
      <c r="AA356" s="808"/>
      <c r="AB356" s="131"/>
    </row>
    <row r="357" spans="2:28" ht="16" thickBot="1" x14ac:dyDescent="0.25">
      <c r="B357" s="566">
        <v>45781</v>
      </c>
      <c r="C357" s="567" t="s">
        <v>240</v>
      </c>
      <c r="D357" s="809" t="s">
        <v>69</v>
      </c>
      <c r="E357" s="568">
        <f t="shared" si="102"/>
        <v>0</v>
      </c>
      <c r="F357" s="367"/>
      <c r="G357" s="367"/>
      <c r="H357" s="350"/>
      <c r="I357" s="367"/>
      <c r="J357" s="350"/>
      <c r="K357" s="367"/>
      <c r="L357" s="350"/>
      <c r="M357" s="367"/>
      <c r="N357" s="367"/>
      <c r="O357" s="350"/>
      <c r="P357" s="367"/>
      <c r="Q357" s="350"/>
      <c r="R357" s="367"/>
      <c r="S357" s="367"/>
      <c r="T357" s="350"/>
      <c r="U357" s="367"/>
      <c r="V357" s="367"/>
      <c r="W357" s="367"/>
      <c r="X357" s="367"/>
      <c r="Y357" s="569">
        <f t="shared" si="103"/>
        <v>0</v>
      </c>
      <c r="Z357" s="567" t="s">
        <v>240</v>
      </c>
      <c r="AA357" s="809" t="s">
        <v>69</v>
      </c>
      <c r="AB357" s="567">
        <f>B357</f>
        <v>45781</v>
      </c>
    </row>
    <row r="358" spans="2:28" ht="16" thickBot="1" x14ac:dyDescent="0.25">
      <c r="B358" s="346"/>
      <c r="C358" s="347" t="s">
        <v>89</v>
      </c>
      <c r="D358" s="808"/>
      <c r="E358" s="347">
        <f t="shared" si="102"/>
        <v>0</v>
      </c>
      <c r="F358" s="356"/>
      <c r="G358" s="356"/>
      <c r="H358" s="351"/>
      <c r="I358" s="356"/>
      <c r="J358" s="351"/>
      <c r="K358" s="356"/>
      <c r="L358" s="351"/>
      <c r="M358" s="356"/>
      <c r="N358" s="356"/>
      <c r="O358" s="351"/>
      <c r="P358" s="356"/>
      <c r="Q358" s="351"/>
      <c r="R358" s="356"/>
      <c r="S358" s="356"/>
      <c r="T358" s="351"/>
      <c r="U358" s="356"/>
      <c r="V358" s="356"/>
      <c r="W358" s="356"/>
      <c r="X358" s="356"/>
      <c r="Y358" s="363">
        <f t="shared" si="103"/>
        <v>0</v>
      </c>
      <c r="Z358" s="347" t="s">
        <v>89</v>
      </c>
      <c r="AA358" s="808"/>
      <c r="AB358" s="347"/>
    </row>
    <row r="359" spans="2:28" ht="17" thickBot="1" x14ac:dyDescent="0.25">
      <c r="B359" s="348" t="s">
        <v>119</v>
      </c>
      <c r="C359" s="349"/>
      <c r="D359" s="344"/>
      <c r="E359" s="133">
        <f>SUM(E351,E349,E347,E345,E353,E355,E357)</f>
        <v>143772.30000000002</v>
      </c>
      <c r="F359" s="349">
        <f t="shared" ref="F359:Y359" si="104">SUM(F345,F347,F349,F351,F353,F355,F357)</f>
        <v>26000</v>
      </c>
      <c r="G359" s="349">
        <f t="shared" si="104"/>
        <v>0</v>
      </c>
      <c r="H359" s="352">
        <f t="shared" si="104"/>
        <v>13266.4</v>
      </c>
      <c r="I359" s="349">
        <f t="shared" si="104"/>
        <v>4080</v>
      </c>
      <c r="J359" s="352">
        <f t="shared" si="104"/>
        <v>3000</v>
      </c>
      <c r="K359" s="349">
        <f t="shared" si="104"/>
        <v>8422.5999999999985</v>
      </c>
      <c r="L359" s="352">
        <f t="shared" si="104"/>
        <v>8224.7999999999993</v>
      </c>
      <c r="M359" s="349">
        <f t="shared" si="104"/>
        <v>4200</v>
      </c>
      <c r="N359" s="349">
        <f t="shared" si="104"/>
        <v>44449.8</v>
      </c>
      <c r="O359" s="352">
        <f t="shared" si="104"/>
        <v>0</v>
      </c>
      <c r="P359" s="349">
        <f t="shared" si="104"/>
        <v>0</v>
      </c>
      <c r="Q359" s="352">
        <f t="shared" si="104"/>
        <v>8293.7999999999993</v>
      </c>
      <c r="R359" s="349">
        <f t="shared" si="104"/>
        <v>4351.6000000000004</v>
      </c>
      <c r="S359" s="349">
        <f t="shared" si="104"/>
        <v>5506.2</v>
      </c>
      <c r="T359" s="352">
        <f t="shared" si="104"/>
        <v>5506.2</v>
      </c>
      <c r="U359" s="349">
        <f t="shared" si="104"/>
        <v>5041.6000000000004</v>
      </c>
      <c r="V359" s="349">
        <f t="shared" si="104"/>
        <v>0</v>
      </c>
      <c r="W359" s="349">
        <f t="shared" si="104"/>
        <v>3429.3</v>
      </c>
      <c r="X359" s="349">
        <f t="shared" si="104"/>
        <v>0</v>
      </c>
      <c r="Y359" s="358">
        <f t="shared" si="104"/>
        <v>143772.30000000002</v>
      </c>
      <c r="Z359" s="349"/>
      <c r="AA359" s="345"/>
      <c r="AB359" s="349" t="s">
        <v>119</v>
      </c>
    </row>
    <row r="360" spans="2:28" ht="17" thickBot="1" x14ac:dyDescent="0.25">
      <c r="B360" s="342" t="s">
        <v>120</v>
      </c>
      <c r="C360" s="343"/>
      <c r="D360" s="344"/>
      <c r="E360" s="134">
        <f>SUM(E346,E348,E350,E352,E354,E356,E358)</f>
        <v>17349.800000000003</v>
      </c>
      <c r="F360" s="343">
        <f t="shared" ref="F360:Y360" si="105">(F346+F348+F350+F352+F354+F356+F358)</f>
        <v>700</v>
      </c>
      <c r="G360" s="343">
        <f t="shared" si="105"/>
        <v>0</v>
      </c>
      <c r="H360" s="353">
        <f t="shared" si="105"/>
        <v>0</v>
      </c>
      <c r="I360" s="343">
        <f t="shared" si="105"/>
        <v>360</v>
      </c>
      <c r="J360" s="353">
        <f t="shared" si="105"/>
        <v>0</v>
      </c>
      <c r="K360" s="343">
        <f t="shared" si="105"/>
        <v>802.7</v>
      </c>
      <c r="L360" s="353">
        <f t="shared" si="105"/>
        <v>802.7</v>
      </c>
      <c r="M360" s="343">
        <f t="shared" si="105"/>
        <v>360</v>
      </c>
      <c r="N360" s="343">
        <f t="shared" si="105"/>
        <v>5437.2</v>
      </c>
      <c r="O360" s="353">
        <f t="shared" si="105"/>
        <v>0</v>
      </c>
      <c r="P360" s="343">
        <f t="shared" si="105"/>
        <v>0</v>
      </c>
      <c r="Q360" s="353">
        <f t="shared" si="105"/>
        <v>2937.1</v>
      </c>
      <c r="R360" s="343">
        <f t="shared" si="105"/>
        <v>2520.8000000000002</v>
      </c>
      <c r="S360" s="343">
        <f t="shared" si="105"/>
        <v>2070</v>
      </c>
      <c r="T360" s="353">
        <f t="shared" si="105"/>
        <v>0</v>
      </c>
      <c r="U360" s="343">
        <f t="shared" si="105"/>
        <v>0</v>
      </c>
      <c r="V360" s="343">
        <f t="shared" si="105"/>
        <v>0</v>
      </c>
      <c r="W360" s="343">
        <f t="shared" si="105"/>
        <v>1359.3</v>
      </c>
      <c r="X360" s="343">
        <f t="shared" si="105"/>
        <v>0</v>
      </c>
      <c r="Y360" s="359">
        <f t="shared" si="105"/>
        <v>17349.800000000003</v>
      </c>
      <c r="Z360" s="343"/>
      <c r="AA360" s="345"/>
      <c r="AB360" s="343" t="s">
        <v>120</v>
      </c>
    </row>
    <row r="361" spans="2:28" ht="17" thickBot="1" x14ac:dyDescent="0.25">
      <c r="B361" s="337" t="s">
        <v>121</v>
      </c>
      <c r="C361" s="338"/>
      <c r="D361" s="339"/>
      <c r="E361" s="340">
        <f>E359-E360</f>
        <v>126422.50000000001</v>
      </c>
      <c r="F361" s="338">
        <f t="shared" ref="F361:M361" si="106">F359-F360</f>
        <v>25300</v>
      </c>
      <c r="G361" s="338">
        <f t="shared" si="106"/>
        <v>0</v>
      </c>
      <c r="H361" s="357">
        <f t="shared" si="106"/>
        <v>13266.4</v>
      </c>
      <c r="I361" s="338">
        <f t="shared" si="106"/>
        <v>3720</v>
      </c>
      <c r="J361" s="357">
        <f t="shared" si="106"/>
        <v>3000</v>
      </c>
      <c r="K361" s="338">
        <f t="shared" si="106"/>
        <v>7619.8999999999987</v>
      </c>
      <c r="L361" s="357">
        <f t="shared" si="106"/>
        <v>7422.0999999999995</v>
      </c>
      <c r="M361" s="338">
        <f t="shared" si="106"/>
        <v>3840</v>
      </c>
      <c r="N361" s="338">
        <f>N359-N360</f>
        <v>39012.600000000006</v>
      </c>
      <c r="O361" s="357">
        <f t="shared" ref="O361:W361" si="107">O359-O360</f>
        <v>0</v>
      </c>
      <c r="P361" s="338">
        <f t="shared" si="107"/>
        <v>0</v>
      </c>
      <c r="Q361" s="357">
        <f t="shared" si="107"/>
        <v>5356.6999999999989</v>
      </c>
      <c r="R361" s="338">
        <f t="shared" si="107"/>
        <v>1830.8000000000002</v>
      </c>
      <c r="S361" s="338">
        <f t="shared" si="107"/>
        <v>3436.2</v>
      </c>
      <c r="T361" s="357">
        <f t="shared" si="107"/>
        <v>5506.2</v>
      </c>
      <c r="U361" s="338">
        <f t="shared" si="107"/>
        <v>5041.6000000000004</v>
      </c>
      <c r="V361" s="338">
        <f t="shared" si="107"/>
        <v>0</v>
      </c>
      <c r="W361" s="338">
        <f t="shared" si="107"/>
        <v>2070</v>
      </c>
      <c r="X361" s="338">
        <f>X359-X360</f>
        <v>0</v>
      </c>
      <c r="Y361" s="360">
        <f>Y359-Y360</f>
        <v>126422.50000000001</v>
      </c>
      <c r="Z361" s="338"/>
      <c r="AA361" s="341"/>
      <c r="AB361" s="338" t="s">
        <v>121</v>
      </c>
    </row>
    <row r="362" spans="2:28" ht="16" thickBot="1" x14ac:dyDescent="0.25"/>
    <row r="363" spans="2:28" x14ac:dyDescent="0.2">
      <c r="B363" s="812" t="s">
        <v>76</v>
      </c>
      <c r="C363" s="812" t="s">
        <v>239</v>
      </c>
      <c r="D363" s="812" t="s">
        <v>83</v>
      </c>
      <c r="E363" s="812" t="s">
        <v>19</v>
      </c>
      <c r="F363" s="812" t="s">
        <v>118</v>
      </c>
      <c r="G363" s="812" t="s">
        <v>70</v>
      </c>
      <c r="H363" s="814" t="s">
        <v>401</v>
      </c>
      <c r="I363" s="812" t="s">
        <v>382</v>
      </c>
      <c r="J363" s="816" t="s">
        <v>200</v>
      </c>
      <c r="K363" s="812" t="s">
        <v>114</v>
      </c>
      <c r="L363" s="810" t="s">
        <v>402</v>
      </c>
      <c r="M363" s="812" t="s">
        <v>333</v>
      </c>
      <c r="N363" s="812" t="s">
        <v>204</v>
      </c>
      <c r="O363" s="810" t="s">
        <v>75</v>
      </c>
      <c r="P363" s="812" t="s">
        <v>278</v>
      </c>
      <c r="Q363" s="810" t="s">
        <v>116</v>
      </c>
      <c r="R363" s="812" t="s">
        <v>331</v>
      </c>
      <c r="S363" s="812" t="s">
        <v>73</v>
      </c>
      <c r="T363" s="810" t="s">
        <v>112</v>
      </c>
      <c r="U363" s="812" t="s">
        <v>72</v>
      </c>
      <c r="V363" s="812" t="s">
        <v>425</v>
      </c>
      <c r="W363" s="812" t="s">
        <v>399</v>
      </c>
      <c r="X363" s="812" t="s">
        <v>400</v>
      </c>
      <c r="Y363" s="812" t="s">
        <v>19</v>
      </c>
      <c r="Z363" s="812" t="s">
        <v>239</v>
      </c>
      <c r="AA363" s="812" t="s">
        <v>83</v>
      </c>
      <c r="AB363" s="812" t="s">
        <v>76</v>
      </c>
    </row>
    <row r="364" spans="2:28" ht="16" thickBot="1" x14ac:dyDescent="0.25">
      <c r="B364" s="813"/>
      <c r="C364" s="813"/>
      <c r="D364" s="813"/>
      <c r="E364" s="813"/>
      <c r="F364" s="813"/>
      <c r="G364" s="813"/>
      <c r="H364" s="815"/>
      <c r="I364" s="813"/>
      <c r="J364" s="817"/>
      <c r="K364" s="813"/>
      <c r="L364" s="811"/>
      <c r="M364" s="813"/>
      <c r="N364" s="813"/>
      <c r="O364" s="811"/>
      <c r="P364" s="813"/>
      <c r="Q364" s="811"/>
      <c r="R364" s="813"/>
      <c r="S364" s="813"/>
      <c r="T364" s="811"/>
      <c r="U364" s="813"/>
      <c r="V364" s="813"/>
      <c r="W364" s="813"/>
      <c r="X364" s="813"/>
      <c r="Y364" s="813"/>
      <c r="Z364" s="813"/>
      <c r="AA364" s="813"/>
      <c r="AB364" s="813"/>
    </row>
    <row r="365" spans="2:28" ht="16" thickBot="1" x14ac:dyDescent="0.25">
      <c r="B365" s="332">
        <v>45782</v>
      </c>
      <c r="C365" s="334" t="s">
        <v>240</v>
      </c>
      <c r="D365" s="807" t="s">
        <v>63</v>
      </c>
      <c r="E365" s="335">
        <f t="shared" ref="E365:E378" si="108">SUM(F365:X365)</f>
        <v>28898.199999999997</v>
      </c>
      <c r="F365" s="362">
        <v>5200</v>
      </c>
      <c r="G365" s="362">
        <v>1200</v>
      </c>
      <c r="H365" s="361">
        <v>3661.6</v>
      </c>
      <c r="I365" s="362">
        <v>2400</v>
      </c>
      <c r="J365" s="361">
        <v>3000</v>
      </c>
      <c r="K365" s="362">
        <v>2507</v>
      </c>
      <c r="L365" s="361">
        <v>2281.6</v>
      </c>
      <c r="M365" s="362"/>
      <c r="N365" s="354">
        <v>8648</v>
      </c>
      <c r="O365" s="361"/>
      <c r="P365" s="362"/>
      <c r="Q365" s="361"/>
      <c r="R365" s="362"/>
      <c r="S365" s="354"/>
      <c r="T365" s="361"/>
      <c r="U365" s="362"/>
      <c r="V365" s="362"/>
      <c r="W365" s="362"/>
      <c r="X365" s="362"/>
      <c r="Y365" s="349">
        <f t="shared" ref="Y365:Y378" si="109">SUM(F365:X365)</f>
        <v>28898.199999999997</v>
      </c>
      <c r="Z365" s="334" t="s">
        <v>240</v>
      </c>
      <c r="AA365" s="807" t="s">
        <v>63</v>
      </c>
      <c r="AB365" s="333">
        <f>B365</f>
        <v>45782</v>
      </c>
    </row>
    <row r="366" spans="2:28" ht="16" thickBot="1" x14ac:dyDescent="0.25">
      <c r="B366" s="346"/>
      <c r="C366" s="347" t="s">
        <v>89</v>
      </c>
      <c r="D366" s="809"/>
      <c r="E366" s="347">
        <f t="shared" si="108"/>
        <v>600</v>
      </c>
      <c r="F366" s="356"/>
      <c r="G366" s="356"/>
      <c r="H366" s="351"/>
      <c r="I366" s="356"/>
      <c r="J366" s="351">
        <f>5*120</f>
        <v>600</v>
      </c>
      <c r="K366" s="356"/>
      <c r="L366" s="351"/>
      <c r="M366" s="355"/>
      <c r="N366" s="355"/>
      <c r="O366" s="364"/>
      <c r="P366" s="356"/>
      <c r="Q366" s="351"/>
      <c r="R366" s="355"/>
      <c r="S366" s="365"/>
      <c r="T366" s="364"/>
      <c r="U366" s="365"/>
      <c r="V366" s="365"/>
      <c r="W366" s="365"/>
      <c r="X366" s="356"/>
      <c r="Y366" s="366">
        <f t="shared" si="109"/>
        <v>600</v>
      </c>
      <c r="Z366" s="347" t="s">
        <v>89</v>
      </c>
      <c r="AA366" s="809"/>
      <c r="AB366" s="347"/>
    </row>
    <row r="367" spans="2:28" ht="16" thickBot="1" x14ac:dyDescent="0.25">
      <c r="B367" s="368">
        <v>45783</v>
      </c>
      <c r="C367" s="333" t="s">
        <v>240</v>
      </c>
      <c r="D367" s="807" t="s">
        <v>64</v>
      </c>
      <c r="E367" s="132">
        <f t="shared" si="108"/>
        <v>44311.799999999988</v>
      </c>
      <c r="F367" s="354"/>
      <c r="G367" s="354"/>
      <c r="H367" s="369"/>
      <c r="I367" s="354"/>
      <c r="J367" s="369"/>
      <c r="K367" s="354">
        <v>3753.6</v>
      </c>
      <c r="L367" s="369"/>
      <c r="M367" s="354"/>
      <c r="N367" s="354">
        <v>11408</v>
      </c>
      <c r="O367" s="369"/>
      <c r="P367" s="354"/>
      <c r="Q367" s="369">
        <v>8280</v>
      </c>
      <c r="R367" s="354">
        <v>4351.6000000000004</v>
      </c>
      <c r="S367" s="354">
        <v>5506.2</v>
      </c>
      <c r="T367" s="369">
        <v>5506.2</v>
      </c>
      <c r="U367" s="354">
        <v>5506.2</v>
      </c>
      <c r="V367" s="354"/>
      <c r="W367" s="354"/>
      <c r="X367" s="354"/>
      <c r="Y367" s="349">
        <f t="shared" si="109"/>
        <v>44311.799999999988</v>
      </c>
      <c r="Z367" s="333" t="s">
        <v>240</v>
      </c>
      <c r="AA367" s="807" t="s">
        <v>64</v>
      </c>
      <c r="AB367" s="333">
        <f>B367</f>
        <v>45783</v>
      </c>
    </row>
    <row r="368" spans="2:28" ht="16" thickBot="1" x14ac:dyDescent="0.25">
      <c r="B368" s="336"/>
      <c r="C368" s="131" t="s">
        <v>89</v>
      </c>
      <c r="D368" s="808"/>
      <c r="E368" s="131">
        <f t="shared" si="108"/>
        <v>0</v>
      </c>
      <c r="F368" s="370"/>
      <c r="G368" s="370"/>
      <c r="H368" s="371"/>
      <c r="I368" s="370"/>
      <c r="J368" s="371"/>
      <c r="K368" s="370"/>
      <c r="L368" s="371"/>
      <c r="M368" s="370"/>
      <c r="N368" s="370"/>
      <c r="O368" s="371"/>
      <c r="P368" s="370"/>
      <c r="Q368" s="371"/>
      <c r="R368" s="370"/>
      <c r="S368" s="370"/>
      <c r="T368" s="371"/>
      <c r="U368" s="370"/>
      <c r="V368" s="370"/>
      <c r="W368" s="370"/>
      <c r="X368" s="370"/>
      <c r="Y368" s="343">
        <f t="shared" si="109"/>
        <v>0</v>
      </c>
      <c r="Z368" s="131" t="s">
        <v>89</v>
      </c>
      <c r="AA368" s="808"/>
      <c r="AB368" s="131"/>
    </row>
    <row r="369" spans="2:28" ht="16" thickBot="1" x14ac:dyDescent="0.25">
      <c r="B369" s="332">
        <v>45784</v>
      </c>
      <c r="C369" s="334" t="s">
        <v>240</v>
      </c>
      <c r="D369" s="809" t="s">
        <v>65</v>
      </c>
      <c r="E369" s="335">
        <f t="shared" si="108"/>
        <v>20038.599999999999</v>
      </c>
      <c r="F369" s="367">
        <v>7600</v>
      </c>
      <c r="G369" s="367"/>
      <c r="H369" s="350">
        <v>4577</v>
      </c>
      <c r="I369" s="367"/>
      <c r="J369" s="350"/>
      <c r="K369" s="367"/>
      <c r="L369" s="350">
        <v>3661.6</v>
      </c>
      <c r="M369" s="367">
        <v>4200</v>
      </c>
      <c r="N369" s="367"/>
      <c r="O369" s="350"/>
      <c r="P369" s="367"/>
      <c r="Q369" s="350"/>
      <c r="R369" s="367"/>
      <c r="S369" s="367"/>
      <c r="T369" s="350"/>
      <c r="U369" s="367"/>
      <c r="V369" s="367"/>
      <c r="W369" s="367"/>
      <c r="X369" s="367"/>
      <c r="Y369" s="338">
        <f t="shared" si="109"/>
        <v>20038.599999999999</v>
      </c>
      <c r="Z369" s="334" t="s">
        <v>240</v>
      </c>
      <c r="AA369" s="809" t="s">
        <v>65</v>
      </c>
      <c r="AB369" s="334">
        <f>B369</f>
        <v>45784</v>
      </c>
    </row>
    <row r="370" spans="2:28" ht="16" thickBot="1" x14ac:dyDescent="0.25">
      <c r="B370" s="346"/>
      <c r="C370" s="347" t="s">
        <v>89</v>
      </c>
      <c r="D370" s="809"/>
      <c r="E370" s="347">
        <f t="shared" si="108"/>
        <v>0</v>
      </c>
      <c r="F370" s="356"/>
      <c r="G370" s="356"/>
      <c r="H370" s="351"/>
      <c r="I370" s="356"/>
      <c r="J370" s="351"/>
      <c r="K370" s="356"/>
      <c r="L370" s="351"/>
      <c r="M370" s="356"/>
      <c r="N370" s="356"/>
      <c r="O370" s="351"/>
      <c r="P370" s="356"/>
      <c r="Q370" s="351"/>
      <c r="R370" s="356"/>
      <c r="S370" s="356"/>
      <c r="T370" s="351"/>
      <c r="U370" s="356"/>
      <c r="V370" s="356"/>
      <c r="W370" s="356"/>
      <c r="X370" s="356"/>
      <c r="Y370" s="366">
        <f t="shared" si="109"/>
        <v>0</v>
      </c>
      <c r="Z370" s="347" t="s">
        <v>89</v>
      </c>
      <c r="AA370" s="809"/>
      <c r="AB370" s="347"/>
    </row>
    <row r="371" spans="2:28" ht="16" thickBot="1" x14ac:dyDescent="0.25">
      <c r="B371" s="562">
        <v>45785</v>
      </c>
      <c r="C371" s="563" t="s">
        <v>240</v>
      </c>
      <c r="D371" s="807" t="s">
        <v>66</v>
      </c>
      <c r="E371" s="564">
        <f t="shared" si="108"/>
        <v>3661.6</v>
      </c>
      <c r="F371" s="372"/>
      <c r="G371" s="372"/>
      <c r="H371" s="373"/>
      <c r="I371" s="372"/>
      <c r="J371" s="373"/>
      <c r="K371" s="372"/>
      <c r="L371" s="373"/>
      <c r="M371" s="372"/>
      <c r="N371" s="372"/>
      <c r="O371" s="373"/>
      <c r="P371" s="372"/>
      <c r="Q371" s="373"/>
      <c r="R371" s="372"/>
      <c r="S371" s="372"/>
      <c r="T371" s="373"/>
      <c r="U371" s="372"/>
      <c r="V371" s="372"/>
      <c r="W371" s="372">
        <v>3661.6</v>
      </c>
      <c r="X371" s="372"/>
      <c r="Y371" s="565">
        <f t="shared" si="109"/>
        <v>3661.6</v>
      </c>
      <c r="Z371" s="563" t="s">
        <v>240</v>
      </c>
      <c r="AA371" s="807" t="s">
        <v>66</v>
      </c>
      <c r="AB371" s="563">
        <f>B371</f>
        <v>45785</v>
      </c>
    </row>
    <row r="372" spans="2:28" ht="16" thickBot="1" x14ac:dyDescent="0.25">
      <c r="B372" s="336"/>
      <c r="C372" s="131" t="s">
        <v>89</v>
      </c>
      <c r="D372" s="808"/>
      <c r="E372" s="131">
        <f t="shared" si="108"/>
        <v>0</v>
      </c>
      <c r="F372" s="370"/>
      <c r="G372" s="370"/>
      <c r="H372" s="371"/>
      <c r="I372" s="370"/>
      <c r="J372" s="371"/>
      <c r="K372" s="370"/>
      <c r="L372" s="371"/>
      <c r="M372" s="370"/>
      <c r="N372" s="370"/>
      <c r="O372" s="371"/>
      <c r="P372" s="370"/>
      <c r="Q372" s="371"/>
      <c r="R372" s="370"/>
      <c r="S372" s="370"/>
      <c r="T372" s="371"/>
      <c r="U372" s="370"/>
      <c r="V372" s="370"/>
      <c r="W372" s="370"/>
      <c r="X372" s="370"/>
      <c r="Y372" s="343">
        <f t="shared" si="109"/>
        <v>0</v>
      </c>
      <c r="Z372" s="131" t="s">
        <v>89</v>
      </c>
      <c r="AA372" s="808"/>
      <c r="AB372" s="131"/>
    </row>
    <row r="373" spans="2:28" ht="16" thickBot="1" x14ac:dyDescent="0.25">
      <c r="B373" s="566">
        <v>45786</v>
      </c>
      <c r="C373" s="567" t="s">
        <v>240</v>
      </c>
      <c r="D373" s="809" t="s">
        <v>67</v>
      </c>
      <c r="E373" s="568">
        <f t="shared" si="108"/>
        <v>31623.599999999999</v>
      </c>
      <c r="F373" s="367">
        <v>6500</v>
      </c>
      <c r="G373" s="367"/>
      <c r="H373" s="350">
        <v>4577</v>
      </c>
      <c r="I373" s="367">
        <v>2280</v>
      </c>
      <c r="J373" s="350"/>
      <c r="K373" s="367">
        <v>3197</v>
      </c>
      <c r="L373" s="350">
        <v>3661.6</v>
      </c>
      <c r="M373" s="367"/>
      <c r="N373" s="367">
        <v>11408</v>
      </c>
      <c r="O373" s="350"/>
      <c r="P373" s="367"/>
      <c r="Q373" s="350"/>
      <c r="R373" s="367"/>
      <c r="S373" s="367"/>
      <c r="T373" s="350"/>
      <c r="U373" s="367"/>
      <c r="V373" s="367"/>
      <c r="W373" s="367"/>
      <c r="X373" s="367"/>
      <c r="Y373" s="569">
        <f t="shared" si="109"/>
        <v>31623.599999999999</v>
      </c>
      <c r="Z373" s="567" t="s">
        <v>240</v>
      </c>
      <c r="AA373" s="809" t="s">
        <v>67</v>
      </c>
      <c r="AB373" s="567">
        <f>B373</f>
        <v>45786</v>
      </c>
    </row>
    <row r="374" spans="2:28" ht="16" thickBot="1" x14ac:dyDescent="0.25">
      <c r="B374" s="346"/>
      <c r="C374" s="347" t="s">
        <v>89</v>
      </c>
      <c r="D374" s="809"/>
      <c r="E374" s="347">
        <f t="shared" si="108"/>
        <v>120</v>
      </c>
      <c r="F374" s="355"/>
      <c r="G374" s="355"/>
      <c r="H374" s="351"/>
      <c r="I374" s="355">
        <v>120</v>
      </c>
      <c r="J374" s="351"/>
      <c r="K374" s="355"/>
      <c r="L374" s="351"/>
      <c r="M374" s="356"/>
      <c r="N374" s="356"/>
      <c r="O374" s="351"/>
      <c r="P374" s="356"/>
      <c r="Q374" s="351"/>
      <c r="R374" s="356"/>
      <c r="S374" s="356"/>
      <c r="T374" s="351"/>
      <c r="U374" s="356"/>
      <c r="V374" s="356"/>
      <c r="W374" s="356"/>
      <c r="X374" s="356"/>
      <c r="Y374" s="366">
        <f t="shared" si="109"/>
        <v>120</v>
      </c>
      <c r="Z374" s="347" t="s">
        <v>89</v>
      </c>
      <c r="AA374" s="809"/>
      <c r="AB374" s="347"/>
    </row>
    <row r="375" spans="2:28" ht="16" thickBot="1" x14ac:dyDescent="0.25">
      <c r="B375" s="368">
        <v>45787</v>
      </c>
      <c r="C375" s="333" t="s">
        <v>240</v>
      </c>
      <c r="D375" s="807" t="s">
        <v>68</v>
      </c>
      <c r="E375" s="132">
        <f t="shared" si="108"/>
        <v>0</v>
      </c>
      <c r="F375" s="372"/>
      <c r="G375" s="372"/>
      <c r="H375" s="373"/>
      <c r="I375" s="372"/>
      <c r="J375" s="373"/>
      <c r="K375" s="372"/>
      <c r="L375" s="373"/>
      <c r="M375" s="372"/>
      <c r="N375" s="372"/>
      <c r="O375" s="373"/>
      <c r="P375" s="372"/>
      <c r="Q375" s="373"/>
      <c r="R375" s="372"/>
      <c r="S375" s="372"/>
      <c r="T375" s="373" t="s">
        <v>1104</v>
      </c>
      <c r="U375" s="372"/>
      <c r="V375" s="372"/>
      <c r="W375" s="372"/>
      <c r="X375" s="372"/>
      <c r="Y375" s="349">
        <f t="shared" si="109"/>
        <v>0</v>
      </c>
      <c r="Z375" s="333" t="s">
        <v>240</v>
      </c>
      <c r="AA375" s="807" t="s">
        <v>68</v>
      </c>
      <c r="AB375" s="333">
        <f>B375</f>
        <v>45787</v>
      </c>
    </row>
    <row r="376" spans="2:28" ht="16" thickBot="1" x14ac:dyDescent="0.25">
      <c r="B376" s="336"/>
      <c r="C376" s="131" t="s">
        <v>89</v>
      </c>
      <c r="D376" s="808"/>
      <c r="E376" s="131">
        <f t="shared" si="108"/>
        <v>0</v>
      </c>
      <c r="F376" s="370"/>
      <c r="G376" s="370"/>
      <c r="H376" s="371"/>
      <c r="I376" s="370"/>
      <c r="J376" s="371"/>
      <c r="K376" s="370"/>
      <c r="L376" s="371"/>
      <c r="M376" s="370"/>
      <c r="N376" s="370"/>
      <c r="O376" s="371"/>
      <c r="P376" s="370"/>
      <c r="Q376" s="371"/>
      <c r="R376" s="370"/>
      <c r="S376" s="370"/>
      <c r="T376" s="371"/>
      <c r="U376" s="370"/>
      <c r="V376" s="370"/>
      <c r="W376" s="370"/>
      <c r="X376" s="370"/>
      <c r="Y376" s="343">
        <f t="shared" si="109"/>
        <v>0</v>
      </c>
      <c r="Z376" s="131" t="s">
        <v>89</v>
      </c>
      <c r="AA376" s="808"/>
      <c r="AB376" s="131"/>
    </row>
    <row r="377" spans="2:28" ht="16" thickBot="1" x14ac:dyDescent="0.25">
      <c r="B377" s="566">
        <v>45788</v>
      </c>
      <c r="C377" s="567" t="s">
        <v>240</v>
      </c>
      <c r="D377" s="809" t="s">
        <v>69</v>
      </c>
      <c r="E377" s="568">
        <f t="shared" si="108"/>
        <v>0</v>
      </c>
      <c r="F377" s="367"/>
      <c r="G377" s="367"/>
      <c r="H377" s="350"/>
      <c r="I377" s="367"/>
      <c r="J377" s="350"/>
      <c r="K377" s="367"/>
      <c r="L377" s="350"/>
      <c r="M377" s="367"/>
      <c r="N377" s="367"/>
      <c r="O377" s="350"/>
      <c r="P377" s="367"/>
      <c r="Q377" s="350"/>
      <c r="R377" s="367"/>
      <c r="S377" s="367"/>
      <c r="T377" s="350"/>
      <c r="U377" s="367"/>
      <c r="V377" s="367"/>
      <c r="W377" s="367"/>
      <c r="X377" s="367"/>
      <c r="Y377" s="569">
        <f t="shared" si="109"/>
        <v>0</v>
      </c>
      <c r="Z377" s="567" t="s">
        <v>240</v>
      </c>
      <c r="AA377" s="809" t="s">
        <v>69</v>
      </c>
      <c r="AB377" s="567">
        <f>B377</f>
        <v>45788</v>
      </c>
    </row>
    <row r="378" spans="2:28" ht="16" thickBot="1" x14ac:dyDescent="0.25">
      <c r="B378" s="346"/>
      <c r="C378" s="347" t="s">
        <v>89</v>
      </c>
      <c r="D378" s="808"/>
      <c r="E378" s="347">
        <f t="shared" si="108"/>
        <v>0</v>
      </c>
      <c r="F378" s="356"/>
      <c r="G378" s="356"/>
      <c r="H378" s="351"/>
      <c r="I378" s="356"/>
      <c r="J378" s="351"/>
      <c r="K378" s="356"/>
      <c r="L378" s="351"/>
      <c r="M378" s="356"/>
      <c r="N378" s="356"/>
      <c r="O378" s="351"/>
      <c r="P378" s="356"/>
      <c r="Q378" s="351"/>
      <c r="R378" s="356"/>
      <c r="S378" s="356"/>
      <c r="T378" s="351"/>
      <c r="U378" s="356"/>
      <c r="V378" s="356"/>
      <c r="W378" s="356"/>
      <c r="X378" s="356"/>
      <c r="Y378" s="363">
        <f t="shared" si="109"/>
        <v>0</v>
      </c>
      <c r="Z378" s="347" t="s">
        <v>89</v>
      </c>
      <c r="AA378" s="808"/>
      <c r="AB378" s="347"/>
    </row>
    <row r="379" spans="2:28" ht="17" thickBot="1" x14ac:dyDescent="0.25">
      <c r="B379" s="348" t="s">
        <v>119</v>
      </c>
      <c r="C379" s="349"/>
      <c r="D379" s="344"/>
      <c r="E379" s="133">
        <f>SUM(E371,E369,E367,E365,E373,E375,E377)</f>
        <v>128533.79999999999</v>
      </c>
      <c r="F379" s="349">
        <f t="shared" ref="F379:Y379" si="110">SUM(F365,F367,F369,F371,F373,F375,F377)</f>
        <v>19300</v>
      </c>
      <c r="G379" s="349">
        <f t="shared" si="110"/>
        <v>1200</v>
      </c>
      <c r="H379" s="352">
        <f t="shared" si="110"/>
        <v>12815.6</v>
      </c>
      <c r="I379" s="349">
        <f t="shared" si="110"/>
        <v>4680</v>
      </c>
      <c r="J379" s="352">
        <f t="shared" si="110"/>
        <v>3000</v>
      </c>
      <c r="K379" s="349">
        <f t="shared" si="110"/>
        <v>9457.6</v>
      </c>
      <c r="L379" s="352">
        <f t="shared" si="110"/>
        <v>9604.7999999999993</v>
      </c>
      <c r="M379" s="349">
        <f t="shared" si="110"/>
        <v>4200</v>
      </c>
      <c r="N379" s="349">
        <f t="shared" si="110"/>
        <v>31464</v>
      </c>
      <c r="O379" s="352">
        <f t="shared" si="110"/>
        <v>0</v>
      </c>
      <c r="P379" s="349">
        <f t="shared" si="110"/>
        <v>0</v>
      </c>
      <c r="Q379" s="352">
        <f t="shared" si="110"/>
        <v>8280</v>
      </c>
      <c r="R379" s="349">
        <f t="shared" si="110"/>
        <v>4351.6000000000004</v>
      </c>
      <c r="S379" s="349">
        <f t="shared" si="110"/>
        <v>5506.2</v>
      </c>
      <c r="T379" s="352">
        <f t="shared" si="110"/>
        <v>5506.2</v>
      </c>
      <c r="U379" s="349">
        <f t="shared" si="110"/>
        <v>5506.2</v>
      </c>
      <c r="V379" s="349">
        <f t="shared" si="110"/>
        <v>0</v>
      </c>
      <c r="W379" s="349">
        <f t="shared" si="110"/>
        <v>3661.6</v>
      </c>
      <c r="X379" s="349">
        <f t="shared" si="110"/>
        <v>0</v>
      </c>
      <c r="Y379" s="358">
        <f t="shared" si="110"/>
        <v>128533.79999999999</v>
      </c>
      <c r="Z379" s="349"/>
      <c r="AA379" s="345"/>
      <c r="AB379" s="349" t="s">
        <v>119</v>
      </c>
    </row>
    <row r="380" spans="2:28" ht="17" thickBot="1" x14ac:dyDescent="0.25">
      <c r="B380" s="342" t="s">
        <v>120</v>
      </c>
      <c r="C380" s="343"/>
      <c r="D380" s="344"/>
      <c r="E380" s="134">
        <f>SUM(E366,E368,E370,E372,E374,E376,E378)</f>
        <v>720</v>
      </c>
      <c r="F380" s="343">
        <f t="shared" ref="F380:Y380" si="111">(F366+F368+F370+F372+F374+F376+F378)</f>
        <v>0</v>
      </c>
      <c r="G380" s="343">
        <f t="shared" si="111"/>
        <v>0</v>
      </c>
      <c r="H380" s="353">
        <f t="shared" si="111"/>
        <v>0</v>
      </c>
      <c r="I380" s="343">
        <f t="shared" si="111"/>
        <v>120</v>
      </c>
      <c r="J380" s="353">
        <f t="shared" si="111"/>
        <v>600</v>
      </c>
      <c r="K380" s="343">
        <f t="shared" si="111"/>
        <v>0</v>
      </c>
      <c r="L380" s="353">
        <f t="shared" si="111"/>
        <v>0</v>
      </c>
      <c r="M380" s="343">
        <f t="shared" si="111"/>
        <v>0</v>
      </c>
      <c r="N380" s="343">
        <f t="shared" si="111"/>
        <v>0</v>
      </c>
      <c r="O380" s="353">
        <f t="shared" si="111"/>
        <v>0</v>
      </c>
      <c r="P380" s="343">
        <f t="shared" si="111"/>
        <v>0</v>
      </c>
      <c r="Q380" s="353">
        <f t="shared" si="111"/>
        <v>0</v>
      </c>
      <c r="R380" s="343">
        <f t="shared" si="111"/>
        <v>0</v>
      </c>
      <c r="S380" s="343">
        <f t="shared" si="111"/>
        <v>0</v>
      </c>
      <c r="T380" s="353">
        <f t="shared" si="111"/>
        <v>0</v>
      </c>
      <c r="U380" s="343">
        <f t="shared" si="111"/>
        <v>0</v>
      </c>
      <c r="V380" s="343">
        <f t="shared" si="111"/>
        <v>0</v>
      </c>
      <c r="W380" s="343">
        <f t="shared" si="111"/>
        <v>0</v>
      </c>
      <c r="X380" s="343">
        <f t="shared" si="111"/>
        <v>0</v>
      </c>
      <c r="Y380" s="359">
        <f t="shared" si="111"/>
        <v>720</v>
      </c>
      <c r="Z380" s="343"/>
      <c r="AA380" s="345"/>
      <c r="AB380" s="343" t="s">
        <v>120</v>
      </c>
    </row>
    <row r="381" spans="2:28" ht="17" thickBot="1" x14ac:dyDescent="0.25">
      <c r="B381" s="337" t="s">
        <v>121</v>
      </c>
      <c r="C381" s="338"/>
      <c r="D381" s="339"/>
      <c r="E381" s="340">
        <f>E379-E380</f>
        <v>127813.79999999999</v>
      </c>
      <c r="F381" s="338">
        <f t="shared" ref="F381:M381" si="112">F379-F380</f>
        <v>19300</v>
      </c>
      <c r="G381" s="338">
        <f t="shared" si="112"/>
        <v>1200</v>
      </c>
      <c r="H381" s="357">
        <f t="shared" si="112"/>
        <v>12815.6</v>
      </c>
      <c r="I381" s="338">
        <f t="shared" si="112"/>
        <v>4560</v>
      </c>
      <c r="J381" s="357">
        <f t="shared" si="112"/>
        <v>2400</v>
      </c>
      <c r="K381" s="338">
        <f t="shared" si="112"/>
        <v>9457.6</v>
      </c>
      <c r="L381" s="357">
        <f t="shared" si="112"/>
        <v>9604.7999999999993</v>
      </c>
      <c r="M381" s="338">
        <f t="shared" si="112"/>
        <v>4200</v>
      </c>
      <c r="N381" s="338">
        <f>N379-N380</f>
        <v>31464</v>
      </c>
      <c r="O381" s="357">
        <f t="shared" ref="O381:W381" si="113">O379-O380</f>
        <v>0</v>
      </c>
      <c r="P381" s="338">
        <f t="shared" si="113"/>
        <v>0</v>
      </c>
      <c r="Q381" s="357">
        <f t="shared" si="113"/>
        <v>8280</v>
      </c>
      <c r="R381" s="338">
        <f t="shared" si="113"/>
        <v>4351.6000000000004</v>
      </c>
      <c r="S381" s="338">
        <f t="shared" si="113"/>
        <v>5506.2</v>
      </c>
      <c r="T381" s="357">
        <f t="shared" si="113"/>
        <v>5506.2</v>
      </c>
      <c r="U381" s="338">
        <f t="shared" si="113"/>
        <v>5506.2</v>
      </c>
      <c r="V381" s="338">
        <f t="shared" si="113"/>
        <v>0</v>
      </c>
      <c r="W381" s="338">
        <f t="shared" si="113"/>
        <v>3661.6</v>
      </c>
      <c r="X381" s="338">
        <f>X379-X380</f>
        <v>0</v>
      </c>
      <c r="Y381" s="360">
        <f>Y379-Y380</f>
        <v>127813.79999999999</v>
      </c>
      <c r="Z381" s="338"/>
      <c r="AA381" s="341"/>
      <c r="AB381" s="338" t="s">
        <v>121</v>
      </c>
    </row>
    <row r="5260" spans="12:12" x14ac:dyDescent="0.2">
      <c r="L5260" t="e">
        <f>+'WEEKLY AMOUNTS'!L6101830.8</f>
        <v>#NAME?</v>
      </c>
    </row>
  </sheetData>
  <mergeCells count="779">
    <mergeCell ref="D335:D336"/>
    <mergeCell ref="AA335:AA336"/>
    <mergeCell ref="D337:D338"/>
    <mergeCell ref="AA337:AA338"/>
    <mergeCell ref="D325:D326"/>
    <mergeCell ref="AA325:AA326"/>
    <mergeCell ref="D327:D328"/>
    <mergeCell ref="AA327:AA328"/>
    <mergeCell ref="D329:D330"/>
    <mergeCell ref="AA329:AA330"/>
    <mergeCell ref="D331:D332"/>
    <mergeCell ref="AA331:AA332"/>
    <mergeCell ref="D333:D334"/>
    <mergeCell ref="AA333:AA334"/>
    <mergeCell ref="T323:T324"/>
    <mergeCell ref="U323:U324"/>
    <mergeCell ref="V323:V324"/>
    <mergeCell ref="W323:W324"/>
    <mergeCell ref="X323:X324"/>
    <mergeCell ref="Y323:Y324"/>
    <mergeCell ref="Z323:Z324"/>
    <mergeCell ref="AA323:AA324"/>
    <mergeCell ref="AB323:AB324"/>
    <mergeCell ref="K323:K324"/>
    <mergeCell ref="L323:L324"/>
    <mergeCell ref="M323:M324"/>
    <mergeCell ref="N323:N324"/>
    <mergeCell ref="O323:O324"/>
    <mergeCell ref="P323:P324"/>
    <mergeCell ref="Q323:Q324"/>
    <mergeCell ref="R323:R324"/>
    <mergeCell ref="S323:S324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D255:D256"/>
    <mergeCell ref="AA255:AA256"/>
    <mergeCell ref="D257:D258"/>
    <mergeCell ref="AA257:AA258"/>
    <mergeCell ref="D245:D246"/>
    <mergeCell ref="AA245:AA246"/>
    <mergeCell ref="D247:D248"/>
    <mergeCell ref="AA247:AA248"/>
    <mergeCell ref="D249:D250"/>
    <mergeCell ref="AA249:AA250"/>
    <mergeCell ref="D251:D252"/>
    <mergeCell ref="AA251:AA252"/>
    <mergeCell ref="D253:D254"/>
    <mergeCell ref="AA253:AA254"/>
    <mergeCell ref="T243:T244"/>
    <mergeCell ref="U243:U244"/>
    <mergeCell ref="V243:V244"/>
    <mergeCell ref="W243:W244"/>
    <mergeCell ref="X243:X244"/>
    <mergeCell ref="Y243:Y244"/>
    <mergeCell ref="Z243:Z244"/>
    <mergeCell ref="AA243:AA244"/>
    <mergeCell ref="AB243:AB244"/>
    <mergeCell ref="K243:K244"/>
    <mergeCell ref="L243:L244"/>
    <mergeCell ref="M243:M244"/>
    <mergeCell ref="N243:N244"/>
    <mergeCell ref="O243:O244"/>
    <mergeCell ref="P243:P244"/>
    <mergeCell ref="Q243:Q244"/>
    <mergeCell ref="R243:R244"/>
    <mergeCell ref="S243:S244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D175:D176"/>
    <mergeCell ref="AA175:AA176"/>
    <mergeCell ref="D177:D178"/>
    <mergeCell ref="AA177:AA178"/>
    <mergeCell ref="D165:D166"/>
    <mergeCell ref="AA165:AA166"/>
    <mergeCell ref="D167:D168"/>
    <mergeCell ref="AA167:AA168"/>
    <mergeCell ref="D169:D170"/>
    <mergeCell ref="AA169:AA170"/>
    <mergeCell ref="D171:D172"/>
    <mergeCell ref="AA171:AA172"/>
    <mergeCell ref="D173:D174"/>
    <mergeCell ref="AA173:AA174"/>
    <mergeCell ref="T163:T164"/>
    <mergeCell ref="U163:U164"/>
    <mergeCell ref="V163:V164"/>
    <mergeCell ref="W163:W164"/>
    <mergeCell ref="X163:X164"/>
    <mergeCell ref="Y163:Y164"/>
    <mergeCell ref="Z163:Z164"/>
    <mergeCell ref="AA163:AA164"/>
    <mergeCell ref="AB163:AB164"/>
    <mergeCell ref="K163:K164"/>
    <mergeCell ref="L163:L164"/>
    <mergeCell ref="M163:M164"/>
    <mergeCell ref="N163:N164"/>
    <mergeCell ref="O163:O164"/>
    <mergeCell ref="P163:P164"/>
    <mergeCell ref="Q163:Q164"/>
    <mergeCell ref="R163:R164"/>
    <mergeCell ref="S163:S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J163:J164"/>
    <mergeCell ref="D135:D136"/>
    <mergeCell ref="AA135:AA136"/>
    <mergeCell ref="D137:D138"/>
    <mergeCell ref="AA137:AA138"/>
    <mergeCell ref="D125:D126"/>
    <mergeCell ref="AA125:AA126"/>
    <mergeCell ref="D127:D128"/>
    <mergeCell ref="AA127:AA128"/>
    <mergeCell ref="D129:D130"/>
    <mergeCell ref="AA129:AA130"/>
    <mergeCell ref="D131:D132"/>
    <mergeCell ref="AA131:AA132"/>
    <mergeCell ref="D133:D134"/>
    <mergeCell ref="AA133:AA134"/>
    <mergeCell ref="T123:T124"/>
    <mergeCell ref="U123:U124"/>
    <mergeCell ref="V123:V124"/>
    <mergeCell ref="W123:W124"/>
    <mergeCell ref="X123:X124"/>
    <mergeCell ref="Y123:Y124"/>
    <mergeCell ref="Z123:Z124"/>
    <mergeCell ref="AA123:AA124"/>
    <mergeCell ref="AB123:AB124"/>
    <mergeCell ref="K123:K124"/>
    <mergeCell ref="L123:L124"/>
    <mergeCell ref="M123:M124"/>
    <mergeCell ref="N123:N124"/>
    <mergeCell ref="O123:O124"/>
    <mergeCell ref="P123:P124"/>
    <mergeCell ref="Q123:Q124"/>
    <mergeCell ref="R123:R124"/>
    <mergeCell ref="S123:S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D115:D116"/>
    <mergeCell ref="AA115:AA116"/>
    <mergeCell ref="D117:D118"/>
    <mergeCell ref="AA117:AA118"/>
    <mergeCell ref="D105:D106"/>
    <mergeCell ref="AA105:AA106"/>
    <mergeCell ref="D107:D108"/>
    <mergeCell ref="AA107:AA108"/>
    <mergeCell ref="D109:D110"/>
    <mergeCell ref="AA109:AA110"/>
    <mergeCell ref="D111:D112"/>
    <mergeCell ref="AA111:AA112"/>
    <mergeCell ref="D113:D114"/>
    <mergeCell ref="AA113:AA114"/>
    <mergeCell ref="T103:T104"/>
    <mergeCell ref="U103:U104"/>
    <mergeCell ref="V103:V104"/>
    <mergeCell ref="W103:W104"/>
    <mergeCell ref="X103:X104"/>
    <mergeCell ref="Y103:Y104"/>
    <mergeCell ref="Z103:Z104"/>
    <mergeCell ref="AA103:AA104"/>
    <mergeCell ref="AB103:AB104"/>
    <mergeCell ref="K103:K104"/>
    <mergeCell ref="L103:L104"/>
    <mergeCell ref="M103:M104"/>
    <mergeCell ref="N103:N104"/>
    <mergeCell ref="O103:O104"/>
    <mergeCell ref="P103:P104"/>
    <mergeCell ref="Q103:Q104"/>
    <mergeCell ref="R103:R104"/>
    <mergeCell ref="S103:S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J103:J104"/>
    <mergeCell ref="AA11:AA12"/>
    <mergeCell ref="D13:D14"/>
    <mergeCell ref="AA13:AA14"/>
    <mergeCell ref="AB3:AB4"/>
    <mergeCell ref="D5:D6"/>
    <mergeCell ref="AA5:AA6"/>
    <mergeCell ref="D7:D8"/>
    <mergeCell ref="AA7:AA8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B3:B4"/>
    <mergeCell ref="C3:C4"/>
    <mergeCell ref="D3:D4"/>
    <mergeCell ref="E3:E4"/>
    <mergeCell ref="F3:F4"/>
    <mergeCell ref="D15:D16"/>
    <mergeCell ref="AA15:AA16"/>
    <mergeCell ref="D17:D18"/>
    <mergeCell ref="AA17:AA18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G3:G4"/>
    <mergeCell ref="H3:H4"/>
    <mergeCell ref="I3:I4"/>
    <mergeCell ref="D9:D10"/>
    <mergeCell ref="AA9:AA10"/>
    <mergeCell ref="D11:D12"/>
    <mergeCell ref="N23:N24"/>
    <mergeCell ref="O23:O24"/>
    <mergeCell ref="P23:P24"/>
    <mergeCell ref="G23:G24"/>
    <mergeCell ref="H23:H24"/>
    <mergeCell ref="I23:I24"/>
    <mergeCell ref="J23:J24"/>
    <mergeCell ref="K23:K24"/>
    <mergeCell ref="B23:B24"/>
    <mergeCell ref="C23:C24"/>
    <mergeCell ref="D23:D24"/>
    <mergeCell ref="E23:E24"/>
    <mergeCell ref="F23:F24"/>
    <mergeCell ref="D29:D30"/>
    <mergeCell ref="AA29:AA30"/>
    <mergeCell ref="D31:D32"/>
    <mergeCell ref="AA31:AA32"/>
    <mergeCell ref="D33:D34"/>
    <mergeCell ref="AA33:AA34"/>
    <mergeCell ref="AA23:AA24"/>
    <mergeCell ref="AB23:AB24"/>
    <mergeCell ref="D25:D26"/>
    <mergeCell ref="AA25:AA26"/>
    <mergeCell ref="D27:D28"/>
    <mergeCell ref="AA27:AA28"/>
    <mergeCell ref="V23:V24"/>
    <mergeCell ref="W23:W24"/>
    <mergeCell ref="X23:X24"/>
    <mergeCell ref="Y23:Y24"/>
    <mergeCell ref="Z23:Z24"/>
    <mergeCell ref="Q23:Q24"/>
    <mergeCell ref="R23:R24"/>
    <mergeCell ref="S23:S24"/>
    <mergeCell ref="T23:T24"/>
    <mergeCell ref="U23:U24"/>
    <mergeCell ref="L23:L24"/>
    <mergeCell ref="M23:M2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R43:R44"/>
    <mergeCell ref="D35:D36"/>
    <mergeCell ref="AA35:AA36"/>
    <mergeCell ref="D37:D38"/>
    <mergeCell ref="AA37:AA38"/>
    <mergeCell ref="K43:K44"/>
    <mergeCell ref="L43:L44"/>
    <mergeCell ref="M43:M44"/>
    <mergeCell ref="X43:X44"/>
    <mergeCell ref="Y43:Y44"/>
    <mergeCell ref="Z43:Z44"/>
    <mergeCell ref="AA43:AA44"/>
    <mergeCell ref="AB43:AB44"/>
    <mergeCell ref="S43:S44"/>
    <mergeCell ref="T43:T44"/>
    <mergeCell ref="U43:U44"/>
    <mergeCell ref="V43:V44"/>
    <mergeCell ref="W43:W44"/>
    <mergeCell ref="D57:D58"/>
    <mergeCell ref="AA57:AA58"/>
    <mergeCell ref="D51:D52"/>
    <mergeCell ref="AA51:AA52"/>
    <mergeCell ref="D53:D54"/>
    <mergeCell ref="AA53:AA54"/>
    <mergeCell ref="D55:D56"/>
    <mergeCell ref="AA55:AA56"/>
    <mergeCell ref="D45:D46"/>
    <mergeCell ref="AA45:AA46"/>
    <mergeCell ref="D47:D48"/>
    <mergeCell ref="AA47:AA48"/>
    <mergeCell ref="D49:D50"/>
    <mergeCell ref="AA49:AA50"/>
    <mergeCell ref="N43:N44"/>
    <mergeCell ref="O43:O44"/>
    <mergeCell ref="P43:P44"/>
    <mergeCell ref="Q43:Q4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D65:D66"/>
    <mergeCell ref="AA65:AA66"/>
    <mergeCell ref="D67:D68"/>
    <mergeCell ref="AA67:AA68"/>
    <mergeCell ref="D69:D70"/>
    <mergeCell ref="AA69:AA70"/>
    <mergeCell ref="D71:D72"/>
    <mergeCell ref="AA71:AA72"/>
    <mergeCell ref="D73:D74"/>
    <mergeCell ref="AA73:AA74"/>
    <mergeCell ref="D75:D76"/>
    <mergeCell ref="AA75:AA76"/>
    <mergeCell ref="D77:D78"/>
    <mergeCell ref="AA77:AA78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Z83:Z84"/>
    <mergeCell ref="AA83:AA84"/>
    <mergeCell ref="AB83:AB84"/>
    <mergeCell ref="D85:D86"/>
    <mergeCell ref="AA85:AA86"/>
    <mergeCell ref="D97:D98"/>
    <mergeCell ref="AA97:AA98"/>
    <mergeCell ref="D87:D88"/>
    <mergeCell ref="AA87:AA88"/>
    <mergeCell ref="D89:D90"/>
    <mergeCell ref="AA89:AA90"/>
    <mergeCell ref="D91:D92"/>
    <mergeCell ref="AA91:AA92"/>
    <mergeCell ref="D93:D94"/>
    <mergeCell ref="AA93:AA94"/>
    <mergeCell ref="D95:D96"/>
    <mergeCell ref="AA95:AA96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P143:P144"/>
    <mergeCell ref="Q143:Q144"/>
    <mergeCell ref="R143:R144"/>
    <mergeCell ref="S143:S144"/>
    <mergeCell ref="T143:T144"/>
    <mergeCell ref="U143:U144"/>
    <mergeCell ref="V143:V144"/>
    <mergeCell ref="W143:W144"/>
    <mergeCell ref="X143:X144"/>
    <mergeCell ref="Y143:Y144"/>
    <mergeCell ref="Z143:Z144"/>
    <mergeCell ref="AA143:AA144"/>
    <mergeCell ref="AB143:AB144"/>
    <mergeCell ref="D155:D156"/>
    <mergeCell ref="AA155:AA156"/>
    <mergeCell ref="D157:D158"/>
    <mergeCell ref="AA157:AA158"/>
    <mergeCell ref="D145:D146"/>
    <mergeCell ref="AA145:AA146"/>
    <mergeCell ref="D147:D148"/>
    <mergeCell ref="AA147:AA148"/>
    <mergeCell ref="D149:D150"/>
    <mergeCell ref="AA149:AA150"/>
    <mergeCell ref="D151:D152"/>
    <mergeCell ref="AA151:AA152"/>
    <mergeCell ref="D153:D154"/>
    <mergeCell ref="AA153:AA15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S183:S184"/>
    <mergeCell ref="T183:T184"/>
    <mergeCell ref="U183:U184"/>
    <mergeCell ref="V183:V184"/>
    <mergeCell ref="W183:W184"/>
    <mergeCell ref="X183:X184"/>
    <mergeCell ref="Y183:Y184"/>
    <mergeCell ref="Z183:Z184"/>
    <mergeCell ref="AA183:AA184"/>
    <mergeCell ref="AB183:AB184"/>
    <mergeCell ref="D195:D196"/>
    <mergeCell ref="AA195:AA196"/>
    <mergeCell ref="D197:D198"/>
    <mergeCell ref="AA197:AA198"/>
    <mergeCell ref="D185:D186"/>
    <mergeCell ref="AA185:AA186"/>
    <mergeCell ref="D187:D188"/>
    <mergeCell ref="AA187:AA188"/>
    <mergeCell ref="D189:D190"/>
    <mergeCell ref="AA189:AA190"/>
    <mergeCell ref="D191:D192"/>
    <mergeCell ref="AA191:AA192"/>
    <mergeCell ref="D193:D194"/>
    <mergeCell ref="AA193:AA19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D215:D216"/>
    <mergeCell ref="AA215:AA216"/>
    <mergeCell ref="D217:D218"/>
    <mergeCell ref="AA217:AA218"/>
    <mergeCell ref="D205:D206"/>
    <mergeCell ref="AA205:AA206"/>
    <mergeCell ref="D207:D208"/>
    <mergeCell ref="AA207:AA208"/>
    <mergeCell ref="D209:D210"/>
    <mergeCell ref="AA209:AA210"/>
    <mergeCell ref="D211:D212"/>
    <mergeCell ref="AA211:AA212"/>
    <mergeCell ref="D213:D214"/>
    <mergeCell ref="AA213:AA21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S223:S224"/>
    <mergeCell ref="T223:T224"/>
    <mergeCell ref="U223:U224"/>
    <mergeCell ref="V223:V224"/>
    <mergeCell ref="W223:W224"/>
    <mergeCell ref="X223:X224"/>
    <mergeCell ref="Y223:Y224"/>
    <mergeCell ref="Z223:Z224"/>
    <mergeCell ref="AA223:AA224"/>
    <mergeCell ref="AB223:AB224"/>
    <mergeCell ref="D235:D236"/>
    <mergeCell ref="AA235:AA236"/>
    <mergeCell ref="D237:D238"/>
    <mergeCell ref="AA237:AA238"/>
    <mergeCell ref="D225:D226"/>
    <mergeCell ref="AA225:AA226"/>
    <mergeCell ref="D227:D228"/>
    <mergeCell ref="AA227:AA228"/>
    <mergeCell ref="D229:D230"/>
    <mergeCell ref="AA229:AA230"/>
    <mergeCell ref="D231:D232"/>
    <mergeCell ref="AA231:AA232"/>
    <mergeCell ref="D233:D234"/>
    <mergeCell ref="AA233:AA234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K263:K264"/>
    <mergeCell ref="L263:L264"/>
    <mergeCell ref="M263:M264"/>
    <mergeCell ref="N263:N264"/>
    <mergeCell ref="O263:O264"/>
    <mergeCell ref="P263:P264"/>
    <mergeCell ref="Q263:Q264"/>
    <mergeCell ref="R263:R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A263:AA264"/>
    <mergeCell ref="AB263:AB264"/>
    <mergeCell ref="D275:D276"/>
    <mergeCell ref="AA275:AA276"/>
    <mergeCell ref="D277:D278"/>
    <mergeCell ref="AA277:AA278"/>
    <mergeCell ref="D265:D266"/>
    <mergeCell ref="AA265:AA266"/>
    <mergeCell ref="D267:D268"/>
    <mergeCell ref="AA267:AA268"/>
    <mergeCell ref="D269:D270"/>
    <mergeCell ref="AA269:AA270"/>
    <mergeCell ref="D271:D272"/>
    <mergeCell ref="AA271:AA272"/>
    <mergeCell ref="D273:D274"/>
    <mergeCell ref="AA273:AA274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N283:N284"/>
    <mergeCell ref="O283:O284"/>
    <mergeCell ref="P283:P284"/>
    <mergeCell ref="Q283:Q284"/>
    <mergeCell ref="R283:R284"/>
    <mergeCell ref="S283:S284"/>
    <mergeCell ref="T283:T284"/>
    <mergeCell ref="U283:U284"/>
    <mergeCell ref="V283:V284"/>
    <mergeCell ref="W283:W284"/>
    <mergeCell ref="X283:X284"/>
    <mergeCell ref="Y283:Y284"/>
    <mergeCell ref="Z283:Z284"/>
    <mergeCell ref="AA283:AA284"/>
    <mergeCell ref="AB283:AB284"/>
    <mergeCell ref="D295:D296"/>
    <mergeCell ref="AA295:AA296"/>
    <mergeCell ref="D297:D298"/>
    <mergeCell ref="AA297:AA298"/>
    <mergeCell ref="D285:D286"/>
    <mergeCell ref="AA285:AA286"/>
    <mergeCell ref="D287:D288"/>
    <mergeCell ref="AA287:AA288"/>
    <mergeCell ref="D289:D290"/>
    <mergeCell ref="AA289:AA290"/>
    <mergeCell ref="D291:D292"/>
    <mergeCell ref="AA291:AA292"/>
    <mergeCell ref="D293:D294"/>
    <mergeCell ref="AA293:AA294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J303:J304"/>
    <mergeCell ref="K303:K304"/>
    <mergeCell ref="L303:L304"/>
    <mergeCell ref="M303:M304"/>
    <mergeCell ref="N303:N304"/>
    <mergeCell ref="O303:O304"/>
    <mergeCell ref="P303:P304"/>
    <mergeCell ref="Q303:Q304"/>
    <mergeCell ref="R303:R304"/>
    <mergeCell ref="S303:S304"/>
    <mergeCell ref="T303:T304"/>
    <mergeCell ref="U303:U304"/>
    <mergeCell ref="V303:V304"/>
    <mergeCell ref="W303:W304"/>
    <mergeCell ref="X303:X304"/>
    <mergeCell ref="Y303:Y304"/>
    <mergeCell ref="Z303:Z304"/>
    <mergeCell ref="AA303:AA304"/>
    <mergeCell ref="AB303:AB304"/>
    <mergeCell ref="D315:D316"/>
    <mergeCell ref="AA315:AA316"/>
    <mergeCell ref="D317:D318"/>
    <mergeCell ref="AA317:AA318"/>
    <mergeCell ref="D305:D306"/>
    <mergeCell ref="AA305:AA306"/>
    <mergeCell ref="D307:D308"/>
    <mergeCell ref="AA307:AA308"/>
    <mergeCell ref="D309:D310"/>
    <mergeCell ref="AA309:AA310"/>
    <mergeCell ref="D311:D312"/>
    <mergeCell ref="AA311:AA312"/>
    <mergeCell ref="D313:D314"/>
    <mergeCell ref="AA313:AA31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K343:K344"/>
    <mergeCell ref="L343:L344"/>
    <mergeCell ref="M343:M344"/>
    <mergeCell ref="N343:N344"/>
    <mergeCell ref="O343:O344"/>
    <mergeCell ref="P343:P344"/>
    <mergeCell ref="Q343:Q344"/>
    <mergeCell ref="R343:R344"/>
    <mergeCell ref="S343:S344"/>
    <mergeCell ref="T343:T344"/>
    <mergeCell ref="U343:U344"/>
    <mergeCell ref="V343:V344"/>
    <mergeCell ref="W343:W344"/>
    <mergeCell ref="X343:X344"/>
    <mergeCell ref="Y343:Y344"/>
    <mergeCell ref="Z343:Z344"/>
    <mergeCell ref="AA343:AA344"/>
    <mergeCell ref="AB343:AB344"/>
    <mergeCell ref="D355:D356"/>
    <mergeCell ref="AA355:AA356"/>
    <mergeCell ref="D357:D358"/>
    <mergeCell ref="AA357:AA358"/>
    <mergeCell ref="D345:D346"/>
    <mergeCell ref="AA345:AA346"/>
    <mergeCell ref="D347:D348"/>
    <mergeCell ref="AA347:AA348"/>
    <mergeCell ref="D349:D350"/>
    <mergeCell ref="AA349:AA350"/>
    <mergeCell ref="D351:D352"/>
    <mergeCell ref="AA351:AA352"/>
    <mergeCell ref="D353:D354"/>
    <mergeCell ref="AA353:AA354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N363:N364"/>
    <mergeCell ref="O363:O364"/>
    <mergeCell ref="P363:P364"/>
    <mergeCell ref="Q363:Q364"/>
    <mergeCell ref="R363:R364"/>
    <mergeCell ref="S363:S364"/>
    <mergeCell ref="T363:T364"/>
    <mergeCell ref="U363:U364"/>
    <mergeCell ref="V363:V364"/>
    <mergeCell ref="W363:W364"/>
    <mergeCell ref="X363:X364"/>
    <mergeCell ref="Y363:Y364"/>
    <mergeCell ref="Z363:Z364"/>
    <mergeCell ref="AA363:AA364"/>
    <mergeCell ref="AB363:AB364"/>
    <mergeCell ref="D375:D376"/>
    <mergeCell ref="AA375:AA376"/>
    <mergeCell ref="D377:D378"/>
    <mergeCell ref="AA377:AA378"/>
    <mergeCell ref="D365:D366"/>
    <mergeCell ref="AA365:AA366"/>
    <mergeCell ref="D367:D368"/>
    <mergeCell ref="AA367:AA368"/>
    <mergeCell ref="D369:D370"/>
    <mergeCell ref="AA369:AA370"/>
    <mergeCell ref="D371:D372"/>
    <mergeCell ref="AA371:AA372"/>
    <mergeCell ref="D373:D374"/>
    <mergeCell ref="AA373:AA374"/>
  </mergeCells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O3955"/>
  <sheetViews>
    <sheetView topLeftCell="A3865" zoomScale="90" zoomScaleNormal="90" workbookViewId="0">
      <selection activeCell="I3893" sqref="I3893"/>
    </sheetView>
  </sheetViews>
  <sheetFormatPr baseColWidth="10" defaultColWidth="8.83203125" defaultRowHeight="15" x14ac:dyDescent="0.2"/>
  <cols>
    <col min="1" max="1" width="10.5" bestFit="1" customWidth="1"/>
    <col min="2" max="2" width="10.33203125" bestFit="1" customWidth="1"/>
    <col min="3" max="3" width="9.1640625" style="194"/>
    <col min="4" max="4" width="9.1640625" style="192" customWidth="1"/>
    <col min="5" max="5" width="11.1640625" bestFit="1" customWidth="1"/>
    <col min="6" max="6" width="9.6640625" customWidth="1"/>
    <col min="7" max="7" width="8.6640625" customWidth="1"/>
    <col min="8" max="8" width="8.33203125" customWidth="1"/>
    <col min="9" max="9" width="7.5" customWidth="1"/>
    <col min="10" max="11" width="9" bestFit="1" customWidth="1"/>
    <col min="12" max="12" width="9.5" bestFit="1" customWidth="1"/>
  </cols>
  <sheetData>
    <row r="1" spans="2:15" ht="17" thickBot="1" x14ac:dyDescent="0.25">
      <c r="C1" s="17"/>
      <c r="D1" s="379" t="s">
        <v>83</v>
      </c>
      <c r="E1" s="818" t="s">
        <v>69</v>
      </c>
      <c r="F1" s="819"/>
      <c r="G1" s="819"/>
      <c r="H1" s="819"/>
      <c r="I1" s="819"/>
      <c r="J1" s="400" t="s">
        <v>76</v>
      </c>
      <c r="K1" s="820">
        <v>45655</v>
      </c>
      <c r="L1" s="821"/>
      <c r="M1" s="821"/>
      <c r="N1" s="821"/>
      <c r="O1" s="822"/>
    </row>
    <row r="2" spans="2:15" ht="16" thickBot="1" x14ac:dyDescent="0.25">
      <c r="B2" s="175" t="s">
        <v>76</v>
      </c>
      <c r="C2" s="175" t="s">
        <v>77</v>
      </c>
      <c r="D2" s="823" t="s">
        <v>122</v>
      </c>
      <c r="E2" s="824"/>
      <c r="F2" s="175" t="s">
        <v>104</v>
      </c>
      <c r="G2" s="395" t="s">
        <v>86</v>
      </c>
      <c r="H2" s="175" t="s">
        <v>88</v>
      </c>
      <c r="I2" s="395" t="s">
        <v>87</v>
      </c>
      <c r="J2" s="401" t="s">
        <v>85</v>
      </c>
      <c r="K2" s="395" t="s">
        <v>123</v>
      </c>
      <c r="L2" s="175" t="s">
        <v>124</v>
      </c>
      <c r="M2" s="395" t="s">
        <v>100</v>
      </c>
      <c r="N2" s="175" t="s">
        <v>213</v>
      </c>
      <c r="O2" s="404" t="s">
        <v>125</v>
      </c>
    </row>
    <row r="3" spans="2:15" ht="16" thickBot="1" x14ac:dyDescent="0.25">
      <c r="B3" s="176">
        <f>K1</f>
        <v>45655</v>
      </c>
      <c r="C3" s="374"/>
      <c r="D3" s="375" t="s">
        <v>126</v>
      </c>
      <c r="E3" s="387" t="s">
        <v>127</v>
      </c>
      <c r="F3" s="331">
        <v>15</v>
      </c>
      <c r="G3" s="237">
        <v>9</v>
      </c>
      <c r="H3" s="331">
        <v>4</v>
      </c>
      <c r="I3" s="237">
        <v>5</v>
      </c>
      <c r="J3" s="331">
        <v>9</v>
      </c>
      <c r="K3" s="231"/>
      <c r="L3" s="125"/>
      <c r="M3" s="231"/>
      <c r="N3" s="125"/>
      <c r="O3" s="326"/>
    </row>
    <row r="4" spans="2:15" ht="16" x14ac:dyDescent="0.2">
      <c r="C4" s="118">
        <v>1</v>
      </c>
      <c r="D4" s="382">
        <v>0.33680555555555558</v>
      </c>
      <c r="E4" s="388">
        <v>0.3576388888888889</v>
      </c>
      <c r="F4" s="393"/>
      <c r="G4" s="396">
        <v>28</v>
      </c>
      <c r="H4" s="393"/>
      <c r="I4" s="396"/>
      <c r="J4" s="393"/>
      <c r="K4" s="396"/>
      <c r="L4" s="393"/>
      <c r="M4" s="396"/>
      <c r="N4" s="393"/>
      <c r="O4" s="190"/>
    </row>
    <row r="5" spans="2:15" ht="16" x14ac:dyDescent="0.2">
      <c r="C5" s="119">
        <v>2</v>
      </c>
      <c r="D5" s="383">
        <v>0.36458333333333331</v>
      </c>
      <c r="E5" s="389">
        <v>0.38541666666666669</v>
      </c>
      <c r="F5" s="385"/>
      <c r="G5" s="391">
        <v>28</v>
      </c>
      <c r="H5" s="385"/>
      <c r="I5" s="391"/>
      <c r="J5" s="385"/>
      <c r="K5" s="391"/>
      <c r="L5" s="385"/>
      <c r="M5" s="391"/>
      <c r="N5" s="385"/>
      <c r="O5" s="190"/>
    </row>
    <row r="6" spans="2:15" ht="16" x14ac:dyDescent="0.2">
      <c r="C6" s="119">
        <v>3</v>
      </c>
      <c r="D6" s="383">
        <v>0.38541666666666669</v>
      </c>
      <c r="E6" s="389">
        <v>0.40625</v>
      </c>
      <c r="F6" s="385"/>
      <c r="G6" s="391">
        <v>28</v>
      </c>
      <c r="H6" s="385"/>
      <c r="I6" s="391"/>
      <c r="J6" s="385"/>
      <c r="K6" s="391"/>
      <c r="L6" s="384"/>
      <c r="M6" s="391"/>
      <c r="N6" s="385"/>
      <c r="O6" s="190"/>
    </row>
    <row r="7" spans="2:15" ht="16" x14ac:dyDescent="0.2">
      <c r="C7" s="119">
        <v>4</v>
      </c>
      <c r="D7" s="383">
        <v>0.40972222222222227</v>
      </c>
      <c r="E7" s="389">
        <v>0.43055555555555558</v>
      </c>
      <c r="F7" s="385"/>
      <c r="G7" s="391">
        <v>14</v>
      </c>
      <c r="H7" s="316"/>
      <c r="I7" s="391"/>
      <c r="J7" s="385"/>
      <c r="K7" s="391"/>
      <c r="L7" s="402"/>
      <c r="M7" s="391"/>
      <c r="N7" s="385"/>
      <c r="O7" s="190"/>
    </row>
    <row r="8" spans="2:15" ht="16" x14ac:dyDescent="0.2">
      <c r="C8" s="119">
        <v>5</v>
      </c>
      <c r="D8" s="383">
        <v>0.41319444444444442</v>
      </c>
      <c r="E8" s="389">
        <v>0.43402777777777773</v>
      </c>
      <c r="F8" s="385">
        <v>14</v>
      </c>
      <c r="G8" s="391"/>
      <c r="H8" s="316"/>
      <c r="I8" s="391"/>
      <c r="J8" s="385"/>
      <c r="K8" s="391"/>
      <c r="L8" s="393"/>
      <c r="M8" s="391"/>
      <c r="N8" s="385"/>
      <c r="O8" s="190"/>
    </row>
    <row r="9" spans="2:15" ht="16" x14ac:dyDescent="0.2">
      <c r="C9" s="119">
        <v>6</v>
      </c>
      <c r="D9" s="383">
        <v>0.47916666666666669</v>
      </c>
      <c r="E9" s="389">
        <v>0.5</v>
      </c>
      <c r="F9" s="385"/>
      <c r="G9" s="391">
        <v>28</v>
      </c>
      <c r="H9" s="316"/>
      <c r="I9" s="391"/>
      <c r="J9" s="385"/>
      <c r="K9" s="391"/>
      <c r="L9" s="393"/>
      <c r="M9" s="391"/>
      <c r="N9" s="385"/>
      <c r="O9" s="190"/>
    </row>
    <row r="10" spans="2:15" ht="16" x14ac:dyDescent="0.2">
      <c r="C10" s="119">
        <v>7</v>
      </c>
      <c r="D10" s="383">
        <v>0.5</v>
      </c>
      <c r="E10" s="389">
        <v>0.52083333333333337</v>
      </c>
      <c r="F10" s="385"/>
      <c r="G10" s="391"/>
      <c r="H10" s="316">
        <v>28</v>
      </c>
      <c r="I10" s="391"/>
      <c r="J10" s="385"/>
      <c r="K10" s="391"/>
      <c r="L10" s="393"/>
      <c r="M10" s="391"/>
      <c r="N10" s="385"/>
      <c r="O10" s="190"/>
    </row>
    <row r="11" spans="2:15" ht="16" x14ac:dyDescent="0.2">
      <c r="C11" s="119">
        <v>8</v>
      </c>
      <c r="D11" s="383">
        <v>0.53125</v>
      </c>
      <c r="E11" s="389">
        <v>0.55208333333333337</v>
      </c>
      <c r="F11" s="385"/>
      <c r="G11" s="391"/>
      <c r="H11" s="316">
        <v>28</v>
      </c>
      <c r="I11" s="391"/>
      <c r="J11" s="385"/>
      <c r="K11" s="391"/>
      <c r="L11" s="385"/>
      <c r="M11" s="391"/>
      <c r="N11" s="385"/>
      <c r="O11" s="190"/>
    </row>
    <row r="12" spans="2:15" ht="16" x14ac:dyDescent="0.2">
      <c r="C12" s="119">
        <v>9</v>
      </c>
      <c r="D12" s="383">
        <v>0.55555555555555558</v>
      </c>
      <c r="E12" s="389">
        <v>0.57638888888888895</v>
      </c>
      <c r="F12" s="385">
        <v>28</v>
      </c>
      <c r="G12" s="391"/>
      <c r="H12" s="316"/>
      <c r="I12" s="391"/>
      <c r="J12" s="385"/>
      <c r="K12" s="391"/>
      <c r="L12" s="385"/>
      <c r="M12" s="391"/>
      <c r="N12" s="385"/>
      <c r="O12" s="190"/>
    </row>
    <row r="13" spans="2:15" ht="16" x14ac:dyDescent="0.2">
      <c r="C13" s="119">
        <v>10</v>
      </c>
      <c r="D13" s="383">
        <v>0.58680555555555558</v>
      </c>
      <c r="E13" s="389">
        <v>0.60763888888888895</v>
      </c>
      <c r="F13" s="385"/>
      <c r="G13" s="391"/>
      <c r="H13" s="316"/>
      <c r="I13" s="391">
        <v>44</v>
      </c>
      <c r="J13" s="385"/>
      <c r="K13" s="391"/>
      <c r="L13" s="385"/>
      <c r="M13" s="391"/>
      <c r="N13" s="385"/>
      <c r="O13" s="190"/>
    </row>
    <row r="14" spans="2:15" ht="16" x14ac:dyDescent="0.2">
      <c r="C14" s="119">
        <v>11</v>
      </c>
      <c r="D14" s="383">
        <v>0.62152777777777779</v>
      </c>
      <c r="E14" s="389">
        <v>0.64236111111111105</v>
      </c>
      <c r="F14" s="385">
        <v>28</v>
      </c>
      <c r="G14" s="391"/>
      <c r="H14" s="316"/>
      <c r="I14" s="391"/>
      <c r="J14" s="28"/>
      <c r="K14" s="391"/>
      <c r="L14" s="385"/>
      <c r="M14" s="391"/>
      <c r="N14" s="385"/>
      <c r="O14" s="190"/>
    </row>
    <row r="15" spans="2:15" ht="16" x14ac:dyDescent="0.2">
      <c r="C15" s="193">
        <v>12</v>
      </c>
      <c r="D15" s="383">
        <v>0.65277777777777779</v>
      </c>
      <c r="E15" s="389">
        <v>0.67361111111111116</v>
      </c>
      <c r="F15" s="385"/>
      <c r="G15" s="391"/>
      <c r="H15" s="316"/>
      <c r="I15" s="391">
        <v>44</v>
      </c>
      <c r="J15" s="385"/>
      <c r="K15" s="391"/>
      <c r="L15" s="385"/>
      <c r="M15" s="391"/>
      <c r="N15" s="385"/>
      <c r="O15" s="190"/>
    </row>
    <row r="16" spans="2:15" ht="16" x14ac:dyDescent="0.2">
      <c r="C16" s="119">
        <v>13</v>
      </c>
      <c r="D16" s="383">
        <v>0.6875</v>
      </c>
      <c r="E16" s="389">
        <v>0.70833333333333337</v>
      </c>
      <c r="F16" s="385">
        <v>28</v>
      </c>
      <c r="G16" s="391"/>
      <c r="H16" s="316"/>
      <c r="I16" s="391"/>
      <c r="J16" s="385"/>
      <c r="K16" s="391"/>
      <c r="L16" s="385"/>
      <c r="M16" s="391"/>
      <c r="N16" s="385"/>
      <c r="O16" s="190"/>
    </row>
    <row r="17" spans="3:15" ht="16" x14ac:dyDescent="0.2">
      <c r="C17" s="119">
        <v>14</v>
      </c>
      <c r="D17" s="383">
        <v>0.71180555555555547</v>
      </c>
      <c r="E17" s="389">
        <v>0.73263888888888884</v>
      </c>
      <c r="F17" s="385"/>
      <c r="G17" s="391"/>
      <c r="H17" s="316"/>
      <c r="I17" s="391"/>
      <c r="J17" s="385">
        <v>36</v>
      </c>
      <c r="K17" s="391"/>
      <c r="L17" s="385"/>
      <c r="M17" s="391"/>
      <c r="N17" s="385"/>
      <c r="O17" s="190"/>
    </row>
    <row r="18" spans="3:15" ht="16" x14ac:dyDescent="0.2">
      <c r="C18" s="119">
        <v>15</v>
      </c>
      <c r="D18" s="383">
        <v>0.73958333333333337</v>
      </c>
      <c r="E18" s="389">
        <v>0.76041666666666663</v>
      </c>
      <c r="F18" s="385">
        <v>28</v>
      </c>
      <c r="G18" s="391"/>
      <c r="H18" s="316"/>
      <c r="I18" s="391"/>
      <c r="J18" s="385"/>
      <c r="K18" s="391"/>
      <c r="L18" s="385"/>
      <c r="M18" s="391"/>
      <c r="N18" s="385"/>
      <c r="O18" s="190"/>
    </row>
    <row r="19" spans="3:15" ht="16" x14ac:dyDescent="0.2">
      <c r="C19" s="119">
        <v>16</v>
      </c>
      <c r="D19" s="383">
        <v>0.77083333333333337</v>
      </c>
      <c r="E19" s="389">
        <v>0.79166666666666663</v>
      </c>
      <c r="F19" s="385"/>
      <c r="G19" s="391"/>
      <c r="H19" s="316"/>
      <c r="I19" s="391"/>
      <c r="J19" s="385">
        <v>36</v>
      </c>
      <c r="K19" s="391"/>
      <c r="L19" s="385"/>
      <c r="M19" s="391"/>
      <c r="N19" s="385"/>
      <c r="O19" s="190"/>
    </row>
    <row r="20" spans="3:15" ht="16" x14ac:dyDescent="0.2">
      <c r="C20" s="119">
        <v>17</v>
      </c>
      <c r="D20" s="383">
        <v>0.79861111111111116</v>
      </c>
      <c r="E20" s="389">
        <v>0.81944444444444453</v>
      </c>
      <c r="F20" s="384">
        <v>28</v>
      </c>
      <c r="G20" s="33"/>
      <c r="H20" s="316"/>
      <c r="I20" s="390"/>
      <c r="J20" s="385"/>
      <c r="K20" s="391"/>
      <c r="L20" s="385"/>
      <c r="M20" s="391"/>
      <c r="N20" s="385"/>
      <c r="O20" s="190"/>
    </row>
    <row r="21" spans="3:15" ht="16" x14ac:dyDescent="0.2">
      <c r="C21" s="119">
        <v>18</v>
      </c>
      <c r="D21" s="383">
        <v>0.81944444444444453</v>
      </c>
      <c r="E21" s="389">
        <v>0.84027777777777779</v>
      </c>
      <c r="F21" s="394"/>
      <c r="G21" s="229"/>
      <c r="H21" s="394"/>
      <c r="I21" s="391"/>
      <c r="J21" s="385">
        <v>36</v>
      </c>
      <c r="K21" s="391"/>
      <c r="L21" s="385"/>
      <c r="M21" s="391"/>
      <c r="N21" s="385"/>
      <c r="O21" s="190"/>
    </row>
    <row r="22" spans="3:15" ht="16" x14ac:dyDescent="0.2">
      <c r="C22" s="119">
        <v>19</v>
      </c>
      <c r="D22" s="383">
        <v>0.85069444444444453</v>
      </c>
      <c r="E22" s="389">
        <v>0.87152777777777779</v>
      </c>
      <c r="F22" s="385">
        <v>28</v>
      </c>
      <c r="G22" s="391"/>
      <c r="H22" s="385"/>
      <c r="I22" s="391"/>
      <c r="J22" s="385"/>
      <c r="K22" s="391"/>
      <c r="L22" s="403"/>
      <c r="M22" s="391"/>
      <c r="N22" s="385"/>
      <c r="O22" s="190"/>
    </row>
    <row r="23" spans="3:15" ht="16" x14ac:dyDescent="0.2">
      <c r="C23" s="119">
        <v>20</v>
      </c>
      <c r="D23" s="383">
        <v>0.87847222222222221</v>
      </c>
      <c r="E23" s="389">
        <v>0.89930555555555547</v>
      </c>
      <c r="F23" s="385"/>
      <c r="G23" s="391"/>
      <c r="H23" s="385"/>
      <c r="I23" s="391"/>
      <c r="J23" s="385">
        <v>36</v>
      </c>
      <c r="K23" s="391"/>
      <c r="L23" s="403"/>
      <c r="M23" s="391"/>
      <c r="N23" s="385"/>
      <c r="O23" s="190"/>
    </row>
    <row r="24" spans="3:15" ht="16" x14ac:dyDescent="0.2">
      <c r="C24" s="119">
        <v>21</v>
      </c>
      <c r="D24" s="383">
        <v>0.90625</v>
      </c>
      <c r="E24" s="389">
        <v>0.92708333333333337</v>
      </c>
      <c r="F24" s="385">
        <v>28</v>
      </c>
      <c r="G24" s="391"/>
      <c r="H24" s="385"/>
      <c r="I24" s="391"/>
      <c r="J24" s="385"/>
      <c r="K24" s="391"/>
      <c r="L24" s="385"/>
      <c r="M24" s="391"/>
      <c r="N24" s="385"/>
      <c r="O24" s="190"/>
    </row>
    <row r="25" spans="3:15" ht="16" x14ac:dyDescent="0.2">
      <c r="C25" s="119">
        <v>22</v>
      </c>
      <c r="D25" s="383">
        <v>0.92013888888888884</v>
      </c>
      <c r="E25" s="389">
        <v>0.94097222222222221</v>
      </c>
      <c r="F25" s="385"/>
      <c r="G25" s="391"/>
      <c r="H25" s="385"/>
      <c r="I25" s="391"/>
      <c r="J25" s="385">
        <v>18</v>
      </c>
      <c r="K25" s="391"/>
      <c r="L25" s="385"/>
      <c r="M25" s="391"/>
      <c r="N25" s="385"/>
      <c r="O25" s="190"/>
    </row>
    <row r="26" spans="3:15" ht="16" x14ac:dyDescent="0.2">
      <c r="C26" s="119">
        <v>23</v>
      </c>
      <c r="D26" s="383">
        <v>0.94444444444444453</v>
      </c>
      <c r="E26" s="389">
        <v>0.96527777777777779</v>
      </c>
      <c r="F26" s="385"/>
      <c r="G26" s="391"/>
      <c r="H26" s="385"/>
      <c r="I26" s="391">
        <v>22</v>
      </c>
      <c r="J26" s="385"/>
      <c r="K26" s="391"/>
      <c r="L26" s="385"/>
      <c r="M26" s="391"/>
      <c r="N26" s="385"/>
      <c r="O26" s="190"/>
    </row>
    <row r="27" spans="3:15" ht="16" x14ac:dyDescent="0.2">
      <c r="C27" s="119">
        <v>24</v>
      </c>
      <c r="D27" s="383"/>
      <c r="E27" s="389"/>
      <c r="F27" s="385"/>
      <c r="G27" s="391"/>
      <c r="H27" s="385"/>
      <c r="I27" s="391"/>
      <c r="J27" s="385"/>
      <c r="K27" s="391"/>
      <c r="L27" s="385"/>
      <c r="M27" s="391"/>
      <c r="N27" s="385"/>
      <c r="O27" s="190"/>
    </row>
    <row r="28" spans="3:15" ht="16" x14ac:dyDescent="0.2">
      <c r="C28" s="119">
        <v>25</v>
      </c>
      <c r="D28" s="383"/>
      <c r="E28" s="389"/>
      <c r="F28" s="385"/>
      <c r="G28" s="391"/>
      <c r="H28" s="385"/>
      <c r="I28" s="391"/>
      <c r="J28" s="385"/>
      <c r="K28" s="391"/>
      <c r="L28" s="385"/>
      <c r="M28" s="391"/>
      <c r="N28" s="385"/>
      <c r="O28" s="190"/>
    </row>
    <row r="29" spans="3:15" ht="16" x14ac:dyDescent="0.2">
      <c r="C29" s="119">
        <v>26</v>
      </c>
      <c r="D29" s="383"/>
      <c r="E29" s="389"/>
      <c r="F29" s="385"/>
      <c r="G29" s="391"/>
      <c r="H29" s="385"/>
      <c r="I29" s="391"/>
      <c r="J29" s="385"/>
      <c r="K29" s="391"/>
      <c r="L29" s="385"/>
      <c r="M29" s="391"/>
      <c r="N29" s="385"/>
      <c r="O29" s="190"/>
    </row>
    <row r="30" spans="3:15" ht="16" x14ac:dyDescent="0.2">
      <c r="C30" s="119">
        <v>27</v>
      </c>
      <c r="D30" s="383"/>
      <c r="E30" s="389"/>
      <c r="F30" s="385"/>
      <c r="G30" s="391"/>
      <c r="H30" s="385"/>
      <c r="I30" s="391"/>
      <c r="J30" s="385"/>
      <c r="K30" s="391"/>
      <c r="L30" s="385"/>
      <c r="M30" s="391"/>
      <c r="N30" s="385"/>
      <c r="O30" s="190"/>
    </row>
    <row r="31" spans="3:15" ht="16" x14ac:dyDescent="0.2">
      <c r="C31" s="119">
        <v>28</v>
      </c>
      <c r="D31" s="383"/>
      <c r="E31" s="389"/>
      <c r="F31" s="385"/>
      <c r="G31" s="391"/>
      <c r="H31" s="385"/>
      <c r="I31" s="391"/>
      <c r="J31" s="385"/>
      <c r="K31" s="391"/>
      <c r="L31" s="385"/>
      <c r="M31" s="391"/>
      <c r="N31" s="385"/>
      <c r="O31" s="190"/>
    </row>
    <row r="32" spans="3:15" ht="16" x14ac:dyDescent="0.2">
      <c r="C32" s="119">
        <v>29</v>
      </c>
      <c r="D32" s="383"/>
      <c r="E32" s="389"/>
      <c r="F32" s="385"/>
      <c r="G32" s="391"/>
      <c r="H32" s="385"/>
      <c r="I32" s="391"/>
      <c r="J32" s="385"/>
      <c r="K32" s="391"/>
      <c r="L32" s="385"/>
      <c r="M32" s="391"/>
      <c r="N32" s="385"/>
      <c r="O32" s="190"/>
    </row>
    <row r="33" spans="2:15" ht="16" x14ac:dyDescent="0.2">
      <c r="C33" s="119">
        <v>30</v>
      </c>
      <c r="D33" s="383"/>
      <c r="E33" s="389"/>
      <c r="F33" s="385"/>
      <c r="G33" s="391"/>
      <c r="H33" s="385"/>
      <c r="I33" s="391"/>
      <c r="J33" s="385"/>
      <c r="K33" s="391"/>
      <c r="L33" s="385"/>
      <c r="M33" s="391"/>
      <c r="N33" s="385"/>
      <c r="O33" s="190"/>
    </row>
    <row r="34" spans="2:15" ht="16" x14ac:dyDescent="0.2">
      <c r="C34" s="120">
        <v>31</v>
      </c>
      <c r="D34" s="383"/>
      <c r="E34" s="389"/>
      <c r="F34" s="384"/>
      <c r="G34" s="390"/>
      <c r="H34" s="384"/>
      <c r="I34" s="390"/>
      <c r="J34" s="384"/>
      <c r="K34" s="390"/>
      <c r="L34" s="384"/>
      <c r="M34" s="390"/>
      <c r="N34" s="384"/>
      <c r="O34" s="190"/>
    </row>
    <row r="35" spans="2:15" ht="16" x14ac:dyDescent="0.2">
      <c r="B35" s="256"/>
      <c r="C35" s="377">
        <v>32</v>
      </c>
      <c r="D35" s="384"/>
      <c r="E35" s="390"/>
      <c r="F35" s="384"/>
      <c r="G35" s="390"/>
      <c r="H35" s="384"/>
      <c r="I35" s="390"/>
      <c r="J35" s="384"/>
      <c r="K35" s="390"/>
      <c r="L35" s="384"/>
      <c r="M35" s="390"/>
      <c r="N35" s="384"/>
      <c r="O35" s="190"/>
    </row>
    <row r="36" spans="2:15" ht="16" x14ac:dyDescent="0.2">
      <c r="B36" s="256"/>
      <c r="C36" s="119">
        <v>33</v>
      </c>
      <c r="D36" s="385"/>
      <c r="E36" s="391"/>
      <c r="F36" s="385"/>
      <c r="G36" s="391"/>
      <c r="H36" s="385"/>
      <c r="I36" s="391"/>
      <c r="J36" s="385"/>
      <c r="K36" s="391"/>
      <c r="L36" s="385"/>
      <c r="M36" s="391"/>
      <c r="N36" s="385"/>
      <c r="O36" s="190"/>
    </row>
    <row r="37" spans="2:15" ht="16" x14ac:dyDescent="0.2">
      <c r="B37" s="256"/>
      <c r="C37" s="119">
        <v>34</v>
      </c>
      <c r="D37" s="385"/>
      <c r="E37" s="391"/>
      <c r="F37" s="385"/>
      <c r="G37" s="391"/>
      <c r="H37" s="385"/>
      <c r="I37" s="391"/>
      <c r="J37" s="385"/>
      <c r="K37" s="391"/>
      <c r="L37" s="385"/>
      <c r="M37" s="391"/>
      <c r="N37" s="385"/>
      <c r="O37" s="190"/>
    </row>
    <row r="38" spans="2:15" ht="16" x14ac:dyDescent="0.2">
      <c r="B38" s="256"/>
      <c r="C38" s="119">
        <v>35</v>
      </c>
      <c r="D38" s="385"/>
      <c r="E38" s="391"/>
      <c r="F38" s="385"/>
      <c r="G38" s="391"/>
      <c r="H38" s="385"/>
      <c r="I38" s="391"/>
      <c r="J38" s="385"/>
      <c r="K38" s="391"/>
      <c r="L38" s="385"/>
      <c r="M38" s="391"/>
      <c r="N38" s="385"/>
      <c r="O38" s="190"/>
    </row>
    <row r="39" spans="2:15" ht="16" x14ac:dyDescent="0.2">
      <c r="B39" s="256"/>
      <c r="C39" s="119">
        <v>36</v>
      </c>
      <c r="D39" s="385"/>
      <c r="E39" s="391"/>
      <c r="F39" s="385"/>
      <c r="G39" s="391"/>
      <c r="H39" s="385"/>
      <c r="I39" s="391"/>
      <c r="J39" s="385"/>
      <c r="K39" s="391"/>
      <c r="L39" s="385"/>
      <c r="M39" s="391"/>
      <c r="N39" s="385"/>
      <c r="O39" s="190"/>
    </row>
    <row r="40" spans="2:15" ht="17" thickBot="1" x14ac:dyDescent="0.25">
      <c r="B40" s="256"/>
      <c r="C40" s="378">
        <v>37</v>
      </c>
      <c r="D40" s="386"/>
      <c r="E40" s="392"/>
      <c r="F40" s="386"/>
      <c r="G40" s="392"/>
      <c r="H40" s="386"/>
      <c r="I40" s="392"/>
      <c r="J40" s="386"/>
      <c r="K40" s="392"/>
      <c r="L40" s="386"/>
      <c r="M40" s="392"/>
      <c r="N40" s="386"/>
      <c r="O40" s="190"/>
    </row>
    <row r="41" spans="2:15" ht="17" thickBot="1" x14ac:dyDescent="0.25">
      <c r="C41" s="825" t="s">
        <v>19</v>
      </c>
      <c r="D41" s="826"/>
      <c r="E41" s="380"/>
      <c r="F41" s="376">
        <f>(F4+F5+F6+F7+F8+F9+F25+F12+F13+F10+F11+F14+F15+F16+F17+F18+F19+F20+F21+F22+F23+F24+F26+F27+F29+F30+F31+F32+F33+F34+F35+F36+F37+F40)/2</f>
        <v>105</v>
      </c>
      <c r="G41" s="397">
        <f>(G4+G5+G6+G7+G8+G25+G9+G13+G12+G10+G11+G14+G15+G16+G17+G18+G19+G20+G21+G22+G23+G24+G26+G27+G29+G30+G31+G32+G33+G34+G35+G36)/2</f>
        <v>63</v>
      </c>
      <c r="H41" s="399">
        <f>(H4+H5+H6+H7+H8+H9+H25+H28+H12+H13+H10+H11+H14+H15+H16+H17+H18+H19+H20+H21+H22+H23+H24+H26+H27+H29+H30+H31+H32+H33+H34+H35+H36+H37+H40)/2</f>
        <v>28</v>
      </c>
      <c r="I41" s="398">
        <f>(I4+I5+I6+I7+I8+I38+I39+I9+I25+I12+I28+I13+I10+I11+I14+I15+I16+I17+I18+I19+I20+I21+I22+I23+I24+I26+I27+I29+I30+I31+I32+I33+I34+I35+I36+I37+I40)/2</f>
        <v>55</v>
      </c>
      <c r="J41" s="376">
        <f>(J4+J5+J6+J7+J8+J9+J13+J10+J12+J11+J28+J14+J15+J16+J17+J18+J19+J20+J21+J22+J23+J24+J25+J26+J27+J29+J30+J31+J32+J33+J34+J35+J36)/2</f>
        <v>81</v>
      </c>
      <c r="K41" s="397">
        <f>(K4+K5+K6+K7+K8+K9+K13+K10+K11+K14+K15+K16+K17+K18+K19+K20+K21+K22+K23+K24+K26+K27+K29+K30+K31+K32+K33+K34+K35+K36+K25)</f>
        <v>0</v>
      </c>
      <c r="L41" s="399">
        <f>SUM(L4:L40)</f>
        <v>0</v>
      </c>
      <c r="M41" s="398">
        <f>(M4+M5+M6+M7+M8+M9+M13+M12+M10+M11+M14+M15+M16+M17+M18+M19+M20+M21+M22+M23+M24+M26+M27+M29+M30+M31+M32+M33+M34+M35+M36)/2</f>
        <v>0</v>
      </c>
      <c r="N41" s="376"/>
      <c r="O41" s="41"/>
    </row>
    <row r="42" spans="2:15" ht="17" thickBot="1" x14ac:dyDescent="0.25">
      <c r="C42" s="825" t="s">
        <v>91</v>
      </c>
      <c r="D42" s="826"/>
      <c r="E42" s="381">
        <f>SUM(F41:J41)</f>
        <v>332</v>
      </c>
    </row>
    <row r="43" spans="2:15" ht="16" thickBot="1" x14ac:dyDescent="0.25"/>
    <row r="44" spans="2:15" ht="17" thickBot="1" x14ac:dyDescent="0.25">
      <c r="C44" s="17"/>
      <c r="D44" s="379" t="s">
        <v>83</v>
      </c>
      <c r="E44" s="818" t="s">
        <v>63</v>
      </c>
      <c r="F44" s="819"/>
      <c r="G44" s="819"/>
      <c r="H44" s="819"/>
      <c r="I44" s="819"/>
      <c r="J44" s="400" t="s">
        <v>76</v>
      </c>
      <c r="K44" s="820">
        <v>45656</v>
      </c>
      <c r="L44" s="821"/>
      <c r="M44" s="821"/>
      <c r="N44" s="821"/>
      <c r="O44" s="822"/>
    </row>
    <row r="45" spans="2:15" ht="16" thickBot="1" x14ac:dyDescent="0.25">
      <c r="B45" s="175" t="s">
        <v>76</v>
      </c>
      <c r="C45" s="175" t="s">
        <v>77</v>
      </c>
      <c r="D45" s="823" t="s">
        <v>122</v>
      </c>
      <c r="E45" s="824"/>
      <c r="F45" s="175" t="s">
        <v>104</v>
      </c>
      <c r="G45" s="395" t="s">
        <v>86</v>
      </c>
      <c r="H45" s="175" t="s">
        <v>88</v>
      </c>
      <c r="I45" s="395" t="s">
        <v>87</v>
      </c>
      <c r="J45" s="401" t="s">
        <v>85</v>
      </c>
      <c r="K45" s="395" t="s">
        <v>123</v>
      </c>
      <c r="L45" s="175" t="s">
        <v>124</v>
      </c>
      <c r="M45" s="395" t="s">
        <v>100</v>
      </c>
      <c r="N45" s="175" t="s">
        <v>213</v>
      </c>
      <c r="O45" s="404" t="s">
        <v>125</v>
      </c>
    </row>
    <row r="46" spans="2:15" ht="16" thickBot="1" x14ac:dyDescent="0.25">
      <c r="B46" s="176">
        <f>K44</f>
        <v>45656</v>
      </c>
      <c r="C46" s="374"/>
      <c r="D46" s="375" t="s">
        <v>126</v>
      </c>
      <c r="E46" s="387" t="s">
        <v>127</v>
      </c>
      <c r="F46" s="331">
        <v>9</v>
      </c>
      <c r="G46" s="237">
        <v>11</v>
      </c>
      <c r="H46" s="331">
        <v>0</v>
      </c>
      <c r="I46" s="237">
        <v>6</v>
      </c>
      <c r="J46" s="331">
        <v>9</v>
      </c>
      <c r="K46" s="231"/>
      <c r="L46" s="125"/>
      <c r="M46" s="231"/>
      <c r="N46" s="125"/>
      <c r="O46" s="326"/>
    </row>
    <row r="47" spans="2:15" ht="16" x14ac:dyDescent="0.2">
      <c r="C47" s="118">
        <v>1</v>
      </c>
      <c r="D47" s="382">
        <v>0.43402777777777773</v>
      </c>
      <c r="E47" s="388">
        <v>0.4548611111111111</v>
      </c>
      <c r="F47" s="393"/>
      <c r="G47" s="396">
        <v>14</v>
      </c>
      <c r="H47" s="393"/>
      <c r="I47" s="396"/>
      <c r="J47" s="393"/>
      <c r="K47" s="396"/>
      <c r="L47" s="393"/>
      <c r="M47" s="396"/>
      <c r="N47" s="393"/>
      <c r="O47" s="190"/>
    </row>
    <row r="48" spans="2:15" ht="16" x14ac:dyDescent="0.2">
      <c r="C48" s="119">
        <v>2</v>
      </c>
      <c r="D48" s="383">
        <v>0.44444444444444442</v>
      </c>
      <c r="E48" s="389">
        <v>0.46527777777777773</v>
      </c>
      <c r="F48" s="385">
        <v>14</v>
      </c>
      <c r="G48" s="391"/>
      <c r="H48" s="385"/>
      <c r="I48" s="391"/>
      <c r="J48" s="385"/>
      <c r="K48" s="391"/>
      <c r="L48" s="385"/>
      <c r="M48" s="391"/>
      <c r="N48" s="385"/>
      <c r="O48" s="190"/>
    </row>
    <row r="49" spans="3:15" ht="16" x14ac:dyDescent="0.2">
      <c r="C49" s="119">
        <v>3</v>
      </c>
      <c r="D49" s="383">
        <v>0.46527777777777773</v>
      </c>
      <c r="E49" s="389">
        <v>0.4861111111111111</v>
      </c>
      <c r="F49" s="385"/>
      <c r="G49" s="391"/>
      <c r="H49" s="385"/>
      <c r="I49" s="391"/>
      <c r="J49" s="385">
        <v>18</v>
      </c>
      <c r="K49" s="391"/>
      <c r="L49" s="384"/>
      <c r="M49" s="391"/>
      <c r="N49" s="385"/>
      <c r="O49" s="190"/>
    </row>
    <row r="50" spans="3:15" ht="16" x14ac:dyDescent="0.2">
      <c r="C50" s="119">
        <v>4</v>
      </c>
      <c r="D50" s="383">
        <v>0.49652777777777773</v>
      </c>
      <c r="E50" s="389">
        <v>0.51736111111111105</v>
      </c>
      <c r="F50" s="385"/>
      <c r="G50" s="391">
        <v>28</v>
      </c>
      <c r="H50" s="316"/>
      <c r="I50" s="391"/>
      <c r="J50" s="385"/>
      <c r="K50" s="391"/>
      <c r="L50" s="402"/>
      <c r="M50" s="391"/>
      <c r="N50" s="385"/>
      <c r="O50" s="190"/>
    </row>
    <row r="51" spans="3:15" ht="16" x14ac:dyDescent="0.2">
      <c r="C51" s="119">
        <v>5</v>
      </c>
      <c r="D51" s="383">
        <v>0.52083333333333337</v>
      </c>
      <c r="E51" s="389">
        <v>0.54166666666666663</v>
      </c>
      <c r="F51" s="385"/>
      <c r="G51" s="391">
        <v>28</v>
      </c>
      <c r="H51" s="316"/>
      <c r="I51" s="391"/>
      <c r="J51" s="385"/>
      <c r="K51" s="391"/>
      <c r="L51" s="393"/>
      <c r="M51" s="391"/>
      <c r="N51" s="385"/>
      <c r="O51" s="190"/>
    </row>
    <row r="52" spans="3:15" ht="16" x14ac:dyDescent="0.2">
      <c r="C52" s="119">
        <v>6</v>
      </c>
      <c r="D52" s="383">
        <v>0.54513888888888895</v>
      </c>
      <c r="E52" s="389">
        <v>0.56597222222222221</v>
      </c>
      <c r="F52" s="385"/>
      <c r="G52" s="391">
        <v>28</v>
      </c>
      <c r="H52" s="316"/>
      <c r="I52" s="391"/>
      <c r="J52" s="385"/>
      <c r="K52" s="391"/>
      <c r="L52" s="393"/>
      <c r="M52" s="391"/>
      <c r="N52" s="385"/>
      <c r="O52" s="190"/>
    </row>
    <row r="53" spans="3:15" ht="16" x14ac:dyDescent="0.2">
      <c r="C53" s="119">
        <v>7</v>
      </c>
      <c r="D53" s="383">
        <v>0.56944444444444442</v>
      </c>
      <c r="E53" s="389">
        <v>0.59027777777777779</v>
      </c>
      <c r="F53" s="385"/>
      <c r="G53" s="391">
        <v>28</v>
      </c>
      <c r="H53" s="316"/>
      <c r="I53" s="391"/>
      <c r="J53" s="385"/>
      <c r="K53" s="391"/>
      <c r="L53" s="393"/>
      <c r="M53" s="391"/>
      <c r="N53" s="385"/>
      <c r="O53" s="190"/>
    </row>
    <row r="54" spans="3:15" ht="16" x14ac:dyDescent="0.2">
      <c r="C54" s="119">
        <v>8</v>
      </c>
      <c r="D54" s="383">
        <v>0.59722222222222221</v>
      </c>
      <c r="E54" s="389">
        <v>0.61805555555555558</v>
      </c>
      <c r="F54" s="385"/>
      <c r="G54" s="391">
        <v>28</v>
      </c>
      <c r="H54" s="316"/>
      <c r="I54" s="391"/>
      <c r="J54" s="385"/>
      <c r="K54" s="391"/>
      <c r="L54" s="385"/>
      <c r="M54" s="391"/>
      <c r="N54" s="385"/>
      <c r="O54" s="190"/>
    </row>
    <row r="55" spans="3:15" ht="16" x14ac:dyDescent="0.2">
      <c r="C55" s="119">
        <v>9</v>
      </c>
      <c r="D55" s="383">
        <v>0.62152777777777779</v>
      </c>
      <c r="E55" s="389">
        <v>0.64236111111111105</v>
      </c>
      <c r="F55" s="385"/>
      <c r="G55" s="391"/>
      <c r="H55" s="316"/>
      <c r="I55" s="391">
        <v>44</v>
      </c>
      <c r="J55" s="385"/>
      <c r="K55" s="391"/>
      <c r="L55" s="385"/>
      <c r="M55" s="391"/>
      <c r="N55" s="385"/>
      <c r="O55" s="190"/>
    </row>
    <row r="56" spans="3:15" ht="16" x14ac:dyDescent="0.2">
      <c r="C56" s="119">
        <v>10</v>
      </c>
      <c r="D56" s="383">
        <v>0.67708333333333337</v>
      </c>
      <c r="E56" s="389">
        <v>0.69791666666666663</v>
      </c>
      <c r="F56" s="385">
        <v>28</v>
      </c>
      <c r="G56" s="391"/>
      <c r="H56" s="316"/>
      <c r="I56" s="391"/>
      <c r="J56" s="385"/>
      <c r="K56" s="391"/>
      <c r="L56" s="385"/>
      <c r="M56" s="391"/>
      <c r="N56" s="385"/>
      <c r="O56" s="190"/>
    </row>
    <row r="57" spans="3:15" ht="16" x14ac:dyDescent="0.2">
      <c r="C57" s="119">
        <v>11</v>
      </c>
      <c r="D57" s="383">
        <v>0.70486111111111116</v>
      </c>
      <c r="E57" s="389">
        <v>0.72569444444444453</v>
      </c>
      <c r="F57" s="385"/>
      <c r="G57" s="391"/>
      <c r="H57" s="316"/>
      <c r="I57" s="391">
        <v>44</v>
      </c>
      <c r="J57" s="28"/>
      <c r="K57" s="391"/>
      <c r="L57" s="385"/>
      <c r="M57" s="391"/>
      <c r="N57" s="385"/>
      <c r="O57" s="190"/>
    </row>
    <row r="58" spans="3:15" ht="16" x14ac:dyDescent="0.2">
      <c r="C58" s="193">
        <v>12</v>
      </c>
      <c r="D58" s="383">
        <v>0.72916666666666663</v>
      </c>
      <c r="E58" s="389">
        <v>0.75</v>
      </c>
      <c r="F58" s="385">
        <v>28</v>
      </c>
      <c r="G58" s="391"/>
      <c r="H58" s="316"/>
      <c r="I58" s="391"/>
      <c r="J58" s="385"/>
      <c r="K58" s="391"/>
      <c r="L58" s="385"/>
      <c r="M58" s="391"/>
      <c r="N58" s="385"/>
      <c r="O58" s="190"/>
    </row>
    <row r="59" spans="3:15" ht="16" x14ac:dyDescent="0.2">
      <c r="C59" s="119">
        <v>13</v>
      </c>
      <c r="D59" s="383">
        <v>0.76041666666666663</v>
      </c>
      <c r="E59" s="389">
        <v>0.78125</v>
      </c>
      <c r="F59" s="385"/>
      <c r="G59" s="391"/>
      <c r="H59" s="316"/>
      <c r="I59" s="391">
        <v>44</v>
      </c>
      <c r="J59" s="385"/>
      <c r="K59" s="391"/>
      <c r="L59" s="385"/>
      <c r="M59" s="391"/>
      <c r="N59" s="385"/>
      <c r="O59" s="190"/>
    </row>
    <row r="60" spans="3:15" ht="16" x14ac:dyDescent="0.2">
      <c r="C60" s="119">
        <v>14</v>
      </c>
      <c r="D60" s="383">
        <v>0.78819444444444453</v>
      </c>
      <c r="E60" s="389">
        <v>0.80902777777777779</v>
      </c>
      <c r="F60" s="385">
        <v>28</v>
      </c>
      <c r="G60" s="391"/>
      <c r="H60" s="316"/>
      <c r="I60" s="391"/>
      <c r="J60" s="385"/>
      <c r="K60" s="391"/>
      <c r="L60" s="385"/>
      <c r="M60" s="391"/>
      <c r="N60" s="385"/>
      <c r="O60" s="190"/>
    </row>
    <row r="61" spans="3:15" ht="16" x14ac:dyDescent="0.2">
      <c r="C61" s="119">
        <v>15</v>
      </c>
      <c r="D61" s="383">
        <v>0.81944444444444453</v>
      </c>
      <c r="E61" s="389">
        <v>0.84027777777777779</v>
      </c>
      <c r="F61" s="385"/>
      <c r="G61" s="391"/>
      <c r="H61" s="316"/>
      <c r="I61" s="391"/>
      <c r="J61" s="385">
        <v>36</v>
      </c>
      <c r="K61" s="391"/>
      <c r="L61" s="385"/>
      <c r="M61" s="391">
        <v>2</v>
      </c>
      <c r="N61" s="385"/>
      <c r="O61" s="190"/>
    </row>
    <row r="62" spans="3:15" ht="16" x14ac:dyDescent="0.2">
      <c r="C62" s="119">
        <v>16</v>
      </c>
      <c r="D62" s="383">
        <v>0.84722222222222221</v>
      </c>
      <c r="E62" s="389">
        <v>0.86805555555555547</v>
      </c>
      <c r="F62" s="385">
        <v>24</v>
      </c>
      <c r="G62" s="391"/>
      <c r="H62" s="316"/>
      <c r="I62" s="391"/>
      <c r="J62" s="385"/>
      <c r="K62" s="391">
        <v>1</v>
      </c>
      <c r="L62" s="385"/>
      <c r="M62" s="391"/>
      <c r="N62" s="385"/>
      <c r="O62" s="190"/>
    </row>
    <row r="63" spans="3:15" ht="16" x14ac:dyDescent="0.2">
      <c r="C63" s="119">
        <v>17</v>
      </c>
      <c r="D63" s="383">
        <v>0.87152777777777779</v>
      </c>
      <c r="E63" s="389">
        <v>0.89236111111111116</v>
      </c>
      <c r="F63" s="384"/>
      <c r="G63" s="33"/>
      <c r="H63" s="316"/>
      <c r="I63" s="390"/>
      <c r="J63" s="385">
        <v>36</v>
      </c>
      <c r="K63" s="391"/>
      <c r="L63" s="385"/>
      <c r="M63" s="391"/>
      <c r="N63" s="385"/>
      <c r="O63" s="190"/>
    </row>
    <row r="64" spans="3:15" ht="16" x14ac:dyDescent="0.2">
      <c r="C64" s="119">
        <v>18</v>
      </c>
      <c r="D64" s="383">
        <v>0.90277777777777779</v>
      </c>
      <c r="E64" s="389">
        <v>0.92361111111111116</v>
      </c>
      <c r="F64" s="394"/>
      <c r="G64" s="229"/>
      <c r="H64" s="394"/>
      <c r="I64" s="391"/>
      <c r="J64" s="385">
        <v>36</v>
      </c>
      <c r="K64" s="391"/>
      <c r="L64" s="385"/>
      <c r="M64" s="391"/>
      <c r="N64" s="385"/>
      <c r="O64" s="190"/>
    </row>
    <row r="65" spans="2:15" ht="16" x14ac:dyDescent="0.2">
      <c r="C65" s="119">
        <v>19</v>
      </c>
      <c r="D65" s="383">
        <v>0.95486111111111116</v>
      </c>
      <c r="E65" s="389">
        <v>0.97569444444444453</v>
      </c>
      <c r="F65" s="385"/>
      <c r="G65" s="391"/>
      <c r="H65" s="385"/>
      <c r="I65" s="391"/>
      <c r="J65" s="385">
        <v>26</v>
      </c>
      <c r="K65" s="391"/>
      <c r="L65" s="403"/>
      <c r="M65" s="391"/>
      <c r="N65" s="385"/>
      <c r="O65" s="190"/>
    </row>
    <row r="66" spans="2:15" ht="16" x14ac:dyDescent="0.2">
      <c r="C66" s="119">
        <v>20</v>
      </c>
      <c r="D66" s="383"/>
      <c r="E66" s="389"/>
      <c r="F66" s="385"/>
      <c r="G66" s="391"/>
      <c r="H66" s="385"/>
      <c r="I66" s="391"/>
      <c r="J66" s="385"/>
      <c r="K66" s="391"/>
      <c r="L66" s="403"/>
      <c r="M66" s="391"/>
      <c r="N66" s="385"/>
      <c r="O66" s="190"/>
    </row>
    <row r="67" spans="2:15" ht="16" x14ac:dyDescent="0.2">
      <c r="C67" s="119">
        <v>21</v>
      </c>
      <c r="D67" s="383"/>
      <c r="E67" s="389"/>
      <c r="F67" s="385"/>
      <c r="G67" s="391"/>
      <c r="H67" s="385"/>
      <c r="I67" s="391"/>
      <c r="J67" s="385"/>
      <c r="K67" s="391"/>
      <c r="L67" s="385"/>
      <c r="M67" s="391"/>
      <c r="N67" s="385"/>
      <c r="O67" s="190"/>
    </row>
    <row r="68" spans="2:15" ht="16" x14ac:dyDescent="0.2">
      <c r="C68" s="119">
        <v>22</v>
      </c>
      <c r="D68" s="383"/>
      <c r="E68" s="389"/>
      <c r="F68" s="385"/>
      <c r="G68" s="391"/>
      <c r="H68" s="385"/>
      <c r="I68" s="391"/>
      <c r="J68" s="385"/>
      <c r="K68" s="391"/>
      <c r="L68" s="385"/>
      <c r="M68" s="391"/>
      <c r="N68" s="385"/>
      <c r="O68" s="190"/>
    </row>
    <row r="69" spans="2:15" ht="16" x14ac:dyDescent="0.2">
      <c r="C69" s="119">
        <v>23</v>
      </c>
      <c r="D69" s="383"/>
      <c r="E69" s="389"/>
      <c r="F69" s="385"/>
      <c r="G69" s="391"/>
      <c r="H69" s="385"/>
      <c r="I69" s="391"/>
      <c r="J69" s="385"/>
      <c r="K69" s="391"/>
      <c r="L69" s="385"/>
      <c r="M69" s="391"/>
      <c r="N69" s="385"/>
      <c r="O69" s="190"/>
    </row>
    <row r="70" spans="2:15" ht="16" x14ac:dyDescent="0.2">
      <c r="C70" s="119">
        <v>24</v>
      </c>
      <c r="D70" s="383"/>
      <c r="E70" s="389"/>
      <c r="F70" s="385"/>
      <c r="G70" s="391"/>
      <c r="H70" s="385"/>
      <c r="I70" s="391"/>
      <c r="J70" s="385"/>
      <c r="K70" s="391"/>
      <c r="L70" s="385"/>
      <c r="M70" s="391"/>
      <c r="N70" s="385"/>
      <c r="O70" s="190"/>
    </row>
    <row r="71" spans="2:15" ht="16" x14ac:dyDescent="0.2">
      <c r="C71" s="119">
        <v>25</v>
      </c>
      <c r="D71" s="383"/>
      <c r="E71" s="389"/>
      <c r="F71" s="385"/>
      <c r="G71" s="391"/>
      <c r="H71" s="385"/>
      <c r="I71" s="391"/>
      <c r="J71" s="385"/>
      <c r="K71" s="391"/>
      <c r="L71" s="385"/>
      <c r="M71" s="391"/>
      <c r="N71" s="385"/>
      <c r="O71" s="190"/>
    </row>
    <row r="72" spans="2:15" ht="16" x14ac:dyDescent="0.2">
      <c r="C72" s="119">
        <v>26</v>
      </c>
      <c r="D72" s="383"/>
      <c r="E72" s="389"/>
      <c r="F72" s="385"/>
      <c r="G72" s="391"/>
      <c r="H72" s="385"/>
      <c r="I72" s="391"/>
      <c r="J72" s="385"/>
      <c r="K72" s="391"/>
      <c r="L72" s="385"/>
      <c r="M72" s="391"/>
      <c r="N72" s="385"/>
      <c r="O72" s="190"/>
    </row>
    <row r="73" spans="2:15" ht="16" x14ac:dyDescent="0.2">
      <c r="C73" s="119">
        <v>27</v>
      </c>
      <c r="D73" s="383"/>
      <c r="E73" s="389"/>
      <c r="F73" s="385"/>
      <c r="G73" s="391"/>
      <c r="H73" s="385"/>
      <c r="I73" s="391"/>
      <c r="J73" s="385"/>
      <c r="K73" s="391"/>
      <c r="L73" s="385"/>
      <c r="M73" s="391"/>
      <c r="N73" s="385"/>
      <c r="O73" s="190"/>
    </row>
    <row r="74" spans="2:15" ht="16" x14ac:dyDescent="0.2">
      <c r="C74" s="119">
        <v>28</v>
      </c>
      <c r="D74" s="383"/>
      <c r="E74" s="389"/>
      <c r="F74" s="385"/>
      <c r="G74" s="391"/>
      <c r="H74" s="385"/>
      <c r="I74" s="391"/>
      <c r="J74" s="385"/>
      <c r="K74" s="391"/>
      <c r="L74" s="385"/>
      <c r="M74" s="391"/>
      <c r="N74" s="385"/>
      <c r="O74" s="190"/>
    </row>
    <row r="75" spans="2:15" ht="16" x14ac:dyDescent="0.2">
      <c r="C75" s="119">
        <v>29</v>
      </c>
      <c r="D75" s="383"/>
      <c r="E75" s="389"/>
      <c r="F75" s="385"/>
      <c r="G75" s="391"/>
      <c r="H75" s="385"/>
      <c r="I75" s="391"/>
      <c r="J75" s="385"/>
      <c r="K75" s="391"/>
      <c r="L75" s="385"/>
      <c r="M75" s="391"/>
      <c r="N75" s="385"/>
      <c r="O75" s="190"/>
    </row>
    <row r="76" spans="2:15" ht="16" x14ac:dyDescent="0.2">
      <c r="C76" s="119">
        <v>30</v>
      </c>
      <c r="D76" s="383"/>
      <c r="E76" s="389"/>
      <c r="F76" s="385"/>
      <c r="G76" s="391"/>
      <c r="H76" s="385"/>
      <c r="I76" s="391"/>
      <c r="J76" s="385"/>
      <c r="K76" s="391"/>
      <c r="L76" s="385"/>
      <c r="M76" s="391"/>
      <c r="N76" s="385"/>
      <c r="O76" s="190"/>
    </row>
    <row r="77" spans="2:15" ht="16" x14ac:dyDescent="0.2">
      <c r="C77" s="120">
        <v>31</v>
      </c>
      <c r="D77" s="383"/>
      <c r="E77" s="389"/>
      <c r="F77" s="384"/>
      <c r="G77" s="390"/>
      <c r="H77" s="384"/>
      <c r="I77" s="390"/>
      <c r="J77" s="384"/>
      <c r="K77" s="390"/>
      <c r="L77" s="384"/>
      <c r="M77" s="390"/>
      <c r="N77" s="384"/>
      <c r="O77" s="190"/>
    </row>
    <row r="78" spans="2:15" ht="16" x14ac:dyDescent="0.2">
      <c r="B78" s="256"/>
      <c r="C78" s="377">
        <v>32</v>
      </c>
      <c r="D78" s="384"/>
      <c r="E78" s="390"/>
      <c r="F78" s="384"/>
      <c r="G78" s="390"/>
      <c r="H78" s="384"/>
      <c r="I78" s="390"/>
      <c r="J78" s="384"/>
      <c r="K78" s="390"/>
      <c r="L78" s="384"/>
      <c r="M78" s="390"/>
      <c r="N78" s="384"/>
      <c r="O78" s="190"/>
    </row>
    <row r="79" spans="2:15" ht="16" x14ac:dyDescent="0.2">
      <c r="B79" s="256"/>
      <c r="C79" s="119">
        <v>33</v>
      </c>
      <c r="D79" s="385"/>
      <c r="E79" s="391"/>
      <c r="F79" s="385"/>
      <c r="G79" s="391"/>
      <c r="H79" s="385"/>
      <c r="I79" s="391"/>
      <c r="J79" s="385"/>
      <c r="K79" s="391"/>
      <c r="L79" s="385"/>
      <c r="M79" s="391"/>
      <c r="N79" s="385"/>
      <c r="O79" s="190"/>
    </row>
    <row r="80" spans="2:15" ht="16" x14ac:dyDescent="0.2">
      <c r="B80" s="256"/>
      <c r="C80" s="119">
        <v>34</v>
      </c>
      <c r="D80" s="385"/>
      <c r="E80" s="391"/>
      <c r="F80" s="385"/>
      <c r="G80" s="391"/>
      <c r="H80" s="385"/>
      <c r="I80" s="391"/>
      <c r="J80" s="385"/>
      <c r="K80" s="391"/>
      <c r="L80" s="385"/>
      <c r="M80" s="391"/>
      <c r="N80" s="385"/>
      <c r="O80" s="190"/>
    </row>
    <row r="81" spans="2:15" ht="16" x14ac:dyDescent="0.2">
      <c r="B81" s="256"/>
      <c r="C81" s="119">
        <v>35</v>
      </c>
      <c r="D81" s="385"/>
      <c r="E81" s="391"/>
      <c r="F81" s="385"/>
      <c r="G81" s="391"/>
      <c r="H81" s="385"/>
      <c r="I81" s="391"/>
      <c r="J81" s="385"/>
      <c r="K81" s="391"/>
      <c r="L81" s="385"/>
      <c r="M81" s="391"/>
      <c r="N81" s="385"/>
      <c r="O81" s="190"/>
    </row>
    <row r="82" spans="2:15" ht="16" x14ac:dyDescent="0.2">
      <c r="B82" s="256"/>
      <c r="C82" s="119">
        <v>36</v>
      </c>
      <c r="D82" s="385"/>
      <c r="E82" s="391"/>
      <c r="F82" s="385"/>
      <c r="G82" s="391"/>
      <c r="H82" s="385"/>
      <c r="I82" s="391"/>
      <c r="J82" s="385"/>
      <c r="K82" s="391"/>
      <c r="L82" s="385"/>
      <c r="M82" s="391"/>
      <c r="N82" s="385"/>
      <c r="O82" s="190"/>
    </row>
    <row r="83" spans="2:15" ht="17" thickBot="1" x14ac:dyDescent="0.25">
      <c r="B83" s="256"/>
      <c r="C83" s="378">
        <v>37</v>
      </c>
      <c r="D83" s="386"/>
      <c r="E83" s="392"/>
      <c r="F83" s="386"/>
      <c r="G83" s="392"/>
      <c r="H83" s="386"/>
      <c r="I83" s="392"/>
      <c r="J83" s="386"/>
      <c r="K83" s="392"/>
      <c r="L83" s="386"/>
      <c r="M83" s="392"/>
      <c r="N83" s="386"/>
      <c r="O83" s="190"/>
    </row>
    <row r="84" spans="2:15" ht="17" thickBot="1" x14ac:dyDescent="0.25">
      <c r="C84" s="825" t="s">
        <v>19</v>
      </c>
      <c r="D84" s="826"/>
      <c r="E84" s="380"/>
      <c r="F84" s="376">
        <f>(F47+F48+F49+F50+F51+F52+F68+F55+F56+F53+F54+F57+F58+F59+F60+F61+F62+F63+F64+F65+F66+F67+F69+F70+F72+F73+F74+F75+F76+F77+F78+F79+F80+F83)/2</f>
        <v>61</v>
      </c>
      <c r="G84" s="397">
        <f>(G47+G48+G49+G50+G51+G68+G52+G56+G55+G53+G54+G57+G58+G59+G60+G61+G62+G63+G64+G65+G66+G67+G69+G70+G72+G73+G74+G75+G76+G77+G78+G79)/2</f>
        <v>77</v>
      </c>
      <c r="H84" s="399">
        <f>(H47+H48+H49+H50+H51+H52+H68+H71+H55+H56+H53+H54+H57+H58+H59+H60+H61+H62+H63+H64+H65+H66+H67+H69+H70+H72+H73+H74+H75+H76+H77+H78+H79+H80+H83)/2</f>
        <v>0</v>
      </c>
      <c r="I84" s="398">
        <f>(I47+I48+I49+I50+I51+I81+I82+I52+I68+I55+I71+I56+I53+I54+I57+I58+I59+I60+I61+I62+I63+I64+I65+I66+I67+I69+I70+I72+I73+I74+I75+I76+I77+I78+I79+I80+I83)/2</f>
        <v>66</v>
      </c>
      <c r="J84" s="376">
        <f>(J47+J48+J49+J50+J51+J52+J56+J53+J55+J54+J71+J57+J58+J59+J60+J61+J62+J63+J64+J65+J66+J67+J68+J69+J70+J72+J73+J74+J75+J76+J77+J78+J79)/2</f>
        <v>76</v>
      </c>
      <c r="K84" s="397">
        <f>(K47+K48+K49+K50+K51+K52+K56+K53+K54+K57+K58+K59+K60+K61+K62+K63+K64+K65+K66+K67+K69+K70+K72+K73+K74+K75+K76+K77+K78+K79+K68)</f>
        <v>1</v>
      </c>
      <c r="L84" s="399">
        <f>SUM(L47:L83)</f>
        <v>0</v>
      </c>
      <c r="M84" s="398">
        <f>(M47+M48+M49+M50+M51+M52+M56+M55+M53+M54+M57+M58+M59+M60+M61+M62+M63+M64+M65+M66+M67+M69+M70+M72+M73+M74+M75+M76+M77+M78+M79)/2</f>
        <v>1</v>
      </c>
      <c r="N84" s="376"/>
      <c r="O84" s="41"/>
    </row>
    <row r="85" spans="2:15" ht="17" thickBot="1" x14ac:dyDescent="0.25">
      <c r="C85" s="825" t="s">
        <v>91</v>
      </c>
      <c r="D85" s="826"/>
      <c r="E85" s="381">
        <f>SUM(F84:J84)</f>
        <v>280</v>
      </c>
    </row>
    <row r="86" spans="2:15" ht="16" thickBot="1" x14ac:dyDescent="0.25"/>
    <row r="87" spans="2:15" ht="17" thickBot="1" x14ac:dyDescent="0.25">
      <c r="C87" s="17"/>
      <c r="D87" s="379" t="s">
        <v>83</v>
      </c>
      <c r="E87" s="818" t="s">
        <v>64</v>
      </c>
      <c r="F87" s="819"/>
      <c r="G87" s="819"/>
      <c r="H87" s="819"/>
      <c r="I87" s="819"/>
      <c r="J87" s="400" t="s">
        <v>76</v>
      </c>
      <c r="K87" s="820">
        <v>45657</v>
      </c>
      <c r="L87" s="821"/>
      <c r="M87" s="821"/>
      <c r="N87" s="821"/>
      <c r="O87" s="822"/>
    </row>
    <row r="88" spans="2:15" ht="16" thickBot="1" x14ac:dyDescent="0.25">
      <c r="B88" s="175" t="s">
        <v>76</v>
      </c>
      <c r="C88" s="175" t="s">
        <v>77</v>
      </c>
      <c r="D88" s="823" t="s">
        <v>122</v>
      </c>
      <c r="E88" s="824"/>
      <c r="F88" s="175" t="s">
        <v>104</v>
      </c>
      <c r="G88" s="395" t="s">
        <v>86</v>
      </c>
      <c r="H88" s="175" t="s">
        <v>88</v>
      </c>
      <c r="I88" s="395" t="s">
        <v>87</v>
      </c>
      <c r="J88" s="401" t="s">
        <v>85</v>
      </c>
      <c r="K88" s="395" t="s">
        <v>123</v>
      </c>
      <c r="L88" s="175" t="s">
        <v>124</v>
      </c>
      <c r="M88" s="395" t="s">
        <v>100</v>
      </c>
      <c r="N88" s="175" t="s">
        <v>213</v>
      </c>
      <c r="O88" s="404" t="s">
        <v>125</v>
      </c>
    </row>
    <row r="89" spans="2:15" ht="16" thickBot="1" x14ac:dyDescent="0.25">
      <c r="B89" s="176">
        <f>K87</f>
        <v>45657</v>
      </c>
      <c r="C89" s="374"/>
      <c r="D89" s="375" t="s">
        <v>126</v>
      </c>
      <c r="E89" s="387" t="s">
        <v>127</v>
      </c>
      <c r="F89" s="331">
        <v>12</v>
      </c>
      <c r="G89" s="237">
        <v>7</v>
      </c>
      <c r="H89" s="331">
        <v>0</v>
      </c>
      <c r="I89" s="237">
        <v>5</v>
      </c>
      <c r="J89" s="331">
        <v>7</v>
      </c>
      <c r="K89" s="231"/>
      <c r="L89" s="125"/>
      <c r="M89" s="231"/>
      <c r="N89" s="125"/>
      <c r="O89" s="326"/>
    </row>
    <row r="90" spans="2:15" ht="16" x14ac:dyDescent="0.2">
      <c r="C90" s="118">
        <v>1</v>
      </c>
      <c r="D90" s="382">
        <v>0.31597222222222221</v>
      </c>
      <c r="E90" s="388">
        <v>0.33680555555555558</v>
      </c>
      <c r="F90" s="393"/>
      <c r="G90" s="396">
        <v>28</v>
      </c>
      <c r="H90" s="393"/>
      <c r="I90" s="396"/>
      <c r="J90" s="393"/>
      <c r="K90" s="396"/>
      <c r="L90" s="393"/>
      <c r="M90" s="396"/>
      <c r="N90" s="393"/>
      <c r="O90" s="190"/>
    </row>
    <row r="91" spans="2:15" ht="16" x14ac:dyDescent="0.2">
      <c r="C91" s="119">
        <v>2</v>
      </c>
      <c r="D91" s="383">
        <v>0.33680555555555558</v>
      </c>
      <c r="E91" s="389">
        <v>0.3576388888888889</v>
      </c>
      <c r="F91" s="385"/>
      <c r="G91" s="391">
        <v>28</v>
      </c>
      <c r="H91" s="385"/>
      <c r="I91" s="391"/>
      <c r="J91" s="385"/>
      <c r="K91" s="391"/>
      <c r="L91" s="385"/>
      <c r="M91" s="391"/>
      <c r="N91" s="385"/>
      <c r="O91" s="190"/>
    </row>
    <row r="92" spans="2:15" ht="16" x14ac:dyDescent="0.2">
      <c r="C92" s="119">
        <v>3</v>
      </c>
      <c r="D92" s="383">
        <v>0.36458333333333331</v>
      </c>
      <c r="E92" s="389">
        <v>0.38541666666666669</v>
      </c>
      <c r="F92" s="385"/>
      <c r="G92" s="391">
        <v>28</v>
      </c>
      <c r="H92" s="385"/>
      <c r="I92" s="391"/>
      <c r="J92" s="385"/>
      <c r="K92" s="391"/>
      <c r="L92" s="384"/>
      <c r="M92" s="391"/>
      <c r="N92" s="385"/>
      <c r="O92" s="190"/>
    </row>
    <row r="93" spans="2:15" ht="16" x14ac:dyDescent="0.2">
      <c r="C93" s="119">
        <v>4</v>
      </c>
      <c r="D93" s="383">
        <v>0.3888888888888889</v>
      </c>
      <c r="E93" s="389">
        <v>0.40972222222222227</v>
      </c>
      <c r="F93" s="385">
        <v>28</v>
      </c>
      <c r="G93" s="391"/>
      <c r="H93" s="316"/>
      <c r="I93" s="391"/>
      <c r="J93" s="385"/>
      <c r="K93" s="391"/>
      <c r="L93" s="402"/>
      <c r="M93" s="391"/>
      <c r="N93" s="385"/>
      <c r="O93" s="190"/>
    </row>
    <row r="94" spans="2:15" ht="16" x14ac:dyDescent="0.2">
      <c r="C94" s="119">
        <v>5</v>
      </c>
      <c r="D94" s="383">
        <v>0.40972222222222227</v>
      </c>
      <c r="E94" s="389">
        <v>0.43055555555555558</v>
      </c>
      <c r="F94" s="385"/>
      <c r="G94" s="391">
        <v>14</v>
      </c>
      <c r="H94" s="316"/>
      <c r="I94" s="391"/>
      <c r="J94" s="385"/>
      <c r="K94" s="391"/>
      <c r="L94" s="393"/>
      <c r="M94" s="391"/>
      <c r="N94" s="385"/>
      <c r="O94" s="190"/>
    </row>
    <row r="95" spans="2:15" ht="16" x14ac:dyDescent="0.2">
      <c r="C95" s="119">
        <v>6</v>
      </c>
      <c r="D95" s="383">
        <v>0.4201388888888889</v>
      </c>
      <c r="E95" s="389">
        <v>0.44097222222222227</v>
      </c>
      <c r="F95" s="385"/>
      <c r="G95" s="391"/>
      <c r="H95" s="316"/>
      <c r="I95" s="391">
        <v>22</v>
      </c>
      <c r="J95" s="385"/>
      <c r="K95" s="391"/>
      <c r="L95" s="393"/>
      <c r="M95" s="391"/>
      <c r="N95" s="385"/>
      <c r="O95" s="190"/>
    </row>
    <row r="96" spans="2:15" ht="16" x14ac:dyDescent="0.2">
      <c r="C96" s="119">
        <v>7</v>
      </c>
      <c r="D96" s="383">
        <v>0.44791666666666669</v>
      </c>
      <c r="E96" s="389">
        <v>0.46875</v>
      </c>
      <c r="F96" s="385"/>
      <c r="G96" s="391"/>
      <c r="H96" s="316"/>
      <c r="I96" s="391"/>
      <c r="J96" s="385">
        <v>18</v>
      </c>
      <c r="K96" s="391"/>
      <c r="L96" s="393"/>
      <c r="M96" s="391"/>
      <c r="N96" s="385"/>
      <c r="O96" s="190"/>
    </row>
    <row r="97" spans="3:15" ht="16" x14ac:dyDescent="0.2">
      <c r="C97" s="119">
        <v>8</v>
      </c>
      <c r="D97" s="383">
        <v>0.46875</v>
      </c>
      <c r="E97" s="389">
        <v>0.48958333333333331</v>
      </c>
      <c r="F97" s="385">
        <v>28</v>
      </c>
      <c r="G97" s="391"/>
      <c r="H97" s="316"/>
      <c r="I97" s="391"/>
      <c r="J97" s="385"/>
      <c r="K97" s="391"/>
      <c r="L97" s="385"/>
      <c r="M97" s="391"/>
      <c r="N97" s="385"/>
      <c r="O97" s="190"/>
    </row>
    <row r="98" spans="3:15" ht="16" x14ac:dyDescent="0.2">
      <c r="C98" s="119">
        <v>9</v>
      </c>
      <c r="D98" s="383">
        <v>0.5</v>
      </c>
      <c r="E98" s="389">
        <v>0.52083333333333337</v>
      </c>
      <c r="F98" s="385"/>
      <c r="G98" s="391"/>
      <c r="H98" s="316"/>
      <c r="I98" s="391">
        <v>44</v>
      </c>
      <c r="J98" s="385"/>
      <c r="K98" s="391"/>
      <c r="L98" s="385"/>
      <c r="M98" s="391"/>
      <c r="N98" s="385"/>
      <c r="O98" s="190"/>
    </row>
    <row r="99" spans="3:15" ht="16" x14ac:dyDescent="0.2">
      <c r="C99" s="119">
        <v>10</v>
      </c>
      <c r="D99" s="383">
        <v>0.53819444444444442</v>
      </c>
      <c r="E99" s="389">
        <v>0.55902777777777779</v>
      </c>
      <c r="F99" s="385">
        <v>28</v>
      </c>
      <c r="G99" s="391"/>
      <c r="H99" s="316"/>
      <c r="I99" s="391"/>
      <c r="J99" s="385"/>
      <c r="K99" s="391"/>
      <c r="L99" s="385"/>
      <c r="M99" s="391"/>
      <c r="N99" s="385"/>
      <c r="O99" s="190"/>
    </row>
    <row r="100" spans="3:15" ht="16" x14ac:dyDescent="0.2">
      <c r="C100" s="119">
        <v>11</v>
      </c>
      <c r="D100" s="383">
        <v>0.56944444444444442</v>
      </c>
      <c r="E100" s="389">
        <v>0.59027777777777779</v>
      </c>
      <c r="F100" s="385"/>
      <c r="G100" s="391"/>
      <c r="H100" s="316"/>
      <c r="I100" s="391">
        <v>44</v>
      </c>
      <c r="J100" s="28"/>
      <c r="K100" s="391"/>
      <c r="L100" s="385"/>
      <c r="M100" s="391"/>
      <c r="N100" s="385"/>
      <c r="O100" s="190"/>
    </row>
    <row r="101" spans="3:15" ht="16" x14ac:dyDescent="0.2">
      <c r="C101" s="193">
        <v>12</v>
      </c>
      <c r="D101" s="383">
        <v>0.60069444444444442</v>
      </c>
      <c r="E101" s="389">
        <v>0.62152777777777779</v>
      </c>
      <c r="F101" s="385">
        <v>24</v>
      </c>
      <c r="G101" s="391"/>
      <c r="H101" s="316"/>
      <c r="I101" s="391"/>
      <c r="J101" s="385"/>
      <c r="K101" s="391"/>
      <c r="L101" s="385"/>
      <c r="M101" s="391"/>
      <c r="N101" s="385"/>
      <c r="O101" s="190"/>
    </row>
    <row r="102" spans="3:15" ht="16" x14ac:dyDescent="0.2">
      <c r="C102" s="119">
        <v>13</v>
      </c>
      <c r="D102" s="383">
        <v>0.62847222222222221</v>
      </c>
      <c r="E102" s="389">
        <v>0.64930555555555558</v>
      </c>
      <c r="F102" s="385"/>
      <c r="G102" s="391"/>
      <c r="H102" s="316"/>
      <c r="I102" s="391"/>
      <c r="J102" s="385">
        <v>36</v>
      </c>
      <c r="K102" s="391"/>
      <c r="L102" s="385"/>
      <c r="M102" s="391"/>
      <c r="N102" s="385"/>
      <c r="O102" s="190"/>
    </row>
    <row r="103" spans="3:15" ht="16" x14ac:dyDescent="0.2">
      <c r="C103" s="119">
        <v>14</v>
      </c>
      <c r="D103" s="383">
        <v>0.65625</v>
      </c>
      <c r="E103" s="389">
        <v>0.67708333333333337</v>
      </c>
      <c r="F103" s="385">
        <v>28</v>
      </c>
      <c r="G103" s="391"/>
      <c r="H103" s="316"/>
      <c r="I103" s="391"/>
      <c r="J103" s="385"/>
      <c r="K103" s="391"/>
      <c r="L103" s="385"/>
      <c r="M103" s="391"/>
      <c r="N103" s="385"/>
      <c r="O103" s="190"/>
    </row>
    <row r="104" spans="3:15" ht="16" x14ac:dyDescent="0.2">
      <c r="C104" s="119">
        <v>15</v>
      </c>
      <c r="D104" s="383">
        <v>0.6875</v>
      </c>
      <c r="E104" s="389">
        <v>0.70833333333333337</v>
      </c>
      <c r="F104" s="385"/>
      <c r="G104" s="391"/>
      <c r="H104" s="316"/>
      <c r="I104" s="391"/>
      <c r="J104" s="385">
        <v>36</v>
      </c>
      <c r="K104" s="391"/>
      <c r="L104" s="385"/>
      <c r="M104" s="391"/>
      <c r="N104" s="385"/>
      <c r="O104" s="190"/>
    </row>
    <row r="105" spans="3:15" ht="16" x14ac:dyDescent="0.2">
      <c r="C105" s="119">
        <v>16</v>
      </c>
      <c r="D105" s="383">
        <v>0.71527777777777779</v>
      </c>
      <c r="E105" s="389">
        <v>0.73611111111111116</v>
      </c>
      <c r="F105" s="385">
        <v>28</v>
      </c>
      <c r="G105" s="391"/>
      <c r="H105" s="316"/>
      <c r="I105" s="391"/>
      <c r="J105" s="385"/>
      <c r="K105" s="391"/>
      <c r="L105" s="385"/>
      <c r="M105" s="391"/>
      <c r="N105" s="385"/>
      <c r="O105" s="190"/>
    </row>
    <row r="106" spans="3:15" ht="16" x14ac:dyDescent="0.2">
      <c r="C106" s="119">
        <v>17</v>
      </c>
      <c r="D106" s="383">
        <v>0.73611111111111116</v>
      </c>
      <c r="E106" s="389">
        <v>0.75694444444444453</v>
      </c>
      <c r="F106" s="384"/>
      <c r="G106" s="33"/>
      <c r="H106" s="316"/>
      <c r="I106" s="390"/>
      <c r="J106" s="385">
        <v>36</v>
      </c>
      <c r="K106" s="391"/>
      <c r="L106" s="385"/>
      <c r="M106" s="391"/>
      <c r="N106" s="385"/>
      <c r="O106" s="190"/>
    </row>
    <row r="107" spans="3:15" ht="16" x14ac:dyDescent="0.2">
      <c r="C107" s="119">
        <v>18</v>
      </c>
      <c r="D107" s="383"/>
      <c r="E107" s="389"/>
      <c r="F107" s="394"/>
      <c r="G107" s="229"/>
      <c r="H107" s="394"/>
      <c r="I107" s="391"/>
      <c r="J107" s="385"/>
      <c r="K107" s="391"/>
      <c r="L107" s="385"/>
      <c r="M107" s="391"/>
      <c r="N107" s="385"/>
      <c r="O107" s="190"/>
    </row>
    <row r="108" spans="3:15" ht="16" x14ac:dyDescent="0.2">
      <c r="C108" s="119">
        <v>19</v>
      </c>
      <c r="D108" s="383"/>
      <c r="E108" s="389"/>
      <c r="F108" s="385"/>
      <c r="G108" s="391"/>
      <c r="H108" s="385"/>
      <c r="I108" s="391"/>
      <c r="J108" s="385"/>
      <c r="K108" s="391"/>
      <c r="L108" s="403"/>
      <c r="M108" s="391"/>
      <c r="N108" s="385"/>
      <c r="O108" s="190"/>
    </row>
    <row r="109" spans="3:15" ht="16" x14ac:dyDescent="0.2">
      <c r="C109" s="119">
        <v>20</v>
      </c>
      <c r="D109" s="383"/>
      <c r="E109" s="389"/>
      <c r="F109" s="385"/>
      <c r="G109" s="391"/>
      <c r="H109" s="385"/>
      <c r="I109" s="391"/>
      <c r="J109" s="385"/>
      <c r="K109" s="391"/>
      <c r="L109" s="403"/>
      <c r="M109" s="391"/>
      <c r="N109" s="385"/>
      <c r="O109" s="190"/>
    </row>
    <row r="110" spans="3:15" ht="16" x14ac:dyDescent="0.2">
      <c r="C110" s="119">
        <v>21</v>
      </c>
      <c r="D110" s="383"/>
      <c r="E110" s="389"/>
      <c r="F110" s="385"/>
      <c r="G110" s="391"/>
      <c r="H110" s="385"/>
      <c r="I110" s="391"/>
      <c r="J110" s="385"/>
      <c r="K110" s="391"/>
      <c r="L110" s="385"/>
      <c r="M110" s="391"/>
      <c r="N110" s="385"/>
      <c r="O110" s="190"/>
    </row>
    <row r="111" spans="3:15" ht="16" x14ac:dyDescent="0.2">
      <c r="C111" s="119">
        <v>22</v>
      </c>
      <c r="D111" s="383"/>
      <c r="E111" s="389"/>
      <c r="F111" s="385"/>
      <c r="G111" s="391"/>
      <c r="H111" s="385"/>
      <c r="I111" s="391"/>
      <c r="J111" s="385"/>
      <c r="K111" s="391"/>
      <c r="L111" s="385"/>
      <c r="M111" s="391"/>
      <c r="N111" s="385"/>
      <c r="O111" s="190"/>
    </row>
    <row r="112" spans="3:15" ht="16" x14ac:dyDescent="0.2">
      <c r="C112" s="119">
        <v>23</v>
      </c>
      <c r="D112" s="383"/>
      <c r="E112" s="389"/>
      <c r="F112" s="385"/>
      <c r="G112" s="391"/>
      <c r="H112" s="385"/>
      <c r="I112" s="391"/>
      <c r="J112" s="385"/>
      <c r="K112" s="391"/>
      <c r="L112" s="385"/>
      <c r="M112" s="391"/>
      <c r="N112" s="385"/>
      <c r="O112" s="190"/>
    </row>
    <row r="113" spans="2:15" ht="16" x14ac:dyDescent="0.2">
      <c r="C113" s="119">
        <v>24</v>
      </c>
      <c r="D113" s="383"/>
      <c r="E113" s="389"/>
      <c r="F113" s="385"/>
      <c r="G113" s="391"/>
      <c r="H113" s="385"/>
      <c r="I113" s="391"/>
      <c r="J113" s="385"/>
      <c r="K113" s="391"/>
      <c r="L113" s="385"/>
      <c r="M113" s="391"/>
      <c r="N113" s="385"/>
      <c r="O113" s="190"/>
    </row>
    <row r="114" spans="2:15" ht="16" x14ac:dyDescent="0.2">
      <c r="C114" s="119">
        <v>25</v>
      </c>
      <c r="D114" s="383"/>
      <c r="E114" s="389"/>
      <c r="F114" s="385"/>
      <c r="G114" s="391"/>
      <c r="H114" s="385"/>
      <c r="I114" s="391"/>
      <c r="J114" s="385"/>
      <c r="K114" s="391"/>
      <c r="L114" s="385"/>
      <c r="M114" s="391"/>
      <c r="N114" s="385"/>
      <c r="O114" s="190"/>
    </row>
    <row r="115" spans="2:15" ht="16" x14ac:dyDescent="0.2">
      <c r="C115" s="119">
        <v>26</v>
      </c>
      <c r="D115" s="383"/>
      <c r="E115" s="389"/>
      <c r="F115" s="385"/>
      <c r="G115" s="391"/>
      <c r="H115" s="385"/>
      <c r="I115" s="391"/>
      <c r="J115" s="385"/>
      <c r="K115" s="391"/>
      <c r="L115" s="385"/>
      <c r="M115" s="391"/>
      <c r="N115" s="385"/>
      <c r="O115" s="190"/>
    </row>
    <row r="116" spans="2:15" ht="16" x14ac:dyDescent="0.2">
      <c r="C116" s="119">
        <v>27</v>
      </c>
      <c r="D116" s="383"/>
      <c r="E116" s="389"/>
      <c r="F116" s="385"/>
      <c r="G116" s="391"/>
      <c r="H116" s="385"/>
      <c r="I116" s="391"/>
      <c r="J116" s="385"/>
      <c r="K116" s="391"/>
      <c r="L116" s="385"/>
      <c r="M116" s="391"/>
      <c r="N116" s="385"/>
      <c r="O116" s="190"/>
    </row>
    <row r="117" spans="2:15" ht="16" x14ac:dyDescent="0.2">
      <c r="C117" s="119">
        <v>28</v>
      </c>
      <c r="D117" s="383"/>
      <c r="E117" s="389"/>
      <c r="F117" s="385"/>
      <c r="G117" s="391"/>
      <c r="H117" s="385"/>
      <c r="I117" s="391"/>
      <c r="J117" s="385"/>
      <c r="K117" s="391"/>
      <c r="L117" s="385"/>
      <c r="M117" s="391"/>
      <c r="N117" s="385"/>
      <c r="O117" s="190"/>
    </row>
    <row r="118" spans="2:15" ht="16" x14ac:dyDescent="0.2">
      <c r="C118" s="119">
        <v>29</v>
      </c>
      <c r="D118" s="383"/>
      <c r="E118" s="389"/>
      <c r="F118" s="385"/>
      <c r="G118" s="391"/>
      <c r="H118" s="385"/>
      <c r="I118" s="391"/>
      <c r="J118" s="385"/>
      <c r="K118" s="391"/>
      <c r="L118" s="385"/>
      <c r="M118" s="391"/>
      <c r="N118" s="385"/>
      <c r="O118" s="190"/>
    </row>
    <row r="119" spans="2:15" ht="16" x14ac:dyDescent="0.2">
      <c r="C119" s="119">
        <v>30</v>
      </c>
      <c r="D119" s="383"/>
      <c r="E119" s="389"/>
      <c r="F119" s="385"/>
      <c r="G119" s="391"/>
      <c r="H119" s="385"/>
      <c r="I119" s="391"/>
      <c r="J119" s="385"/>
      <c r="K119" s="391"/>
      <c r="L119" s="385"/>
      <c r="M119" s="391"/>
      <c r="N119" s="385"/>
      <c r="O119" s="190"/>
    </row>
    <row r="120" spans="2:15" ht="16" x14ac:dyDescent="0.2">
      <c r="C120" s="120">
        <v>31</v>
      </c>
      <c r="D120" s="383"/>
      <c r="E120" s="389"/>
      <c r="F120" s="384"/>
      <c r="G120" s="390"/>
      <c r="H120" s="384"/>
      <c r="I120" s="390"/>
      <c r="J120" s="384"/>
      <c r="K120" s="390"/>
      <c r="L120" s="384"/>
      <c r="M120" s="390"/>
      <c r="N120" s="384"/>
      <c r="O120" s="190"/>
    </row>
    <row r="121" spans="2:15" ht="16" x14ac:dyDescent="0.2">
      <c r="B121" s="256"/>
      <c r="C121" s="377">
        <v>32</v>
      </c>
      <c r="D121" s="384"/>
      <c r="E121" s="390"/>
      <c r="F121" s="384"/>
      <c r="G121" s="390"/>
      <c r="H121" s="384"/>
      <c r="I121" s="390"/>
      <c r="J121" s="384"/>
      <c r="K121" s="390"/>
      <c r="L121" s="384"/>
      <c r="M121" s="390"/>
      <c r="N121" s="384"/>
      <c r="O121" s="190"/>
    </row>
    <row r="122" spans="2:15" ht="16" x14ac:dyDescent="0.2">
      <c r="B122" s="256"/>
      <c r="C122" s="119">
        <v>33</v>
      </c>
      <c r="D122" s="385"/>
      <c r="E122" s="391"/>
      <c r="F122" s="385"/>
      <c r="G122" s="391"/>
      <c r="H122" s="385"/>
      <c r="I122" s="391"/>
      <c r="J122" s="385"/>
      <c r="K122" s="391"/>
      <c r="L122" s="385"/>
      <c r="M122" s="391"/>
      <c r="N122" s="385"/>
      <c r="O122" s="190"/>
    </row>
    <row r="123" spans="2:15" ht="16" x14ac:dyDescent="0.2">
      <c r="B123" s="256"/>
      <c r="C123" s="119">
        <v>34</v>
      </c>
      <c r="D123" s="385"/>
      <c r="E123" s="391"/>
      <c r="F123" s="385"/>
      <c r="G123" s="391"/>
      <c r="H123" s="385"/>
      <c r="I123" s="391"/>
      <c r="J123" s="385"/>
      <c r="K123" s="391"/>
      <c r="L123" s="385"/>
      <c r="M123" s="391"/>
      <c r="N123" s="385"/>
      <c r="O123" s="190"/>
    </row>
    <row r="124" spans="2:15" ht="16" x14ac:dyDescent="0.2">
      <c r="B124" s="256"/>
      <c r="C124" s="119">
        <v>35</v>
      </c>
      <c r="D124" s="385"/>
      <c r="E124" s="391"/>
      <c r="F124" s="385"/>
      <c r="G124" s="391"/>
      <c r="H124" s="385"/>
      <c r="I124" s="391"/>
      <c r="J124" s="385"/>
      <c r="K124" s="391"/>
      <c r="L124" s="385"/>
      <c r="M124" s="391"/>
      <c r="N124" s="385"/>
      <c r="O124" s="190"/>
    </row>
    <row r="125" spans="2:15" ht="16" x14ac:dyDescent="0.2">
      <c r="B125" s="256"/>
      <c r="C125" s="119">
        <v>36</v>
      </c>
      <c r="D125" s="385"/>
      <c r="E125" s="391"/>
      <c r="F125" s="385"/>
      <c r="G125" s="391"/>
      <c r="H125" s="385"/>
      <c r="I125" s="391"/>
      <c r="J125" s="385"/>
      <c r="K125" s="391"/>
      <c r="L125" s="385"/>
      <c r="M125" s="391"/>
      <c r="N125" s="385"/>
      <c r="O125" s="190"/>
    </row>
    <row r="126" spans="2:15" ht="17" thickBot="1" x14ac:dyDescent="0.25">
      <c r="B126" s="256"/>
      <c r="C126" s="378">
        <v>37</v>
      </c>
      <c r="D126" s="386"/>
      <c r="E126" s="392"/>
      <c r="F126" s="386"/>
      <c r="G126" s="392"/>
      <c r="H126" s="386"/>
      <c r="I126" s="392"/>
      <c r="J126" s="386"/>
      <c r="K126" s="392"/>
      <c r="L126" s="386"/>
      <c r="M126" s="392"/>
      <c r="N126" s="386"/>
      <c r="O126" s="190"/>
    </row>
    <row r="127" spans="2:15" ht="17" thickBot="1" x14ac:dyDescent="0.25">
      <c r="C127" s="825" t="s">
        <v>19</v>
      </c>
      <c r="D127" s="826"/>
      <c r="E127" s="380"/>
      <c r="F127" s="376">
        <f>(F90+F91+F92+F93+F94+F95+F111+F98+F99+F96+F97+F100+F101+F102+F103+F104+F105+F106+F107+F108+F109+F110+F112+F113+F115+F116+F117+F118+F119+F120+F121+F122+F123+F126)/2</f>
        <v>82</v>
      </c>
      <c r="G127" s="397">
        <f>(G90+G91+G92+G93+G94+G111+G95+G99+G98+G96+G97+G100+G101+G102+G103+G104+G105+G106+G107+G108+G109+G110+G112+G113+G115+G116+G117+G118+G119+G120+G121+G122)/2</f>
        <v>49</v>
      </c>
      <c r="H127" s="399">
        <f>(H90+H91+H92+H93+H94+H95+H111+H114+H98+H99+H96+H97+H100+H101+H102+H103+H104+H105+H106+H107+H108+H109+H110+H112+H113+H115+H116+H117+H118+H119+H120+H121+H122+H123+H126)/2</f>
        <v>0</v>
      </c>
      <c r="I127" s="398">
        <f>(I90+I91+I92+I93+I94+I124+I125+I95+I111+I98+I114+I99+I96+I97+I100+I101+I102+I103+I104+I105+I106+I107+I108+I109+I110+I112+I113+I115+I116+I117+I118+I119+I120+I121+I122+I123+I126)/2</f>
        <v>55</v>
      </c>
      <c r="J127" s="376">
        <f>(J90+J91+J92+J93+J94+J95+J99+J96+J98+J97+J114+J100+J101+J102+J103+J104+J105+J106+J107+J108+J109+J110+J111+J112+J113+J115+J116+J117+J118+J119+J120+J121+J122)/2</f>
        <v>63</v>
      </c>
      <c r="K127" s="397">
        <f>(K90+K91+K92+K93+K94+K95+K99+K96+K97+K100+K101+K102+K103+K104+K105+K106+K107+K108+K109+K110+K112+K113+K115+K116+K117+K118+K119+K120+K121+K122+K111)</f>
        <v>0</v>
      </c>
      <c r="L127" s="399">
        <f>SUM(L90:L126)</f>
        <v>0</v>
      </c>
      <c r="M127" s="398">
        <f>(M90+M91+M92+M93+M94+M95+M99+M98+M96+M97+M100+M101+M102+M103+M104+M105+M106+M107+M108+M109+M110+M112+M113+M115+M116+M117+M118+M119+M120+M121+M122)/2</f>
        <v>0</v>
      </c>
      <c r="N127" s="376"/>
      <c r="O127" s="41"/>
    </row>
    <row r="128" spans="2:15" ht="17" thickBot="1" x14ac:dyDescent="0.25">
      <c r="C128" s="825" t="s">
        <v>91</v>
      </c>
      <c r="D128" s="826"/>
      <c r="E128" s="381">
        <f>SUM(F127:J127)</f>
        <v>249</v>
      </c>
    </row>
    <row r="129" spans="2:15" ht="16" thickBot="1" x14ac:dyDescent="0.25"/>
    <row r="130" spans="2:15" ht="17" thickBot="1" x14ac:dyDescent="0.25">
      <c r="C130" s="17"/>
      <c r="D130" s="379" t="s">
        <v>83</v>
      </c>
      <c r="E130" s="818" t="s">
        <v>66</v>
      </c>
      <c r="F130" s="819"/>
      <c r="G130" s="819"/>
      <c r="H130" s="819"/>
      <c r="I130" s="819"/>
      <c r="J130" s="400" t="s">
        <v>76</v>
      </c>
      <c r="K130" s="820">
        <v>45659</v>
      </c>
      <c r="L130" s="821"/>
      <c r="M130" s="821"/>
      <c r="N130" s="821"/>
      <c r="O130" s="822"/>
    </row>
    <row r="131" spans="2:15" ht="16" thickBot="1" x14ac:dyDescent="0.25">
      <c r="B131" s="175" t="s">
        <v>76</v>
      </c>
      <c r="C131" s="175" t="s">
        <v>77</v>
      </c>
      <c r="D131" s="823" t="s">
        <v>122</v>
      </c>
      <c r="E131" s="824"/>
      <c r="F131" s="175" t="s">
        <v>104</v>
      </c>
      <c r="G131" s="395" t="s">
        <v>86</v>
      </c>
      <c r="H131" s="175" t="s">
        <v>88</v>
      </c>
      <c r="I131" s="395" t="s">
        <v>87</v>
      </c>
      <c r="J131" s="401" t="s">
        <v>85</v>
      </c>
      <c r="K131" s="395" t="s">
        <v>123</v>
      </c>
      <c r="L131" s="175" t="s">
        <v>124</v>
      </c>
      <c r="M131" s="395" t="s">
        <v>100</v>
      </c>
      <c r="N131" s="175" t="s">
        <v>213</v>
      </c>
      <c r="O131" s="404" t="s">
        <v>125</v>
      </c>
    </row>
    <row r="132" spans="2:15" ht="16" thickBot="1" x14ac:dyDescent="0.25">
      <c r="B132" s="176">
        <f>K130</f>
        <v>45659</v>
      </c>
      <c r="C132" s="374"/>
      <c r="D132" s="375" t="s">
        <v>126</v>
      </c>
      <c r="E132" s="387" t="s">
        <v>127</v>
      </c>
      <c r="F132" s="331">
        <v>9</v>
      </c>
      <c r="G132" s="237">
        <v>6</v>
      </c>
      <c r="H132" s="331">
        <v>4</v>
      </c>
      <c r="I132" s="237">
        <v>4</v>
      </c>
      <c r="J132" s="331">
        <v>5</v>
      </c>
      <c r="K132" s="231"/>
      <c r="L132" s="125"/>
      <c r="M132" s="231"/>
      <c r="N132" s="125"/>
      <c r="O132" s="326"/>
    </row>
    <row r="133" spans="2:15" ht="16" x14ac:dyDescent="0.2">
      <c r="C133" s="118">
        <v>1</v>
      </c>
      <c r="D133" s="382">
        <v>0.29166666666666669</v>
      </c>
      <c r="E133" s="388">
        <v>0.3125</v>
      </c>
      <c r="F133" s="393"/>
      <c r="G133" s="396">
        <v>28</v>
      </c>
      <c r="H133" s="393"/>
      <c r="I133" s="396"/>
      <c r="J133" s="393"/>
      <c r="K133" s="396"/>
      <c r="L133" s="393"/>
      <c r="M133" s="396"/>
      <c r="N133" s="393"/>
      <c r="O133" s="190"/>
    </row>
    <row r="134" spans="2:15" ht="16" x14ac:dyDescent="0.2">
      <c r="C134" s="119">
        <v>2</v>
      </c>
      <c r="D134" s="383">
        <v>0.31944444444444448</v>
      </c>
      <c r="E134" s="389">
        <v>0.34027777777777773</v>
      </c>
      <c r="F134" s="385"/>
      <c r="G134" s="391">
        <v>28</v>
      </c>
      <c r="H134" s="385"/>
      <c r="I134" s="391"/>
      <c r="J134" s="385"/>
      <c r="K134" s="391"/>
      <c r="L134" s="385"/>
      <c r="M134" s="391"/>
      <c r="N134" s="385"/>
      <c r="O134" s="190"/>
    </row>
    <row r="135" spans="2:15" ht="16" x14ac:dyDescent="0.2">
      <c r="C135" s="119">
        <v>3</v>
      </c>
      <c r="D135" s="383">
        <v>0.34722222222222227</v>
      </c>
      <c r="E135" s="389">
        <v>0.36805555555555558</v>
      </c>
      <c r="F135" s="385"/>
      <c r="G135" s="391">
        <v>28</v>
      </c>
      <c r="H135" s="385"/>
      <c r="I135" s="391"/>
      <c r="J135" s="385"/>
      <c r="K135" s="391"/>
      <c r="L135" s="384"/>
      <c r="M135" s="391"/>
      <c r="N135" s="385"/>
      <c r="O135" s="190"/>
    </row>
    <row r="136" spans="2:15" ht="16" x14ac:dyDescent="0.2">
      <c r="C136" s="119">
        <v>4</v>
      </c>
      <c r="D136" s="383">
        <v>0.375</v>
      </c>
      <c r="E136" s="389">
        <v>0.39583333333333331</v>
      </c>
      <c r="F136" s="385"/>
      <c r="G136" s="391"/>
      <c r="H136" s="316">
        <v>28</v>
      </c>
      <c r="I136" s="391"/>
      <c r="J136" s="385"/>
      <c r="K136" s="391"/>
      <c r="L136" s="402"/>
      <c r="M136" s="391"/>
      <c r="N136" s="385"/>
      <c r="O136" s="190"/>
    </row>
    <row r="137" spans="2:15" ht="16" x14ac:dyDescent="0.2">
      <c r="C137" s="119">
        <v>5</v>
      </c>
      <c r="D137" s="383">
        <v>0.39583333333333331</v>
      </c>
      <c r="E137" s="389">
        <v>0.41666666666666669</v>
      </c>
      <c r="F137" s="385"/>
      <c r="G137" s="391"/>
      <c r="H137" s="316">
        <v>28</v>
      </c>
      <c r="I137" s="391"/>
      <c r="J137" s="385"/>
      <c r="K137" s="391"/>
      <c r="L137" s="393"/>
      <c r="M137" s="391"/>
      <c r="N137" s="385"/>
      <c r="O137" s="190"/>
    </row>
    <row r="138" spans="2:15" ht="16" x14ac:dyDescent="0.2">
      <c r="C138" s="119">
        <v>6</v>
      </c>
      <c r="D138" s="383">
        <v>0.41666666666666669</v>
      </c>
      <c r="E138" s="389">
        <v>0.4375</v>
      </c>
      <c r="F138" s="385">
        <v>28</v>
      </c>
      <c r="G138" s="391"/>
      <c r="H138" s="316"/>
      <c r="I138" s="391"/>
      <c r="J138" s="385"/>
      <c r="K138" s="391"/>
      <c r="L138" s="393"/>
      <c r="M138" s="391"/>
      <c r="N138" s="385"/>
      <c r="O138" s="190"/>
    </row>
    <row r="139" spans="2:15" ht="16" x14ac:dyDescent="0.2">
      <c r="C139" s="119">
        <v>7</v>
      </c>
      <c r="D139" s="383">
        <v>0.47569444444444442</v>
      </c>
      <c r="E139" s="389">
        <v>0.49652777777777773</v>
      </c>
      <c r="F139" s="385"/>
      <c r="G139" s="391"/>
      <c r="H139" s="316"/>
      <c r="I139" s="391">
        <v>44</v>
      </c>
      <c r="J139" s="385"/>
      <c r="K139" s="391"/>
      <c r="L139" s="393"/>
      <c r="M139" s="391"/>
      <c r="N139" s="385"/>
      <c r="O139" s="190"/>
    </row>
    <row r="140" spans="2:15" ht="16" x14ac:dyDescent="0.2">
      <c r="C140" s="119">
        <v>8</v>
      </c>
      <c r="D140" s="383">
        <v>0.50694444444444442</v>
      </c>
      <c r="E140" s="389">
        <v>0.52777777777777779</v>
      </c>
      <c r="F140" s="385">
        <v>28</v>
      </c>
      <c r="G140" s="391"/>
      <c r="H140" s="316"/>
      <c r="I140" s="391"/>
      <c r="J140" s="385"/>
      <c r="K140" s="391"/>
      <c r="L140" s="385"/>
      <c r="M140" s="391"/>
      <c r="N140" s="385"/>
      <c r="O140" s="190"/>
    </row>
    <row r="141" spans="2:15" ht="16" x14ac:dyDescent="0.2">
      <c r="C141" s="119">
        <v>9</v>
      </c>
      <c r="D141" s="383">
        <v>0.54166666666666663</v>
      </c>
      <c r="E141" s="389">
        <v>0.5625</v>
      </c>
      <c r="F141" s="385"/>
      <c r="G141" s="391"/>
      <c r="H141" s="316"/>
      <c r="I141" s="391">
        <v>44</v>
      </c>
      <c r="J141" s="385"/>
      <c r="K141" s="391"/>
      <c r="L141" s="385"/>
      <c r="M141" s="391"/>
      <c r="N141" s="385"/>
      <c r="O141" s="190"/>
    </row>
    <row r="142" spans="2:15" ht="16" x14ac:dyDescent="0.2">
      <c r="C142" s="119">
        <v>10</v>
      </c>
      <c r="D142" s="383">
        <v>0.57638888888888895</v>
      </c>
      <c r="E142" s="389">
        <v>0.59722222222222221</v>
      </c>
      <c r="F142" s="385">
        <v>28</v>
      </c>
      <c r="G142" s="391"/>
      <c r="H142" s="316"/>
      <c r="I142" s="391"/>
      <c r="J142" s="385"/>
      <c r="K142" s="391"/>
      <c r="L142" s="385"/>
      <c r="M142" s="391"/>
      <c r="N142" s="385"/>
      <c r="O142" s="190"/>
    </row>
    <row r="143" spans="2:15" ht="16" x14ac:dyDescent="0.2">
      <c r="C143" s="119">
        <v>11</v>
      </c>
      <c r="D143" s="383">
        <v>0.60763888888888895</v>
      </c>
      <c r="E143" s="389">
        <v>0.62847222222222221</v>
      </c>
      <c r="F143" s="385"/>
      <c r="G143" s="391"/>
      <c r="H143" s="316"/>
      <c r="I143" s="391"/>
      <c r="J143" s="28">
        <v>34</v>
      </c>
      <c r="K143" s="391"/>
      <c r="L143" s="385"/>
      <c r="M143" s="391"/>
      <c r="N143" s="385"/>
      <c r="O143" s="190"/>
    </row>
    <row r="144" spans="2:15" ht="16" x14ac:dyDescent="0.2">
      <c r="C144" s="193">
        <v>12</v>
      </c>
      <c r="D144" s="383">
        <v>0.63541666666666663</v>
      </c>
      <c r="E144" s="389">
        <v>0.65625</v>
      </c>
      <c r="F144" s="385">
        <v>28</v>
      </c>
      <c r="G144" s="391"/>
      <c r="H144" s="316"/>
      <c r="I144" s="391"/>
      <c r="J144" s="385"/>
      <c r="K144" s="391"/>
      <c r="L144" s="385"/>
      <c r="M144" s="391"/>
      <c r="N144" s="385"/>
      <c r="O144" s="190"/>
    </row>
    <row r="145" spans="3:15" ht="16" x14ac:dyDescent="0.2">
      <c r="C145" s="119">
        <v>13</v>
      </c>
      <c r="D145" s="383">
        <v>0.66319444444444442</v>
      </c>
      <c r="E145" s="389">
        <v>0.68402777777777779</v>
      </c>
      <c r="F145" s="385"/>
      <c r="G145" s="391"/>
      <c r="H145" s="316"/>
      <c r="I145" s="391"/>
      <c r="J145" s="385">
        <v>36</v>
      </c>
      <c r="K145" s="391"/>
      <c r="L145" s="385"/>
      <c r="M145" s="391"/>
      <c r="N145" s="385"/>
      <c r="O145" s="190"/>
    </row>
    <row r="146" spans="3:15" ht="16" x14ac:dyDescent="0.2">
      <c r="C146" s="119">
        <v>14</v>
      </c>
      <c r="D146" s="383">
        <v>0.69444444444444453</v>
      </c>
      <c r="E146" s="389">
        <v>0.71527777777777779</v>
      </c>
      <c r="F146" s="385">
        <v>14</v>
      </c>
      <c r="G146" s="391"/>
      <c r="H146" s="316"/>
      <c r="I146" s="391"/>
      <c r="J146" s="385"/>
      <c r="K146" s="391"/>
      <c r="L146" s="385"/>
      <c r="M146" s="391"/>
      <c r="N146" s="385"/>
      <c r="O146" s="190"/>
    </row>
    <row r="147" spans="3:15" ht="16" x14ac:dyDescent="0.2">
      <c r="C147" s="119">
        <v>15</v>
      </c>
      <c r="D147" s="383">
        <v>0.70138888888888884</v>
      </c>
      <c r="E147" s="389">
        <v>0.72222222222222221</v>
      </c>
      <c r="F147" s="385"/>
      <c r="G147" s="391"/>
      <c r="H147" s="316"/>
      <c r="I147" s="391"/>
      <c r="J147" s="385">
        <v>18</v>
      </c>
      <c r="K147" s="391"/>
      <c r="L147" s="385"/>
      <c r="M147" s="391"/>
      <c r="N147" s="385"/>
      <c r="O147" s="190"/>
    </row>
    <row r="148" spans="3:15" ht="16" x14ac:dyDescent="0.2">
      <c r="C148" s="119">
        <v>16</v>
      </c>
      <c r="D148" s="383"/>
      <c r="E148" s="389"/>
      <c r="F148" s="385"/>
      <c r="G148" s="391"/>
      <c r="H148" s="316"/>
      <c r="I148" s="391"/>
      <c r="J148" s="385"/>
      <c r="K148" s="391"/>
      <c r="L148" s="385"/>
      <c r="M148" s="391"/>
      <c r="N148" s="385"/>
      <c r="O148" s="190"/>
    </row>
    <row r="149" spans="3:15" ht="16" x14ac:dyDescent="0.2">
      <c r="C149" s="119">
        <v>17</v>
      </c>
      <c r="D149" s="383"/>
      <c r="E149" s="389"/>
      <c r="F149" s="384"/>
      <c r="G149" s="33"/>
      <c r="H149" s="316"/>
      <c r="I149" s="390"/>
      <c r="J149" s="385"/>
      <c r="K149" s="391"/>
      <c r="L149" s="385"/>
      <c r="M149" s="391"/>
      <c r="N149" s="385"/>
      <c r="O149" s="190"/>
    </row>
    <row r="150" spans="3:15" ht="16" x14ac:dyDescent="0.2">
      <c r="C150" s="119">
        <v>18</v>
      </c>
      <c r="D150" s="383"/>
      <c r="E150" s="389"/>
      <c r="F150" s="394"/>
      <c r="G150" s="229"/>
      <c r="H150" s="394"/>
      <c r="I150" s="391"/>
      <c r="J150" s="385"/>
      <c r="K150" s="391"/>
      <c r="L150" s="385"/>
      <c r="M150" s="391"/>
      <c r="N150" s="385"/>
      <c r="O150" s="190"/>
    </row>
    <row r="151" spans="3:15" ht="16" x14ac:dyDescent="0.2">
      <c r="C151" s="119">
        <v>19</v>
      </c>
      <c r="D151" s="383"/>
      <c r="E151" s="389"/>
      <c r="F151" s="385"/>
      <c r="G151" s="391"/>
      <c r="H151" s="385"/>
      <c r="I151" s="391"/>
      <c r="J151" s="385"/>
      <c r="K151" s="391"/>
      <c r="L151" s="403"/>
      <c r="M151" s="391"/>
      <c r="N151" s="385"/>
      <c r="O151" s="190"/>
    </row>
    <row r="152" spans="3:15" ht="16" x14ac:dyDescent="0.2">
      <c r="C152" s="119">
        <v>20</v>
      </c>
      <c r="D152" s="383"/>
      <c r="E152" s="389"/>
      <c r="F152" s="385"/>
      <c r="G152" s="391"/>
      <c r="H152" s="385"/>
      <c r="I152" s="391"/>
      <c r="J152" s="385"/>
      <c r="K152" s="391"/>
      <c r="L152" s="403"/>
      <c r="M152" s="391"/>
      <c r="N152" s="385"/>
      <c r="O152" s="190"/>
    </row>
    <row r="153" spans="3:15" ht="16" x14ac:dyDescent="0.2">
      <c r="C153" s="119">
        <v>21</v>
      </c>
      <c r="D153" s="383"/>
      <c r="E153" s="389"/>
      <c r="F153" s="385"/>
      <c r="G153" s="391"/>
      <c r="H153" s="385"/>
      <c r="I153" s="391"/>
      <c r="J153" s="385"/>
      <c r="K153" s="391"/>
      <c r="L153" s="385"/>
      <c r="M153" s="391"/>
      <c r="N153" s="385"/>
      <c r="O153" s="190"/>
    </row>
    <row r="154" spans="3:15" ht="16" x14ac:dyDescent="0.2">
      <c r="C154" s="119">
        <v>22</v>
      </c>
      <c r="D154" s="383"/>
      <c r="E154" s="389"/>
      <c r="F154" s="385"/>
      <c r="G154" s="391"/>
      <c r="H154" s="385"/>
      <c r="I154" s="391"/>
      <c r="J154" s="385"/>
      <c r="K154" s="391"/>
      <c r="L154" s="385"/>
      <c r="M154" s="391"/>
      <c r="N154" s="385"/>
      <c r="O154" s="190"/>
    </row>
    <row r="155" spans="3:15" ht="16" x14ac:dyDescent="0.2">
      <c r="C155" s="119">
        <v>23</v>
      </c>
      <c r="D155" s="383"/>
      <c r="E155" s="389"/>
      <c r="F155" s="385"/>
      <c r="G155" s="391"/>
      <c r="H155" s="385"/>
      <c r="I155" s="391"/>
      <c r="J155" s="385"/>
      <c r="K155" s="391"/>
      <c r="L155" s="385"/>
      <c r="M155" s="391"/>
      <c r="N155" s="385"/>
      <c r="O155" s="190"/>
    </row>
    <row r="156" spans="3:15" ht="16" x14ac:dyDescent="0.2">
      <c r="C156" s="119">
        <v>24</v>
      </c>
      <c r="D156" s="383"/>
      <c r="E156" s="389"/>
      <c r="F156" s="385"/>
      <c r="G156" s="391"/>
      <c r="H156" s="385"/>
      <c r="I156" s="391"/>
      <c r="J156" s="385"/>
      <c r="K156" s="391"/>
      <c r="L156" s="385"/>
      <c r="M156" s="391"/>
      <c r="N156" s="385"/>
      <c r="O156" s="190"/>
    </row>
    <row r="157" spans="3:15" ht="16" x14ac:dyDescent="0.2">
      <c r="C157" s="119">
        <v>25</v>
      </c>
      <c r="D157" s="383"/>
      <c r="E157" s="389"/>
      <c r="F157" s="385"/>
      <c r="G157" s="391"/>
      <c r="H157" s="385"/>
      <c r="I157" s="391"/>
      <c r="J157" s="385"/>
      <c r="K157" s="391"/>
      <c r="L157" s="385"/>
      <c r="M157" s="391"/>
      <c r="N157" s="385"/>
      <c r="O157" s="190"/>
    </row>
    <row r="158" spans="3:15" ht="16" x14ac:dyDescent="0.2">
      <c r="C158" s="119">
        <v>26</v>
      </c>
      <c r="D158" s="383"/>
      <c r="E158" s="389"/>
      <c r="F158" s="385"/>
      <c r="G158" s="391"/>
      <c r="H158" s="385"/>
      <c r="I158" s="391"/>
      <c r="J158" s="385"/>
      <c r="K158" s="391"/>
      <c r="L158" s="385"/>
      <c r="M158" s="391"/>
      <c r="N158" s="385"/>
      <c r="O158" s="190"/>
    </row>
    <row r="159" spans="3:15" ht="16" x14ac:dyDescent="0.2">
      <c r="C159" s="119">
        <v>27</v>
      </c>
      <c r="D159" s="383"/>
      <c r="E159" s="389"/>
      <c r="F159" s="385"/>
      <c r="G159" s="391"/>
      <c r="H159" s="385"/>
      <c r="I159" s="391"/>
      <c r="J159" s="385"/>
      <c r="K159" s="391"/>
      <c r="L159" s="385"/>
      <c r="M159" s="391"/>
      <c r="N159" s="385"/>
      <c r="O159" s="190"/>
    </row>
    <row r="160" spans="3:15" ht="16" x14ac:dyDescent="0.2">
      <c r="C160" s="119">
        <v>28</v>
      </c>
      <c r="D160" s="383"/>
      <c r="E160" s="389"/>
      <c r="F160" s="385"/>
      <c r="G160" s="391"/>
      <c r="H160" s="385"/>
      <c r="I160" s="391"/>
      <c r="J160" s="385"/>
      <c r="K160" s="391"/>
      <c r="L160" s="385"/>
      <c r="M160" s="391"/>
      <c r="N160" s="385"/>
      <c r="O160" s="190"/>
    </row>
    <row r="161" spans="2:15" ht="16" x14ac:dyDescent="0.2">
      <c r="C161" s="119">
        <v>29</v>
      </c>
      <c r="D161" s="383"/>
      <c r="E161" s="389"/>
      <c r="F161" s="385"/>
      <c r="G161" s="391"/>
      <c r="H161" s="385"/>
      <c r="I161" s="391"/>
      <c r="J161" s="385"/>
      <c r="K161" s="391"/>
      <c r="L161" s="385"/>
      <c r="M161" s="391"/>
      <c r="N161" s="385"/>
      <c r="O161" s="190"/>
    </row>
    <row r="162" spans="2:15" ht="16" x14ac:dyDescent="0.2">
      <c r="C162" s="119">
        <v>30</v>
      </c>
      <c r="D162" s="383"/>
      <c r="E162" s="389"/>
      <c r="F162" s="385"/>
      <c r="G162" s="391"/>
      <c r="H162" s="385"/>
      <c r="I162" s="391"/>
      <c r="J162" s="385"/>
      <c r="K162" s="391"/>
      <c r="L162" s="385"/>
      <c r="M162" s="391"/>
      <c r="N162" s="385"/>
      <c r="O162" s="190"/>
    </row>
    <row r="163" spans="2:15" ht="16" x14ac:dyDescent="0.2">
      <c r="C163" s="120">
        <v>31</v>
      </c>
      <c r="D163" s="383"/>
      <c r="E163" s="389"/>
      <c r="F163" s="384"/>
      <c r="G163" s="390"/>
      <c r="H163" s="384"/>
      <c r="I163" s="390"/>
      <c r="J163" s="384"/>
      <c r="K163" s="390"/>
      <c r="L163" s="384"/>
      <c r="M163" s="390"/>
      <c r="N163" s="384"/>
      <c r="O163" s="190"/>
    </row>
    <row r="164" spans="2:15" ht="16" x14ac:dyDescent="0.2">
      <c r="B164" s="256"/>
      <c r="C164" s="377">
        <v>32</v>
      </c>
      <c r="D164" s="384"/>
      <c r="E164" s="390"/>
      <c r="F164" s="384"/>
      <c r="G164" s="390"/>
      <c r="H164" s="384"/>
      <c r="I164" s="390"/>
      <c r="J164" s="384"/>
      <c r="K164" s="390"/>
      <c r="L164" s="384"/>
      <c r="M164" s="390"/>
      <c r="N164" s="384"/>
      <c r="O164" s="190"/>
    </row>
    <row r="165" spans="2:15" ht="16" x14ac:dyDescent="0.2">
      <c r="B165" s="256"/>
      <c r="C165" s="119">
        <v>33</v>
      </c>
      <c r="D165" s="385"/>
      <c r="E165" s="391"/>
      <c r="F165" s="385"/>
      <c r="G165" s="391"/>
      <c r="H165" s="385"/>
      <c r="I165" s="391"/>
      <c r="J165" s="385"/>
      <c r="K165" s="391"/>
      <c r="L165" s="385"/>
      <c r="M165" s="391"/>
      <c r="N165" s="385"/>
      <c r="O165" s="190"/>
    </row>
    <row r="166" spans="2:15" ht="16" x14ac:dyDescent="0.2">
      <c r="B166" s="256"/>
      <c r="C166" s="119">
        <v>34</v>
      </c>
      <c r="D166" s="385"/>
      <c r="E166" s="391"/>
      <c r="F166" s="385"/>
      <c r="G166" s="391"/>
      <c r="H166" s="385"/>
      <c r="I166" s="391"/>
      <c r="J166" s="385"/>
      <c r="K166" s="391"/>
      <c r="L166" s="385"/>
      <c r="M166" s="391"/>
      <c r="N166" s="385"/>
      <c r="O166" s="190"/>
    </row>
    <row r="167" spans="2:15" ht="16" x14ac:dyDescent="0.2">
      <c r="B167" s="256"/>
      <c r="C167" s="119">
        <v>35</v>
      </c>
      <c r="D167" s="385"/>
      <c r="E167" s="391"/>
      <c r="F167" s="385"/>
      <c r="G167" s="391"/>
      <c r="H167" s="385"/>
      <c r="I167" s="391"/>
      <c r="J167" s="385"/>
      <c r="K167" s="391"/>
      <c r="L167" s="385"/>
      <c r="M167" s="391"/>
      <c r="N167" s="385"/>
      <c r="O167" s="190"/>
    </row>
    <row r="168" spans="2:15" ht="16" x14ac:dyDescent="0.2">
      <c r="B168" s="256"/>
      <c r="C168" s="119">
        <v>36</v>
      </c>
      <c r="D168" s="385"/>
      <c r="E168" s="391"/>
      <c r="F168" s="385"/>
      <c r="G168" s="391"/>
      <c r="H168" s="385"/>
      <c r="I168" s="391"/>
      <c r="J168" s="385"/>
      <c r="K168" s="391"/>
      <c r="L168" s="385"/>
      <c r="M168" s="391"/>
      <c r="N168" s="385"/>
      <c r="O168" s="190"/>
    </row>
    <row r="169" spans="2:15" ht="17" thickBot="1" x14ac:dyDescent="0.25">
      <c r="B169" s="256"/>
      <c r="C169" s="378">
        <v>37</v>
      </c>
      <c r="D169" s="386"/>
      <c r="E169" s="392"/>
      <c r="F169" s="386"/>
      <c r="G169" s="392"/>
      <c r="H169" s="386"/>
      <c r="I169" s="392"/>
      <c r="J169" s="386"/>
      <c r="K169" s="392"/>
      <c r="L169" s="386"/>
      <c r="M169" s="392"/>
      <c r="N169" s="386"/>
      <c r="O169" s="190"/>
    </row>
    <row r="170" spans="2:15" ht="17" thickBot="1" x14ac:dyDescent="0.25">
      <c r="C170" s="825" t="s">
        <v>19</v>
      </c>
      <c r="D170" s="826"/>
      <c r="E170" s="380"/>
      <c r="F170" s="376">
        <f>(F133+F134+F135+F136+F137+F138+F154+F141+F142+F139+F140+F143+F144+F145+F146+F147+F148+F149+F150+F151+F152+F153+F155+F156+F158+F159+F160+F161+F162+F163+F164+F165+F166+F169)/2</f>
        <v>63</v>
      </c>
      <c r="G170" s="397">
        <f>(G133+G134+G135+G136+G137+G154+G138+G142+G141+G139+G140+G143+G144+G145+G146+G147+G148+G149+G150+G151+G152+G153+G155+G156+G158+G159+G160+G161+G162+G163+G164+G165)/2</f>
        <v>42</v>
      </c>
      <c r="H170" s="399">
        <f>(H133+H134+H135+H136+H137+H138+H154+H157+H141+H142+H139+H140+H143+H144+H145+H146+H147+H148+H149+H150+H151+H152+H153+H155+H156+H158+H159+H160+H161+H162+H163+H164+H165+H166+H169)/2</f>
        <v>28</v>
      </c>
      <c r="I170" s="398">
        <f>(I133+I134+I135+I136+I137+I167+I168+I138+I154+I141+I157+I142+I139+I140+I143+I144+I145+I146+I147+I148+I149+I150+I151+I152+I153+I155+I156+I158+I159+I160+I161+I162+I163+I164+I165+I166+I169)/2</f>
        <v>44</v>
      </c>
      <c r="J170" s="376">
        <f>(J133+J134+J135+J136+J137+J138+J142+J139+J141+J140+J157+J143+J144+J145+J146+J147+J148+J149+J150+J151+J152+J153+J154+J155+J156+J158+J159+J160+J161+J162+J163+J164+J165)/2</f>
        <v>44</v>
      </c>
      <c r="K170" s="397">
        <f>(K133+K134+K135+K136+K137+K138+K142+K139+K140+K143+K144+K145+K146+K147+K148+K149+K150+K151+K152+K153+K155+K156+K158+K159+K160+K161+K162+K163+K164+K165+K154)</f>
        <v>0</v>
      </c>
      <c r="L170" s="399">
        <f>SUM(L133:L169)</f>
        <v>0</v>
      </c>
      <c r="M170" s="398">
        <f>(M133+M134+M135+M136+M137+M138+M142+M141+M139+M140+M143+M144+M145+M146+M147+M148+M149+M150+M151+M152+M153+M155+M156+M158+M159+M160+M161+M162+M163+M164+M165)/2</f>
        <v>0</v>
      </c>
      <c r="N170" s="376"/>
      <c r="O170" s="41"/>
    </row>
    <row r="171" spans="2:15" ht="17" thickBot="1" x14ac:dyDescent="0.25">
      <c r="C171" s="825" t="s">
        <v>91</v>
      </c>
      <c r="D171" s="826"/>
      <c r="E171" s="381">
        <f>SUM(F170:J170)</f>
        <v>221</v>
      </c>
    </row>
    <row r="172" spans="2:15" ht="16" thickBot="1" x14ac:dyDescent="0.25"/>
    <row r="173" spans="2:15" ht="17" thickBot="1" x14ac:dyDescent="0.25">
      <c r="C173" s="17"/>
      <c r="D173" s="379" t="s">
        <v>83</v>
      </c>
      <c r="E173" s="818" t="s">
        <v>66</v>
      </c>
      <c r="F173" s="819"/>
      <c r="G173" s="819"/>
      <c r="H173" s="819"/>
      <c r="I173" s="819"/>
      <c r="J173" s="400" t="s">
        <v>76</v>
      </c>
      <c r="K173" s="820">
        <v>45659</v>
      </c>
      <c r="L173" s="821"/>
      <c r="M173" s="821"/>
      <c r="N173" s="821"/>
      <c r="O173" s="822"/>
    </row>
    <row r="174" spans="2:15" ht="16" thickBot="1" x14ac:dyDescent="0.25">
      <c r="B174" s="175" t="s">
        <v>76</v>
      </c>
      <c r="C174" s="175" t="s">
        <v>77</v>
      </c>
      <c r="D174" s="823" t="s">
        <v>122</v>
      </c>
      <c r="E174" s="824"/>
      <c r="F174" s="175" t="s">
        <v>104</v>
      </c>
      <c r="G174" s="395" t="s">
        <v>86</v>
      </c>
      <c r="H174" s="175" t="s">
        <v>88</v>
      </c>
      <c r="I174" s="395" t="s">
        <v>87</v>
      </c>
      <c r="J174" s="401" t="s">
        <v>85</v>
      </c>
      <c r="K174" s="395" t="s">
        <v>123</v>
      </c>
      <c r="L174" s="175" t="s">
        <v>124</v>
      </c>
      <c r="M174" s="395" t="s">
        <v>100</v>
      </c>
      <c r="N174" s="175" t="s">
        <v>213</v>
      </c>
      <c r="O174" s="404" t="s">
        <v>125</v>
      </c>
    </row>
    <row r="175" spans="2:15" ht="16" thickBot="1" x14ac:dyDescent="0.25">
      <c r="B175" s="176">
        <f>K173</f>
        <v>45659</v>
      </c>
      <c r="C175" s="374"/>
      <c r="D175" s="375" t="s">
        <v>126</v>
      </c>
      <c r="E175" s="387" t="s">
        <v>127</v>
      </c>
      <c r="F175" s="331">
        <v>4</v>
      </c>
      <c r="G175" s="237">
        <v>3</v>
      </c>
      <c r="H175" s="331">
        <v>0</v>
      </c>
      <c r="I175" s="237">
        <v>0</v>
      </c>
      <c r="J175" s="331">
        <v>5</v>
      </c>
      <c r="K175" s="231"/>
      <c r="L175" s="125"/>
      <c r="M175" s="231"/>
      <c r="N175" s="125"/>
      <c r="O175" s="326"/>
    </row>
    <row r="176" spans="2:15" ht="16" x14ac:dyDescent="0.2">
      <c r="C176" s="118">
        <v>1</v>
      </c>
      <c r="D176" s="382">
        <v>0.85416666666666663</v>
      </c>
      <c r="E176" s="388">
        <v>0.875</v>
      </c>
      <c r="F176" s="393"/>
      <c r="G176" s="396">
        <v>28</v>
      </c>
      <c r="H176" s="393"/>
      <c r="I176" s="396"/>
      <c r="J176" s="393"/>
      <c r="K176" s="396"/>
      <c r="L176" s="393"/>
      <c r="M176" s="396"/>
      <c r="N176" s="393"/>
      <c r="O176" s="190"/>
    </row>
    <row r="177" spans="3:15" ht="16" x14ac:dyDescent="0.2">
      <c r="C177" s="119">
        <v>2</v>
      </c>
      <c r="D177" s="383">
        <v>0.875</v>
      </c>
      <c r="E177" s="389">
        <v>0.87708333333333333</v>
      </c>
      <c r="F177" s="385"/>
      <c r="G177" s="391">
        <v>14</v>
      </c>
      <c r="H177" s="385"/>
      <c r="I177" s="391"/>
      <c r="J177" s="385"/>
      <c r="K177" s="391"/>
      <c r="L177" s="385"/>
      <c r="M177" s="391"/>
      <c r="N177" s="385"/>
      <c r="O177" s="190"/>
    </row>
    <row r="178" spans="3:15" ht="16" x14ac:dyDescent="0.2">
      <c r="C178" s="119">
        <v>3</v>
      </c>
      <c r="D178" s="383">
        <v>0.89583333333333337</v>
      </c>
      <c r="E178" s="389">
        <v>0.91666666666666663</v>
      </c>
      <c r="F178" s="385">
        <v>28</v>
      </c>
      <c r="G178" s="391"/>
      <c r="H178" s="385"/>
      <c r="I178" s="391"/>
      <c r="J178" s="385"/>
      <c r="K178" s="391"/>
      <c r="L178" s="384"/>
      <c r="M178" s="391"/>
      <c r="N178" s="385"/>
      <c r="O178" s="190"/>
    </row>
    <row r="179" spans="3:15" ht="16" x14ac:dyDescent="0.2">
      <c r="C179" s="119">
        <v>4</v>
      </c>
      <c r="D179" s="383">
        <v>0.91666666666666663</v>
      </c>
      <c r="E179" s="389">
        <v>0.9375</v>
      </c>
      <c r="F179" s="385">
        <v>28</v>
      </c>
      <c r="G179" s="391"/>
      <c r="H179" s="316"/>
      <c r="I179" s="391"/>
      <c r="J179" s="385"/>
      <c r="K179" s="391"/>
      <c r="L179" s="402"/>
      <c r="M179" s="391"/>
      <c r="N179" s="385"/>
      <c r="O179" s="190"/>
    </row>
    <row r="180" spans="3:15" ht="16" x14ac:dyDescent="0.2">
      <c r="C180" s="119">
        <v>5</v>
      </c>
      <c r="D180" s="383">
        <v>0.9375</v>
      </c>
      <c r="E180" s="389">
        <v>0.95833333333333337</v>
      </c>
      <c r="F180" s="385"/>
      <c r="G180" s="391"/>
      <c r="H180" s="316"/>
      <c r="I180" s="391"/>
      <c r="J180" s="385">
        <v>36</v>
      </c>
      <c r="K180" s="391"/>
      <c r="L180" s="393"/>
      <c r="M180" s="391"/>
      <c r="N180" s="385"/>
      <c r="O180" s="190"/>
    </row>
    <row r="181" spans="3:15" ht="16" x14ac:dyDescent="0.2">
      <c r="C181" s="119">
        <v>6</v>
      </c>
      <c r="D181" s="383">
        <v>0.95833333333333337</v>
      </c>
      <c r="E181" s="389">
        <v>0.97916666666666663</v>
      </c>
      <c r="F181" s="385"/>
      <c r="G181" s="391"/>
      <c r="H181" s="316"/>
      <c r="I181" s="391"/>
      <c r="J181" s="385">
        <v>36</v>
      </c>
      <c r="K181" s="391"/>
      <c r="L181" s="393"/>
      <c r="M181" s="391"/>
      <c r="N181" s="385"/>
      <c r="O181" s="190"/>
    </row>
    <row r="182" spans="3:15" ht="16" x14ac:dyDescent="0.2">
      <c r="C182" s="119">
        <v>7</v>
      </c>
      <c r="D182" s="383">
        <v>0.97916666666666663</v>
      </c>
      <c r="E182" s="389">
        <v>0</v>
      </c>
      <c r="F182" s="385"/>
      <c r="G182" s="391"/>
      <c r="H182" s="316"/>
      <c r="I182" s="391"/>
      <c r="J182" s="385">
        <v>18</v>
      </c>
      <c r="K182" s="391"/>
      <c r="L182" s="393"/>
      <c r="M182" s="391"/>
      <c r="N182" s="385"/>
      <c r="O182" s="190"/>
    </row>
    <row r="183" spans="3:15" ht="16" x14ac:dyDescent="0.2">
      <c r="C183" s="119">
        <v>8</v>
      </c>
      <c r="D183" s="383"/>
      <c r="E183" s="389"/>
      <c r="F183" s="385"/>
      <c r="G183" s="391"/>
      <c r="H183" s="316"/>
      <c r="I183" s="391"/>
      <c r="J183" s="385"/>
      <c r="K183" s="391"/>
      <c r="L183" s="385"/>
      <c r="M183" s="391"/>
      <c r="N183" s="385"/>
      <c r="O183" s="190"/>
    </row>
    <row r="184" spans="3:15" ht="16" x14ac:dyDescent="0.2">
      <c r="C184" s="119">
        <v>9</v>
      </c>
      <c r="D184" s="383"/>
      <c r="E184" s="389"/>
      <c r="F184" s="385"/>
      <c r="G184" s="391"/>
      <c r="H184" s="316"/>
      <c r="I184" s="391"/>
      <c r="J184" s="385"/>
      <c r="K184" s="391"/>
      <c r="L184" s="385"/>
      <c r="M184" s="391"/>
      <c r="N184" s="385"/>
      <c r="O184" s="190"/>
    </row>
    <row r="185" spans="3:15" ht="16" x14ac:dyDescent="0.2">
      <c r="C185" s="119">
        <v>10</v>
      </c>
      <c r="D185" s="383"/>
      <c r="E185" s="389"/>
      <c r="F185" s="385"/>
      <c r="G185" s="391"/>
      <c r="H185" s="316"/>
      <c r="I185" s="391"/>
      <c r="J185" s="385"/>
      <c r="K185" s="391"/>
      <c r="L185" s="385"/>
      <c r="M185" s="391"/>
      <c r="N185" s="385"/>
      <c r="O185" s="190"/>
    </row>
    <row r="186" spans="3:15" ht="16" x14ac:dyDescent="0.2">
      <c r="C186" s="119">
        <v>11</v>
      </c>
      <c r="D186" s="383"/>
      <c r="E186" s="389"/>
      <c r="F186" s="385"/>
      <c r="G186" s="391"/>
      <c r="H186" s="316"/>
      <c r="I186" s="391"/>
      <c r="J186" s="28"/>
      <c r="K186" s="391"/>
      <c r="L186" s="385"/>
      <c r="M186" s="391"/>
      <c r="N186" s="385"/>
      <c r="O186" s="190"/>
    </row>
    <row r="187" spans="3:15" ht="16" x14ac:dyDescent="0.2">
      <c r="C187" s="193">
        <v>12</v>
      </c>
      <c r="D187" s="383"/>
      <c r="E187" s="389"/>
      <c r="F187" s="385"/>
      <c r="G187" s="391"/>
      <c r="H187" s="316"/>
      <c r="I187" s="391"/>
      <c r="J187" s="385"/>
      <c r="K187" s="391"/>
      <c r="L187" s="385"/>
      <c r="M187" s="391"/>
      <c r="N187" s="385"/>
      <c r="O187" s="190"/>
    </row>
    <row r="188" spans="3:15" ht="16" x14ac:dyDescent="0.2">
      <c r="C188" s="119">
        <v>13</v>
      </c>
      <c r="D188" s="383"/>
      <c r="E188" s="389"/>
      <c r="F188" s="385"/>
      <c r="G188" s="391"/>
      <c r="H188" s="316"/>
      <c r="I188" s="391"/>
      <c r="J188" s="385"/>
      <c r="K188" s="391"/>
      <c r="L188" s="385"/>
      <c r="M188" s="391"/>
      <c r="N188" s="385"/>
      <c r="O188" s="190"/>
    </row>
    <row r="189" spans="3:15" ht="16" x14ac:dyDescent="0.2">
      <c r="C189" s="119">
        <v>14</v>
      </c>
      <c r="D189" s="383"/>
      <c r="E189" s="389"/>
      <c r="F189" s="385"/>
      <c r="G189" s="391"/>
      <c r="H189" s="316"/>
      <c r="I189" s="391"/>
      <c r="J189" s="385"/>
      <c r="K189" s="391"/>
      <c r="L189" s="385"/>
      <c r="M189" s="391"/>
      <c r="N189" s="385"/>
      <c r="O189" s="190"/>
    </row>
    <row r="190" spans="3:15" ht="16" x14ac:dyDescent="0.2">
      <c r="C190" s="119">
        <v>15</v>
      </c>
      <c r="D190" s="383"/>
      <c r="E190" s="389"/>
      <c r="F190" s="385"/>
      <c r="G190" s="391"/>
      <c r="H190" s="316"/>
      <c r="I190" s="391"/>
      <c r="J190" s="385"/>
      <c r="K190" s="391"/>
      <c r="L190" s="385"/>
      <c r="M190" s="391"/>
      <c r="N190" s="385"/>
      <c r="O190" s="190"/>
    </row>
    <row r="191" spans="3:15" ht="16" x14ac:dyDescent="0.2">
      <c r="C191" s="119">
        <v>16</v>
      </c>
      <c r="D191" s="383"/>
      <c r="E191" s="389"/>
      <c r="F191" s="385"/>
      <c r="G191" s="391"/>
      <c r="H191" s="316"/>
      <c r="I191" s="391"/>
      <c r="J191" s="385"/>
      <c r="K191" s="391"/>
      <c r="L191" s="385"/>
      <c r="M191" s="391"/>
      <c r="N191" s="385"/>
      <c r="O191" s="190"/>
    </row>
    <row r="192" spans="3:15" ht="16" x14ac:dyDescent="0.2">
      <c r="C192" s="119">
        <v>17</v>
      </c>
      <c r="D192" s="383"/>
      <c r="E192" s="389"/>
      <c r="F192" s="384"/>
      <c r="G192" s="33"/>
      <c r="H192" s="316"/>
      <c r="I192" s="390"/>
      <c r="J192" s="385"/>
      <c r="K192" s="391"/>
      <c r="L192" s="385"/>
      <c r="M192" s="391"/>
      <c r="N192" s="385"/>
      <c r="O192" s="190"/>
    </row>
    <row r="193" spans="2:15" ht="16" x14ac:dyDescent="0.2">
      <c r="C193" s="119">
        <v>18</v>
      </c>
      <c r="D193" s="383"/>
      <c r="E193" s="389"/>
      <c r="F193" s="394"/>
      <c r="G193" s="229"/>
      <c r="H193" s="394"/>
      <c r="I193" s="391"/>
      <c r="J193" s="385"/>
      <c r="K193" s="391"/>
      <c r="L193" s="385"/>
      <c r="M193" s="391"/>
      <c r="N193" s="385"/>
      <c r="O193" s="190"/>
    </row>
    <row r="194" spans="2:15" ht="16" x14ac:dyDescent="0.2">
      <c r="C194" s="119">
        <v>19</v>
      </c>
      <c r="D194" s="383"/>
      <c r="E194" s="389"/>
      <c r="F194" s="385"/>
      <c r="G194" s="391"/>
      <c r="H194" s="385"/>
      <c r="I194" s="391"/>
      <c r="J194" s="385"/>
      <c r="K194" s="391"/>
      <c r="L194" s="403"/>
      <c r="M194" s="391"/>
      <c r="N194" s="385"/>
      <c r="O194" s="190"/>
    </row>
    <row r="195" spans="2:15" ht="16" x14ac:dyDescent="0.2">
      <c r="C195" s="119">
        <v>20</v>
      </c>
      <c r="D195" s="383"/>
      <c r="E195" s="389"/>
      <c r="F195" s="385"/>
      <c r="G195" s="391"/>
      <c r="H195" s="385"/>
      <c r="I195" s="391"/>
      <c r="J195" s="385"/>
      <c r="K195" s="391"/>
      <c r="L195" s="403"/>
      <c r="M195" s="391"/>
      <c r="N195" s="385"/>
      <c r="O195" s="190"/>
    </row>
    <row r="196" spans="2:15" ht="16" x14ac:dyDescent="0.2">
      <c r="C196" s="119">
        <v>21</v>
      </c>
      <c r="D196" s="383"/>
      <c r="E196" s="389"/>
      <c r="F196" s="385"/>
      <c r="G196" s="391"/>
      <c r="H196" s="385"/>
      <c r="I196" s="391"/>
      <c r="J196" s="385"/>
      <c r="K196" s="391"/>
      <c r="L196" s="385"/>
      <c r="M196" s="391"/>
      <c r="N196" s="385"/>
      <c r="O196" s="190"/>
    </row>
    <row r="197" spans="2:15" ht="16" x14ac:dyDescent="0.2">
      <c r="C197" s="119">
        <v>22</v>
      </c>
      <c r="D197" s="383"/>
      <c r="E197" s="389"/>
      <c r="F197" s="385"/>
      <c r="G197" s="391"/>
      <c r="H197" s="385"/>
      <c r="I197" s="391"/>
      <c r="J197" s="385"/>
      <c r="K197" s="391"/>
      <c r="L197" s="385"/>
      <c r="M197" s="391"/>
      <c r="N197" s="385"/>
      <c r="O197" s="190"/>
    </row>
    <row r="198" spans="2:15" ht="16" x14ac:dyDescent="0.2">
      <c r="C198" s="119">
        <v>23</v>
      </c>
      <c r="D198" s="383"/>
      <c r="E198" s="389"/>
      <c r="F198" s="385"/>
      <c r="G198" s="391"/>
      <c r="H198" s="385"/>
      <c r="I198" s="391"/>
      <c r="J198" s="385"/>
      <c r="K198" s="391"/>
      <c r="L198" s="385"/>
      <c r="M198" s="391"/>
      <c r="N198" s="385"/>
      <c r="O198" s="190"/>
    </row>
    <row r="199" spans="2:15" ht="16" x14ac:dyDescent="0.2">
      <c r="C199" s="119">
        <v>24</v>
      </c>
      <c r="D199" s="383"/>
      <c r="E199" s="389"/>
      <c r="F199" s="385"/>
      <c r="G199" s="391"/>
      <c r="H199" s="385"/>
      <c r="I199" s="391"/>
      <c r="J199" s="385"/>
      <c r="K199" s="391"/>
      <c r="L199" s="385"/>
      <c r="M199" s="391"/>
      <c r="N199" s="385"/>
      <c r="O199" s="190"/>
    </row>
    <row r="200" spans="2:15" ht="16" x14ac:dyDescent="0.2">
      <c r="C200" s="119">
        <v>25</v>
      </c>
      <c r="D200" s="383"/>
      <c r="E200" s="389"/>
      <c r="F200" s="385"/>
      <c r="G200" s="391"/>
      <c r="H200" s="385"/>
      <c r="I200" s="391"/>
      <c r="J200" s="385"/>
      <c r="K200" s="391"/>
      <c r="L200" s="385"/>
      <c r="M200" s="391"/>
      <c r="N200" s="385"/>
      <c r="O200" s="190"/>
    </row>
    <row r="201" spans="2:15" ht="16" x14ac:dyDescent="0.2">
      <c r="C201" s="119">
        <v>26</v>
      </c>
      <c r="D201" s="383"/>
      <c r="E201" s="389"/>
      <c r="F201" s="385"/>
      <c r="G201" s="391"/>
      <c r="H201" s="385"/>
      <c r="I201" s="391"/>
      <c r="J201" s="385"/>
      <c r="K201" s="391"/>
      <c r="L201" s="385"/>
      <c r="M201" s="391"/>
      <c r="N201" s="385"/>
      <c r="O201" s="190"/>
    </row>
    <row r="202" spans="2:15" ht="16" x14ac:dyDescent="0.2">
      <c r="C202" s="119">
        <v>27</v>
      </c>
      <c r="D202" s="383"/>
      <c r="E202" s="389"/>
      <c r="F202" s="385"/>
      <c r="G202" s="391"/>
      <c r="H202" s="385"/>
      <c r="I202" s="391"/>
      <c r="J202" s="385"/>
      <c r="K202" s="391"/>
      <c r="L202" s="385"/>
      <c r="M202" s="391"/>
      <c r="N202" s="385"/>
      <c r="O202" s="190"/>
    </row>
    <row r="203" spans="2:15" ht="16" x14ac:dyDescent="0.2">
      <c r="C203" s="119">
        <v>28</v>
      </c>
      <c r="D203" s="383"/>
      <c r="E203" s="389"/>
      <c r="F203" s="385"/>
      <c r="G203" s="391"/>
      <c r="H203" s="385"/>
      <c r="I203" s="391"/>
      <c r="J203" s="385"/>
      <c r="K203" s="391"/>
      <c r="L203" s="385"/>
      <c r="M203" s="391"/>
      <c r="N203" s="385"/>
      <c r="O203" s="190"/>
    </row>
    <row r="204" spans="2:15" ht="16" x14ac:dyDescent="0.2">
      <c r="C204" s="119">
        <v>29</v>
      </c>
      <c r="D204" s="383"/>
      <c r="E204" s="389"/>
      <c r="F204" s="385"/>
      <c r="G204" s="391"/>
      <c r="H204" s="385"/>
      <c r="I204" s="391"/>
      <c r="J204" s="385"/>
      <c r="K204" s="391"/>
      <c r="L204" s="385"/>
      <c r="M204" s="391"/>
      <c r="N204" s="385"/>
      <c r="O204" s="190"/>
    </row>
    <row r="205" spans="2:15" ht="16" x14ac:dyDescent="0.2">
      <c r="C205" s="119">
        <v>30</v>
      </c>
      <c r="D205" s="383"/>
      <c r="E205" s="389"/>
      <c r="F205" s="385"/>
      <c r="G205" s="391"/>
      <c r="H205" s="385"/>
      <c r="I205" s="391"/>
      <c r="J205" s="385"/>
      <c r="K205" s="391"/>
      <c r="L205" s="385"/>
      <c r="M205" s="391"/>
      <c r="N205" s="385"/>
      <c r="O205" s="190"/>
    </row>
    <row r="206" spans="2:15" ht="16" x14ac:dyDescent="0.2">
      <c r="C206" s="120">
        <v>31</v>
      </c>
      <c r="D206" s="383"/>
      <c r="E206" s="389"/>
      <c r="F206" s="384"/>
      <c r="G206" s="390"/>
      <c r="H206" s="384"/>
      <c r="I206" s="390"/>
      <c r="J206" s="384"/>
      <c r="K206" s="390"/>
      <c r="L206" s="384"/>
      <c r="M206" s="390"/>
      <c r="N206" s="384"/>
      <c r="O206" s="190"/>
    </row>
    <row r="207" spans="2:15" ht="16" x14ac:dyDescent="0.2">
      <c r="B207" s="256"/>
      <c r="C207" s="377">
        <v>32</v>
      </c>
      <c r="D207" s="384"/>
      <c r="E207" s="390"/>
      <c r="F207" s="384"/>
      <c r="G207" s="390"/>
      <c r="H207" s="384"/>
      <c r="I207" s="390"/>
      <c r="J207" s="384"/>
      <c r="K207" s="390"/>
      <c r="L207" s="384"/>
      <c r="M207" s="390"/>
      <c r="N207" s="384"/>
      <c r="O207" s="190"/>
    </row>
    <row r="208" spans="2:15" ht="16" x14ac:dyDescent="0.2">
      <c r="B208" s="256"/>
      <c r="C208" s="119">
        <v>33</v>
      </c>
      <c r="D208" s="385"/>
      <c r="E208" s="391"/>
      <c r="F208" s="385"/>
      <c r="G208" s="391"/>
      <c r="H208" s="385"/>
      <c r="I208" s="391"/>
      <c r="J208" s="385"/>
      <c r="K208" s="391"/>
      <c r="L208" s="385"/>
      <c r="M208" s="391"/>
      <c r="N208" s="385"/>
      <c r="O208" s="190"/>
    </row>
    <row r="209" spans="2:15" ht="16" x14ac:dyDescent="0.2">
      <c r="B209" s="256"/>
      <c r="C209" s="119">
        <v>34</v>
      </c>
      <c r="D209" s="385"/>
      <c r="E209" s="391"/>
      <c r="F209" s="385"/>
      <c r="G209" s="391"/>
      <c r="H209" s="385"/>
      <c r="I209" s="391"/>
      <c r="J209" s="385"/>
      <c r="K209" s="391"/>
      <c r="L209" s="385"/>
      <c r="M209" s="391"/>
      <c r="N209" s="385"/>
      <c r="O209" s="190"/>
    </row>
    <row r="210" spans="2:15" ht="16" x14ac:dyDescent="0.2">
      <c r="B210" s="256"/>
      <c r="C210" s="119">
        <v>35</v>
      </c>
      <c r="D210" s="385"/>
      <c r="E210" s="391"/>
      <c r="F210" s="385"/>
      <c r="G210" s="391"/>
      <c r="H210" s="385"/>
      <c r="I210" s="391"/>
      <c r="J210" s="385"/>
      <c r="K210" s="391"/>
      <c r="L210" s="385"/>
      <c r="M210" s="391"/>
      <c r="N210" s="385"/>
      <c r="O210" s="190"/>
    </row>
    <row r="211" spans="2:15" ht="16" x14ac:dyDescent="0.2">
      <c r="B211" s="256"/>
      <c r="C211" s="119">
        <v>36</v>
      </c>
      <c r="D211" s="385"/>
      <c r="E211" s="391"/>
      <c r="F211" s="385"/>
      <c r="G211" s="391"/>
      <c r="H211" s="385"/>
      <c r="I211" s="391"/>
      <c r="J211" s="385"/>
      <c r="K211" s="391"/>
      <c r="L211" s="385"/>
      <c r="M211" s="391"/>
      <c r="N211" s="385"/>
      <c r="O211" s="190"/>
    </row>
    <row r="212" spans="2:15" ht="17" thickBot="1" x14ac:dyDescent="0.25">
      <c r="B212" s="256"/>
      <c r="C212" s="378">
        <v>37</v>
      </c>
      <c r="D212" s="386"/>
      <c r="E212" s="392"/>
      <c r="F212" s="386"/>
      <c r="G212" s="392"/>
      <c r="H212" s="386"/>
      <c r="I212" s="392"/>
      <c r="J212" s="386"/>
      <c r="K212" s="392"/>
      <c r="L212" s="386"/>
      <c r="M212" s="392"/>
      <c r="N212" s="386"/>
      <c r="O212" s="190"/>
    </row>
    <row r="213" spans="2:15" ht="17" thickBot="1" x14ac:dyDescent="0.25">
      <c r="C213" s="825" t="s">
        <v>19</v>
      </c>
      <c r="D213" s="826"/>
      <c r="E213" s="380"/>
      <c r="F213" s="376">
        <f>(F176+F177+F178+F179+F180+F181+F197+F184+F185+F182+F183+F186+F187+F188+F189+F190+F191+F192+F193+F194+F195+F196+F198+F199+F201+F202+F203+F204+F205+F206+F207+F208+F209+F212)/2</f>
        <v>28</v>
      </c>
      <c r="G213" s="397">
        <f>(G176+G177+G178+G179+G180+G197+G181+G185+G184+G182+G183+G186+G187+G188+G189+G190+G191+G192+G193+G194+G195+G196+G198+G199+G201+G202+G203+G204+G205+G206+G207+G208)/2</f>
        <v>21</v>
      </c>
      <c r="H213" s="399">
        <f>(H176+H177+H178+H179+H180+H181+H197+H200+H184+H185+H182+H183+H186+H187+H188+H189+H190+H191+H192+H193+H194+H195+H196+H198+H199+H201+H202+H203+H204+H205+H206+H207+H208+H209+H212)/2</f>
        <v>0</v>
      </c>
      <c r="I213" s="398">
        <f>(I176+I177+I178+I179+I180+I210+I211+I181+I197+I184+I200+I185+I182+I183+I186+I187+I188+I189+I190+I191+I192+I193+I194+I195+I196+I198+I199+I201+I202+I203+I204+I205+I206+I207+I208+I209+I212)/2</f>
        <v>0</v>
      </c>
      <c r="J213" s="376">
        <f>(J176+J177+J178+J179+J180+J181+J185+J182+J184+J183+J200+J186+J187+J188+J189+J190+J191+J192+J193+J194+J195+J196+J197+J198+J199+J201+J202+J203+J204+J205+J206+J207+J208)/2</f>
        <v>45</v>
      </c>
      <c r="K213" s="397">
        <f>(K176+K177+K178+K179+K180+K181+K185+K182+K183+K186+K187+K188+K189+K190+K191+K192+K193+K194+K195+K196+K198+K199+K201+K202+K203+K204+K205+K206+K207+K208+K197)</f>
        <v>0</v>
      </c>
      <c r="L213" s="399">
        <f>SUM(L176:L212)</f>
        <v>0</v>
      </c>
      <c r="M213" s="398">
        <f>(M176+M177+M178+M179+M180+M181+M185+M184+M182+M183+M186+M187+M188+M189+M190+M191+M192+M193+M194+M195+M196+M198+M199+M201+M202+M203+M204+M205+M206+M207+M208)/2</f>
        <v>0</v>
      </c>
      <c r="N213" s="376"/>
      <c r="O213" s="41"/>
    </row>
    <row r="214" spans="2:15" ht="17" thickBot="1" x14ac:dyDescent="0.25">
      <c r="C214" s="825" t="s">
        <v>91</v>
      </c>
      <c r="D214" s="826"/>
      <c r="E214" s="381">
        <f>SUM(F213:J213)</f>
        <v>94</v>
      </c>
    </row>
    <row r="215" spans="2:15" ht="16" thickBot="1" x14ac:dyDescent="0.25"/>
    <row r="216" spans="2:15" ht="17" thickBot="1" x14ac:dyDescent="0.25">
      <c r="C216" s="17"/>
      <c r="D216" s="379" t="s">
        <v>83</v>
      </c>
      <c r="E216" s="818" t="s">
        <v>67</v>
      </c>
      <c r="F216" s="819"/>
      <c r="G216" s="819"/>
      <c r="H216" s="819"/>
      <c r="I216" s="819"/>
      <c r="J216" s="400" t="s">
        <v>76</v>
      </c>
      <c r="K216" s="820">
        <v>45660</v>
      </c>
      <c r="L216" s="821"/>
      <c r="M216" s="821"/>
      <c r="N216" s="821"/>
      <c r="O216" s="822"/>
    </row>
    <row r="217" spans="2:15" ht="16" thickBot="1" x14ac:dyDescent="0.25">
      <c r="B217" s="175" t="s">
        <v>76</v>
      </c>
      <c r="C217" s="175" t="s">
        <v>77</v>
      </c>
      <c r="D217" s="823" t="s">
        <v>122</v>
      </c>
      <c r="E217" s="824"/>
      <c r="F217" s="175" t="s">
        <v>104</v>
      </c>
      <c r="G217" s="395" t="s">
        <v>86</v>
      </c>
      <c r="H217" s="175" t="s">
        <v>88</v>
      </c>
      <c r="I217" s="395" t="s">
        <v>87</v>
      </c>
      <c r="J217" s="401" t="s">
        <v>85</v>
      </c>
      <c r="K217" s="395" t="s">
        <v>123</v>
      </c>
      <c r="L217" s="175" t="s">
        <v>124</v>
      </c>
      <c r="M217" s="395" t="s">
        <v>100</v>
      </c>
      <c r="N217" s="175" t="s">
        <v>213</v>
      </c>
      <c r="O217" s="404" t="s">
        <v>125</v>
      </c>
    </row>
    <row r="218" spans="2:15" ht="16" thickBot="1" x14ac:dyDescent="0.25">
      <c r="B218" s="176">
        <f>K216</f>
        <v>45660</v>
      </c>
      <c r="C218" s="374"/>
      <c r="D218" s="375" t="s">
        <v>126</v>
      </c>
      <c r="E218" s="387" t="s">
        <v>127</v>
      </c>
      <c r="F218" s="331">
        <v>10</v>
      </c>
      <c r="G218" s="237">
        <v>4</v>
      </c>
      <c r="H218" s="331">
        <v>0</v>
      </c>
      <c r="I218" s="237">
        <v>3</v>
      </c>
      <c r="J218" s="331">
        <v>0</v>
      </c>
      <c r="K218" s="231"/>
      <c r="L218" s="125"/>
      <c r="M218" s="231"/>
      <c r="N218" s="125"/>
      <c r="O218" s="326"/>
    </row>
    <row r="219" spans="2:15" ht="16" x14ac:dyDescent="0.2">
      <c r="C219" s="118">
        <v>1</v>
      </c>
      <c r="D219" s="382">
        <v>0.78472222222222221</v>
      </c>
      <c r="E219" s="388">
        <v>0.80555555555555547</v>
      </c>
      <c r="F219" s="393"/>
      <c r="G219" s="396">
        <v>28</v>
      </c>
      <c r="H219" s="393"/>
      <c r="I219" s="396"/>
      <c r="J219" s="393"/>
      <c r="K219" s="396"/>
      <c r="L219" s="393"/>
      <c r="M219" s="396"/>
      <c r="N219" s="393"/>
      <c r="O219" s="190"/>
    </row>
    <row r="220" spans="2:15" ht="16" x14ac:dyDescent="0.2">
      <c r="C220" s="119">
        <v>2</v>
      </c>
      <c r="D220" s="383">
        <v>0.80555555555555547</v>
      </c>
      <c r="E220" s="389">
        <v>0.82638888888888884</v>
      </c>
      <c r="F220" s="385"/>
      <c r="G220" s="391">
        <v>28</v>
      </c>
      <c r="H220" s="385"/>
      <c r="I220" s="391"/>
      <c r="J220" s="385"/>
      <c r="K220" s="391"/>
      <c r="L220" s="385"/>
      <c r="M220" s="391"/>
      <c r="N220" s="385"/>
      <c r="O220" s="190"/>
    </row>
    <row r="221" spans="2:15" ht="16" x14ac:dyDescent="0.2">
      <c r="C221" s="119">
        <v>3</v>
      </c>
      <c r="D221" s="383">
        <v>0.82638888888888884</v>
      </c>
      <c r="E221" s="389">
        <v>0.84722222222222221</v>
      </c>
      <c r="F221" s="385">
        <v>28</v>
      </c>
      <c r="G221" s="391"/>
      <c r="H221" s="385"/>
      <c r="I221" s="391"/>
      <c r="J221" s="385"/>
      <c r="K221" s="391"/>
      <c r="L221" s="384"/>
      <c r="M221" s="391"/>
      <c r="N221" s="385"/>
      <c r="O221" s="190"/>
    </row>
    <row r="222" spans="2:15" ht="16" x14ac:dyDescent="0.2">
      <c r="C222" s="119">
        <v>4</v>
      </c>
      <c r="D222" s="383">
        <v>0.84722222222222221</v>
      </c>
      <c r="E222" s="389">
        <v>0.86805555555555547</v>
      </c>
      <c r="F222" s="385">
        <v>28</v>
      </c>
      <c r="G222" s="391"/>
      <c r="H222" s="316"/>
      <c r="I222" s="391"/>
      <c r="J222" s="385"/>
      <c r="K222" s="391"/>
      <c r="L222" s="402"/>
      <c r="M222" s="391"/>
      <c r="N222" s="385"/>
      <c r="O222" s="190"/>
    </row>
    <row r="223" spans="2:15" ht="16" x14ac:dyDescent="0.2">
      <c r="C223" s="119">
        <v>5</v>
      </c>
      <c r="D223" s="383">
        <v>0.86805555555555547</v>
      </c>
      <c r="E223" s="389">
        <v>0.88888888888888884</v>
      </c>
      <c r="F223" s="385">
        <v>28</v>
      </c>
      <c r="G223" s="391"/>
      <c r="H223" s="316"/>
      <c r="I223" s="391"/>
      <c r="J223" s="385"/>
      <c r="K223" s="391"/>
      <c r="L223" s="393"/>
      <c r="M223" s="391"/>
      <c r="N223" s="385"/>
      <c r="O223" s="190"/>
    </row>
    <row r="224" spans="2:15" ht="16" x14ac:dyDescent="0.2">
      <c r="C224" s="119">
        <v>6</v>
      </c>
      <c r="D224" s="383">
        <v>0.89583333333333337</v>
      </c>
      <c r="E224" s="389">
        <v>0.90972222222222221</v>
      </c>
      <c r="F224" s="385">
        <v>28</v>
      </c>
      <c r="G224" s="391"/>
      <c r="H224" s="316"/>
      <c r="I224" s="391"/>
      <c r="J224" s="385"/>
      <c r="K224" s="391"/>
      <c r="L224" s="393"/>
      <c r="M224" s="391"/>
      <c r="N224" s="385"/>
      <c r="O224" s="190"/>
    </row>
    <row r="225" spans="3:15" ht="16" x14ac:dyDescent="0.2">
      <c r="C225" s="119">
        <v>7</v>
      </c>
      <c r="D225" s="383">
        <v>0.90972222222222221</v>
      </c>
      <c r="E225" s="389">
        <v>0.93055555555555547</v>
      </c>
      <c r="F225" s="385">
        <v>28</v>
      </c>
      <c r="G225" s="391"/>
      <c r="H225" s="316"/>
      <c r="I225" s="391"/>
      <c r="J225" s="385"/>
      <c r="K225" s="391"/>
      <c r="L225" s="393"/>
      <c r="M225" s="391"/>
      <c r="N225" s="385"/>
      <c r="O225" s="190"/>
    </row>
    <row r="226" spans="3:15" ht="16" x14ac:dyDescent="0.2">
      <c r="C226" s="119">
        <v>8</v>
      </c>
      <c r="D226" s="383">
        <v>0.93055555555555547</v>
      </c>
      <c r="E226" s="389">
        <v>0.95138888888888884</v>
      </c>
      <c r="F226" s="385"/>
      <c r="G226" s="391"/>
      <c r="H226" s="316"/>
      <c r="I226" s="391">
        <v>44</v>
      </c>
      <c r="J226" s="385"/>
      <c r="K226" s="391"/>
      <c r="L226" s="385"/>
      <c r="M226" s="391"/>
      <c r="N226" s="385"/>
      <c r="O226" s="190"/>
    </row>
    <row r="227" spans="3:15" ht="16" x14ac:dyDescent="0.2">
      <c r="C227" s="119">
        <v>9</v>
      </c>
      <c r="D227" s="383">
        <v>0.95138888888888884</v>
      </c>
      <c r="E227" s="389">
        <v>0.97222222222222221</v>
      </c>
      <c r="F227" s="385"/>
      <c r="G227" s="391"/>
      <c r="H227" s="316"/>
      <c r="I227" s="391">
        <v>22</v>
      </c>
      <c r="J227" s="385"/>
      <c r="K227" s="391"/>
      <c r="L227" s="385"/>
      <c r="M227" s="391"/>
      <c r="N227" s="385"/>
      <c r="O227" s="190"/>
    </row>
    <row r="228" spans="3:15" ht="16" x14ac:dyDescent="0.2">
      <c r="C228" s="119">
        <v>10</v>
      </c>
      <c r="D228" s="383"/>
      <c r="E228" s="389"/>
      <c r="F228" s="385"/>
      <c r="G228" s="391"/>
      <c r="H228" s="316"/>
      <c r="I228" s="391"/>
      <c r="J228" s="385"/>
      <c r="K228" s="391"/>
      <c r="L228" s="385"/>
      <c r="M228" s="391"/>
      <c r="N228" s="385"/>
      <c r="O228" s="190"/>
    </row>
    <row r="229" spans="3:15" ht="16" x14ac:dyDescent="0.2">
      <c r="C229" s="119">
        <v>11</v>
      </c>
      <c r="D229" s="383"/>
      <c r="E229" s="389"/>
      <c r="F229" s="385"/>
      <c r="G229" s="391"/>
      <c r="H229" s="316"/>
      <c r="I229" s="391"/>
      <c r="J229" s="28"/>
      <c r="K229" s="391"/>
      <c r="L229" s="385"/>
      <c r="M229" s="391"/>
      <c r="N229" s="385"/>
      <c r="O229" s="190"/>
    </row>
    <row r="230" spans="3:15" ht="16" x14ac:dyDescent="0.2">
      <c r="C230" s="193">
        <v>12</v>
      </c>
      <c r="D230" s="383"/>
      <c r="E230" s="389"/>
      <c r="F230" s="385"/>
      <c r="G230" s="391"/>
      <c r="H230" s="316"/>
      <c r="I230" s="391"/>
      <c r="J230" s="385"/>
      <c r="K230" s="391"/>
      <c r="L230" s="385"/>
      <c r="M230" s="391"/>
      <c r="N230" s="385"/>
      <c r="O230" s="190"/>
    </row>
    <row r="231" spans="3:15" ht="16" x14ac:dyDescent="0.2">
      <c r="C231" s="119">
        <v>13</v>
      </c>
      <c r="D231" s="383"/>
      <c r="E231" s="389"/>
      <c r="F231" s="385"/>
      <c r="G231" s="391"/>
      <c r="H231" s="316"/>
      <c r="I231" s="391"/>
      <c r="J231" s="385"/>
      <c r="K231" s="391"/>
      <c r="L231" s="385"/>
      <c r="M231" s="391"/>
      <c r="N231" s="385"/>
      <c r="O231" s="190"/>
    </row>
    <row r="232" spans="3:15" ht="16" x14ac:dyDescent="0.2">
      <c r="C232" s="119">
        <v>14</v>
      </c>
      <c r="D232" s="383"/>
      <c r="E232" s="389"/>
      <c r="F232" s="385"/>
      <c r="G232" s="391"/>
      <c r="H232" s="316"/>
      <c r="I232" s="391"/>
      <c r="J232" s="385"/>
      <c r="K232" s="391"/>
      <c r="L232" s="385"/>
      <c r="M232" s="391"/>
      <c r="N232" s="385"/>
      <c r="O232" s="190"/>
    </row>
    <row r="233" spans="3:15" ht="16" x14ac:dyDescent="0.2">
      <c r="C233" s="119">
        <v>15</v>
      </c>
      <c r="D233" s="383"/>
      <c r="E233" s="389"/>
      <c r="F233" s="385"/>
      <c r="G233" s="391"/>
      <c r="H233" s="316"/>
      <c r="I233" s="391"/>
      <c r="J233" s="385"/>
      <c r="K233" s="391"/>
      <c r="L233" s="385"/>
      <c r="M233" s="391"/>
      <c r="N233" s="385"/>
      <c r="O233" s="190"/>
    </row>
    <row r="234" spans="3:15" ht="16" x14ac:dyDescent="0.2">
      <c r="C234" s="119">
        <v>16</v>
      </c>
      <c r="D234" s="383"/>
      <c r="E234" s="389"/>
      <c r="F234" s="385"/>
      <c r="G234" s="391"/>
      <c r="H234" s="316"/>
      <c r="I234" s="391"/>
      <c r="J234" s="385"/>
      <c r="K234" s="391"/>
      <c r="L234" s="385"/>
      <c r="M234" s="391"/>
      <c r="N234" s="385"/>
      <c r="O234" s="190"/>
    </row>
    <row r="235" spans="3:15" ht="16" x14ac:dyDescent="0.2">
      <c r="C235" s="119">
        <v>17</v>
      </c>
      <c r="D235" s="383"/>
      <c r="E235" s="389"/>
      <c r="F235" s="384"/>
      <c r="G235" s="33"/>
      <c r="H235" s="316"/>
      <c r="I235" s="390"/>
      <c r="J235" s="385"/>
      <c r="K235" s="391"/>
      <c r="L235" s="385"/>
      <c r="M235" s="391"/>
      <c r="N235" s="385"/>
      <c r="O235" s="190"/>
    </row>
    <row r="236" spans="3:15" ht="16" x14ac:dyDescent="0.2">
      <c r="C236" s="119">
        <v>18</v>
      </c>
      <c r="D236" s="383"/>
      <c r="E236" s="389"/>
      <c r="F236" s="394"/>
      <c r="G236" s="229"/>
      <c r="H236" s="394"/>
      <c r="I236" s="391"/>
      <c r="J236" s="385"/>
      <c r="K236" s="391"/>
      <c r="L236" s="385"/>
      <c r="M236" s="391"/>
      <c r="N236" s="385"/>
      <c r="O236" s="190"/>
    </row>
    <row r="237" spans="3:15" ht="16" x14ac:dyDescent="0.2">
      <c r="C237" s="119">
        <v>19</v>
      </c>
      <c r="D237" s="383"/>
      <c r="E237" s="389"/>
      <c r="F237" s="385"/>
      <c r="G237" s="391"/>
      <c r="H237" s="385"/>
      <c r="I237" s="391"/>
      <c r="J237" s="385"/>
      <c r="K237" s="391"/>
      <c r="L237" s="403"/>
      <c r="M237" s="391"/>
      <c r="N237" s="385"/>
      <c r="O237" s="190"/>
    </row>
    <row r="238" spans="3:15" ht="16" x14ac:dyDescent="0.2">
      <c r="C238" s="119">
        <v>20</v>
      </c>
      <c r="D238" s="383"/>
      <c r="E238" s="389"/>
      <c r="F238" s="385"/>
      <c r="G238" s="391"/>
      <c r="H238" s="385"/>
      <c r="I238" s="391"/>
      <c r="J238" s="385"/>
      <c r="K238" s="391"/>
      <c r="L238" s="403"/>
      <c r="M238" s="391"/>
      <c r="N238" s="385"/>
      <c r="O238" s="190"/>
    </row>
    <row r="239" spans="3:15" ht="16" x14ac:dyDescent="0.2">
      <c r="C239" s="119">
        <v>21</v>
      </c>
      <c r="D239" s="383"/>
      <c r="E239" s="389"/>
      <c r="F239" s="385"/>
      <c r="G239" s="391"/>
      <c r="H239" s="385"/>
      <c r="I239" s="391"/>
      <c r="J239" s="385"/>
      <c r="K239" s="391"/>
      <c r="L239" s="385"/>
      <c r="M239" s="391"/>
      <c r="N239" s="385"/>
      <c r="O239" s="190"/>
    </row>
    <row r="240" spans="3:15" ht="16" x14ac:dyDescent="0.2">
      <c r="C240" s="119">
        <v>22</v>
      </c>
      <c r="D240" s="383"/>
      <c r="E240" s="389"/>
      <c r="F240" s="385"/>
      <c r="G240" s="391"/>
      <c r="H240" s="385"/>
      <c r="I240" s="391"/>
      <c r="J240" s="385"/>
      <c r="K240" s="391"/>
      <c r="L240" s="385"/>
      <c r="M240" s="391"/>
      <c r="N240" s="385"/>
      <c r="O240" s="190"/>
    </row>
    <row r="241" spans="2:15" ht="16" x14ac:dyDescent="0.2">
      <c r="C241" s="119">
        <v>23</v>
      </c>
      <c r="D241" s="383"/>
      <c r="E241" s="389"/>
      <c r="F241" s="385"/>
      <c r="G241" s="391"/>
      <c r="H241" s="385"/>
      <c r="I241" s="391"/>
      <c r="J241" s="385"/>
      <c r="K241" s="391"/>
      <c r="L241" s="385"/>
      <c r="M241" s="391"/>
      <c r="N241" s="385"/>
      <c r="O241" s="190"/>
    </row>
    <row r="242" spans="2:15" ht="16" x14ac:dyDescent="0.2">
      <c r="C242" s="119">
        <v>24</v>
      </c>
      <c r="D242" s="383"/>
      <c r="E242" s="389"/>
      <c r="F242" s="385"/>
      <c r="G242" s="391"/>
      <c r="H242" s="385"/>
      <c r="I242" s="391"/>
      <c r="J242" s="385"/>
      <c r="K242" s="391"/>
      <c r="L242" s="385"/>
      <c r="M242" s="391"/>
      <c r="N242" s="385"/>
      <c r="O242" s="190"/>
    </row>
    <row r="243" spans="2:15" ht="16" x14ac:dyDescent="0.2">
      <c r="C243" s="119">
        <v>25</v>
      </c>
      <c r="D243" s="383"/>
      <c r="E243" s="389"/>
      <c r="F243" s="385"/>
      <c r="G243" s="391"/>
      <c r="H243" s="385"/>
      <c r="I243" s="391"/>
      <c r="J243" s="385"/>
      <c r="K243" s="391"/>
      <c r="L243" s="385"/>
      <c r="M243" s="391"/>
      <c r="N243" s="385"/>
      <c r="O243" s="190"/>
    </row>
    <row r="244" spans="2:15" ht="16" x14ac:dyDescent="0.2">
      <c r="C244" s="119">
        <v>26</v>
      </c>
      <c r="D244" s="383"/>
      <c r="E244" s="389"/>
      <c r="F244" s="385"/>
      <c r="G244" s="391"/>
      <c r="H244" s="385"/>
      <c r="I244" s="391"/>
      <c r="J244" s="385"/>
      <c r="K244" s="391"/>
      <c r="L244" s="385"/>
      <c r="M244" s="391"/>
      <c r="N244" s="385"/>
      <c r="O244" s="190"/>
    </row>
    <row r="245" spans="2:15" ht="16" x14ac:dyDescent="0.2">
      <c r="C245" s="119">
        <v>27</v>
      </c>
      <c r="D245" s="383"/>
      <c r="E245" s="389"/>
      <c r="F245" s="385"/>
      <c r="G245" s="391"/>
      <c r="H245" s="385"/>
      <c r="I245" s="391"/>
      <c r="J245" s="385"/>
      <c r="K245" s="391"/>
      <c r="L245" s="385"/>
      <c r="M245" s="391"/>
      <c r="N245" s="385"/>
      <c r="O245" s="190"/>
    </row>
    <row r="246" spans="2:15" ht="16" x14ac:dyDescent="0.2">
      <c r="C246" s="119">
        <v>28</v>
      </c>
      <c r="D246" s="383"/>
      <c r="E246" s="389"/>
      <c r="F246" s="385"/>
      <c r="G246" s="391"/>
      <c r="H246" s="385"/>
      <c r="I246" s="391"/>
      <c r="J246" s="385"/>
      <c r="K246" s="391"/>
      <c r="L246" s="385"/>
      <c r="M246" s="391"/>
      <c r="N246" s="385"/>
      <c r="O246" s="190"/>
    </row>
    <row r="247" spans="2:15" ht="16" x14ac:dyDescent="0.2">
      <c r="C247" s="119">
        <v>29</v>
      </c>
      <c r="D247" s="383"/>
      <c r="E247" s="389"/>
      <c r="F247" s="385"/>
      <c r="G247" s="391"/>
      <c r="H247" s="385"/>
      <c r="I247" s="391"/>
      <c r="J247" s="385"/>
      <c r="K247" s="391"/>
      <c r="L247" s="385"/>
      <c r="M247" s="391"/>
      <c r="N247" s="385"/>
      <c r="O247" s="190"/>
    </row>
    <row r="248" spans="2:15" ht="16" x14ac:dyDescent="0.2">
      <c r="C248" s="119">
        <v>30</v>
      </c>
      <c r="D248" s="383"/>
      <c r="E248" s="389"/>
      <c r="F248" s="385"/>
      <c r="G248" s="391"/>
      <c r="H248" s="385"/>
      <c r="I248" s="391"/>
      <c r="J248" s="385"/>
      <c r="K248" s="391"/>
      <c r="L248" s="385"/>
      <c r="M248" s="391"/>
      <c r="N248" s="385"/>
      <c r="O248" s="190"/>
    </row>
    <row r="249" spans="2:15" ht="16" x14ac:dyDescent="0.2">
      <c r="C249" s="120">
        <v>31</v>
      </c>
      <c r="D249" s="383"/>
      <c r="E249" s="389"/>
      <c r="F249" s="384"/>
      <c r="G249" s="390"/>
      <c r="H249" s="384"/>
      <c r="I249" s="390"/>
      <c r="J249" s="384"/>
      <c r="K249" s="390"/>
      <c r="L249" s="384"/>
      <c r="M249" s="390"/>
      <c r="N249" s="384"/>
      <c r="O249" s="190"/>
    </row>
    <row r="250" spans="2:15" ht="16" x14ac:dyDescent="0.2">
      <c r="B250" s="256"/>
      <c r="C250" s="377">
        <v>32</v>
      </c>
      <c r="D250" s="384"/>
      <c r="E250" s="390"/>
      <c r="F250" s="384"/>
      <c r="G250" s="390"/>
      <c r="H250" s="384"/>
      <c r="I250" s="390"/>
      <c r="J250" s="384"/>
      <c r="K250" s="390"/>
      <c r="L250" s="384"/>
      <c r="M250" s="390"/>
      <c r="N250" s="384"/>
      <c r="O250" s="190"/>
    </row>
    <row r="251" spans="2:15" ht="16" x14ac:dyDescent="0.2">
      <c r="B251" s="256"/>
      <c r="C251" s="119">
        <v>33</v>
      </c>
      <c r="D251" s="385"/>
      <c r="E251" s="391"/>
      <c r="F251" s="385"/>
      <c r="G251" s="391"/>
      <c r="H251" s="385"/>
      <c r="I251" s="391"/>
      <c r="J251" s="385"/>
      <c r="K251" s="391"/>
      <c r="L251" s="385"/>
      <c r="M251" s="391"/>
      <c r="N251" s="385"/>
      <c r="O251" s="190"/>
    </row>
    <row r="252" spans="2:15" ht="16" x14ac:dyDescent="0.2">
      <c r="B252" s="256"/>
      <c r="C252" s="119">
        <v>34</v>
      </c>
      <c r="D252" s="385"/>
      <c r="E252" s="391"/>
      <c r="F252" s="385"/>
      <c r="G252" s="391"/>
      <c r="H252" s="385"/>
      <c r="I252" s="391"/>
      <c r="J252" s="385"/>
      <c r="K252" s="391"/>
      <c r="L252" s="385"/>
      <c r="M252" s="391"/>
      <c r="N252" s="385"/>
      <c r="O252" s="190"/>
    </row>
    <row r="253" spans="2:15" ht="16" x14ac:dyDescent="0.2">
      <c r="B253" s="256"/>
      <c r="C253" s="119">
        <v>35</v>
      </c>
      <c r="D253" s="385"/>
      <c r="E253" s="391"/>
      <c r="F253" s="385"/>
      <c r="G253" s="391"/>
      <c r="H253" s="385"/>
      <c r="I253" s="391"/>
      <c r="J253" s="385"/>
      <c r="K253" s="391"/>
      <c r="L253" s="385"/>
      <c r="M253" s="391"/>
      <c r="N253" s="385"/>
      <c r="O253" s="190"/>
    </row>
    <row r="254" spans="2:15" ht="16" x14ac:dyDescent="0.2">
      <c r="B254" s="256"/>
      <c r="C254" s="119">
        <v>36</v>
      </c>
      <c r="D254" s="385"/>
      <c r="E254" s="391"/>
      <c r="F254" s="385"/>
      <c r="G254" s="391"/>
      <c r="H254" s="385"/>
      <c r="I254" s="391"/>
      <c r="J254" s="385"/>
      <c r="K254" s="391"/>
      <c r="L254" s="385"/>
      <c r="M254" s="391"/>
      <c r="N254" s="385"/>
      <c r="O254" s="190"/>
    </row>
    <row r="255" spans="2:15" ht="17" thickBot="1" x14ac:dyDescent="0.25">
      <c r="B255" s="256"/>
      <c r="C255" s="378">
        <v>37</v>
      </c>
      <c r="D255" s="386"/>
      <c r="E255" s="392"/>
      <c r="F255" s="386"/>
      <c r="G255" s="392"/>
      <c r="H255" s="386"/>
      <c r="I255" s="392"/>
      <c r="J255" s="386"/>
      <c r="K255" s="392"/>
      <c r="L255" s="386"/>
      <c r="M255" s="392"/>
      <c r="N255" s="386"/>
      <c r="O255" s="190"/>
    </row>
    <row r="256" spans="2:15" ht="17" thickBot="1" x14ac:dyDescent="0.25">
      <c r="C256" s="825" t="s">
        <v>19</v>
      </c>
      <c r="D256" s="826"/>
      <c r="E256" s="380"/>
      <c r="F256" s="376">
        <f>(F219+F220+F221+F222+F223+F224+F240+F227+F228+F225+F226+F229+F230+F231+F232+F233+F234+F235+F236+F237+F238+F239+F241+F242+F244+F245+F246+F247+F248+F249+F250+F251+F252+F255)/2</f>
        <v>70</v>
      </c>
      <c r="G256" s="397">
        <f>(G219+G220+G221+G222+G223+G240+G224+G228+G227+G225+G226+G229+G230+G231+G232+G233+G234+G235+G236+G237+G238+G239+G241+G242+G244+G245+G246+G247+G248+G249+G250+G251)/2</f>
        <v>28</v>
      </c>
      <c r="H256" s="399">
        <f>(H219+H220+H221+H222+H223+H224+H240+H243+H227+H228+H225+H226+H229+H230+H231+H232+H233+H234+H235+H236+H237+H238+H239+H241+H242+H244+H245+H246+H247+H248+H249+H250+H251+H252+H255)/2</f>
        <v>0</v>
      </c>
      <c r="I256" s="398">
        <f>(I219+I220+I221+I222+I223+I253+I254+I224+I240+I227+I243+I228+I225+I226+I229+I230+I231+I232+I233+I234+I235+I236+I237+I238+I239+I241+I242+I244+I245+I246+I247+I248+I249+I250+I251+I252+I255)/2</f>
        <v>33</v>
      </c>
      <c r="J256" s="376">
        <f>(J219+J220+J221+J222+J223+J224+J228+J225+J227+J226+J243+J229+J230+J231+J232+J233+J234+J235+J236+J237+J238+J239+J240+J241+J242+J244+J245+J246+J247+J248+J249+J250+J251)/2</f>
        <v>0</v>
      </c>
      <c r="K256" s="397">
        <f>(K219+K220+K221+K222+K223+K224+K228+K225+K226+K229+K230+K231+K232+K233+K234+K235+K236+K237+K238+K239+K241+K242+K244+K245+K246+K247+K248+K249+K250+K251+K240)</f>
        <v>0</v>
      </c>
      <c r="L256" s="399">
        <f>SUM(L219:L255)</f>
        <v>0</v>
      </c>
      <c r="M256" s="398">
        <f>(M219+M220+M221+M222+M223+M224+M228+M227+M225+M226+M229+M230+M231+M232+M233+M234+M235+M236+M237+M238+M239+M241+M242+M244+M245+M246+M247+M248+M249+M250+M251)/2</f>
        <v>0</v>
      </c>
      <c r="N256" s="376"/>
      <c r="O256" s="41"/>
    </row>
    <row r="257" spans="2:15" ht="17" thickBot="1" x14ac:dyDescent="0.25">
      <c r="C257" s="825" t="s">
        <v>91</v>
      </c>
      <c r="D257" s="826"/>
      <c r="E257" s="381">
        <f>SUM(F256:J256)</f>
        <v>131</v>
      </c>
    </row>
    <row r="258" spans="2:15" ht="16" thickBot="1" x14ac:dyDescent="0.25"/>
    <row r="259" spans="2:15" ht="17" thickBot="1" x14ac:dyDescent="0.25">
      <c r="C259" s="17"/>
      <c r="D259" s="379" t="s">
        <v>83</v>
      </c>
      <c r="E259" s="818" t="s">
        <v>69</v>
      </c>
      <c r="F259" s="819"/>
      <c r="G259" s="819"/>
      <c r="H259" s="819"/>
      <c r="I259" s="819"/>
      <c r="J259" s="400" t="s">
        <v>76</v>
      </c>
      <c r="K259" s="820">
        <v>45662</v>
      </c>
      <c r="L259" s="821"/>
      <c r="M259" s="821"/>
      <c r="N259" s="821"/>
      <c r="O259" s="822"/>
    </row>
    <row r="260" spans="2:15" ht="16" thickBot="1" x14ac:dyDescent="0.25">
      <c r="B260" s="175" t="s">
        <v>76</v>
      </c>
      <c r="C260" s="175" t="s">
        <v>77</v>
      </c>
      <c r="D260" s="823" t="s">
        <v>122</v>
      </c>
      <c r="E260" s="824"/>
      <c r="F260" s="175" t="s">
        <v>104</v>
      </c>
      <c r="G260" s="395" t="s">
        <v>86</v>
      </c>
      <c r="H260" s="175" t="s">
        <v>88</v>
      </c>
      <c r="I260" s="395" t="s">
        <v>87</v>
      </c>
      <c r="J260" s="401" t="s">
        <v>85</v>
      </c>
      <c r="K260" s="395" t="s">
        <v>123</v>
      </c>
      <c r="L260" s="175" t="s">
        <v>124</v>
      </c>
      <c r="M260" s="395" t="s">
        <v>100</v>
      </c>
      <c r="N260" s="175" t="s">
        <v>213</v>
      </c>
      <c r="O260" s="404" t="s">
        <v>125</v>
      </c>
    </row>
    <row r="261" spans="2:15" ht="16" thickBot="1" x14ac:dyDescent="0.25">
      <c r="B261" s="176">
        <f>K259</f>
        <v>45662</v>
      </c>
      <c r="C261" s="374"/>
      <c r="D261" s="375" t="s">
        <v>126</v>
      </c>
      <c r="E261" s="387" t="s">
        <v>127</v>
      </c>
      <c r="F261" s="331">
        <v>12</v>
      </c>
      <c r="G261" s="237">
        <v>8</v>
      </c>
      <c r="H261" s="331">
        <v>3</v>
      </c>
      <c r="I261" s="237">
        <v>4</v>
      </c>
      <c r="J261" s="331">
        <v>8</v>
      </c>
      <c r="K261" s="231"/>
      <c r="L261" s="125"/>
      <c r="M261" s="231"/>
      <c r="N261" s="125"/>
      <c r="O261" s="326"/>
    </row>
    <row r="262" spans="2:15" ht="16" x14ac:dyDescent="0.2">
      <c r="C262" s="118">
        <v>1</v>
      </c>
      <c r="D262" s="382">
        <v>0.31597222222222221</v>
      </c>
      <c r="E262" s="388">
        <v>0.33680555555555558</v>
      </c>
      <c r="F262" s="393"/>
      <c r="G262" s="396">
        <v>28</v>
      </c>
      <c r="H262" s="393"/>
      <c r="I262" s="396"/>
      <c r="J262" s="393"/>
      <c r="K262" s="396"/>
      <c r="L262" s="393"/>
      <c r="M262" s="396"/>
      <c r="N262" s="393"/>
      <c r="O262" s="190"/>
    </row>
    <row r="263" spans="2:15" ht="16" x14ac:dyDescent="0.2">
      <c r="C263" s="119">
        <v>2</v>
      </c>
      <c r="D263" s="383">
        <v>0.33680555555555558</v>
      </c>
      <c r="E263" s="389">
        <v>0.3576388888888889</v>
      </c>
      <c r="F263" s="385"/>
      <c r="G263" s="391">
        <v>28</v>
      </c>
      <c r="H263" s="385"/>
      <c r="I263" s="391"/>
      <c r="J263" s="385"/>
      <c r="K263" s="391"/>
      <c r="L263" s="385"/>
      <c r="M263" s="391"/>
      <c r="N263" s="385"/>
      <c r="O263" s="190"/>
    </row>
    <row r="264" spans="2:15" ht="16" x14ac:dyDescent="0.2">
      <c r="C264" s="119">
        <v>3</v>
      </c>
      <c r="D264" s="383">
        <v>0.3576388888888889</v>
      </c>
      <c r="E264" s="389">
        <v>0.37847222222222227</v>
      </c>
      <c r="F264" s="385"/>
      <c r="G264" s="391">
        <v>28</v>
      </c>
      <c r="H264" s="385"/>
      <c r="I264" s="391"/>
      <c r="J264" s="385"/>
      <c r="K264" s="391"/>
      <c r="L264" s="384"/>
      <c r="M264" s="391"/>
      <c r="N264" s="385"/>
      <c r="O264" s="190"/>
    </row>
    <row r="265" spans="2:15" ht="16" x14ac:dyDescent="0.2">
      <c r="C265" s="119">
        <v>4</v>
      </c>
      <c r="D265" s="383">
        <v>0.375</v>
      </c>
      <c r="E265" s="389">
        <v>0.39930555555555558</v>
      </c>
      <c r="F265" s="385"/>
      <c r="G265" s="391">
        <v>28</v>
      </c>
      <c r="H265" s="316"/>
      <c r="I265" s="391"/>
      <c r="J265" s="385"/>
      <c r="K265" s="391"/>
      <c r="L265" s="402"/>
      <c r="M265" s="391"/>
      <c r="N265" s="385"/>
      <c r="O265" s="190"/>
    </row>
    <row r="266" spans="2:15" ht="16" x14ac:dyDescent="0.2">
      <c r="C266" s="119">
        <v>5</v>
      </c>
      <c r="D266" s="383">
        <v>0.39930555555555558</v>
      </c>
      <c r="E266" s="389">
        <v>0.4201388888888889</v>
      </c>
      <c r="F266" s="385"/>
      <c r="G266" s="391"/>
      <c r="H266" s="316">
        <v>28</v>
      </c>
      <c r="I266" s="391"/>
      <c r="J266" s="385"/>
      <c r="K266" s="391"/>
      <c r="L266" s="393"/>
      <c r="M266" s="391"/>
      <c r="N266" s="385"/>
      <c r="O266" s="190"/>
    </row>
    <row r="267" spans="2:15" ht="16" x14ac:dyDescent="0.2">
      <c r="C267" s="119">
        <v>6</v>
      </c>
      <c r="D267" s="383">
        <v>0.4201388888888889</v>
      </c>
      <c r="E267" s="389">
        <v>0.44097222222222227</v>
      </c>
      <c r="F267" s="385"/>
      <c r="G267" s="391"/>
      <c r="H267" s="316">
        <v>14</v>
      </c>
      <c r="I267" s="391"/>
      <c r="J267" s="385"/>
      <c r="K267" s="391"/>
      <c r="L267" s="393"/>
      <c r="M267" s="391"/>
      <c r="N267" s="385"/>
      <c r="O267" s="190"/>
    </row>
    <row r="268" spans="2:15" ht="16" x14ac:dyDescent="0.2">
      <c r="C268" s="119">
        <v>7</v>
      </c>
      <c r="D268" s="383">
        <v>0.44097222222222227</v>
      </c>
      <c r="E268" s="389">
        <v>0.46180555555555558</v>
      </c>
      <c r="F268" s="385">
        <v>28</v>
      </c>
      <c r="G268" s="391"/>
      <c r="H268" s="316"/>
      <c r="I268" s="391"/>
      <c r="J268" s="385"/>
      <c r="K268" s="391"/>
      <c r="L268" s="393"/>
      <c r="M268" s="391"/>
      <c r="N268" s="385"/>
      <c r="O268" s="190"/>
    </row>
    <row r="269" spans="2:15" ht="16" x14ac:dyDescent="0.2">
      <c r="C269" s="119">
        <v>8</v>
      </c>
      <c r="D269" s="383">
        <v>0.46875</v>
      </c>
      <c r="E269" s="389">
        <v>0.48958333333333331</v>
      </c>
      <c r="F269" s="385"/>
      <c r="G269" s="391"/>
      <c r="H269" s="316"/>
      <c r="I269" s="391">
        <v>44</v>
      </c>
      <c r="J269" s="385"/>
      <c r="K269" s="391"/>
      <c r="L269" s="385"/>
      <c r="M269" s="391"/>
      <c r="N269" s="385"/>
      <c r="O269" s="190"/>
    </row>
    <row r="270" spans="2:15" ht="16" x14ac:dyDescent="0.2">
      <c r="C270" s="119">
        <v>9</v>
      </c>
      <c r="D270" s="383">
        <v>0.50347222222222221</v>
      </c>
      <c r="E270" s="389">
        <v>0.52430555555555558</v>
      </c>
      <c r="F270" s="385">
        <v>28</v>
      </c>
      <c r="G270" s="391"/>
      <c r="H270" s="316"/>
      <c r="I270" s="391"/>
      <c r="J270" s="385"/>
      <c r="K270" s="391"/>
      <c r="L270" s="385"/>
      <c r="M270" s="391"/>
      <c r="N270" s="385"/>
      <c r="O270" s="190"/>
    </row>
    <row r="271" spans="2:15" ht="16" x14ac:dyDescent="0.2">
      <c r="C271" s="119">
        <v>10</v>
      </c>
      <c r="D271" s="383">
        <v>0.53819444444444442</v>
      </c>
      <c r="E271" s="389">
        <v>0.55902777777777779</v>
      </c>
      <c r="F271" s="385"/>
      <c r="G271" s="391"/>
      <c r="H271" s="316"/>
      <c r="I271" s="391">
        <v>44</v>
      </c>
      <c r="J271" s="385"/>
      <c r="K271" s="391"/>
      <c r="L271" s="385"/>
      <c r="M271" s="391"/>
      <c r="N271" s="385"/>
      <c r="O271" s="190"/>
    </row>
    <row r="272" spans="2:15" ht="16" x14ac:dyDescent="0.2">
      <c r="C272" s="119">
        <v>11</v>
      </c>
      <c r="D272" s="383">
        <v>0.57986111111111105</v>
      </c>
      <c r="E272" s="389">
        <v>0.60069444444444442</v>
      </c>
      <c r="F272" s="385"/>
      <c r="G272" s="391"/>
      <c r="H272" s="316"/>
      <c r="I272" s="391"/>
      <c r="J272" s="28">
        <v>36</v>
      </c>
      <c r="K272" s="391"/>
      <c r="L272" s="385"/>
      <c r="M272" s="391"/>
      <c r="N272" s="385"/>
      <c r="O272" s="190"/>
    </row>
    <row r="273" spans="3:15" ht="16" x14ac:dyDescent="0.2">
      <c r="C273" s="193">
        <v>12</v>
      </c>
      <c r="D273" s="383">
        <v>0.60069444444444442</v>
      </c>
      <c r="E273" s="389">
        <v>0.62152777777777779</v>
      </c>
      <c r="F273" s="385">
        <v>28</v>
      </c>
      <c r="G273" s="391"/>
      <c r="H273" s="316"/>
      <c r="I273" s="391"/>
      <c r="J273" s="385"/>
      <c r="K273" s="391"/>
      <c r="L273" s="385"/>
      <c r="M273" s="391"/>
      <c r="N273" s="385"/>
      <c r="O273" s="190"/>
    </row>
    <row r="274" spans="3:15" ht="16" x14ac:dyDescent="0.2">
      <c r="C274" s="119">
        <v>13</v>
      </c>
      <c r="D274" s="383">
        <v>0.62152777777777779</v>
      </c>
      <c r="E274" s="389">
        <v>0.64236111111111105</v>
      </c>
      <c r="F274" s="385"/>
      <c r="G274" s="391"/>
      <c r="H274" s="316"/>
      <c r="I274" s="391"/>
      <c r="J274" s="385">
        <v>36</v>
      </c>
      <c r="K274" s="391"/>
      <c r="L274" s="385"/>
      <c r="M274" s="391"/>
      <c r="N274" s="385"/>
      <c r="O274" s="190"/>
    </row>
    <row r="275" spans="3:15" ht="16" x14ac:dyDescent="0.2">
      <c r="C275" s="119">
        <v>14</v>
      </c>
      <c r="D275" s="383">
        <v>0.65625</v>
      </c>
      <c r="E275" s="389">
        <v>0.67708333333333337</v>
      </c>
      <c r="F275" s="385">
        <v>28</v>
      </c>
      <c r="G275" s="391"/>
      <c r="H275" s="316"/>
      <c r="I275" s="391"/>
      <c r="J275" s="385"/>
      <c r="K275" s="391"/>
      <c r="L275" s="385"/>
      <c r="M275" s="391"/>
      <c r="N275" s="385"/>
      <c r="O275" s="190"/>
    </row>
    <row r="276" spans="3:15" ht="16" x14ac:dyDescent="0.2">
      <c r="C276" s="119">
        <v>15</v>
      </c>
      <c r="D276" s="383">
        <v>0.67013888888888884</v>
      </c>
      <c r="E276" s="389">
        <v>0.69097222222222221</v>
      </c>
      <c r="F276" s="385"/>
      <c r="G276" s="391"/>
      <c r="H276" s="316"/>
      <c r="I276" s="391"/>
      <c r="J276" s="385">
        <v>36</v>
      </c>
      <c r="K276" s="391"/>
      <c r="L276" s="385"/>
      <c r="M276" s="391"/>
      <c r="N276" s="385"/>
      <c r="O276" s="190"/>
    </row>
    <row r="277" spans="3:15" ht="16" x14ac:dyDescent="0.2">
      <c r="C277" s="119">
        <v>16</v>
      </c>
      <c r="D277" s="383">
        <v>0.69097222222222221</v>
      </c>
      <c r="E277" s="389">
        <v>0.71180555555555547</v>
      </c>
      <c r="F277" s="385">
        <v>28</v>
      </c>
      <c r="G277" s="391"/>
      <c r="H277" s="316"/>
      <c r="I277" s="391"/>
      <c r="J277" s="385"/>
      <c r="K277" s="391"/>
      <c r="L277" s="385"/>
      <c r="M277" s="391"/>
      <c r="N277" s="385"/>
      <c r="O277" s="190"/>
    </row>
    <row r="278" spans="3:15" ht="16" x14ac:dyDescent="0.2">
      <c r="C278" s="119">
        <v>17</v>
      </c>
      <c r="D278" s="383">
        <v>0.73263888888888884</v>
      </c>
      <c r="E278" s="389">
        <v>0.75347222222222221</v>
      </c>
      <c r="F278" s="384"/>
      <c r="G278" s="33"/>
      <c r="H278" s="316"/>
      <c r="I278" s="390"/>
      <c r="J278" s="385">
        <v>34</v>
      </c>
      <c r="K278" s="391"/>
      <c r="L278" s="385"/>
      <c r="M278" s="391"/>
      <c r="N278" s="385"/>
      <c r="O278" s="190"/>
    </row>
    <row r="279" spans="3:15" ht="16" x14ac:dyDescent="0.2">
      <c r="C279" s="119">
        <v>18</v>
      </c>
      <c r="D279" s="383">
        <v>0.75347222222222221</v>
      </c>
      <c r="E279" s="389">
        <v>0.77430555555555547</v>
      </c>
      <c r="F279" s="394">
        <v>28</v>
      </c>
      <c r="G279" s="229"/>
      <c r="H279" s="394"/>
      <c r="I279" s="391"/>
      <c r="J279" s="385"/>
      <c r="K279" s="391"/>
      <c r="L279" s="385"/>
      <c r="M279" s="391"/>
      <c r="N279" s="385"/>
      <c r="O279" s="190"/>
    </row>
    <row r="280" spans="3:15" ht="16" x14ac:dyDescent="0.2">
      <c r="C280" s="119">
        <v>19</v>
      </c>
      <c r="D280" s="383"/>
      <c r="E280" s="389"/>
      <c r="F280" s="385"/>
      <c r="G280" s="391"/>
      <c r="H280" s="385"/>
      <c r="I280" s="391"/>
      <c r="J280" s="385"/>
      <c r="K280" s="391"/>
      <c r="L280" s="403"/>
      <c r="M280" s="391"/>
      <c r="N280" s="385"/>
      <c r="O280" s="190"/>
    </row>
    <row r="281" spans="3:15" ht="16" x14ac:dyDescent="0.2">
      <c r="C281" s="119">
        <v>20</v>
      </c>
      <c r="D281" s="383"/>
      <c r="E281" s="389"/>
      <c r="F281" s="385"/>
      <c r="G281" s="391"/>
      <c r="H281" s="385"/>
      <c r="I281" s="391"/>
      <c r="J281" s="385"/>
      <c r="K281" s="391"/>
      <c r="L281" s="403"/>
      <c r="M281" s="391"/>
      <c r="N281" s="385"/>
      <c r="O281" s="190"/>
    </row>
    <row r="282" spans="3:15" ht="16" x14ac:dyDescent="0.2">
      <c r="C282" s="119">
        <v>21</v>
      </c>
      <c r="D282" s="383"/>
      <c r="E282" s="389"/>
      <c r="F282" s="385"/>
      <c r="G282" s="391"/>
      <c r="H282" s="385"/>
      <c r="I282" s="391"/>
      <c r="J282" s="385"/>
      <c r="K282" s="391"/>
      <c r="L282" s="385"/>
      <c r="M282" s="391"/>
      <c r="N282" s="385"/>
      <c r="O282" s="190"/>
    </row>
    <row r="283" spans="3:15" ht="16" x14ac:dyDescent="0.2">
      <c r="C283" s="119">
        <v>22</v>
      </c>
      <c r="D283" s="383"/>
      <c r="E283" s="389"/>
      <c r="F283" s="385"/>
      <c r="G283" s="391"/>
      <c r="H283" s="385"/>
      <c r="I283" s="391"/>
      <c r="J283" s="385"/>
      <c r="K283" s="391"/>
      <c r="L283" s="385"/>
      <c r="M283" s="391"/>
      <c r="N283" s="385"/>
      <c r="O283" s="190"/>
    </row>
    <row r="284" spans="3:15" ht="16" x14ac:dyDescent="0.2">
      <c r="C284" s="119">
        <v>23</v>
      </c>
      <c r="D284" s="383"/>
      <c r="E284" s="389"/>
      <c r="F284" s="385"/>
      <c r="G284" s="391"/>
      <c r="H284" s="385"/>
      <c r="I284" s="391"/>
      <c r="J284" s="385"/>
      <c r="K284" s="391"/>
      <c r="L284" s="385"/>
      <c r="M284" s="391"/>
      <c r="N284" s="385"/>
      <c r="O284" s="190"/>
    </row>
    <row r="285" spans="3:15" ht="16" x14ac:dyDescent="0.2">
      <c r="C285" s="119">
        <v>24</v>
      </c>
      <c r="D285" s="383"/>
      <c r="E285" s="389"/>
      <c r="F285" s="385"/>
      <c r="G285" s="391"/>
      <c r="H285" s="385"/>
      <c r="I285" s="391"/>
      <c r="J285" s="385"/>
      <c r="K285" s="391"/>
      <c r="L285" s="385"/>
      <c r="M285" s="391"/>
      <c r="N285" s="385"/>
      <c r="O285" s="190"/>
    </row>
    <row r="286" spans="3:15" ht="16" x14ac:dyDescent="0.2">
      <c r="C286" s="119">
        <v>25</v>
      </c>
      <c r="D286" s="383"/>
      <c r="E286" s="389"/>
      <c r="F286" s="385"/>
      <c r="G286" s="391"/>
      <c r="H286" s="385"/>
      <c r="I286" s="391"/>
      <c r="J286" s="385"/>
      <c r="K286" s="391"/>
      <c r="L286" s="385"/>
      <c r="M286" s="391"/>
      <c r="N286" s="385"/>
      <c r="O286" s="190"/>
    </row>
    <row r="287" spans="3:15" ht="16" x14ac:dyDescent="0.2">
      <c r="C287" s="119">
        <v>26</v>
      </c>
      <c r="D287" s="383"/>
      <c r="E287" s="389"/>
      <c r="F287" s="385"/>
      <c r="G287" s="391"/>
      <c r="H287" s="385"/>
      <c r="I287" s="391"/>
      <c r="J287" s="385"/>
      <c r="K287" s="391"/>
      <c r="L287" s="385"/>
      <c r="M287" s="391"/>
      <c r="N287" s="385"/>
      <c r="O287" s="190"/>
    </row>
    <row r="288" spans="3:15" ht="16" x14ac:dyDescent="0.2">
      <c r="C288" s="119">
        <v>27</v>
      </c>
      <c r="D288" s="383"/>
      <c r="E288" s="389"/>
      <c r="F288" s="385"/>
      <c r="G288" s="391"/>
      <c r="H288" s="385"/>
      <c r="I288" s="391"/>
      <c r="J288" s="385"/>
      <c r="K288" s="391"/>
      <c r="L288" s="385"/>
      <c r="M288" s="391"/>
      <c r="N288" s="385"/>
      <c r="O288" s="190"/>
    </row>
    <row r="289" spans="2:15" ht="16" x14ac:dyDescent="0.2">
      <c r="C289" s="119">
        <v>28</v>
      </c>
      <c r="D289" s="383"/>
      <c r="E289" s="389"/>
      <c r="F289" s="385"/>
      <c r="G289" s="391"/>
      <c r="H289" s="385"/>
      <c r="I289" s="391"/>
      <c r="J289" s="385"/>
      <c r="K289" s="391"/>
      <c r="L289" s="385"/>
      <c r="M289" s="391"/>
      <c r="N289" s="385"/>
      <c r="O289" s="190"/>
    </row>
    <row r="290" spans="2:15" ht="16" x14ac:dyDescent="0.2">
      <c r="C290" s="119">
        <v>29</v>
      </c>
      <c r="D290" s="383"/>
      <c r="E290" s="389"/>
      <c r="F290" s="385"/>
      <c r="G290" s="391"/>
      <c r="H290" s="385"/>
      <c r="I290" s="391"/>
      <c r="J290" s="385"/>
      <c r="K290" s="391"/>
      <c r="L290" s="385"/>
      <c r="M290" s="391"/>
      <c r="N290" s="385"/>
      <c r="O290" s="190"/>
    </row>
    <row r="291" spans="2:15" ht="16" x14ac:dyDescent="0.2">
      <c r="C291" s="119">
        <v>30</v>
      </c>
      <c r="D291" s="383"/>
      <c r="E291" s="389"/>
      <c r="F291" s="385"/>
      <c r="G291" s="391"/>
      <c r="H291" s="385"/>
      <c r="I291" s="391"/>
      <c r="J291" s="385"/>
      <c r="K291" s="391"/>
      <c r="L291" s="385"/>
      <c r="M291" s="391"/>
      <c r="N291" s="385"/>
      <c r="O291" s="190"/>
    </row>
    <row r="292" spans="2:15" ht="16" x14ac:dyDescent="0.2">
      <c r="C292" s="120">
        <v>31</v>
      </c>
      <c r="D292" s="383"/>
      <c r="E292" s="389"/>
      <c r="F292" s="384"/>
      <c r="G292" s="390"/>
      <c r="H292" s="384"/>
      <c r="I292" s="390"/>
      <c r="J292" s="384"/>
      <c r="K292" s="390"/>
      <c r="L292" s="384"/>
      <c r="M292" s="390"/>
      <c r="N292" s="384"/>
      <c r="O292" s="190"/>
    </row>
    <row r="293" spans="2:15" ht="16" x14ac:dyDescent="0.2">
      <c r="B293" s="256"/>
      <c r="C293" s="377">
        <v>32</v>
      </c>
      <c r="D293" s="384"/>
      <c r="E293" s="390"/>
      <c r="F293" s="384"/>
      <c r="G293" s="390"/>
      <c r="H293" s="384"/>
      <c r="I293" s="390"/>
      <c r="J293" s="384"/>
      <c r="K293" s="390"/>
      <c r="L293" s="384"/>
      <c r="M293" s="390"/>
      <c r="N293" s="384"/>
      <c r="O293" s="190"/>
    </row>
    <row r="294" spans="2:15" ht="16" x14ac:dyDescent="0.2">
      <c r="B294" s="256"/>
      <c r="C294" s="119">
        <v>33</v>
      </c>
      <c r="D294" s="385"/>
      <c r="E294" s="391"/>
      <c r="F294" s="385"/>
      <c r="G294" s="391"/>
      <c r="H294" s="385"/>
      <c r="I294" s="391"/>
      <c r="J294" s="385"/>
      <c r="K294" s="391"/>
      <c r="L294" s="385"/>
      <c r="M294" s="391"/>
      <c r="N294" s="385"/>
      <c r="O294" s="190"/>
    </row>
    <row r="295" spans="2:15" ht="16" x14ac:dyDescent="0.2">
      <c r="B295" s="256"/>
      <c r="C295" s="119">
        <v>34</v>
      </c>
      <c r="D295" s="385"/>
      <c r="E295" s="391"/>
      <c r="F295" s="385"/>
      <c r="G295" s="391"/>
      <c r="H295" s="385"/>
      <c r="I295" s="391"/>
      <c r="J295" s="385"/>
      <c r="K295" s="391"/>
      <c r="L295" s="385"/>
      <c r="M295" s="391"/>
      <c r="N295" s="385"/>
      <c r="O295" s="190"/>
    </row>
    <row r="296" spans="2:15" ht="16" x14ac:dyDescent="0.2">
      <c r="B296" s="256"/>
      <c r="C296" s="119">
        <v>35</v>
      </c>
      <c r="D296" s="385"/>
      <c r="E296" s="391"/>
      <c r="F296" s="385"/>
      <c r="G296" s="391"/>
      <c r="H296" s="385"/>
      <c r="I296" s="391"/>
      <c r="J296" s="385"/>
      <c r="K296" s="391"/>
      <c r="L296" s="385"/>
      <c r="M296" s="391"/>
      <c r="N296" s="385"/>
      <c r="O296" s="190"/>
    </row>
    <row r="297" spans="2:15" ht="16" x14ac:dyDescent="0.2">
      <c r="B297" s="256"/>
      <c r="C297" s="119">
        <v>36</v>
      </c>
      <c r="D297" s="385"/>
      <c r="E297" s="391"/>
      <c r="F297" s="385"/>
      <c r="G297" s="391"/>
      <c r="H297" s="385"/>
      <c r="I297" s="391"/>
      <c r="J297" s="385"/>
      <c r="K297" s="391"/>
      <c r="L297" s="385"/>
      <c r="M297" s="391"/>
      <c r="N297" s="385"/>
      <c r="O297" s="190"/>
    </row>
    <row r="298" spans="2:15" ht="17" thickBot="1" x14ac:dyDescent="0.25">
      <c r="B298" s="256"/>
      <c r="C298" s="378">
        <v>37</v>
      </c>
      <c r="D298" s="386"/>
      <c r="E298" s="392"/>
      <c r="F298" s="386"/>
      <c r="G298" s="392"/>
      <c r="H298" s="386"/>
      <c r="I298" s="392"/>
      <c r="J298" s="386"/>
      <c r="K298" s="392"/>
      <c r="L298" s="386"/>
      <c r="M298" s="392"/>
      <c r="N298" s="386"/>
      <c r="O298" s="190"/>
    </row>
    <row r="299" spans="2:15" ht="17" thickBot="1" x14ac:dyDescent="0.25">
      <c r="C299" s="825" t="s">
        <v>19</v>
      </c>
      <c r="D299" s="826"/>
      <c r="E299" s="380"/>
      <c r="F299" s="376">
        <f>(F262+F263+F264+F265+F266+F267+F283+F270+F271+F268+F269+F272+F273+F274+F275+F276+F277+F278+F279+F280+F281+F282+F284+F285+F287+F288+F289+F290+F291+F292+F293+F294+F295+F298)/2</f>
        <v>84</v>
      </c>
      <c r="G299" s="397">
        <f>(G262+G263+G264+G265+G266+G283+G267+G271+G270+G268+G269+G272+G273+G274+G275+G276+G277+G278+G279+G280+G281+G282+G284+G285+G287+G288+G289+G290+G291+G292+G293+G294)/2</f>
        <v>56</v>
      </c>
      <c r="H299" s="399">
        <f>(H262+H263+H264+H265+H266+H267+H283+H286+H270+H271+H268+H269+H272+H273+H274+H275+H276+H277+H278+H279+H280+H281+H282+H284+H285+H287+H288+H289+H290+H291+H292+H293+H294+H295+H298)/2</f>
        <v>21</v>
      </c>
      <c r="I299" s="398">
        <f>(I262+I263+I264+I265+I266+I296+I297+I267+I283+I270+I286+I271+I268+I269+I272+I273+I274+I275+I276+I277+I278+I279+I280+I281+I282+I284+I285+I287+I288+I289+I290+I291+I292+I293+I294+I295+I298)/2</f>
        <v>44</v>
      </c>
      <c r="J299" s="376">
        <f>(J262+J263+J264+J265+J266+J267+J271+J268+J270+J269+J286+J272+J273+J274+J275+J276+J277+J278+J279+J280+J281+J282+J283+J284+J285+J287+J288+J289+J290+J291+J292+J293+J294)/2</f>
        <v>71</v>
      </c>
      <c r="K299" s="397">
        <f>(K262+K263+K264+K265+K266+K267+K271+K268+K269+K272+K273+K274+K275+K276+K277+K278+K279+K280+K281+K282+K284+K285+K287+K288+K289+K290+K291+K292+K293+K294+K283)</f>
        <v>0</v>
      </c>
      <c r="L299" s="399">
        <f>SUM(L262:L298)</f>
        <v>0</v>
      </c>
      <c r="M299" s="398">
        <f>(M262+M263+M264+M265+M266+M267+M271+M270+M268+M269+M272+M273+M274+M275+M276+M277+M278+M279+M280+M281+M282+M284+M285+M287+M288+M289+M290+M291+M292+M293+M294)/2</f>
        <v>0</v>
      </c>
      <c r="N299" s="376"/>
      <c r="O299" s="41"/>
    </row>
    <row r="300" spans="2:15" ht="17" thickBot="1" x14ac:dyDescent="0.25">
      <c r="C300" s="825" t="s">
        <v>91</v>
      </c>
      <c r="D300" s="826"/>
      <c r="E300" s="381">
        <f>SUM(F299:J299)</f>
        <v>276</v>
      </c>
    </row>
    <row r="301" spans="2:15" ht="16" thickBot="1" x14ac:dyDescent="0.25"/>
    <row r="302" spans="2:15" ht="17" thickBot="1" x14ac:dyDescent="0.25">
      <c r="C302" s="17"/>
      <c r="D302" s="379" t="s">
        <v>83</v>
      </c>
      <c r="E302" s="818" t="s">
        <v>63</v>
      </c>
      <c r="F302" s="819"/>
      <c r="G302" s="819"/>
      <c r="H302" s="819"/>
      <c r="I302" s="819"/>
      <c r="J302" s="400" t="s">
        <v>76</v>
      </c>
      <c r="K302" s="820">
        <v>45663</v>
      </c>
      <c r="L302" s="821"/>
      <c r="M302" s="821"/>
      <c r="N302" s="821"/>
      <c r="O302" s="822"/>
    </row>
    <row r="303" spans="2:15" ht="16" thickBot="1" x14ac:dyDescent="0.25">
      <c r="B303" s="175" t="s">
        <v>76</v>
      </c>
      <c r="C303" s="175" t="s">
        <v>77</v>
      </c>
      <c r="D303" s="823" t="s">
        <v>122</v>
      </c>
      <c r="E303" s="824"/>
      <c r="F303" s="175" t="s">
        <v>104</v>
      </c>
      <c r="G303" s="395" t="s">
        <v>86</v>
      </c>
      <c r="H303" s="175" t="s">
        <v>88</v>
      </c>
      <c r="I303" s="395" t="s">
        <v>87</v>
      </c>
      <c r="J303" s="401" t="s">
        <v>85</v>
      </c>
      <c r="K303" s="395" t="s">
        <v>123</v>
      </c>
      <c r="L303" s="175" t="s">
        <v>124</v>
      </c>
      <c r="M303" s="395" t="s">
        <v>100</v>
      </c>
      <c r="N303" s="175" t="s">
        <v>213</v>
      </c>
      <c r="O303" s="404" t="s">
        <v>125</v>
      </c>
    </row>
    <row r="304" spans="2:15" ht="16" thickBot="1" x14ac:dyDescent="0.25">
      <c r="B304" s="176">
        <f>K302</f>
        <v>45663</v>
      </c>
      <c r="C304" s="374"/>
      <c r="D304" s="375" t="s">
        <v>126</v>
      </c>
      <c r="E304" s="387" t="s">
        <v>127</v>
      </c>
      <c r="F304" s="331">
        <v>11</v>
      </c>
      <c r="G304" s="237">
        <v>8</v>
      </c>
      <c r="H304" s="331">
        <v>0</v>
      </c>
      <c r="I304" s="237">
        <v>5</v>
      </c>
      <c r="J304" s="331">
        <v>9</v>
      </c>
      <c r="K304" s="231"/>
      <c r="L304" s="125"/>
      <c r="M304" s="231"/>
      <c r="N304" s="125"/>
      <c r="O304" s="326"/>
    </row>
    <row r="305" spans="3:15" ht="16" x14ac:dyDescent="0.2">
      <c r="C305" s="118">
        <v>1</v>
      </c>
      <c r="D305" s="382">
        <v>0.40625</v>
      </c>
      <c r="E305" s="388">
        <v>0.42708333333333331</v>
      </c>
      <c r="F305" s="393"/>
      <c r="G305" s="396">
        <v>28</v>
      </c>
      <c r="H305" s="393"/>
      <c r="I305" s="396"/>
      <c r="J305" s="393"/>
      <c r="K305" s="396"/>
      <c r="L305" s="393"/>
      <c r="M305" s="396"/>
      <c r="N305" s="393"/>
      <c r="O305" s="190"/>
    </row>
    <row r="306" spans="3:15" ht="16" x14ac:dyDescent="0.2">
      <c r="C306" s="119">
        <v>2</v>
      </c>
      <c r="D306" s="383">
        <v>0.42708333333333331</v>
      </c>
      <c r="E306" s="389">
        <v>0.44791666666666669</v>
      </c>
      <c r="F306" s="385"/>
      <c r="G306" s="391">
        <v>28</v>
      </c>
      <c r="H306" s="385"/>
      <c r="I306" s="391"/>
      <c r="J306" s="385"/>
      <c r="K306" s="391"/>
      <c r="L306" s="385"/>
      <c r="M306" s="391"/>
      <c r="N306" s="385"/>
      <c r="O306" s="190"/>
    </row>
    <row r="307" spans="3:15" ht="16" x14ac:dyDescent="0.2">
      <c r="C307" s="119">
        <v>3</v>
      </c>
      <c r="D307" s="383">
        <v>0.44791666666666669</v>
      </c>
      <c r="E307" s="389">
        <v>0.46875</v>
      </c>
      <c r="F307" s="385"/>
      <c r="G307" s="391">
        <v>28</v>
      </c>
      <c r="H307" s="385"/>
      <c r="I307" s="391"/>
      <c r="J307" s="385"/>
      <c r="K307" s="391"/>
      <c r="L307" s="384"/>
      <c r="M307" s="391"/>
      <c r="N307" s="385"/>
      <c r="O307" s="190"/>
    </row>
    <row r="308" spans="3:15" ht="16" x14ac:dyDescent="0.2">
      <c r="C308" s="119">
        <v>4</v>
      </c>
      <c r="D308" s="383">
        <v>0.46875</v>
      </c>
      <c r="E308" s="389">
        <v>0.48958333333333331</v>
      </c>
      <c r="F308" s="385"/>
      <c r="G308" s="391">
        <v>28</v>
      </c>
      <c r="H308" s="316"/>
      <c r="I308" s="391"/>
      <c r="J308" s="385"/>
      <c r="K308" s="391"/>
      <c r="L308" s="402"/>
      <c r="M308" s="391"/>
      <c r="N308" s="385"/>
      <c r="O308" s="190"/>
    </row>
    <row r="309" spans="3:15" ht="16" x14ac:dyDescent="0.2">
      <c r="C309" s="119">
        <v>5</v>
      </c>
      <c r="D309" s="383">
        <v>0.48958333333333331</v>
      </c>
      <c r="E309" s="389">
        <v>0.51041666666666663</v>
      </c>
      <c r="F309" s="385">
        <v>28</v>
      </c>
      <c r="G309" s="391"/>
      <c r="H309" s="316"/>
      <c r="I309" s="391"/>
      <c r="J309" s="385"/>
      <c r="K309" s="391"/>
      <c r="L309" s="393"/>
      <c r="M309" s="391"/>
      <c r="N309" s="385"/>
      <c r="O309" s="190"/>
    </row>
    <row r="310" spans="3:15" ht="16" x14ac:dyDescent="0.2">
      <c r="C310" s="119">
        <v>6</v>
      </c>
      <c r="D310" s="383">
        <v>0.51041666666666663</v>
      </c>
      <c r="E310" s="389">
        <v>0.53125</v>
      </c>
      <c r="F310" s="385">
        <v>28</v>
      </c>
      <c r="G310" s="391"/>
      <c r="H310" s="316"/>
      <c r="I310" s="391"/>
      <c r="J310" s="385"/>
      <c r="K310" s="391"/>
      <c r="L310" s="393"/>
      <c r="M310" s="391"/>
      <c r="N310" s="385"/>
      <c r="O310" s="190"/>
    </row>
    <row r="311" spans="3:15" ht="16" x14ac:dyDescent="0.2">
      <c r="C311" s="119">
        <v>7</v>
      </c>
      <c r="D311" s="383">
        <v>0.53125</v>
      </c>
      <c r="E311" s="389">
        <v>0.55208333333333337</v>
      </c>
      <c r="F311" s="385">
        <v>28</v>
      </c>
      <c r="G311" s="391"/>
      <c r="H311" s="316"/>
      <c r="I311" s="391"/>
      <c r="J311" s="385"/>
      <c r="K311" s="391"/>
      <c r="L311" s="393"/>
      <c r="M311" s="391"/>
      <c r="N311" s="385"/>
      <c r="O311" s="190"/>
    </row>
    <row r="312" spans="3:15" ht="16" x14ac:dyDescent="0.2">
      <c r="C312" s="119">
        <v>8</v>
      </c>
      <c r="D312" s="383">
        <v>0.55208333333333337</v>
      </c>
      <c r="E312" s="389">
        <v>0.57291666666666663</v>
      </c>
      <c r="F312" s="385">
        <v>28</v>
      </c>
      <c r="G312" s="391"/>
      <c r="H312" s="316"/>
      <c r="I312" s="391"/>
      <c r="J312" s="385"/>
      <c r="K312" s="391"/>
      <c r="L312" s="385"/>
      <c r="M312" s="391"/>
      <c r="N312" s="385"/>
      <c r="O312" s="190"/>
    </row>
    <row r="313" spans="3:15" ht="16" x14ac:dyDescent="0.2">
      <c r="C313" s="119">
        <v>9</v>
      </c>
      <c r="D313" s="383">
        <v>0.57291666666666663</v>
      </c>
      <c r="E313" s="389">
        <v>0.59375</v>
      </c>
      <c r="F313" s="385">
        <v>28</v>
      </c>
      <c r="G313" s="391"/>
      <c r="H313" s="316"/>
      <c r="I313" s="391"/>
      <c r="J313" s="385"/>
      <c r="K313" s="391"/>
      <c r="L313" s="385"/>
      <c r="M313" s="391"/>
      <c r="N313" s="385"/>
      <c r="O313" s="190"/>
    </row>
    <row r="314" spans="3:15" ht="16" x14ac:dyDescent="0.2">
      <c r="C314" s="119">
        <v>10</v>
      </c>
      <c r="D314" s="383">
        <v>0.57638888888888895</v>
      </c>
      <c r="E314" s="389">
        <v>0.59722222222222221</v>
      </c>
      <c r="F314" s="385">
        <v>14</v>
      </c>
      <c r="G314" s="391"/>
      <c r="H314" s="316"/>
      <c r="I314" s="391"/>
      <c r="J314" s="385"/>
      <c r="K314" s="391"/>
      <c r="L314" s="385"/>
      <c r="M314" s="391"/>
      <c r="N314" s="385"/>
      <c r="O314" s="190"/>
    </row>
    <row r="315" spans="3:15" ht="16" x14ac:dyDescent="0.2">
      <c r="C315" s="119">
        <v>11</v>
      </c>
      <c r="D315" s="383">
        <v>0.5625</v>
      </c>
      <c r="E315" s="389">
        <v>0.58333333333333337</v>
      </c>
      <c r="F315" s="385"/>
      <c r="G315" s="391"/>
      <c r="H315" s="316"/>
      <c r="I315" s="391"/>
      <c r="J315" s="28">
        <v>36</v>
      </c>
      <c r="K315" s="391"/>
      <c r="L315" s="385"/>
      <c r="M315" s="391"/>
      <c r="N315" s="385"/>
      <c r="O315" s="190"/>
    </row>
    <row r="316" spans="3:15" ht="16" x14ac:dyDescent="0.2">
      <c r="C316" s="193">
        <v>12</v>
      </c>
      <c r="D316" s="383">
        <v>0.58333333333333337</v>
      </c>
      <c r="E316" s="389">
        <v>0.60416666666666663</v>
      </c>
      <c r="F316" s="385"/>
      <c r="G316" s="391"/>
      <c r="H316" s="316"/>
      <c r="I316" s="391"/>
      <c r="J316" s="385">
        <v>36</v>
      </c>
      <c r="K316" s="391"/>
      <c r="L316" s="385"/>
      <c r="M316" s="391"/>
      <c r="N316" s="385"/>
      <c r="O316" s="190"/>
    </row>
    <row r="317" spans="3:15" ht="16" x14ac:dyDescent="0.2">
      <c r="C317" s="119">
        <v>13</v>
      </c>
      <c r="D317" s="383">
        <v>0.60416666666666663</v>
      </c>
      <c r="E317" s="389">
        <v>0.625</v>
      </c>
      <c r="F317" s="385"/>
      <c r="G317" s="391"/>
      <c r="H317" s="316"/>
      <c r="I317" s="391"/>
      <c r="J317" s="385">
        <v>36</v>
      </c>
      <c r="K317" s="391"/>
      <c r="L317" s="385"/>
      <c r="M317" s="391"/>
      <c r="N317" s="385"/>
      <c r="O317" s="190"/>
    </row>
    <row r="318" spans="3:15" ht="16" x14ac:dyDescent="0.2">
      <c r="C318" s="119">
        <v>14</v>
      </c>
      <c r="D318" s="383">
        <v>0.625</v>
      </c>
      <c r="E318" s="389">
        <v>0.64583333333333337</v>
      </c>
      <c r="F318" s="385"/>
      <c r="G318" s="391"/>
      <c r="H318" s="316"/>
      <c r="I318" s="391"/>
      <c r="J318" s="385">
        <v>36</v>
      </c>
      <c r="K318" s="391"/>
      <c r="L318" s="385"/>
      <c r="M318" s="391"/>
      <c r="N318" s="385"/>
      <c r="O318" s="190"/>
    </row>
    <row r="319" spans="3:15" ht="16" x14ac:dyDescent="0.2">
      <c r="C319" s="119">
        <v>15</v>
      </c>
      <c r="D319" s="383">
        <v>0.64583333333333337</v>
      </c>
      <c r="E319" s="389">
        <v>0.66666666666666663</v>
      </c>
      <c r="F319" s="385"/>
      <c r="G319" s="391"/>
      <c r="H319" s="316"/>
      <c r="I319" s="391"/>
      <c r="J319" s="385">
        <v>18</v>
      </c>
      <c r="K319" s="391"/>
      <c r="L319" s="385"/>
      <c r="M319" s="391"/>
      <c r="N319" s="385"/>
      <c r="O319" s="190"/>
    </row>
    <row r="320" spans="3:15" ht="16" x14ac:dyDescent="0.2">
      <c r="C320" s="119">
        <v>16</v>
      </c>
      <c r="D320" s="383">
        <v>0.64583333333333337</v>
      </c>
      <c r="E320" s="389">
        <v>0.66666666666666663</v>
      </c>
      <c r="F320" s="385"/>
      <c r="G320" s="391"/>
      <c r="H320" s="316"/>
      <c r="I320" s="391">
        <v>22</v>
      </c>
      <c r="J320" s="385"/>
      <c r="K320" s="391"/>
      <c r="L320" s="385"/>
      <c r="M320" s="391"/>
      <c r="N320" s="385"/>
      <c r="O320" s="190"/>
    </row>
    <row r="321" spans="2:15" ht="16" x14ac:dyDescent="0.2">
      <c r="C321" s="119">
        <v>17</v>
      </c>
      <c r="D321" s="383">
        <v>0.66666666666666663</v>
      </c>
      <c r="E321" s="389">
        <v>0.6875</v>
      </c>
      <c r="F321" s="384"/>
      <c r="G321" s="33"/>
      <c r="H321" s="316"/>
      <c r="I321" s="390">
        <v>44</v>
      </c>
      <c r="J321" s="385"/>
      <c r="K321" s="391"/>
      <c r="L321" s="385"/>
      <c r="M321" s="391"/>
      <c r="N321" s="385"/>
      <c r="O321" s="190"/>
    </row>
    <row r="322" spans="2:15" ht="16" x14ac:dyDescent="0.2">
      <c r="C322" s="119">
        <v>18</v>
      </c>
      <c r="D322" s="383">
        <v>0.6875</v>
      </c>
      <c r="E322" s="389">
        <v>0.70833333333333337</v>
      </c>
      <c r="F322" s="394"/>
      <c r="G322" s="229"/>
      <c r="H322" s="394"/>
      <c r="I322" s="391">
        <v>44</v>
      </c>
      <c r="J322" s="385"/>
      <c r="K322" s="391"/>
      <c r="L322" s="385"/>
      <c r="M322" s="391"/>
      <c r="N322" s="385"/>
      <c r="O322" s="190"/>
    </row>
    <row r="323" spans="2:15" ht="16" x14ac:dyDescent="0.2">
      <c r="C323" s="119">
        <v>19</v>
      </c>
      <c r="D323" s="383"/>
      <c r="E323" s="389"/>
      <c r="F323" s="385"/>
      <c r="G323" s="391"/>
      <c r="H323" s="385"/>
      <c r="I323" s="391"/>
      <c r="J323" s="385"/>
      <c r="K323" s="391"/>
      <c r="L323" s="403"/>
      <c r="M323" s="391"/>
      <c r="N323" s="385"/>
      <c r="O323" s="190"/>
    </row>
    <row r="324" spans="2:15" ht="16" x14ac:dyDescent="0.2">
      <c r="C324" s="119">
        <v>20</v>
      </c>
      <c r="D324" s="383"/>
      <c r="E324" s="389"/>
      <c r="F324" s="385"/>
      <c r="G324" s="391"/>
      <c r="H324" s="385"/>
      <c r="I324" s="391"/>
      <c r="J324" s="385"/>
      <c r="K324" s="391"/>
      <c r="L324" s="403"/>
      <c r="M324" s="391"/>
      <c r="N324" s="385"/>
      <c r="O324" s="190"/>
    </row>
    <row r="325" spans="2:15" ht="16" x14ac:dyDescent="0.2">
      <c r="C325" s="119">
        <v>21</v>
      </c>
      <c r="D325" s="383"/>
      <c r="E325" s="389"/>
      <c r="F325" s="385"/>
      <c r="G325" s="391"/>
      <c r="H325" s="385"/>
      <c r="I325" s="391"/>
      <c r="J325" s="385"/>
      <c r="K325" s="391"/>
      <c r="L325" s="385"/>
      <c r="M325" s="391"/>
      <c r="N325" s="385"/>
      <c r="O325" s="190"/>
    </row>
    <row r="326" spans="2:15" ht="16" x14ac:dyDescent="0.2">
      <c r="C326" s="119">
        <v>22</v>
      </c>
      <c r="D326" s="383"/>
      <c r="E326" s="389"/>
      <c r="F326" s="385"/>
      <c r="G326" s="391"/>
      <c r="H326" s="385"/>
      <c r="I326" s="391"/>
      <c r="J326" s="385"/>
      <c r="K326" s="391"/>
      <c r="L326" s="385"/>
      <c r="M326" s="391"/>
      <c r="N326" s="385"/>
      <c r="O326" s="190"/>
    </row>
    <row r="327" spans="2:15" ht="16" x14ac:dyDescent="0.2">
      <c r="C327" s="119">
        <v>23</v>
      </c>
      <c r="D327" s="383"/>
      <c r="E327" s="389"/>
      <c r="F327" s="385"/>
      <c r="G327" s="391"/>
      <c r="H327" s="385"/>
      <c r="I327" s="391"/>
      <c r="J327" s="385"/>
      <c r="K327" s="391"/>
      <c r="L327" s="385"/>
      <c r="M327" s="391"/>
      <c r="N327" s="385"/>
      <c r="O327" s="190"/>
    </row>
    <row r="328" spans="2:15" ht="16" x14ac:dyDescent="0.2">
      <c r="C328" s="119">
        <v>24</v>
      </c>
      <c r="D328" s="383"/>
      <c r="E328" s="389"/>
      <c r="F328" s="385"/>
      <c r="G328" s="391"/>
      <c r="H328" s="385"/>
      <c r="I328" s="391"/>
      <c r="J328" s="385"/>
      <c r="K328" s="391"/>
      <c r="L328" s="385"/>
      <c r="M328" s="391"/>
      <c r="N328" s="385"/>
      <c r="O328" s="190"/>
    </row>
    <row r="329" spans="2:15" ht="16" x14ac:dyDescent="0.2">
      <c r="C329" s="119">
        <v>25</v>
      </c>
      <c r="D329" s="383"/>
      <c r="E329" s="389"/>
      <c r="F329" s="385"/>
      <c r="G329" s="391"/>
      <c r="H329" s="385"/>
      <c r="I329" s="391"/>
      <c r="J329" s="385"/>
      <c r="K329" s="391"/>
      <c r="L329" s="385"/>
      <c r="M329" s="391"/>
      <c r="N329" s="385"/>
      <c r="O329" s="190"/>
    </row>
    <row r="330" spans="2:15" ht="16" x14ac:dyDescent="0.2">
      <c r="C330" s="119">
        <v>26</v>
      </c>
      <c r="D330" s="383"/>
      <c r="E330" s="389"/>
      <c r="F330" s="385"/>
      <c r="G330" s="391"/>
      <c r="H330" s="385"/>
      <c r="I330" s="391"/>
      <c r="J330" s="385"/>
      <c r="K330" s="391"/>
      <c r="L330" s="385"/>
      <c r="M330" s="391"/>
      <c r="N330" s="385"/>
      <c r="O330" s="190"/>
    </row>
    <row r="331" spans="2:15" ht="16" x14ac:dyDescent="0.2">
      <c r="C331" s="119">
        <v>27</v>
      </c>
      <c r="D331" s="383"/>
      <c r="E331" s="389"/>
      <c r="F331" s="385"/>
      <c r="G331" s="391"/>
      <c r="H331" s="385"/>
      <c r="I331" s="391"/>
      <c r="J331" s="385"/>
      <c r="K331" s="391"/>
      <c r="L331" s="385"/>
      <c r="M331" s="391"/>
      <c r="N331" s="385"/>
      <c r="O331" s="190"/>
    </row>
    <row r="332" spans="2:15" ht="16" x14ac:dyDescent="0.2">
      <c r="C332" s="119">
        <v>28</v>
      </c>
      <c r="D332" s="383"/>
      <c r="E332" s="389"/>
      <c r="F332" s="385"/>
      <c r="G332" s="391"/>
      <c r="H332" s="385"/>
      <c r="I332" s="391"/>
      <c r="J332" s="385"/>
      <c r="K332" s="391"/>
      <c r="L332" s="385"/>
      <c r="M332" s="391"/>
      <c r="N332" s="385"/>
      <c r="O332" s="190"/>
    </row>
    <row r="333" spans="2:15" ht="16" x14ac:dyDescent="0.2">
      <c r="C333" s="119">
        <v>29</v>
      </c>
      <c r="D333" s="383"/>
      <c r="E333" s="389"/>
      <c r="F333" s="385"/>
      <c r="G333" s="391"/>
      <c r="H333" s="385"/>
      <c r="I333" s="391"/>
      <c r="J333" s="385"/>
      <c r="K333" s="391"/>
      <c r="L333" s="385"/>
      <c r="M333" s="391"/>
      <c r="N333" s="385"/>
      <c r="O333" s="190"/>
    </row>
    <row r="334" spans="2:15" ht="16" x14ac:dyDescent="0.2">
      <c r="C334" s="119">
        <v>30</v>
      </c>
      <c r="D334" s="383"/>
      <c r="E334" s="389"/>
      <c r="F334" s="385"/>
      <c r="G334" s="391"/>
      <c r="H334" s="385"/>
      <c r="I334" s="391"/>
      <c r="J334" s="385"/>
      <c r="K334" s="391"/>
      <c r="L334" s="385"/>
      <c r="M334" s="391"/>
      <c r="N334" s="385"/>
      <c r="O334" s="190"/>
    </row>
    <row r="335" spans="2:15" ht="16" x14ac:dyDescent="0.2">
      <c r="C335" s="120">
        <v>31</v>
      </c>
      <c r="D335" s="383"/>
      <c r="E335" s="389"/>
      <c r="F335" s="384"/>
      <c r="G335" s="390"/>
      <c r="H335" s="384"/>
      <c r="I335" s="390"/>
      <c r="J335" s="384"/>
      <c r="K335" s="390"/>
      <c r="L335" s="384"/>
      <c r="M335" s="390"/>
      <c r="N335" s="384"/>
      <c r="O335" s="190"/>
    </row>
    <row r="336" spans="2:15" ht="16" x14ac:dyDescent="0.2">
      <c r="B336" s="256"/>
      <c r="C336" s="377">
        <v>32</v>
      </c>
      <c r="D336" s="384"/>
      <c r="E336" s="390"/>
      <c r="F336" s="384"/>
      <c r="G336" s="390"/>
      <c r="H336" s="384"/>
      <c r="I336" s="390"/>
      <c r="J336" s="384"/>
      <c r="K336" s="390"/>
      <c r="L336" s="384"/>
      <c r="M336" s="390"/>
      <c r="N336" s="384"/>
      <c r="O336" s="190"/>
    </row>
    <row r="337" spans="2:15" ht="16" x14ac:dyDescent="0.2">
      <c r="B337" s="256"/>
      <c r="C337" s="119">
        <v>33</v>
      </c>
      <c r="D337" s="385"/>
      <c r="E337" s="391"/>
      <c r="F337" s="385"/>
      <c r="G337" s="391"/>
      <c r="H337" s="385"/>
      <c r="I337" s="391"/>
      <c r="J337" s="385"/>
      <c r="K337" s="391"/>
      <c r="L337" s="385"/>
      <c r="M337" s="391"/>
      <c r="N337" s="385"/>
      <c r="O337" s="190"/>
    </row>
    <row r="338" spans="2:15" ht="16" x14ac:dyDescent="0.2">
      <c r="B338" s="256"/>
      <c r="C338" s="119">
        <v>34</v>
      </c>
      <c r="D338" s="385"/>
      <c r="E338" s="391"/>
      <c r="F338" s="385"/>
      <c r="G338" s="391"/>
      <c r="H338" s="385"/>
      <c r="I338" s="391"/>
      <c r="J338" s="385"/>
      <c r="K338" s="391"/>
      <c r="L338" s="385"/>
      <c r="M338" s="391"/>
      <c r="N338" s="385"/>
      <c r="O338" s="190"/>
    </row>
    <row r="339" spans="2:15" ht="16" x14ac:dyDescent="0.2">
      <c r="B339" s="256"/>
      <c r="C339" s="119">
        <v>35</v>
      </c>
      <c r="D339" s="385"/>
      <c r="E339" s="391"/>
      <c r="F339" s="385"/>
      <c r="G339" s="391"/>
      <c r="H339" s="385"/>
      <c r="I339" s="391"/>
      <c r="J339" s="385"/>
      <c r="K339" s="391"/>
      <c r="L339" s="385"/>
      <c r="M339" s="391"/>
      <c r="N339" s="385"/>
      <c r="O339" s="190"/>
    </row>
    <row r="340" spans="2:15" ht="16" x14ac:dyDescent="0.2">
      <c r="B340" s="256"/>
      <c r="C340" s="119">
        <v>36</v>
      </c>
      <c r="D340" s="385"/>
      <c r="E340" s="391"/>
      <c r="F340" s="385"/>
      <c r="G340" s="391"/>
      <c r="H340" s="385"/>
      <c r="I340" s="391"/>
      <c r="J340" s="385"/>
      <c r="K340" s="391"/>
      <c r="L340" s="385"/>
      <c r="M340" s="391"/>
      <c r="N340" s="385"/>
      <c r="O340" s="190"/>
    </row>
    <row r="341" spans="2:15" ht="17" thickBot="1" x14ac:dyDescent="0.25">
      <c r="B341" s="256"/>
      <c r="C341" s="378">
        <v>37</v>
      </c>
      <c r="D341" s="386"/>
      <c r="E341" s="392"/>
      <c r="F341" s="386"/>
      <c r="G341" s="392"/>
      <c r="H341" s="386"/>
      <c r="I341" s="392"/>
      <c r="J341" s="386"/>
      <c r="K341" s="392"/>
      <c r="L341" s="386"/>
      <c r="M341" s="392"/>
      <c r="N341" s="386"/>
      <c r="O341" s="190"/>
    </row>
    <row r="342" spans="2:15" ht="17" thickBot="1" x14ac:dyDescent="0.25">
      <c r="C342" s="825" t="s">
        <v>19</v>
      </c>
      <c r="D342" s="826"/>
      <c r="E342" s="380"/>
      <c r="F342" s="376">
        <f>(F305+F306+F307+F308+F309+F310+F326+F313+F314+F311+F312+F315+F316+F317+F318+F319+F320+F321+F322+F323+F324+F325+F327+F328+F330+F331+F332+F333+F334+F335+F336+F337+F338+F341)/2</f>
        <v>77</v>
      </c>
      <c r="G342" s="397">
        <f>(G305+G306+G307+G308+G309+G326+G310+G314+G313+G311+G312+G315+G316+G317+G318+G319+G320+G321+G322+G323+G324+G325+G327+G328+G330+G331+G332+G333+G334+G335+G336+G337)/2</f>
        <v>56</v>
      </c>
      <c r="H342" s="399">
        <f>(H305+H306+H307+H308+H309+H310+H326+H329+H313+H314+H311+H312+H315+H316+H317+H318+H319+H320+H321+H322+H323+H324+H325+H327+H328+H330+H331+H332+H333+H334+H335+H336+H337+H338+H341)/2</f>
        <v>0</v>
      </c>
      <c r="I342" s="398">
        <f>(I305+I306+I307+I308+I309+I339+I340+I310+I326+I313+I329+I314+I311+I312+I315+I316+I317+I318+I319+I320+I321+I322+I323+I324+I325+I327+I328+I330+I331+I332+I333+I334+I335+I336+I337+I338+I341)/2</f>
        <v>55</v>
      </c>
      <c r="J342" s="376">
        <f>(J305+J306+J307+J308+J309+J310+J314+J311+J313+J312+J329+J315+J316+J317+J318+J319+J320+J321+J322+J323+J324+J325+J326+J327+J328+J330+J331+J332+J333+J334+J335+J336+J337)/2</f>
        <v>81</v>
      </c>
      <c r="K342" s="397">
        <f>(K305+K306+K307+K308+K309+K310+K314+K311+K312+K315+K316+K317+K318+K319+K320+K321+K322+K323+K324+K325+K327+K328+K330+K331+K332+K333+K334+K335+K336+K337+K326)</f>
        <v>0</v>
      </c>
      <c r="L342" s="399">
        <f>SUM(L305:L341)</f>
        <v>0</v>
      </c>
      <c r="M342" s="398">
        <f>(M305+M306+M307+M308+M309+M310+M314+M313+M311+M312+M315+M316+M317+M318+M319+M320+M321+M322+M323+M324+M325+M327+M328+M330+M331+M332+M333+M334+M335+M336+M337)/2</f>
        <v>0</v>
      </c>
      <c r="N342" s="376"/>
      <c r="O342" s="41"/>
    </row>
    <row r="343" spans="2:15" ht="17" thickBot="1" x14ac:dyDescent="0.25">
      <c r="C343" s="825" t="s">
        <v>91</v>
      </c>
      <c r="D343" s="826"/>
      <c r="E343" s="381">
        <f>SUM(F342:J342)</f>
        <v>269</v>
      </c>
    </row>
    <row r="344" spans="2:15" ht="16" thickBot="1" x14ac:dyDescent="0.25"/>
    <row r="345" spans="2:15" ht="17" thickBot="1" x14ac:dyDescent="0.25">
      <c r="C345" s="17"/>
      <c r="D345" s="379" t="s">
        <v>83</v>
      </c>
      <c r="E345" s="818" t="s">
        <v>64</v>
      </c>
      <c r="F345" s="819"/>
      <c r="G345" s="819"/>
      <c r="H345" s="819"/>
      <c r="I345" s="819"/>
      <c r="J345" s="400" t="s">
        <v>76</v>
      </c>
      <c r="K345" s="820">
        <v>45664</v>
      </c>
      <c r="L345" s="821"/>
      <c r="M345" s="821"/>
      <c r="N345" s="821"/>
      <c r="O345" s="822"/>
    </row>
    <row r="346" spans="2:15" ht="16" thickBot="1" x14ac:dyDescent="0.25">
      <c r="B346" s="175" t="s">
        <v>76</v>
      </c>
      <c r="C346" s="175" t="s">
        <v>77</v>
      </c>
      <c r="D346" s="823" t="s">
        <v>122</v>
      </c>
      <c r="E346" s="824"/>
      <c r="F346" s="175" t="s">
        <v>104</v>
      </c>
      <c r="G346" s="395" t="s">
        <v>86</v>
      </c>
      <c r="H346" s="175" t="s">
        <v>88</v>
      </c>
      <c r="I346" s="395" t="s">
        <v>87</v>
      </c>
      <c r="J346" s="401" t="s">
        <v>85</v>
      </c>
      <c r="K346" s="395" t="s">
        <v>123</v>
      </c>
      <c r="L346" s="175" t="s">
        <v>124</v>
      </c>
      <c r="M346" s="395" t="s">
        <v>100</v>
      </c>
      <c r="N346" s="175" t="s">
        <v>213</v>
      </c>
      <c r="O346" s="404" t="s">
        <v>125</v>
      </c>
    </row>
    <row r="347" spans="2:15" ht="16" thickBot="1" x14ac:dyDescent="0.25">
      <c r="B347" s="176">
        <f>K345</f>
        <v>45664</v>
      </c>
      <c r="C347" s="374"/>
      <c r="D347" s="375" t="s">
        <v>126</v>
      </c>
      <c r="E347" s="387" t="s">
        <v>127</v>
      </c>
      <c r="F347" s="331">
        <v>11</v>
      </c>
      <c r="G347" s="237">
        <v>8</v>
      </c>
      <c r="H347" s="331">
        <v>2</v>
      </c>
      <c r="I347" s="237">
        <v>5</v>
      </c>
      <c r="J347" s="331">
        <v>8</v>
      </c>
      <c r="K347" s="231"/>
      <c r="L347" s="125"/>
      <c r="M347" s="231"/>
      <c r="N347" s="125"/>
      <c r="O347" s="326"/>
    </row>
    <row r="348" spans="2:15" ht="16" x14ac:dyDescent="0.2">
      <c r="C348" s="118">
        <v>1</v>
      </c>
      <c r="D348" s="382">
        <v>0.36805555555555558</v>
      </c>
      <c r="E348" s="388">
        <v>0.3888888888888889</v>
      </c>
      <c r="F348" s="393"/>
      <c r="G348" s="396">
        <v>28</v>
      </c>
      <c r="H348" s="393"/>
      <c r="I348" s="396"/>
      <c r="J348" s="393"/>
      <c r="K348" s="396"/>
      <c r="L348" s="393"/>
      <c r="M348" s="396"/>
      <c r="N348" s="393"/>
      <c r="O348" s="190"/>
    </row>
    <row r="349" spans="2:15" ht="16" x14ac:dyDescent="0.2">
      <c r="C349" s="119">
        <v>2</v>
      </c>
      <c r="D349" s="383">
        <v>0.3888888888888889</v>
      </c>
      <c r="E349" s="389">
        <v>0.40972222222222227</v>
      </c>
      <c r="F349" s="385"/>
      <c r="G349" s="391">
        <v>28</v>
      </c>
      <c r="H349" s="385"/>
      <c r="I349" s="391"/>
      <c r="J349" s="385"/>
      <c r="K349" s="391"/>
      <c r="L349" s="385"/>
      <c r="M349" s="391"/>
      <c r="N349" s="385"/>
      <c r="O349" s="190"/>
    </row>
    <row r="350" spans="2:15" ht="16" x14ac:dyDescent="0.2">
      <c r="C350" s="119">
        <v>3</v>
      </c>
      <c r="D350" s="383">
        <v>0.40972222222222227</v>
      </c>
      <c r="E350" s="389">
        <v>0.43055555555555558</v>
      </c>
      <c r="F350" s="385">
        <v>14</v>
      </c>
      <c r="G350" s="391"/>
      <c r="H350" s="385"/>
      <c r="I350" s="391"/>
      <c r="J350" s="385"/>
      <c r="K350" s="391"/>
      <c r="L350" s="384"/>
      <c r="M350" s="391"/>
      <c r="N350" s="385"/>
      <c r="O350" s="190"/>
    </row>
    <row r="351" spans="2:15" ht="16" x14ac:dyDescent="0.2">
      <c r="C351" s="119">
        <v>4</v>
      </c>
      <c r="D351" s="383">
        <v>0.43055555555555558</v>
      </c>
      <c r="E351" s="389">
        <v>0.4513888888888889</v>
      </c>
      <c r="F351" s="385"/>
      <c r="G351" s="391">
        <v>28</v>
      </c>
      <c r="H351" s="316"/>
      <c r="I351" s="391"/>
      <c r="J351" s="385"/>
      <c r="K351" s="391"/>
      <c r="L351" s="402"/>
      <c r="M351" s="391"/>
      <c r="N351" s="385"/>
      <c r="O351" s="190"/>
    </row>
    <row r="352" spans="2:15" ht="16" x14ac:dyDescent="0.2">
      <c r="C352" s="119">
        <v>5</v>
      </c>
      <c r="D352" s="383">
        <v>0.4513888888888889</v>
      </c>
      <c r="E352" s="389">
        <v>0.47222222222222227</v>
      </c>
      <c r="F352" s="385"/>
      <c r="G352" s="391">
        <v>28</v>
      </c>
      <c r="H352" s="316"/>
      <c r="I352" s="391"/>
      <c r="J352" s="385"/>
      <c r="K352" s="391"/>
      <c r="L352" s="393"/>
      <c r="M352" s="391"/>
      <c r="N352" s="385"/>
      <c r="O352" s="190"/>
    </row>
    <row r="353" spans="3:15" ht="16" x14ac:dyDescent="0.2">
      <c r="C353" s="119">
        <v>6</v>
      </c>
      <c r="D353" s="383">
        <v>0.47222222222222227</v>
      </c>
      <c r="E353" s="389">
        <v>0.49305555555555558</v>
      </c>
      <c r="F353" s="385"/>
      <c r="G353" s="391"/>
      <c r="H353" s="316">
        <v>28</v>
      </c>
      <c r="I353" s="391"/>
      <c r="J353" s="385"/>
      <c r="K353" s="391"/>
      <c r="L353" s="393"/>
      <c r="M353" s="391"/>
      <c r="N353" s="385"/>
      <c r="O353" s="190"/>
    </row>
    <row r="354" spans="3:15" ht="16" x14ac:dyDescent="0.2">
      <c r="C354" s="119">
        <v>7</v>
      </c>
      <c r="D354" s="383">
        <v>0.50347222222222221</v>
      </c>
      <c r="E354" s="389">
        <v>0.52430555555555558</v>
      </c>
      <c r="F354" s="385">
        <v>28</v>
      </c>
      <c r="G354" s="391"/>
      <c r="H354" s="316"/>
      <c r="I354" s="391"/>
      <c r="J354" s="385"/>
      <c r="K354" s="391"/>
      <c r="L354" s="393"/>
      <c r="M354" s="391"/>
      <c r="N354" s="385"/>
      <c r="O354" s="190"/>
    </row>
    <row r="355" spans="3:15" ht="16" x14ac:dyDescent="0.2">
      <c r="C355" s="119">
        <v>8</v>
      </c>
      <c r="D355" s="383">
        <v>0.52430555555555558</v>
      </c>
      <c r="E355" s="389">
        <v>0.54513888888888895</v>
      </c>
      <c r="F355" s="385">
        <v>28</v>
      </c>
      <c r="G355" s="391"/>
      <c r="H355" s="316"/>
      <c r="I355" s="391"/>
      <c r="J355" s="385"/>
      <c r="K355" s="391"/>
      <c r="L355" s="385"/>
      <c r="M355" s="391"/>
      <c r="N355" s="385"/>
      <c r="O355" s="190"/>
    </row>
    <row r="356" spans="3:15" ht="16" x14ac:dyDescent="0.2">
      <c r="C356" s="119">
        <v>9</v>
      </c>
      <c r="D356" s="383">
        <v>0.54513888888888895</v>
      </c>
      <c r="E356" s="389">
        <v>0.56597222222222221</v>
      </c>
      <c r="F356" s="385">
        <v>28</v>
      </c>
      <c r="G356" s="391"/>
      <c r="H356" s="316"/>
      <c r="I356" s="391"/>
      <c r="J356" s="385"/>
      <c r="K356" s="391"/>
      <c r="L356" s="385"/>
      <c r="M356" s="391"/>
      <c r="N356" s="385"/>
      <c r="O356" s="190"/>
    </row>
    <row r="357" spans="3:15" ht="16" x14ac:dyDescent="0.2">
      <c r="C357" s="119">
        <v>10</v>
      </c>
      <c r="D357" s="383">
        <v>0.56597222222222221</v>
      </c>
      <c r="E357" s="389">
        <v>0.58680555555555558</v>
      </c>
      <c r="F357" s="385">
        <v>28</v>
      </c>
      <c r="G357" s="391"/>
      <c r="H357" s="316"/>
      <c r="I357" s="391"/>
      <c r="J357" s="385"/>
      <c r="K357" s="391"/>
      <c r="L357" s="385"/>
      <c r="M357" s="391"/>
      <c r="N357" s="385"/>
      <c r="O357" s="190"/>
    </row>
    <row r="358" spans="3:15" ht="16" x14ac:dyDescent="0.2">
      <c r="C358" s="119">
        <v>11</v>
      </c>
      <c r="D358" s="383">
        <v>0.58680555555555558</v>
      </c>
      <c r="E358" s="389">
        <v>0.60763888888888895</v>
      </c>
      <c r="F358" s="385">
        <v>28</v>
      </c>
      <c r="G358" s="391"/>
      <c r="H358" s="316"/>
      <c r="I358" s="391"/>
      <c r="J358" s="28"/>
      <c r="K358" s="391"/>
      <c r="L358" s="385"/>
      <c r="M358" s="391"/>
      <c r="N358" s="385"/>
      <c r="O358" s="190"/>
    </row>
    <row r="359" spans="3:15" ht="16" x14ac:dyDescent="0.2">
      <c r="C359" s="193">
        <v>12</v>
      </c>
      <c r="D359" s="383">
        <v>0.58333333333333337</v>
      </c>
      <c r="E359" s="389">
        <v>0.60416666666666663</v>
      </c>
      <c r="F359" s="385"/>
      <c r="G359" s="391"/>
      <c r="H359" s="316"/>
      <c r="I359" s="391"/>
      <c r="J359" s="385">
        <v>36</v>
      </c>
      <c r="K359" s="391"/>
      <c r="L359" s="385"/>
      <c r="M359" s="391"/>
      <c r="N359" s="385"/>
      <c r="O359" s="190"/>
    </row>
    <row r="360" spans="3:15" ht="16" x14ac:dyDescent="0.2">
      <c r="C360" s="119">
        <v>13</v>
      </c>
      <c r="D360" s="383">
        <v>0.60416666666666663</v>
      </c>
      <c r="E360" s="389">
        <v>0.625</v>
      </c>
      <c r="F360" s="385"/>
      <c r="G360" s="391"/>
      <c r="H360" s="316"/>
      <c r="I360" s="391"/>
      <c r="J360" s="385">
        <v>36</v>
      </c>
      <c r="K360" s="391"/>
      <c r="L360" s="385"/>
      <c r="M360" s="391"/>
      <c r="N360" s="385"/>
      <c r="O360" s="190"/>
    </row>
    <row r="361" spans="3:15" ht="16" x14ac:dyDescent="0.2">
      <c r="C361" s="119">
        <v>14</v>
      </c>
      <c r="D361" s="383">
        <v>0.625</v>
      </c>
      <c r="E361" s="389">
        <v>0.64583333333333337</v>
      </c>
      <c r="F361" s="385"/>
      <c r="G361" s="391"/>
      <c r="H361" s="316"/>
      <c r="I361" s="391"/>
      <c r="J361" s="385">
        <v>36</v>
      </c>
      <c r="K361" s="391"/>
      <c r="L361" s="385"/>
      <c r="M361" s="391"/>
      <c r="N361" s="385"/>
      <c r="O361" s="190"/>
    </row>
    <row r="362" spans="3:15" ht="16" x14ac:dyDescent="0.2">
      <c r="C362" s="119">
        <v>15</v>
      </c>
      <c r="D362" s="383">
        <v>0.64583333333333337</v>
      </c>
      <c r="E362" s="389">
        <v>0.66666666666666663</v>
      </c>
      <c r="F362" s="385"/>
      <c r="G362" s="391"/>
      <c r="H362" s="316"/>
      <c r="I362" s="391"/>
      <c r="J362" s="385">
        <v>33</v>
      </c>
      <c r="K362" s="391"/>
      <c r="L362" s="385"/>
      <c r="M362" s="391"/>
      <c r="N362" s="385"/>
      <c r="O362" s="190"/>
    </row>
    <row r="363" spans="3:15" ht="16" x14ac:dyDescent="0.2">
      <c r="C363" s="119">
        <v>16</v>
      </c>
      <c r="D363" s="383">
        <v>0.66666666666666663</v>
      </c>
      <c r="E363" s="389">
        <v>0.6875</v>
      </c>
      <c r="F363" s="385"/>
      <c r="G363" s="391"/>
      <c r="H363" s="316"/>
      <c r="I363" s="391">
        <v>44</v>
      </c>
      <c r="J363" s="385"/>
      <c r="K363" s="391"/>
      <c r="L363" s="385"/>
      <c r="M363" s="391"/>
      <c r="N363" s="385"/>
      <c r="O363" s="190"/>
    </row>
    <row r="364" spans="3:15" ht="16" x14ac:dyDescent="0.2">
      <c r="C364" s="119">
        <v>17</v>
      </c>
      <c r="D364" s="383">
        <v>0.6875</v>
      </c>
      <c r="E364" s="389">
        <v>0.70833333333333337</v>
      </c>
      <c r="F364" s="384"/>
      <c r="G364" s="33"/>
      <c r="H364" s="316"/>
      <c r="I364" s="390">
        <v>44</v>
      </c>
      <c r="J364" s="385"/>
      <c r="K364" s="391"/>
      <c r="L364" s="385"/>
      <c r="M364" s="391"/>
      <c r="N364" s="385"/>
      <c r="O364" s="190"/>
    </row>
    <row r="365" spans="3:15" ht="16" x14ac:dyDescent="0.2">
      <c r="C365" s="119">
        <v>18</v>
      </c>
      <c r="D365" s="383">
        <v>0.70833333333333337</v>
      </c>
      <c r="E365" s="389">
        <v>0.72916666666666663</v>
      </c>
      <c r="F365" s="394"/>
      <c r="G365" s="229"/>
      <c r="H365" s="394"/>
      <c r="I365" s="391">
        <v>22</v>
      </c>
      <c r="J365" s="385"/>
      <c r="K365" s="391"/>
      <c r="L365" s="385"/>
      <c r="M365" s="391"/>
      <c r="N365" s="385"/>
      <c r="O365" s="190"/>
    </row>
    <row r="366" spans="3:15" ht="16" x14ac:dyDescent="0.2">
      <c r="C366" s="119">
        <v>19</v>
      </c>
      <c r="D366" s="383"/>
      <c r="E366" s="389"/>
      <c r="F366" s="385"/>
      <c r="G366" s="391"/>
      <c r="H366" s="385"/>
      <c r="I366" s="391"/>
      <c r="J366" s="385"/>
      <c r="K366" s="391"/>
      <c r="L366" s="403"/>
      <c r="M366" s="391"/>
      <c r="N366" s="385"/>
      <c r="O366" s="190"/>
    </row>
    <row r="367" spans="3:15" ht="16" x14ac:dyDescent="0.2">
      <c r="C367" s="119">
        <v>20</v>
      </c>
      <c r="D367" s="383"/>
      <c r="E367" s="389"/>
      <c r="F367" s="385"/>
      <c r="G367" s="391"/>
      <c r="H367" s="385"/>
      <c r="I367" s="391"/>
      <c r="J367" s="385"/>
      <c r="K367" s="391"/>
      <c r="L367" s="403"/>
      <c r="M367" s="391"/>
      <c r="N367" s="385"/>
      <c r="O367" s="190"/>
    </row>
    <row r="368" spans="3:15" ht="16" x14ac:dyDescent="0.2">
      <c r="C368" s="119">
        <v>21</v>
      </c>
      <c r="D368" s="383"/>
      <c r="E368" s="389"/>
      <c r="F368" s="385"/>
      <c r="G368" s="391"/>
      <c r="H368" s="385"/>
      <c r="I368" s="391"/>
      <c r="J368" s="385"/>
      <c r="K368" s="391"/>
      <c r="L368" s="385"/>
      <c r="M368" s="391"/>
      <c r="N368" s="385"/>
      <c r="O368" s="190"/>
    </row>
    <row r="369" spans="2:15" ht="16" x14ac:dyDescent="0.2">
      <c r="C369" s="119">
        <v>22</v>
      </c>
      <c r="D369" s="383"/>
      <c r="E369" s="389"/>
      <c r="F369" s="385"/>
      <c r="G369" s="391"/>
      <c r="H369" s="385"/>
      <c r="I369" s="391"/>
      <c r="J369" s="385"/>
      <c r="K369" s="391"/>
      <c r="L369" s="385"/>
      <c r="M369" s="391"/>
      <c r="N369" s="385"/>
      <c r="O369" s="190"/>
    </row>
    <row r="370" spans="2:15" ht="16" x14ac:dyDescent="0.2">
      <c r="C370" s="119">
        <v>23</v>
      </c>
      <c r="D370" s="383"/>
      <c r="E370" s="389"/>
      <c r="F370" s="385"/>
      <c r="G370" s="391"/>
      <c r="H370" s="385"/>
      <c r="I370" s="391"/>
      <c r="J370" s="385"/>
      <c r="K370" s="391"/>
      <c r="L370" s="385"/>
      <c r="M370" s="391"/>
      <c r="N370" s="385"/>
      <c r="O370" s="190"/>
    </row>
    <row r="371" spans="2:15" ht="16" x14ac:dyDescent="0.2">
      <c r="C371" s="119">
        <v>24</v>
      </c>
      <c r="D371" s="383"/>
      <c r="E371" s="389"/>
      <c r="F371" s="385"/>
      <c r="G371" s="391"/>
      <c r="H371" s="385"/>
      <c r="I371" s="391"/>
      <c r="J371" s="385"/>
      <c r="K371" s="391"/>
      <c r="L371" s="385"/>
      <c r="M371" s="391"/>
      <c r="N371" s="385"/>
      <c r="O371" s="190"/>
    </row>
    <row r="372" spans="2:15" ht="16" x14ac:dyDescent="0.2">
      <c r="C372" s="119">
        <v>25</v>
      </c>
      <c r="D372" s="383"/>
      <c r="E372" s="389"/>
      <c r="F372" s="385"/>
      <c r="G372" s="391"/>
      <c r="H372" s="385"/>
      <c r="I372" s="391"/>
      <c r="J372" s="385"/>
      <c r="K372" s="391"/>
      <c r="L372" s="385"/>
      <c r="M372" s="391"/>
      <c r="N372" s="385"/>
      <c r="O372" s="190"/>
    </row>
    <row r="373" spans="2:15" ht="16" x14ac:dyDescent="0.2">
      <c r="C373" s="119">
        <v>26</v>
      </c>
      <c r="D373" s="383"/>
      <c r="E373" s="389"/>
      <c r="F373" s="385"/>
      <c r="G373" s="391"/>
      <c r="H373" s="385"/>
      <c r="I373" s="391"/>
      <c r="J373" s="385"/>
      <c r="K373" s="391"/>
      <c r="L373" s="385"/>
      <c r="M373" s="391"/>
      <c r="N373" s="385"/>
      <c r="O373" s="190"/>
    </row>
    <row r="374" spans="2:15" ht="16" x14ac:dyDescent="0.2">
      <c r="C374" s="119">
        <v>27</v>
      </c>
      <c r="D374" s="383"/>
      <c r="E374" s="389"/>
      <c r="F374" s="385"/>
      <c r="G374" s="391"/>
      <c r="H374" s="385"/>
      <c r="I374" s="391"/>
      <c r="J374" s="385"/>
      <c r="K374" s="391"/>
      <c r="L374" s="385"/>
      <c r="M374" s="391"/>
      <c r="N374" s="385"/>
      <c r="O374" s="190"/>
    </row>
    <row r="375" spans="2:15" ht="16" x14ac:dyDescent="0.2">
      <c r="C375" s="119">
        <v>28</v>
      </c>
      <c r="D375" s="383"/>
      <c r="E375" s="389"/>
      <c r="F375" s="385"/>
      <c r="G375" s="391"/>
      <c r="H375" s="385"/>
      <c r="I375" s="391"/>
      <c r="J375" s="385"/>
      <c r="K375" s="391"/>
      <c r="L375" s="385"/>
      <c r="M375" s="391"/>
      <c r="N375" s="385"/>
      <c r="O375" s="190"/>
    </row>
    <row r="376" spans="2:15" ht="16" x14ac:dyDescent="0.2">
      <c r="C376" s="119">
        <v>29</v>
      </c>
      <c r="D376" s="383"/>
      <c r="E376" s="389"/>
      <c r="F376" s="385"/>
      <c r="G376" s="391"/>
      <c r="H376" s="385"/>
      <c r="I376" s="391"/>
      <c r="J376" s="385"/>
      <c r="K376" s="391"/>
      <c r="L376" s="385"/>
      <c r="M376" s="391"/>
      <c r="N376" s="385"/>
      <c r="O376" s="190"/>
    </row>
    <row r="377" spans="2:15" ht="16" x14ac:dyDescent="0.2">
      <c r="C377" s="119">
        <v>30</v>
      </c>
      <c r="D377" s="383"/>
      <c r="E377" s="389"/>
      <c r="F377" s="385"/>
      <c r="G377" s="391"/>
      <c r="H377" s="385"/>
      <c r="I377" s="391"/>
      <c r="J377" s="385"/>
      <c r="K377" s="391"/>
      <c r="L377" s="385"/>
      <c r="M377" s="391"/>
      <c r="N377" s="385"/>
      <c r="O377" s="190"/>
    </row>
    <row r="378" spans="2:15" ht="16" x14ac:dyDescent="0.2">
      <c r="C378" s="120">
        <v>31</v>
      </c>
      <c r="D378" s="383"/>
      <c r="E378" s="389"/>
      <c r="F378" s="384"/>
      <c r="G378" s="390"/>
      <c r="H378" s="384"/>
      <c r="I378" s="390"/>
      <c r="J378" s="384"/>
      <c r="K378" s="390"/>
      <c r="L378" s="384"/>
      <c r="M378" s="390"/>
      <c r="N378" s="384"/>
      <c r="O378" s="190"/>
    </row>
    <row r="379" spans="2:15" ht="16" x14ac:dyDescent="0.2">
      <c r="B379" s="256"/>
      <c r="C379" s="377">
        <v>32</v>
      </c>
      <c r="D379" s="384"/>
      <c r="E379" s="390"/>
      <c r="F379" s="384"/>
      <c r="G379" s="390"/>
      <c r="H379" s="384"/>
      <c r="I379" s="390"/>
      <c r="J379" s="384"/>
      <c r="K379" s="390"/>
      <c r="L379" s="384"/>
      <c r="M379" s="390"/>
      <c r="N379" s="384"/>
      <c r="O379" s="190"/>
    </row>
    <row r="380" spans="2:15" ht="16" x14ac:dyDescent="0.2">
      <c r="B380" s="256"/>
      <c r="C380" s="119">
        <v>33</v>
      </c>
      <c r="D380" s="385"/>
      <c r="E380" s="391"/>
      <c r="F380" s="385"/>
      <c r="G380" s="391"/>
      <c r="H380" s="385"/>
      <c r="I380" s="391"/>
      <c r="J380" s="385"/>
      <c r="K380" s="391"/>
      <c r="L380" s="385"/>
      <c r="M380" s="391"/>
      <c r="N380" s="385"/>
      <c r="O380" s="190"/>
    </row>
    <row r="381" spans="2:15" ht="16" x14ac:dyDescent="0.2">
      <c r="B381" s="256"/>
      <c r="C381" s="119">
        <v>34</v>
      </c>
      <c r="D381" s="385"/>
      <c r="E381" s="391"/>
      <c r="F381" s="385"/>
      <c r="G381" s="391"/>
      <c r="H381" s="385"/>
      <c r="I381" s="391"/>
      <c r="J381" s="385"/>
      <c r="K381" s="391"/>
      <c r="L381" s="385"/>
      <c r="M381" s="391"/>
      <c r="N381" s="385"/>
      <c r="O381" s="190"/>
    </row>
    <row r="382" spans="2:15" ht="16" x14ac:dyDescent="0.2">
      <c r="B382" s="256"/>
      <c r="C382" s="119">
        <v>35</v>
      </c>
      <c r="D382" s="385"/>
      <c r="E382" s="391"/>
      <c r="F382" s="385"/>
      <c r="G382" s="391"/>
      <c r="H382" s="385"/>
      <c r="I382" s="391"/>
      <c r="J382" s="385"/>
      <c r="K382" s="391"/>
      <c r="L382" s="385"/>
      <c r="M382" s="391"/>
      <c r="N382" s="385"/>
      <c r="O382" s="190"/>
    </row>
    <row r="383" spans="2:15" ht="16" x14ac:dyDescent="0.2">
      <c r="B383" s="256"/>
      <c r="C383" s="119">
        <v>36</v>
      </c>
      <c r="D383" s="385"/>
      <c r="E383" s="391"/>
      <c r="F383" s="385"/>
      <c r="G383" s="391"/>
      <c r="H383" s="385"/>
      <c r="I383" s="391"/>
      <c r="J383" s="385"/>
      <c r="K383" s="391"/>
      <c r="L383" s="385"/>
      <c r="M383" s="391"/>
      <c r="N383" s="385"/>
      <c r="O383" s="190"/>
    </row>
    <row r="384" spans="2:15" ht="17" thickBot="1" x14ac:dyDescent="0.25">
      <c r="B384" s="256"/>
      <c r="C384" s="378">
        <v>37</v>
      </c>
      <c r="D384" s="386"/>
      <c r="E384" s="392"/>
      <c r="F384" s="386"/>
      <c r="G384" s="392"/>
      <c r="H384" s="386"/>
      <c r="I384" s="392"/>
      <c r="J384" s="386"/>
      <c r="K384" s="392"/>
      <c r="L384" s="386"/>
      <c r="M384" s="392"/>
      <c r="N384" s="386"/>
      <c r="O384" s="190"/>
    </row>
    <row r="385" spans="2:15" ht="17" thickBot="1" x14ac:dyDescent="0.25">
      <c r="C385" s="825" t="s">
        <v>19</v>
      </c>
      <c r="D385" s="826"/>
      <c r="E385" s="380"/>
      <c r="F385" s="376">
        <f>(F348+F349+F350+F351+F352+F353+F369+F356+F357+F354+F355+F358+F359+F360+F361+F362+F363+F364+F365+F366+F367+F368+F370+F371+F373+F374+F375+F376+F377+F378+F379+F380+F381+F384)/2</f>
        <v>77</v>
      </c>
      <c r="G385" s="397">
        <f>(G348+G349+G350+G351+G352+G369+G353+G357+G356+G354+G355+G358+G359+G360+G361+G362+G363+G364+G365+G366+G367+G368+G370+G371+G373+G374+G375+G376+G377+G378+G379+G380)/2</f>
        <v>56</v>
      </c>
      <c r="H385" s="399">
        <f>(H348+H349+H350+H351+H352+H353+H369+H372+H356+H357+H354+H355+H358+H359+H360+H361+H362+H363+H364+H365+H366+H367+H368+H370+H371+H373+H374+H375+H376+H377+H378+H379+H380+H381+H384)/2</f>
        <v>14</v>
      </c>
      <c r="I385" s="398">
        <f>(I348+I349+I350+I351+I352+I382+I383+I353+I369+I356+I372+I357+I354+I355+I358+I359+I360+I361+I362+I363+I364+I365+I366+I367+I368+I370+I371+I373+I374+I375+I376+I377+I378+I379+I380+I381+I384)/2</f>
        <v>55</v>
      </c>
      <c r="J385" s="376">
        <f>(J348+J349+J350+J351+J352+J353+J357+J354+J356+J355+J372+J358+J359+J360+J361+J362+J363+J364+J365+J366+J367+J368+J369+J370+J371+J373+J374+J375+J376+J377+J378+J379+J380)/2</f>
        <v>70.5</v>
      </c>
      <c r="K385" s="397">
        <f>(K348+K349+K350+K351+K352+K353+K357+K354+K355+K358+K359+K360+K361+K362+K363+K364+K365+K366+K367+K368+K370+K371+K373+K374+K375+K376+K377+K378+K379+K380+K369)</f>
        <v>0</v>
      </c>
      <c r="L385" s="399">
        <f>SUM(L348:L384)</f>
        <v>0</v>
      </c>
      <c r="M385" s="398">
        <f>(M348+M349+M350+M351+M352+M353+M357+M356+M354+M355+M358+M359+M360+M361+M362+M363+M364+M365+M366+M367+M368+M370+M371+M373+M374+M375+M376+M377+M378+M379+M380)/2</f>
        <v>0</v>
      </c>
      <c r="N385" s="376"/>
      <c r="O385" s="41"/>
    </row>
    <row r="386" spans="2:15" ht="17" thickBot="1" x14ac:dyDescent="0.25">
      <c r="C386" s="825" t="s">
        <v>91</v>
      </c>
      <c r="D386" s="826"/>
      <c r="E386" s="381">
        <f>SUM(F385:J385)</f>
        <v>272.5</v>
      </c>
    </row>
    <row r="387" spans="2:15" ht="16" thickBot="1" x14ac:dyDescent="0.25"/>
    <row r="388" spans="2:15" ht="17" thickBot="1" x14ac:dyDescent="0.25">
      <c r="C388" s="17"/>
      <c r="D388" s="379" t="s">
        <v>83</v>
      </c>
      <c r="E388" s="818" t="s">
        <v>66</v>
      </c>
      <c r="F388" s="819"/>
      <c r="G388" s="819"/>
      <c r="H388" s="819"/>
      <c r="I388" s="819"/>
      <c r="J388" s="400" t="s">
        <v>76</v>
      </c>
      <c r="K388" s="820">
        <v>45665</v>
      </c>
      <c r="L388" s="821"/>
      <c r="M388" s="821"/>
      <c r="N388" s="821"/>
      <c r="O388" s="822"/>
    </row>
    <row r="389" spans="2:15" ht="16" thickBot="1" x14ac:dyDescent="0.25">
      <c r="B389" s="175" t="s">
        <v>76</v>
      </c>
      <c r="C389" s="175" t="s">
        <v>77</v>
      </c>
      <c r="D389" s="823" t="s">
        <v>122</v>
      </c>
      <c r="E389" s="824"/>
      <c r="F389" s="175" t="s">
        <v>104</v>
      </c>
      <c r="G389" s="395" t="s">
        <v>86</v>
      </c>
      <c r="H389" s="175" t="s">
        <v>88</v>
      </c>
      <c r="I389" s="395" t="s">
        <v>87</v>
      </c>
      <c r="J389" s="401" t="s">
        <v>85</v>
      </c>
      <c r="K389" s="395" t="s">
        <v>123</v>
      </c>
      <c r="L389" s="175" t="s">
        <v>124</v>
      </c>
      <c r="M389" s="395" t="s">
        <v>100</v>
      </c>
      <c r="N389" s="175" t="s">
        <v>213</v>
      </c>
      <c r="O389" s="404" t="s">
        <v>125</v>
      </c>
    </row>
    <row r="390" spans="2:15" ht="16" thickBot="1" x14ac:dyDescent="0.25">
      <c r="B390" s="176">
        <f>K388</f>
        <v>45665</v>
      </c>
      <c r="C390" s="374"/>
      <c r="D390" s="375" t="s">
        <v>126</v>
      </c>
      <c r="E390" s="387" t="s">
        <v>127</v>
      </c>
      <c r="F390" s="331">
        <v>10</v>
      </c>
      <c r="G390" s="237">
        <v>6</v>
      </c>
      <c r="H390" s="331">
        <v>3</v>
      </c>
      <c r="I390" s="237">
        <v>4</v>
      </c>
      <c r="J390" s="331">
        <v>8</v>
      </c>
      <c r="K390" s="231"/>
      <c r="L390" s="125"/>
      <c r="M390" s="231"/>
      <c r="N390" s="125"/>
      <c r="O390" s="326"/>
    </row>
    <row r="391" spans="2:15" ht="16" x14ac:dyDescent="0.2">
      <c r="C391" s="118">
        <v>1</v>
      </c>
      <c r="D391" s="382">
        <v>0.4201388888888889</v>
      </c>
      <c r="E391" s="388">
        <v>0.44097222222222227</v>
      </c>
      <c r="F391" s="393"/>
      <c r="G391" s="396">
        <v>28</v>
      </c>
      <c r="H391" s="393"/>
      <c r="I391" s="396"/>
      <c r="J391" s="393"/>
      <c r="K391" s="396"/>
      <c r="L391" s="393"/>
      <c r="M391" s="396"/>
      <c r="N391" s="393"/>
      <c r="O391" s="190"/>
    </row>
    <row r="392" spans="2:15" ht="16" x14ac:dyDescent="0.2">
      <c r="C392" s="119">
        <v>2</v>
      </c>
      <c r="D392" s="383">
        <v>0.44097222222222227</v>
      </c>
      <c r="E392" s="389">
        <v>0.46180555555555558</v>
      </c>
      <c r="F392" s="385"/>
      <c r="G392" s="391">
        <v>28</v>
      </c>
      <c r="H392" s="385"/>
      <c r="I392" s="391"/>
      <c r="J392" s="385"/>
      <c r="K392" s="391"/>
      <c r="L392" s="385"/>
      <c r="M392" s="391"/>
      <c r="N392" s="385"/>
      <c r="O392" s="190"/>
    </row>
    <row r="393" spans="2:15" ht="16" x14ac:dyDescent="0.2">
      <c r="C393" s="119">
        <v>3</v>
      </c>
      <c r="D393" s="383">
        <v>0.46180555555555558</v>
      </c>
      <c r="E393" s="389">
        <v>0.4826388888888889</v>
      </c>
      <c r="F393" s="385"/>
      <c r="G393" s="391">
        <v>28</v>
      </c>
      <c r="H393" s="385"/>
      <c r="I393" s="391"/>
      <c r="J393" s="385"/>
      <c r="K393" s="391"/>
      <c r="L393" s="384"/>
      <c r="M393" s="391"/>
      <c r="N393" s="385"/>
      <c r="O393" s="190"/>
    </row>
    <row r="394" spans="2:15" ht="16" x14ac:dyDescent="0.2">
      <c r="C394" s="119">
        <v>4</v>
      </c>
      <c r="D394" s="383">
        <v>0.47916666666666669</v>
      </c>
      <c r="E394" s="389">
        <v>0.5</v>
      </c>
      <c r="F394" s="385"/>
      <c r="G394" s="391"/>
      <c r="H394" s="316">
        <v>28</v>
      </c>
      <c r="I394" s="391"/>
      <c r="J394" s="385"/>
      <c r="K394" s="391"/>
      <c r="L394" s="402"/>
      <c r="M394" s="391"/>
      <c r="N394" s="385"/>
      <c r="O394" s="190"/>
    </row>
    <row r="395" spans="2:15" ht="16" x14ac:dyDescent="0.2">
      <c r="C395" s="119">
        <v>5</v>
      </c>
      <c r="D395" s="383">
        <v>0.4861111111111111</v>
      </c>
      <c r="E395" s="389">
        <v>0.50694444444444442</v>
      </c>
      <c r="F395" s="385"/>
      <c r="G395" s="391"/>
      <c r="H395" s="316">
        <v>14</v>
      </c>
      <c r="I395" s="391"/>
      <c r="J395" s="385"/>
      <c r="K395" s="391"/>
      <c r="L395" s="393"/>
      <c r="M395" s="391"/>
      <c r="N395" s="385"/>
      <c r="O395" s="190"/>
    </row>
    <row r="396" spans="2:15" ht="16" x14ac:dyDescent="0.2">
      <c r="C396" s="119">
        <v>6</v>
      </c>
      <c r="D396" s="383">
        <v>0.49305555555555558</v>
      </c>
      <c r="E396" s="389">
        <v>0.51388888888888895</v>
      </c>
      <c r="F396" s="385">
        <v>28</v>
      </c>
      <c r="G396" s="391"/>
      <c r="H396" s="316"/>
      <c r="I396" s="391"/>
      <c r="J396" s="385"/>
      <c r="K396" s="391"/>
      <c r="L396" s="393"/>
      <c r="M396" s="391"/>
      <c r="N396" s="385"/>
      <c r="O396" s="190"/>
    </row>
    <row r="397" spans="2:15" ht="16" x14ac:dyDescent="0.2">
      <c r="C397" s="119">
        <v>7</v>
      </c>
      <c r="D397" s="383">
        <v>0.51388888888888895</v>
      </c>
      <c r="E397" s="389">
        <v>0.53472222222222221</v>
      </c>
      <c r="F397" s="385">
        <v>28</v>
      </c>
      <c r="G397" s="391"/>
      <c r="H397" s="316"/>
      <c r="I397" s="391"/>
      <c r="J397" s="385"/>
      <c r="K397" s="391"/>
      <c r="L397" s="393"/>
      <c r="M397" s="391"/>
      <c r="N397" s="385"/>
      <c r="O397" s="190"/>
    </row>
    <row r="398" spans="2:15" ht="16" x14ac:dyDescent="0.2">
      <c r="C398" s="119">
        <v>8</v>
      </c>
      <c r="D398" s="383">
        <v>0.53472222222222221</v>
      </c>
      <c r="E398" s="389">
        <v>0.55555555555555558</v>
      </c>
      <c r="F398" s="385">
        <v>28</v>
      </c>
      <c r="G398" s="391"/>
      <c r="H398" s="316"/>
      <c r="I398" s="391"/>
      <c r="J398" s="385"/>
      <c r="K398" s="391"/>
      <c r="L398" s="385"/>
      <c r="M398" s="391"/>
      <c r="N398" s="385"/>
      <c r="O398" s="190"/>
    </row>
    <row r="399" spans="2:15" ht="16" x14ac:dyDescent="0.2">
      <c r="C399" s="119">
        <v>9</v>
      </c>
      <c r="D399" s="383">
        <v>0.55555555555555558</v>
      </c>
      <c r="E399" s="389">
        <v>0.57638888888888895</v>
      </c>
      <c r="F399" s="385">
        <v>28</v>
      </c>
      <c r="G399" s="391"/>
      <c r="H399" s="316"/>
      <c r="I399" s="391"/>
      <c r="J399" s="385"/>
      <c r="K399" s="391"/>
      <c r="L399" s="385"/>
      <c r="M399" s="391"/>
      <c r="N399" s="385"/>
      <c r="O399" s="190"/>
    </row>
    <row r="400" spans="2:15" ht="16" x14ac:dyDescent="0.2">
      <c r="C400" s="119">
        <v>10</v>
      </c>
      <c r="D400" s="383">
        <v>0.57638888888888895</v>
      </c>
      <c r="E400" s="389">
        <v>0.59722222222222221</v>
      </c>
      <c r="F400" s="385">
        <v>25</v>
      </c>
      <c r="G400" s="391"/>
      <c r="H400" s="316"/>
      <c r="I400" s="391"/>
      <c r="J400" s="385"/>
      <c r="K400" s="391">
        <v>1</v>
      </c>
      <c r="L400" s="385"/>
      <c r="M400" s="391"/>
      <c r="N400" s="385"/>
      <c r="O400" s="190"/>
    </row>
    <row r="401" spans="3:15" ht="16" x14ac:dyDescent="0.2">
      <c r="C401" s="119">
        <v>11</v>
      </c>
      <c r="D401" s="389">
        <v>0.58333333333333337</v>
      </c>
      <c r="E401" s="389">
        <v>0.60416666666666663</v>
      </c>
      <c r="F401" s="385"/>
      <c r="G401" s="391"/>
      <c r="H401" s="316"/>
      <c r="I401" s="391"/>
      <c r="J401" s="28">
        <v>36</v>
      </c>
      <c r="K401" s="391"/>
      <c r="L401" s="385"/>
      <c r="M401" s="391"/>
      <c r="N401" s="385"/>
      <c r="O401" s="190"/>
    </row>
    <row r="402" spans="3:15" ht="16" x14ac:dyDescent="0.2">
      <c r="C402" s="193">
        <v>12</v>
      </c>
      <c r="D402" s="389">
        <v>0.60416666666666663</v>
      </c>
      <c r="E402" s="389">
        <v>0.625</v>
      </c>
      <c r="F402" s="385"/>
      <c r="G402" s="391"/>
      <c r="H402" s="316"/>
      <c r="I402" s="391"/>
      <c r="J402" s="385">
        <v>35</v>
      </c>
      <c r="K402" s="391"/>
      <c r="L402" s="385"/>
      <c r="M402" s="391"/>
      <c r="N402" s="385"/>
      <c r="O402" s="190"/>
    </row>
    <row r="403" spans="3:15" ht="16" x14ac:dyDescent="0.2">
      <c r="C403" s="119">
        <v>13</v>
      </c>
      <c r="D403" s="389">
        <v>0.625</v>
      </c>
      <c r="E403" s="389">
        <v>0.64583333333333337</v>
      </c>
      <c r="F403" s="385"/>
      <c r="G403" s="391"/>
      <c r="H403" s="316"/>
      <c r="I403" s="391"/>
      <c r="J403" s="385">
        <v>36</v>
      </c>
      <c r="K403" s="391"/>
      <c r="L403" s="385"/>
      <c r="M403" s="391"/>
      <c r="N403" s="385"/>
      <c r="O403" s="190"/>
    </row>
    <row r="404" spans="3:15" ht="16" x14ac:dyDescent="0.2">
      <c r="C404" s="119">
        <v>14</v>
      </c>
      <c r="D404" s="389">
        <v>0.64583333333333337</v>
      </c>
      <c r="E404" s="389">
        <v>0.66666666666666663</v>
      </c>
      <c r="F404" s="385"/>
      <c r="G404" s="391"/>
      <c r="H404" s="316"/>
      <c r="I404" s="391"/>
      <c r="J404" s="385">
        <v>36</v>
      </c>
      <c r="K404" s="391"/>
      <c r="L404" s="385"/>
      <c r="M404" s="391"/>
      <c r="N404" s="385"/>
      <c r="O404" s="190"/>
    </row>
    <row r="405" spans="3:15" ht="16" x14ac:dyDescent="0.2">
      <c r="C405" s="119">
        <v>15</v>
      </c>
      <c r="D405" s="389">
        <v>0.66666666666666663</v>
      </c>
      <c r="E405" s="389">
        <v>0.6875</v>
      </c>
      <c r="F405" s="385"/>
      <c r="G405" s="391"/>
      <c r="H405" s="316"/>
      <c r="I405" s="391">
        <v>44</v>
      </c>
      <c r="J405" s="385"/>
      <c r="K405" s="391"/>
      <c r="L405" s="385"/>
      <c r="M405" s="391"/>
      <c r="N405" s="385"/>
      <c r="O405" s="190"/>
    </row>
    <row r="406" spans="3:15" ht="16" x14ac:dyDescent="0.2">
      <c r="C406" s="119">
        <v>16</v>
      </c>
      <c r="D406" s="389">
        <v>0.6875</v>
      </c>
      <c r="E406" s="389">
        <v>0.70833333333333337</v>
      </c>
      <c r="F406" s="385"/>
      <c r="G406" s="391"/>
      <c r="H406" s="316"/>
      <c r="I406" s="391">
        <v>44</v>
      </c>
      <c r="J406" s="385"/>
      <c r="K406" s="391"/>
      <c r="L406" s="385"/>
      <c r="M406" s="391"/>
      <c r="N406" s="385"/>
      <c r="O406" s="190"/>
    </row>
    <row r="407" spans="3:15" ht="16" x14ac:dyDescent="0.2">
      <c r="C407" s="119">
        <v>17</v>
      </c>
      <c r="D407" s="383"/>
      <c r="E407" s="389"/>
      <c r="F407" s="384"/>
      <c r="G407" s="33"/>
      <c r="H407" s="316"/>
      <c r="I407" s="390"/>
      <c r="J407" s="385"/>
      <c r="K407" s="391"/>
      <c r="L407" s="385"/>
      <c r="M407" s="391"/>
      <c r="N407" s="385"/>
      <c r="O407" s="190"/>
    </row>
    <row r="408" spans="3:15" ht="16" x14ac:dyDescent="0.2">
      <c r="C408" s="119">
        <v>18</v>
      </c>
      <c r="D408" s="383"/>
      <c r="E408" s="389"/>
      <c r="F408" s="394"/>
      <c r="G408" s="229"/>
      <c r="H408" s="394"/>
      <c r="I408" s="391"/>
      <c r="J408" s="385"/>
      <c r="K408" s="391"/>
      <c r="L408" s="385"/>
      <c r="M408" s="391"/>
      <c r="N408" s="385"/>
      <c r="O408" s="190"/>
    </row>
    <row r="409" spans="3:15" ht="16" x14ac:dyDescent="0.2">
      <c r="C409" s="119">
        <v>19</v>
      </c>
      <c r="D409" s="383"/>
      <c r="E409" s="389"/>
      <c r="F409" s="385"/>
      <c r="G409" s="391"/>
      <c r="H409" s="385"/>
      <c r="I409" s="391"/>
      <c r="J409" s="385"/>
      <c r="K409" s="391"/>
      <c r="L409" s="403"/>
      <c r="M409" s="391"/>
      <c r="N409" s="385"/>
      <c r="O409" s="190"/>
    </row>
    <row r="410" spans="3:15" ht="16" x14ac:dyDescent="0.2">
      <c r="C410" s="119">
        <v>20</v>
      </c>
      <c r="D410" s="383"/>
      <c r="E410" s="389"/>
      <c r="F410" s="385"/>
      <c r="G410" s="391"/>
      <c r="H410" s="385"/>
      <c r="I410" s="391"/>
      <c r="J410" s="385"/>
      <c r="K410" s="391"/>
      <c r="L410" s="403"/>
      <c r="M410" s="391"/>
      <c r="N410" s="385"/>
      <c r="O410" s="190"/>
    </row>
    <row r="411" spans="3:15" ht="16" x14ac:dyDescent="0.2">
      <c r="C411" s="119">
        <v>21</v>
      </c>
      <c r="D411" s="383"/>
      <c r="E411" s="389"/>
      <c r="F411" s="385"/>
      <c r="G411" s="391"/>
      <c r="H411" s="385"/>
      <c r="I411" s="391"/>
      <c r="J411" s="385"/>
      <c r="K411" s="391"/>
      <c r="L411" s="385"/>
      <c r="M411" s="391"/>
      <c r="N411" s="385"/>
      <c r="O411" s="190"/>
    </row>
    <row r="412" spans="3:15" ht="16" x14ac:dyDescent="0.2">
      <c r="C412" s="119">
        <v>22</v>
      </c>
      <c r="D412" s="383"/>
      <c r="E412" s="389"/>
      <c r="F412" s="385"/>
      <c r="G412" s="391"/>
      <c r="H412" s="385"/>
      <c r="I412" s="391"/>
      <c r="J412" s="385"/>
      <c r="K412" s="391"/>
      <c r="L412" s="385"/>
      <c r="M412" s="391"/>
      <c r="N412" s="385"/>
      <c r="O412" s="190"/>
    </row>
    <row r="413" spans="3:15" ht="16" x14ac:dyDescent="0.2">
      <c r="C413" s="119">
        <v>23</v>
      </c>
      <c r="D413" s="383"/>
      <c r="E413" s="389"/>
      <c r="F413" s="385"/>
      <c r="G413" s="391"/>
      <c r="H413" s="385"/>
      <c r="I413" s="391"/>
      <c r="J413" s="385"/>
      <c r="K413" s="391"/>
      <c r="L413" s="385"/>
      <c r="M413" s="391"/>
      <c r="N413" s="385"/>
      <c r="O413" s="190"/>
    </row>
    <row r="414" spans="3:15" ht="16" x14ac:dyDescent="0.2">
      <c r="C414" s="119">
        <v>24</v>
      </c>
      <c r="D414" s="383"/>
      <c r="E414" s="389"/>
      <c r="F414" s="385"/>
      <c r="G414" s="391"/>
      <c r="H414" s="385"/>
      <c r="I414" s="391"/>
      <c r="J414" s="385"/>
      <c r="K414" s="391"/>
      <c r="L414" s="385"/>
      <c r="M414" s="391"/>
      <c r="N414" s="385"/>
      <c r="O414" s="190"/>
    </row>
    <row r="415" spans="3:15" ht="16" x14ac:dyDescent="0.2">
      <c r="C415" s="119">
        <v>25</v>
      </c>
      <c r="D415" s="383"/>
      <c r="E415" s="389"/>
      <c r="F415" s="385"/>
      <c r="G415" s="391"/>
      <c r="H415" s="385"/>
      <c r="I415" s="391"/>
      <c r="J415" s="385"/>
      <c r="K415" s="391"/>
      <c r="L415" s="385"/>
      <c r="M415" s="391"/>
      <c r="N415" s="385"/>
      <c r="O415" s="190"/>
    </row>
    <row r="416" spans="3:15" ht="16" x14ac:dyDescent="0.2">
      <c r="C416" s="119">
        <v>26</v>
      </c>
      <c r="D416" s="383"/>
      <c r="E416" s="389"/>
      <c r="F416" s="385"/>
      <c r="G416" s="391"/>
      <c r="H416" s="385"/>
      <c r="I416" s="391"/>
      <c r="J416" s="385"/>
      <c r="K416" s="391"/>
      <c r="L416" s="385"/>
      <c r="M416" s="391"/>
      <c r="N416" s="385"/>
      <c r="O416" s="190"/>
    </row>
    <row r="417" spans="2:15" ht="16" x14ac:dyDescent="0.2">
      <c r="C417" s="119">
        <v>27</v>
      </c>
      <c r="D417" s="383"/>
      <c r="E417" s="389"/>
      <c r="F417" s="385"/>
      <c r="G417" s="391"/>
      <c r="H417" s="385"/>
      <c r="I417" s="391"/>
      <c r="J417" s="385"/>
      <c r="K417" s="391"/>
      <c r="L417" s="385"/>
      <c r="M417" s="391"/>
      <c r="N417" s="385"/>
      <c r="O417" s="190"/>
    </row>
    <row r="418" spans="2:15" ht="16" x14ac:dyDescent="0.2">
      <c r="C418" s="119">
        <v>28</v>
      </c>
      <c r="D418" s="383"/>
      <c r="E418" s="389"/>
      <c r="F418" s="385"/>
      <c r="G418" s="391"/>
      <c r="H418" s="385"/>
      <c r="I418" s="391"/>
      <c r="J418" s="385"/>
      <c r="K418" s="391"/>
      <c r="L418" s="385"/>
      <c r="M418" s="391"/>
      <c r="N418" s="385"/>
      <c r="O418" s="190"/>
    </row>
    <row r="419" spans="2:15" ht="16" x14ac:dyDescent="0.2">
      <c r="C419" s="119">
        <v>29</v>
      </c>
      <c r="D419" s="383"/>
      <c r="E419" s="389"/>
      <c r="F419" s="385"/>
      <c r="G419" s="391"/>
      <c r="H419" s="385"/>
      <c r="I419" s="391"/>
      <c r="J419" s="385"/>
      <c r="K419" s="391"/>
      <c r="L419" s="385"/>
      <c r="M419" s="391"/>
      <c r="N419" s="385"/>
      <c r="O419" s="190"/>
    </row>
    <row r="420" spans="2:15" ht="16" x14ac:dyDescent="0.2">
      <c r="C420" s="119">
        <v>30</v>
      </c>
      <c r="D420" s="383"/>
      <c r="E420" s="389"/>
      <c r="F420" s="385"/>
      <c r="G420" s="391"/>
      <c r="H420" s="385"/>
      <c r="I420" s="391"/>
      <c r="J420" s="385"/>
      <c r="K420" s="391"/>
      <c r="L420" s="385"/>
      <c r="M420" s="391"/>
      <c r="N420" s="385"/>
      <c r="O420" s="190"/>
    </row>
    <row r="421" spans="2:15" ht="16" x14ac:dyDescent="0.2">
      <c r="C421" s="120">
        <v>31</v>
      </c>
      <c r="D421" s="383"/>
      <c r="E421" s="389"/>
      <c r="F421" s="384"/>
      <c r="G421" s="390"/>
      <c r="H421" s="384"/>
      <c r="I421" s="390"/>
      <c r="J421" s="384"/>
      <c r="K421" s="390"/>
      <c r="L421" s="384"/>
      <c r="M421" s="390"/>
      <c r="N421" s="384"/>
      <c r="O421" s="190"/>
    </row>
    <row r="422" spans="2:15" ht="16" x14ac:dyDescent="0.2">
      <c r="B422" s="256"/>
      <c r="C422" s="377">
        <v>32</v>
      </c>
      <c r="D422" s="384"/>
      <c r="E422" s="390"/>
      <c r="F422" s="384"/>
      <c r="G422" s="390"/>
      <c r="H422" s="384"/>
      <c r="I422" s="390"/>
      <c r="J422" s="384"/>
      <c r="K422" s="390"/>
      <c r="L422" s="384"/>
      <c r="M422" s="390"/>
      <c r="N422" s="384"/>
      <c r="O422" s="190"/>
    </row>
    <row r="423" spans="2:15" ht="16" x14ac:dyDescent="0.2">
      <c r="B423" s="256"/>
      <c r="C423" s="119">
        <v>33</v>
      </c>
      <c r="D423" s="385"/>
      <c r="E423" s="391"/>
      <c r="F423" s="385"/>
      <c r="G423" s="391"/>
      <c r="H423" s="385"/>
      <c r="I423" s="391"/>
      <c r="J423" s="385"/>
      <c r="K423" s="391"/>
      <c r="L423" s="385"/>
      <c r="M423" s="391"/>
      <c r="N423" s="385"/>
      <c r="O423" s="190"/>
    </row>
    <row r="424" spans="2:15" ht="16" x14ac:dyDescent="0.2">
      <c r="B424" s="256"/>
      <c r="C424" s="119">
        <v>34</v>
      </c>
      <c r="D424" s="385"/>
      <c r="E424" s="391"/>
      <c r="F424" s="385"/>
      <c r="G424" s="391"/>
      <c r="H424" s="385"/>
      <c r="I424" s="391"/>
      <c r="J424" s="385"/>
      <c r="K424" s="391"/>
      <c r="L424" s="385"/>
      <c r="M424" s="391"/>
      <c r="N424" s="385"/>
      <c r="O424" s="190"/>
    </row>
    <row r="425" spans="2:15" ht="16" x14ac:dyDescent="0.2">
      <c r="B425" s="256"/>
      <c r="C425" s="119">
        <v>35</v>
      </c>
      <c r="D425" s="385"/>
      <c r="E425" s="391"/>
      <c r="F425" s="385"/>
      <c r="G425" s="391"/>
      <c r="H425" s="385"/>
      <c r="I425" s="391"/>
      <c r="J425" s="385"/>
      <c r="K425" s="391"/>
      <c r="L425" s="385"/>
      <c r="M425" s="391"/>
      <c r="N425" s="385"/>
      <c r="O425" s="190"/>
    </row>
    <row r="426" spans="2:15" ht="16" x14ac:dyDescent="0.2">
      <c r="B426" s="256"/>
      <c r="C426" s="119">
        <v>36</v>
      </c>
      <c r="D426" s="385"/>
      <c r="E426" s="391"/>
      <c r="F426" s="385"/>
      <c r="G426" s="391"/>
      <c r="H426" s="385"/>
      <c r="I426" s="391"/>
      <c r="J426" s="385"/>
      <c r="K426" s="391"/>
      <c r="L426" s="385"/>
      <c r="M426" s="391"/>
      <c r="N426" s="385"/>
      <c r="O426" s="190"/>
    </row>
    <row r="427" spans="2:15" ht="17" thickBot="1" x14ac:dyDescent="0.25">
      <c r="B427" s="256"/>
      <c r="C427" s="378">
        <v>37</v>
      </c>
      <c r="D427" s="386"/>
      <c r="E427" s="392"/>
      <c r="F427" s="386"/>
      <c r="G427" s="392"/>
      <c r="H427" s="386"/>
      <c r="I427" s="392"/>
      <c r="J427" s="386"/>
      <c r="K427" s="392"/>
      <c r="L427" s="386"/>
      <c r="M427" s="392"/>
      <c r="N427" s="386"/>
      <c r="O427" s="190"/>
    </row>
    <row r="428" spans="2:15" ht="17" thickBot="1" x14ac:dyDescent="0.25">
      <c r="C428" s="825" t="s">
        <v>19</v>
      </c>
      <c r="D428" s="826"/>
      <c r="E428" s="380"/>
      <c r="F428" s="376">
        <f>(F391+F392+F393+F394+F395+F396+F412+F399+F400+F397+F398+F401+F402+F403+F404+F405+F406+F407+F408+F409+F410+F411+F413+F414+F416+F417+F418+F419+F420+F421+F422+F423+F424+F427)/2</f>
        <v>68.5</v>
      </c>
      <c r="G428" s="397">
        <f>(G391+G392+G393+G394+G395+G412+G396+G400+G399+G397+G398+G401+G402+G403+G404+G405+G406+G407+G408+G409+G410+G411+G413+G414+G416+G417+G418+G419+G420+G421+G422+G423)/2</f>
        <v>42</v>
      </c>
      <c r="H428" s="399">
        <f>(H391+H392+H393+H394+H395+H396+H412+H415+H399+H400+H397+H398+H401+H402+H403+H404+H405+H406+H407+H408+H409+H410+H411+H413+H414+H416+H417+H418+H419+H420+H421+H422+H423+H424+H427)/2</f>
        <v>21</v>
      </c>
      <c r="I428" s="398">
        <f>(I391+I392+I393+I394+I395+I425+I426+I396+I412+I399+I415+I400+I397+I398+I401+I402+I403+I404+I405+I406+I407+I408+I409+I410+I411+I413+I414+I416+I417+I418+I419+I420+I421+I422+I423+I424+I427)/2</f>
        <v>44</v>
      </c>
      <c r="J428" s="376">
        <f>(J391+J392+J393+J394+J395+J396+J400+J397+J399+J398+J415+J401+J402+J403+J404+J405+J406+J407+J408+J409+J410+J411+J412+J413+J414+J416+J417+J418+J419+J420+J421+J422+J423)/2</f>
        <v>71.5</v>
      </c>
      <c r="K428" s="397">
        <f>(K391+K392+K393+K394+K395+K396+K400+K397+K398+K401+K402+K403+K404+K405+K406+K407+K408+K409+K410+K411+K413+K414+K416+K417+K418+K419+K420+K421+K422+K423+K412)</f>
        <v>1</v>
      </c>
      <c r="L428" s="399">
        <f>SUM(L391:L427)</f>
        <v>0</v>
      </c>
      <c r="M428" s="398">
        <f>(M391+M392+M393+M394+M395+M396+M400+M399+M397+M398+M401+M402+M403+M404+M405+M406+M407+M408+M409+M410+M411+M413+M414+M416+M417+M418+M419+M420+M421+M422+M423)/2</f>
        <v>0</v>
      </c>
      <c r="N428" s="376"/>
      <c r="O428" s="41"/>
    </row>
    <row r="429" spans="2:15" ht="17" thickBot="1" x14ac:dyDescent="0.25">
      <c r="C429" s="825" t="s">
        <v>91</v>
      </c>
      <c r="D429" s="826"/>
      <c r="E429" s="381">
        <f>SUM(F428:J428)</f>
        <v>247</v>
      </c>
    </row>
    <row r="430" spans="2:15" ht="16" thickBot="1" x14ac:dyDescent="0.25"/>
    <row r="431" spans="2:15" ht="17" thickBot="1" x14ac:dyDescent="0.25">
      <c r="C431" s="17"/>
      <c r="D431" s="379" t="s">
        <v>83</v>
      </c>
      <c r="E431" s="818" t="s">
        <v>66</v>
      </c>
      <c r="F431" s="819"/>
      <c r="G431" s="819"/>
      <c r="H431" s="819"/>
      <c r="I431" s="819"/>
      <c r="J431" s="400" t="s">
        <v>76</v>
      </c>
      <c r="K431" s="820">
        <v>45666</v>
      </c>
      <c r="L431" s="821"/>
      <c r="M431" s="821"/>
      <c r="N431" s="821"/>
      <c r="O431" s="822"/>
    </row>
    <row r="432" spans="2:15" ht="16" thickBot="1" x14ac:dyDescent="0.25">
      <c r="B432" s="175" t="s">
        <v>76</v>
      </c>
      <c r="C432" s="175" t="s">
        <v>77</v>
      </c>
      <c r="D432" s="823" t="s">
        <v>122</v>
      </c>
      <c r="E432" s="824"/>
      <c r="F432" s="175" t="s">
        <v>104</v>
      </c>
      <c r="G432" s="395" t="s">
        <v>86</v>
      </c>
      <c r="H432" s="175" t="s">
        <v>88</v>
      </c>
      <c r="I432" s="395" t="s">
        <v>87</v>
      </c>
      <c r="J432" s="401" t="s">
        <v>85</v>
      </c>
      <c r="K432" s="395" t="s">
        <v>123</v>
      </c>
      <c r="L432" s="175" t="s">
        <v>124</v>
      </c>
      <c r="M432" s="395" t="s">
        <v>100</v>
      </c>
      <c r="N432" s="175" t="s">
        <v>213</v>
      </c>
      <c r="O432" s="404" t="s">
        <v>125</v>
      </c>
    </row>
    <row r="433" spans="2:15" ht="16" thickBot="1" x14ac:dyDescent="0.25">
      <c r="B433" s="176">
        <f>K431</f>
        <v>45666</v>
      </c>
      <c r="C433" s="374"/>
      <c r="D433" s="375" t="s">
        <v>126</v>
      </c>
      <c r="E433" s="387" t="s">
        <v>127</v>
      </c>
      <c r="F433" s="331">
        <v>3</v>
      </c>
      <c r="G433" s="237">
        <v>4</v>
      </c>
      <c r="H433" s="331">
        <v>4</v>
      </c>
      <c r="I433" s="237">
        <v>2</v>
      </c>
      <c r="J433" s="331">
        <v>4</v>
      </c>
      <c r="K433" s="231"/>
      <c r="L433" s="125"/>
      <c r="M433" s="231"/>
      <c r="N433" s="125"/>
      <c r="O433" s="326"/>
    </row>
    <row r="434" spans="2:15" ht="16" x14ac:dyDescent="0.2">
      <c r="C434" s="118">
        <v>1</v>
      </c>
      <c r="D434" s="382">
        <v>0.80208333333333337</v>
      </c>
      <c r="E434" s="388">
        <v>0.82291666666666663</v>
      </c>
      <c r="F434" s="393"/>
      <c r="G434" s="396">
        <v>28</v>
      </c>
      <c r="H434" s="393"/>
      <c r="I434" s="396"/>
      <c r="J434" s="393"/>
      <c r="K434" s="396"/>
      <c r="L434" s="393"/>
      <c r="M434" s="396"/>
      <c r="N434" s="393"/>
      <c r="O434" s="190"/>
    </row>
    <row r="435" spans="2:15" ht="16" x14ac:dyDescent="0.2">
      <c r="C435" s="119">
        <v>2</v>
      </c>
      <c r="D435" s="383">
        <v>0.81944444444444453</v>
      </c>
      <c r="E435" s="389">
        <v>0.84027777777777779</v>
      </c>
      <c r="F435" s="385"/>
      <c r="G435" s="391">
        <v>28</v>
      </c>
      <c r="H435" s="385"/>
      <c r="I435" s="391"/>
      <c r="J435" s="385"/>
      <c r="K435" s="391"/>
      <c r="L435" s="385"/>
      <c r="M435" s="391"/>
      <c r="N435" s="385"/>
      <c r="O435" s="190"/>
    </row>
    <row r="436" spans="2:15" ht="16" x14ac:dyDescent="0.2">
      <c r="C436" s="119">
        <v>3</v>
      </c>
      <c r="D436" s="383">
        <v>0.84027777777777779</v>
      </c>
      <c r="E436" s="389">
        <v>0.86111111111111116</v>
      </c>
      <c r="F436" s="385"/>
      <c r="G436" s="391"/>
      <c r="H436" s="385">
        <v>28</v>
      </c>
      <c r="I436" s="391"/>
      <c r="J436" s="385"/>
      <c r="K436" s="391"/>
      <c r="L436" s="384"/>
      <c r="M436" s="391"/>
      <c r="N436" s="385"/>
      <c r="O436" s="190"/>
    </row>
    <row r="437" spans="2:15" ht="16" x14ac:dyDescent="0.2">
      <c r="C437" s="119">
        <v>4</v>
      </c>
      <c r="D437" s="383">
        <v>0.86111111111111116</v>
      </c>
      <c r="E437" s="389">
        <v>0.88194444444444453</v>
      </c>
      <c r="F437" s="385"/>
      <c r="G437" s="391"/>
      <c r="H437" s="316">
        <v>28</v>
      </c>
      <c r="I437" s="391"/>
      <c r="J437" s="385"/>
      <c r="K437" s="391"/>
      <c r="L437" s="402"/>
      <c r="M437" s="391"/>
      <c r="N437" s="385"/>
      <c r="O437" s="190"/>
    </row>
    <row r="438" spans="2:15" ht="16" x14ac:dyDescent="0.2">
      <c r="C438" s="119">
        <v>5</v>
      </c>
      <c r="D438" s="383">
        <v>0.88541666666666663</v>
      </c>
      <c r="E438" s="389">
        <v>0.90625</v>
      </c>
      <c r="F438" s="385">
        <v>28</v>
      </c>
      <c r="G438" s="391"/>
      <c r="H438" s="316"/>
      <c r="I438" s="391"/>
      <c r="J438" s="385"/>
      <c r="K438" s="391"/>
      <c r="L438" s="393"/>
      <c r="M438" s="391"/>
      <c r="N438" s="385"/>
      <c r="O438" s="190"/>
    </row>
    <row r="439" spans="2:15" ht="16" x14ac:dyDescent="0.2">
      <c r="C439" s="119">
        <v>6</v>
      </c>
      <c r="D439" s="383">
        <v>0.91319444444444453</v>
      </c>
      <c r="E439" s="389">
        <v>0.93402777777777779</v>
      </c>
      <c r="F439" s="385"/>
      <c r="G439" s="391"/>
      <c r="H439" s="316"/>
      <c r="I439" s="391">
        <v>44</v>
      </c>
      <c r="J439" s="385"/>
      <c r="K439" s="391"/>
      <c r="L439" s="393"/>
      <c r="M439" s="391"/>
      <c r="N439" s="385"/>
      <c r="O439" s="190"/>
    </row>
    <row r="440" spans="2:15" ht="16" x14ac:dyDescent="0.2">
      <c r="C440" s="119">
        <v>7</v>
      </c>
      <c r="D440" s="383">
        <v>0.94444444444444453</v>
      </c>
      <c r="E440" s="389">
        <v>0.96527777777777779</v>
      </c>
      <c r="F440" s="385"/>
      <c r="G440" s="391"/>
      <c r="H440" s="316"/>
      <c r="I440" s="391"/>
      <c r="J440" s="385">
        <v>36</v>
      </c>
      <c r="K440" s="391"/>
      <c r="L440" s="393"/>
      <c r="M440" s="391"/>
      <c r="N440" s="385"/>
      <c r="O440" s="190"/>
    </row>
    <row r="441" spans="2:15" ht="16" x14ac:dyDescent="0.2">
      <c r="C441" s="119">
        <v>8</v>
      </c>
      <c r="D441" s="383">
        <v>0.97222222222222221</v>
      </c>
      <c r="E441" s="389">
        <v>0.99305555555555547</v>
      </c>
      <c r="F441" s="385"/>
      <c r="G441" s="391"/>
      <c r="H441" s="316"/>
      <c r="I441" s="391"/>
      <c r="J441" s="385">
        <v>32</v>
      </c>
      <c r="K441" s="391"/>
      <c r="L441" s="385"/>
      <c r="M441" s="391"/>
      <c r="N441" s="385"/>
      <c r="O441" s="190"/>
    </row>
    <row r="442" spans="2:15" ht="16" x14ac:dyDescent="0.2">
      <c r="C442" s="119">
        <v>9</v>
      </c>
      <c r="D442" s="383">
        <v>0</v>
      </c>
      <c r="E442" s="389">
        <v>2.0833333333333332E-2</v>
      </c>
      <c r="F442" s="385">
        <v>14</v>
      </c>
      <c r="G442" s="391"/>
      <c r="H442" s="316"/>
      <c r="I442" s="391"/>
      <c r="J442" s="385"/>
      <c r="K442" s="391"/>
      <c r="L442" s="385"/>
      <c r="M442" s="391"/>
      <c r="N442" s="385"/>
      <c r="O442" s="190"/>
    </row>
    <row r="443" spans="2:15" ht="16" x14ac:dyDescent="0.2">
      <c r="C443" s="119">
        <v>10</v>
      </c>
      <c r="D443" s="383"/>
      <c r="E443" s="389"/>
      <c r="F443" s="385"/>
      <c r="G443" s="391"/>
      <c r="H443" s="316"/>
      <c r="I443" s="391"/>
      <c r="J443" s="385"/>
      <c r="K443" s="391"/>
      <c r="L443" s="385"/>
      <c r="M443" s="391"/>
      <c r="N443" s="385"/>
      <c r="O443" s="190"/>
    </row>
    <row r="444" spans="2:15" ht="16" x14ac:dyDescent="0.2">
      <c r="C444" s="119">
        <v>11</v>
      </c>
      <c r="D444" s="383"/>
      <c r="E444" s="389"/>
      <c r="F444" s="385"/>
      <c r="G444" s="391"/>
      <c r="H444" s="316"/>
      <c r="I444" s="391"/>
      <c r="J444" s="28"/>
      <c r="K444" s="391"/>
      <c r="L444" s="385"/>
      <c r="M444" s="391"/>
      <c r="N444" s="385"/>
      <c r="O444" s="190"/>
    </row>
    <row r="445" spans="2:15" ht="16" x14ac:dyDescent="0.2">
      <c r="C445" s="193">
        <v>12</v>
      </c>
      <c r="D445" s="383"/>
      <c r="E445" s="389"/>
      <c r="F445" s="385"/>
      <c r="G445" s="391"/>
      <c r="H445" s="316"/>
      <c r="I445" s="391"/>
      <c r="J445" s="385"/>
      <c r="K445" s="391"/>
      <c r="L445" s="385"/>
      <c r="M445" s="391"/>
      <c r="N445" s="385"/>
      <c r="O445" s="190"/>
    </row>
    <row r="446" spans="2:15" ht="16" x14ac:dyDescent="0.2">
      <c r="C446" s="119">
        <v>13</v>
      </c>
      <c r="D446" s="383"/>
      <c r="E446" s="389"/>
      <c r="F446" s="385"/>
      <c r="G446" s="391"/>
      <c r="H446" s="316"/>
      <c r="I446" s="391"/>
      <c r="J446" s="385"/>
      <c r="K446" s="391"/>
      <c r="L446" s="385"/>
      <c r="M446" s="391"/>
      <c r="N446" s="385"/>
      <c r="O446" s="190"/>
    </row>
    <row r="447" spans="2:15" ht="16" x14ac:dyDescent="0.2">
      <c r="C447" s="119">
        <v>14</v>
      </c>
      <c r="D447" s="383"/>
      <c r="E447" s="389"/>
      <c r="F447" s="385"/>
      <c r="G447" s="391"/>
      <c r="H447" s="316"/>
      <c r="I447" s="391"/>
      <c r="J447" s="385"/>
      <c r="K447" s="391"/>
      <c r="L447" s="385"/>
      <c r="M447" s="391"/>
      <c r="N447" s="385"/>
      <c r="O447" s="190"/>
    </row>
    <row r="448" spans="2:15" ht="16" x14ac:dyDescent="0.2">
      <c r="C448" s="119">
        <v>15</v>
      </c>
      <c r="D448" s="383"/>
      <c r="E448" s="389"/>
      <c r="F448" s="385"/>
      <c r="G448" s="391"/>
      <c r="H448" s="316"/>
      <c r="I448" s="391"/>
      <c r="J448" s="385"/>
      <c r="K448" s="391"/>
      <c r="L448" s="385"/>
      <c r="M448" s="391"/>
      <c r="N448" s="385"/>
      <c r="O448" s="190"/>
    </row>
    <row r="449" spans="3:15" ht="16" x14ac:dyDescent="0.2">
      <c r="C449" s="119">
        <v>16</v>
      </c>
      <c r="D449" s="383"/>
      <c r="E449" s="389"/>
      <c r="F449" s="385"/>
      <c r="G449" s="391"/>
      <c r="H449" s="316"/>
      <c r="I449" s="391"/>
      <c r="J449" s="385"/>
      <c r="K449" s="391"/>
      <c r="L449" s="385"/>
      <c r="M449" s="391"/>
      <c r="N449" s="385"/>
      <c r="O449" s="190"/>
    </row>
    <row r="450" spans="3:15" ht="16" x14ac:dyDescent="0.2">
      <c r="C450" s="119">
        <v>17</v>
      </c>
      <c r="D450" s="383"/>
      <c r="E450" s="389"/>
      <c r="F450" s="384"/>
      <c r="G450" s="33"/>
      <c r="H450" s="316"/>
      <c r="I450" s="390"/>
      <c r="J450" s="385"/>
      <c r="K450" s="391"/>
      <c r="L450" s="385"/>
      <c r="M450" s="391"/>
      <c r="N450" s="385"/>
      <c r="O450" s="190"/>
    </row>
    <row r="451" spans="3:15" ht="16" x14ac:dyDescent="0.2">
      <c r="C451" s="119">
        <v>18</v>
      </c>
      <c r="D451" s="383"/>
      <c r="E451" s="389"/>
      <c r="F451" s="394"/>
      <c r="G451" s="229"/>
      <c r="H451" s="394"/>
      <c r="I451" s="391"/>
      <c r="J451" s="385"/>
      <c r="K451" s="391"/>
      <c r="L451" s="385"/>
      <c r="M451" s="391"/>
      <c r="N451" s="385"/>
      <c r="O451" s="190"/>
    </row>
    <row r="452" spans="3:15" ht="16" x14ac:dyDescent="0.2">
      <c r="C452" s="119">
        <v>19</v>
      </c>
      <c r="D452" s="383"/>
      <c r="E452" s="389"/>
      <c r="F452" s="385"/>
      <c r="G452" s="391"/>
      <c r="H452" s="385"/>
      <c r="I452" s="391"/>
      <c r="J452" s="385"/>
      <c r="K452" s="391"/>
      <c r="L452" s="403"/>
      <c r="M452" s="391"/>
      <c r="N452" s="385"/>
      <c r="O452" s="190"/>
    </row>
    <row r="453" spans="3:15" ht="16" x14ac:dyDescent="0.2">
      <c r="C453" s="119">
        <v>20</v>
      </c>
      <c r="D453" s="383"/>
      <c r="E453" s="389"/>
      <c r="F453" s="385"/>
      <c r="G453" s="391"/>
      <c r="H453" s="385"/>
      <c r="I453" s="391"/>
      <c r="J453" s="385"/>
      <c r="K453" s="391"/>
      <c r="L453" s="403"/>
      <c r="M453" s="391"/>
      <c r="N453" s="385"/>
      <c r="O453" s="190"/>
    </row>
    <row r="454" spans="3:15" ht="16" x14ac:dyDescent="0.2">
      <c r="C454" s="119">
        <v>21</v>
      </c>
      <c r="D454" s="383"/>
      <c r="E454" s="389"/>
      <c r="F454" s="385"/>
      <c r="G454" s="391"/>
      <c r="H454" s="385"/>
      <c r="I454" s="391"/>
      <c r="J454" s="385"/>
      <c r="K454" s="391"/>
      <c r="L454" s="385"/>
      <c r="M454" s="391"/>
      <c r="N454" s="385"/>
      <c r="O454" s="190"/>
    </row>
    <row r="455" spans="3:15" ht="16" x14ac:dyDescent="0.2">
      <c r="C455" s="119">
        <v>22</v>
      </c>
      <c r="D455" s="383"/>
      <c r="E455" s="389"/>
      <c r="F455" s="385"/>
      <c r="G455" s="391"/>
      <c r="H455" s="385"/>
      <c r="I455" s="391"/>
      <c r="J455" s="385"/>
      <c r="K455" s="391"/>
      <c r="L455" s="385"/>
      <c r="M455" s="391"/>
      <c r="N455" s="385"/>
      <c r="O455" s="190"/>
    </row>
    <row r="456" spans="3:15" ht="16" x14ac:dyDescent="0.2">
      <c r="C456" s="119">
        <v>23</v>
      </c>
      <c r="D456" s="383"/>
      <c r="E456" s="389"/>
      <c r="F456" s="385"/>
      <c r="G456" s="391"/>
      <c r="H456" s="385"/>
      <c r="I456" s="391"/>
      <c r="J456" s="385"/>
      <c r="K456" s="391"/>
      <c r="L456" s="385"/>
      <c r="M456" s="391"/>
      <c r="N456" s="385"/>
      <c r="O456" s="190"/>
    </row>
    <row r="457" spans="3:15" ht="16" x14ac:dyDescent="0.2">
      <c r="C457" s="119">
        <v>24</v>
      </c>
      <c r="D457" s="383"/>
      <c r="E457" s="389"/>
      <c r="F457" s="385"/>
      <c r="G457" s="391"/>
      <c r="H457" s="385"/>
      <c r="I457" s="391"/>
      <c r="J457" s="385"/>
      <c r="K457" s="391"/>
      <c r="L457" s="385"/>
      <c r="M457" s="391"/>
      <c r="N457" s="385"/>
      <c r="O457" s="190"/>
    </row>
    <row r="458" spans="3:15" ht="16" x14ac:dyDescent="0.2">
      <c r="C458" s="119">
        <v>25</v>
      </c>
      <c r="D458" s="383"/>
      <c r="E458" s="389"/>
      <c r="F458" s="385"/>
      <c r="G458" s="391"/>
      <c r="H458" s="385"/>
      <c r="I458" s="391"/>
      <c r="J458" s="385"/>
      <c r="K458" s="391"/>
      <c r="L458" s="385"/>
      <c r="M458" s="391"/>
      <c r="N458" s="385"/>
      <c r="O458" s="190"/>
    </row>
    <row r="459" spans="3:15" ht="16" x14ac:dyDescent="0.2">
      <c r="C459" s="119">
        <v>26</v>
      </c>
      <c r="D459" s="383"/>
      <c r="E459" s="389"/>
      <c r="F459" s="385"/>
      <c r="G459" s="391"/>
      <c r="H459" s="385"/>
      <c r="I459" s="391"/>
      <c r="J459" s="385"/>
      <c r="K459" s="391"/>
      <c r="L459" s="385"/>
      <c r="M459" s="391"/>
      <c r="N459" s="385"/>
      <c r="O459" s="190"/>
    </row>
    <row r="460" spans="3:15" ht="16" x14ac:dyDescent="0.2">
      <c r="C460" s="119">
        <v>27</v>
      </c>
      <c r="D460" s="383"/>
      <c r="E460" s="389"/>
      <c r="F460" s="385"/>
      <c r="G460" s="391"/>
      <c r="H460" s="385"/>
      <c r="I460" s="391"/>
      <c r="J460" s="385"/>
      <c r="K460" s="391"/>
      <c r="L460" s="385"/>
      <c r="M460" s="391"/>
      <c r="N460" s="385"/>
      <c r="O460" s="190"/>
    </row>
    <row r="461" spans="3:15" ht="16" x14ac:dyDescent="0.2">
      <c r="C461" s="119">
        <v>28</v>
      </c>
      <c r="D461" s="383"/>
      <c r="E461" s="389"/>
      <c r="F461" s="385"/>
      <c r="G461" s="391"/>
      <c r="H461" s="385"/>
      <c r="I461" s="391"/>
      <c r="J461" s="385"/>
      <c r="K461" s="391"/>
      <c r="L461" s="385"/>
      <c r="M461" s="391"/>
      <c r="N461" s="385"/>
      <c r="O461" s="190"/>
    </row>
    <row r="462" spans="3:15" ht="16" x14ac:dyDescent="0.2">
      <c r="C462" s="119">
        <v>29</v>
      </c>
      <c r="D462" s="383"/>
      <c r="E462" s="389"/>
      <c r="F462" s="385"/>
      <c r="G462" s="391"/>
      <c r="H462" s="385"/>
      <c r="I462" s="391"/>
      <c r="J462" s="385"/>
      <c r="K462" s="391"/>
      <c r="L462" s="385"/>
      <c r="M462" s="391"/>
      <c r="N462" s="385"/>
      <c r="O462" s="190"/>
    </row>
    <row r="463" spans="3:15" ht="16" x14ac:dyDescent="0.2">
      <c r="C463" s="119">
        <v>30</v>
      </c>
      <c r="D463" s="383"/>
      <c r="E463" s="389"/>
      <c r="F463" s="385"/>
      <c r="G463" s="391"/>
      <c r="H463" s="385"/>
      <c r="I463" s="391"/>
      <c r="J463" s="385"/>
      <c r="K463" s="391"/>
      <c r="L463" s="385"/>
      <c r="M463" s="391"/>
      <c r="N463" s="385"/>
      <c r="O463" s="190"/>
    </row>
    <row r="464" spans="3:15" ht="16" x14ac:dyDescent="0.2">
      <c r="C464" s="120">
        <v>31</v>
      </c>
      <c r="D464" s="383"/>
      <c r="E464" s="389"/>
      <c r="F464" s="384"/>
      <c r="G464" s="390"/>
      <c r="H464" s="384"/>
      <c r="I464" s="390"/>
      <c r="J464" s="384"/>
      <c r="K464" s="390"/>
      <c r="L464" s="384"/>
      <c r="M464" s="390"/>
      <c r="N464" s="384"/>
      <c r="O464" s="190"/>
    </row>
    <row r="465" spans="2:15" ht="16" x14ac:dyDescent="0.2">
      <c r="B465" s="256"/>
      <c r="C465" s="377">
        <v>32</v>
      </c>
      <c r="D465" s="384"/>
      <c r="E465" s="390"/>
      <c r="F465" s="384"/>
      <c r="G465" s="390"/>
      <c r="H465" s="384"/>
      <c r="I465" s="390"/>
      <c r="J465" s="384"/>
      <c r="K465" s="390"/>
      <c r="L465" s="384"/>
      <c r="M465" s="390"/>
      <c r="N465" s="384"/>
      <c r="O465" s="190"/>
    </row>
    <row r="466" spans="2:15" ht="16" x14ac:dyDescent="0.2">
      <c r="B466" s="256"/>
      <c r="C466" s="119">
        <v>33</v>
      </c>
      <c r="D466" s="385"/>
      <c r="E466" s="391"/>
      <c r="F466" s="385"/>
      <c r="G466" s="391"/>
      <c r="H466" s="385"/>
      <c r="I466" s="391"/>
      <c r="J466" s="385"/>
      <c r="K466" s="391"/>
      <c r="L466" s="385"/>
      <c r="M466" s="391"/>
      <c r="N466" s="385"/>
      <c r="O466" s="190"/>
    </row>
    <row r="467" spans="2:15" ht="16" x14ac:dyDescent="0.2">
      <c r="B467" s="256"/>
      <c r="C467" s="119">
        <v>34</v>
      </c>
      <c r="D467" s="385"/>
      <c r="E467" s="391"/>
      <c r="F467" s="385"/>
      <c r="G467" s="391"/>
      <c r="H467" s="385"/>
      <c r="I467" s="391"/>
      <c r="J467" s="385"/>
      <c r="K467" s="391"/>
      <c r="L467" s="385"/>
      <c r="M467" s="391"/>
      <c r="N467" s="385"/>
      <c r="O467" s="190"/>
    </row>
    <row r="468" spans="2:15" ht="16" x14ac:dyDescent="0.2">
      <c r="B468" s="256"/>
      <c r="C468" s="119">
        <v>35</v>
      </c>
      <c r="D468" s="385"/>
      <c r="E468" s="391"/>
      <c r="F468" s="385"/>
      <c r="G468" s="391"/>
      <c r="H468" s="385"/>
      <c r="I468" s="391"/>
      <c r="J468" s="385"/>
      <c r="K468" s="391"/>
      <c r="L468" s="385"/>
      <c r="M468" s="391"/>
      <c r="N468" s="385"/>
      <c r="O468" s="190"/>
    </row>
    <row r="469" spans="2:15" ht="16" x14ac:dyDescent="0.2">
      <c r="B469" s="256"/>
      <c r="C469" s="119">
        <v>36</v>
      </c>
      <c r="D469" s="385"/>
      <c r="E469" s="391"/>
      <c r="F469" s="385"/>
      <c r="G469" s="391"/>
      <c r="H469" s="385"/>
      <c r="I469" s="391"/>
      <c r="J469" s="385"/>
      <c r="K469" s="391"/>
      <c r="L469" s="385"/>
      <c r="M469" s="391"/>
      <c r="N469" s="385"/>
      <c r="O469" s="190"/>
    </row>
    <row r="470" spans="2:15" ht="17" thickBot="1" x14ac:dyDescent="0.25">
      <c r="B470" s="256"/>
      <c r="C470" s="378">
        <v>37</v>
      </c>
      <c r="D470" s="386"/>
      <c r="E470" s="392"/>
      <c r="F470" s="386"/>
      <c r="G470" s="392"/>
      <c r="H470" s="386"/>
      <c r="I470" s="392"/>
      <c r="J470" s="386"/>
      <c r="K470" s="392"/>
      <c r="L470" s="386"/>
      <c r="M470" s="392"/>
      <c r="N470" s="386"/>
      <c r="O470" s="190"/>
    </row>
    <row r="471" spans="2:15" ht="17" thickBot="1" x14ac:dyDescent="0.25">
      <c r="C471" s="825" t="s">
        <v>19</v>
      </c>
      <c r="D471" s="826"/>
      <c r="E471" s="380"/>
      <c r="F471" s="376">
        <f>(F434+F435+F436+F437+F438+F439+F455+F442+F443+F440+F441+F444+F445+F446+F447+F448+F449+F450+F451+F452+F453+F454+F456+F457+F459+F460+F461+F462+F463+F464+F465+F466+F467+F470)/2</f>
        <v>21</v>
      </c>
      <c r="G471" s="397">
        <f>(G434+G435+G436+G437+G438+G455+G439+G443+G442+G440+G441+G444+G445+G446+G447+G448+G449+G450+G451+G452+G453+G454+G456+G457+G459+G460+G461+G462+G463+G464+G465+G466)/2</f>
        <v>28</v>
      </c>
      <c r="H471" s="399">
        <f>(H434+H435+H436+H437+H438+H439+H455+H458+H442+H443+H440+H441+H444+H445+H446+H447+H448+H449+H450+H451+H452+H453+H454+H456+H457+H459+H460+H461+H462+H463+H464+H465+H466+H467+H470)/2</f>
        <v>28</v>
      </c>
      <c r="I471" s="398">
        <f>(I434+I435+I436+I437+I438+I468+I469+I439+I455+I442+I458+I443+I440+I441+I444+I445+I446+I447+I448+I449+I450+I451+I452+I453+I454+I456+I457+I459+I460+I461+I462+I463+I464+I465+I466+I467+I470)/2</f>
        <v>22</v>
      </c>
      <c r="J471" s="376">
        <f>(J434+J435+J436+J437+J438+J439+J443+J440+J442+J441+J458+J444+J445+J446+J447+J448+J449+J450+J451+J452+J453+J454+J455+J456+J457+J459+J460+J461+J462+J463+J464+J465+J466)/2</f>
        <v>34</v>
      </c>
      <c r="K471" s="397">
        <f>(K434+K435+K436+K437+K438+K439+K443+K440+K441+K444+K445+K446+K447+K448+K449+K450+K451+K452+K453+K454+K456+K457+K459+K460+K461+K462+K463+K464+K465+K466+K455)</f>
        <v>0</v>
      </c>
      <c r="L471" s="399">
        <f>SUM(L434:L470)</f>
        <v>0</v>
      </c>
      <c r="M471" s="398">
        <f>(M434+M435+M436+M437+M438+M439+M443+M442+M440+M441+M444+M445+M446+M447+M448+M449+M450+M451+M452+M453+M454+M456+M457+M459+M460+M461+M462+M463+M464+M465+M466)/2</f>
        <v>0</v>
      </c>
      <c r="N471" s="376"/>
      <c r="O471" s="41"/>
    </row>
    <row r="472" spans="2:15" ht="17" thickBot="1" x14ac:dyDescent="0.25">
      <c r="C472" s="825" t="s">
        <v>91</v>
      </c>
      <c r="D472" s="826"/>
      <c r="E472" s="381">
        <f>SUM(F471:J471)</f>
        <v>133</v>
      </c>
    </row>
    <row r="473" spans="2:15" ht="16" thickBot="1" x14ac:dyDescent="0.25"/>
    <row r="474" spans="2:15" ht="17" thickBot="1" x14ac:dyDescent="0.25">
      <c r="C474" s="17"/>
      <c r="D474" s="379" t="s">
        <v>83</v>
      </c>
      <c r="E474" s="818" t="s">
        <v>69</v>
      </c>
      <c r="F474" s="819"/>
      <c r="G474" s="819"/>
      <c r="H474" s="819"/>
      <c r="I474" s="819"/>
      <c r="J474" s="400" t="s">
        <v>76</v>
      </c>
      <c r="K474" s="820">
        <v>45669</v>
      </c>
      <c r="L474" s="821"/>
      <c r="M474" s="821"/>
      <c r="N474" s="821"/>
      <c r="O474" s="822"/>
    </row>
    <row r="475" spans="2:15" ht="16" thickBot="1" x14ac:dyDescent="0.25">
      <c r="B475" s="175" t="s">
        <v>76</v>
      </c>
      <c r="C475" s="175" t="s">
        <v>77</v>
      </c>
      <c r="D475" s="823" t="s">
        <v>122</v>
      </c>
      <c r="E475" s="824"/>
      <c r="F475" s="175" t="s">
        <v>104</v>
      </c>
      <c r="G475" s="395" t="s">
        <v>86</v>
      </c>
      <c r="H475" s="175" t="s">
        <v>88</v>
      </c>
      <c r="I475" s="395" t="s">
        <v>87</v>
      </c>
      <c r="J475" s="401" t="s">
        <v>85</v>
      </c>
      <c r="K475" s="395" t="s">
        <v>123</v>
      </c>
      <c r="L475" s="175" t="s">
        <v>124</v>
      </c>
      <c r="M475" s="395" t="s">
        <v>100</v>
      </c>
      <c r="N475" s="175" t="s">
        <v>213</v>
      </c>
      <c r="O475" s="404" t="s">
        <v>125</v>
      </c>
    </row>
    <row r="476" spans="2:15" ht="16" thickBot="1" x14ac:dyDescent="0.25">
      <c r="B476" s="176">
        <f>K474</f>
        <v>45669</v>
      </c>
      <c r="C476" s="374"/>
      <c r="D476" s="375" t="s">
        <v>126</v>
      </c>
      <c r="E476" s="387" t="s">
        <v>127</v>
      </c>
      <c r="F476" s="331">
        <v>11</v>
      </c>
      <c r="G476" s="237">
        <v>7</v>
      </c>
      <c r="H476" s="331">
        <v>2</v>
      </c>
      <c r="I476" s="237">
        <v>4</v>
      </c>
      <c r="J476" s="331">
        <v>7</v>
      </c>
      <c r="K476" s="231"/>
      <c r="L476" s="125"/>
      <c r="M476" s="231"/>
      <c r="N476" s="125"/>
      <c r="O476" s="326"/>
    </row>
    <row r="477" spans="2:15" ht="16" x14ac:dyDescent="0.2">
      <c r="C477" s="118">
        <v>1</v>
      </c>
      <c r="D477" s="382">
        <v>0.46875</v>
      </c>
      <c r="E477" s="388">
        <v>0.48958333333333331</v>
      </c>
      <c r="F477" s="393"/>
      <c r="G477" s="396">
        <v>28</v>
      </c>
      <c r="H477" s="393"/>
      <c r="I477" s="396"/>
      <c r="J477" s="393"/>
      <c r="K477" s="396"/>
      <c r="L477" s="393"/>
      <c r="M477" s="396"/>
      <c r="N477" s="393"/>
      <c r="O477" s="190"/>
    </row>
    <row r="478" spans="2:15" ht="16" x14ac:dyDescent="0.2">
      <c r="C478" s="119">
        <v>2</v>
      </c>
      <c r="D478" s="383">
        <v>0.48958333333333331</v>
      </c>
      <c r="E478" s="389">
        <v>0.51041666666666663</v>
      </c>
      <c r="F478" s="385"/>
      <c r="G478" s="391">
        <v>28</v>
      </c>
      <c r="H478" s="385"/>
      <c r="I478" s="391"/>
      <c r="J478" s="385"/>
      <c r="K478" s="391"/>
      <c r="L478" s="385"/>
      <c r="M478" s="391"/>
      <c r="N478" s="385"/>
      <c r="O478" s="190"/>
    </row>
    <row r="479" spans="2:15" ht="16" x14ac:dyDescent="0.2">
      <c r="C479" s="119">
        <v>3</v>
      </c>
      <c r="D479" s="383">
        <v>0.51041666666666663</v>
      </c>
      <c r="E479" s="389">
        <v>0.53125</v>
      </c>
      <c r="F479" s="385"/>
      <c r="G479" s="391">
        <v>28</v>
      </c>
      <c r="H479" s="385"/>
      <c r="I479" s="391"/>
      <c r="J479" s="385"/>
      <c r="K479" s="391"/>
      <c r="L479" s="384"/>
      <c r="M479" s="391"/>
      <c r="N479" s="385"/>
      <c r="O479" s="190"/>
    </row>
    <row r="480" spans="2:15" ht="16" x14ac:dyDescent="0.2">
      <c r="C480" s="119">
        <v>4</v>
      </c>
      <c r="D480" s="383">
        <v>0.53125</v>
      </c>
      <c r="E480" s="389">
        <v>0.55208333333333337</v>
      </c>
      <c r="F480" s="385"/>
      <c r="G480" s="391"/>
      <c r="H480" s="316">
        <v>28</v>
      </c>
      <c r="I480" s="391"/>
      <c r="J480" s="385"/>
      <c r="K480" s="391"/>
      <c r="L480" s="402"/>
      <c r="M480" s="391"/>
      <c r="N480" s="385"/>
      <c r="O480" s="190"/>
    </row>
    <row r="481" spans="3:15" ht="16" x14ac:dyDescent="0.2">
      <c r="C481" s="119">
        <v>5</v>
      </c>
      <c r="D481" s="383">
        <v>0.53472222222222221</v>
      </c>
      <c r="E481" s="389">
        <v>0.55555555555555558</v>
      </c>
      <c r="F481" s="385"/>
      <c r="G481" s="391">
        <v>14</v>
      </c>
      <c r="H481" s="316"/>
      <c r="I481" s="391"/>
      <c r="J481" s="385"/>
      <c r="K481" s="391"/>
      <c r="L481" s="393"/>
      <c r="M481" s="391"/>
      <c r="N481" s="385"/>
      <c r="O481" s="190"/>
    </row>
    <row r="482" spans="3:15" ht="16" x14ac:dyDescent="0.2">
      <c r="C482" s="119">
        <v>6</v>
      </c>
      <c r="D482" s="383">
        <v>0.55208333333333337</v>
      </c>
      <c r="E482" s="389">
        <v>0.57291666666666663</v>
      </c>
      <c r="F482" s="385">
        <v>28</v>
      </c>
      <c r="G482" s="391"/>
      <c r="H482" s="316"/>
      <c r="I482" s="391"/>
      <c r="J482" s="385"/>
      <c r="K482" s="391"/>
      <c r="L482" s="393"/>
      <c r="M482" s="391"/>
      <c r="N482" s="385"/>
      <c r="O482" s="190"/>
    </row>
    <row r="483" spans="3:15" ht="16" x14ac:dyDescent="0.2">
      <c r="C483" s="119">
        <v>7</v>
      </c>
      <c r="D483" s="383">
        <v>0.57291666666666663</v>
      </c>
      <c r="E483" s="389">
        <v>0.59375</v>
      </c>
      <c r="F483" s="385">
        <v>28</v>
      </c>
      <c r="G483" s="391"/>
      <c r="H483" s="316"/>
      <c r="I483" s="391"/>
      <c r="J483" s="385"/>
      <c r="K483" s="391"/>
      <c r="L483" s="393"/>
      <c r="M483" s="391"/>
      <c r="N483" s="385"/>
      <c r="O483" s="190"/>
    </row>
    <row r="484" spans="3:15" ht="16" x14ac:dyDescent="0.2">
      <c r="C484" s="119">
        <v>8</v>
      </c>
      <c r="D484" s="383">
        <v>0.59375</v>
      </c>
      <c r="E484" s="389">
        <v>0.61458333333333337</v>
      </c>
      <c r="F484" s="385">
        <v>28</v>
      </c>
      <c r="G484" s="391"/>
      <c r="H484" s="316"/>
      <c r="I484" s="391"/>
      <c r="J484" s="385"/>
      <c r="K484" s="391"/>
      <c r="L484" s="385"/>
      <c r="M484" s="391"/>
      <c r="N484" s="385"/>
      <c r="O484" s="190"/>
    </row>
    <row r="485" spans="3:15" ht="16" x14ac:dyDescent="0.2">
      <c r="C485" s="119">
        <v>9</v>
      </c>
      <c r="D485" s="383">
        <v>0.61458333333333337</v>
      </c>
      <c r="E485" s="389">
        <v>0.63541666666666663</v>
      </c>
      <c r="F485" s="385">
        <v>28</v>
      </c>
      <c r="G485" s="391"/>
      <c r="H485" s="316"/>
      <c r="I485" s="391"/>
      <c r="J485" s="385"/>
      <c r="K485" s="391"/>
      <c r="L485" s="385"/>
      <c r="M485" s="391"/>
      <c r="N485" s="385"/>
      <c r="O485" s="190"/>
    </row>
    <row r="486" spans="3:15" ht="16" x14ac:dyDescent="0.2">
      <c r="C486" s="119">
        <v>10</v>
      </c>
      <c r="D486" s="383">
        <v>0.63541666666666663</v>
      </c>
      <c r="E486" s="389">
        <v>0.65625</v>
      </c>
      <c r="F486" s="385">
        <v>28</v>
      </c>
      <c r="G486" s="391"/>
      <c r="H486" s="316"/>
      <c r="I486" s="391"/>
      <c r="J486" s="385"/>
      <c r="K486" s="391"/>
      <c r="L486" s="385"/>
      <c r="M486" s="391"/>
      <c r="N486" s="385"/>
      <c r="O486" s="190"/>
    </row>
    <row r="487" spans="3:15" ht="16" x14ac:dyDescent="0.2">
      <c r="C487" s="119">
        <v>11</v>
      </c>
      <c r="D487" s="383">
        <v>0.65625</v>
      </c>
      <c r="E487" s="389">
        <v>5.2083333333333336E-2</v>
      </c>
      <c r="F487" s="385">
        <v>14</v>
      </c>
      <c r="G487" s="391"/>
      <c r="H487" s="316"/>
      <c r="I487" s="391"/>
      <c r="J487" s="28"/>
      <c r="K487" s="391"/>
      <c r="L487" s="385"/>
      <c r="M487" s="391"/>
      <c r="N487" s="385"/>
      <c r="O487" s="190"/>
    </row>
    <row r="488" spans="3:15" ht="16" x14ac:dyDescent="0.2">
      <c r="C488" s="193">
        <v>12</v>
      </c>
      <c r="D488" s="383">
        <v>0.65625</v>
      </c>
      <c r="E488" s="389">
        <v>0.67708333333333337</v>
      </c>
      <c r="F488" s="385"/>
      <c r="G488" s="391"/>
      <c r="H488" s="316"/>
      <c r="I488" s="391"/>
      <c r="J488" s="385">
        <v>18</v>
      </c>
      <c r="K488" s="391"/>
      <c r="L488" s="385"/>
      <c r="M488" s="391"/>
      <c r="N488" s="385"/>
      <c r="O488" s="190"/>
    </row>
    <row r="489" spans="3:15" ht="16" x14ac:dyDescent="0.2">
      <c r="C489" s="119">
        <v>13</v>
      </c>
      <c r="D489" s="383">
        <v>0.64583333333333337</v>
      </c>
      <c r="E489" s="389">
        <v>0.66666666666666663</v>
      </c>
      <c r="F489" s="385"/>
      <c r="G489" s="391"/>
      <c r="H489" s="316"/>
      <c r="I489" s="391"/>
      <c r="J489" s="385">
        <v>36</v>
      </c>
      <c r="K489" s="391"/>
      <c r="L489" s="385"/>
      <c r="M489" s="391"/>
      <c r="N489" s="385"/>
      <c r="O489" s="190"/>
    </row>
    <row r="490" spans="3:15" ht="16" x14ac:dyDescent="0.2">
      <c r="C490" s="119">
        <v>14</v>
      </c>
      <c r="D490" s="383">
        <v>0.66666666666666663</v>
      </c>
      <c r="E490" s="389">
        <v>0.6875</v>
      </c>
      <c r="F490" s="385"/>
      <c r="G490" s="391"/>
      <c r="H490" s="316"/>
      <c r="I490" s="391"/>
      <c r="J490" s="385">
        <v>36</v>
      </c>
      <c r="K490" s="391"/>
      <c r="L490" s="385"/>
      <c r="M490" s="391"/>
      <c r="N490" s="385"/>
      <c r="O490" s="190"/>
    </row>
    <row r="491" spans="3:15" ht="16" x14ac:dyDescent="0.2">
      <c r="C491" s="119">
        <v>15</v>
      </c>
      <c r="D491" s="383">
        <v>0.6875</v>
      </c>
      <c r="E491" s="389">
        <v>0.70833333333333337</v>
      </c>
      <c r="F491" s="385"/>
      <c r="G491" s="391"/>
      <c r="H491" s="316"/>
      <c r="I491" s="391"/>
      <c r="J491" s="385">
        <v>36</v>
      </c>
      <c r="K491" s="391"/>
      <c r="L491" s="385"/>
      <c r="M491" s="391"/>
      <c r="N491" s="385"/>
      <c r="O491" s="190"/>
    </row>
    <row r="492" spans="3:15" ht="16" x14ac:dyDescent="0.2">
      <c r="C492" s="119">
        <v>16</v>
      </c>
      <c r="D492" s="383">
        <v>0.70833333333333337</v>
      </c>
      <c r="E492" s="389">
        <v>0.72916666666666663</v>
      </c>
      <c r="F492" s="385"/>
      <c r="G492" s="391"/>
      <c r="H492" s="316"/>
      <c r="I492" s="391">
        <v>44</v>
      </c>
      <c r="J492" s="385"/>
      <c r="K492" s="391"/>
      <c r="L492" s="385"/>
      <c r="M492" s="391"/>
      <c r="N492" s="385"/>
      <c r="O492" s="190"/>
    </row>
    <row r="493" spans="3:15" ht="16" x14ac:dyDescent="0.2">
      <c r="C493" s="119">
        <v>17</v>
      </c>
      <c r="D493" s="383">
        <v>0.72916666666666663</v>
      </c>
      <c r="E493" s="389">
        <v>0.75</v>
      </c>
      <c r="F493" s="384"/>
      <c r="G493" s="33"/>
      <c r="H493" s="316"/>
      <c r="I493" s="390">
        <v>44</v>
      </c>
      <c r="J493" s="385"/>
      <c r="K493" s="391"/>
      <c r="L493" s="385"/>
      <c r="M493" s="391"/>
      <c r="N493" s="385"/>
      <c r="O493" s="190"/>
    </row>
    <row r="494" spans="3:15" ht="16" x14ac:dyDescent="0.2">
      <c r="C494" s="119">
        <v>18</v>
      </c>
      <c r="D494" s="383"/>
      <c r="E494" s="389"/>
      <c r="F494" s="394"/>
      <c r="G494" s="229"/>
      <c r="H494" s="394"/>
      <c r="I494" s="391"/>
      <c r="J494" s="385"/>
      <c r="K494" s="391"/>
      <c r="L494" s="385"/>
      <c r="M494" s="391"/>
      <c r="N494" s="385"/>
      <c r="O494" s="190"/>
    </row>
    <row r="495" spans="3:15" ht="16" x14ac:dyDescent="0.2">
      <c r="C495" s="119">
        <v>19</v>
      </c>
      <c r="D495" s="383"/>
      <c r="E495" s="389"/>
      <c r="F495" s="385"/>
      <c r="G495" s="391"/>
      <c r="H495" s="385"/>
      <c r="I495" s="391"/>
      <c r="J495" s="385"/>
      <c r="K495" s="391"/>
      <c r="L495" s="403"/>
      <c r="M495" s="391"/>
      <c r="N495" s="385"/>
      <c r="O495" s="190"/>
    </row>
    <row r="496" spans="3:15" ht="16" x14ac:dyDescent="0.2">
      <c r="C496" s="119">
        <v>20</v>
      </c>
      <c r="D496" s="383"/>
      <c r="E496" s="389"/>
      <c r="F496" s="385"/>
      <c r="G496" s="391"/>
      <c r="H496" s="385"/>
      <c r="I496" s="391"/>
      <c r="J496" s="385"/>
      <c r="K496" s="391"/>
      <c r="L496" s="403"/>
      <c r="M496" s="391"/>
      <c r="N496" s="385"/>
      <c r="O496" s="190"/>
    </row>
    <row r="497" spans="2:15" ht="16" x14ac:dyDescent="0.2">
      <c r="C497" s="119">
        <v>21</v>
      </c>
      <c r="D497" s="383"/>
      <c r="E497" s="389"/>
      <c r="F497" s="385"/>
      <c r="G497" s="391"/>
      <c r="H497" s="385"/>
      <c r="I497" s="391"/>
      <c r="J497" s="385"/>
      <c r="K497" s="391"/>
      <c r="L497" s="385"/>
      <c r="M497" s="391"/>
      <c r="N497" s="385"/>
      <c r="O497" s="190"/>
    </row>
    <row r="498" spans="2:15" ht="16" x14ac:dyDescent="0.2">
      <c r="C498" s="119">
        <v>22</v>
      </c>
      <c r="D498" s="383"/>
      <c r="E498" s="389"/>
      <c r="F498" s="385"/>
      <c r="G498" s="391"/>
      <c r="H498" s="385"/>
      <c r="I498" s="391"/>
      <c r="J498" s="385"/>
      <c r="K498" s="391"/>
      <c r="L498" s="385"/>
      <c r="M498" s="391"/>
      <c r="N498" s="385"/>
      <c r="O498" s="190"/>
    </row>
    <row r="499" spans="2:15" ht="16" x14ac:dyDescent="0.2">
      <c r="C499" s="119">
        <v>23</v>
      </c>
      <c r="D499" s="383"/>
      <c r="E499" s="389"/>
      <c r="F499" s="385"/>
      <c r="G499" s="391"/>
      <c r="H499" s="385"/>
      <c r="I499" s="391"/>
      <c r="J499" s="385"/>
      <c r="K499" s="391"/>
      <c r="L499" s="385"/>
      <c r="M499" s="391"/>
      <c r="N499" s="385"/>
      <c r="O499" s="190"/>
    </row>
    <row r="500" spans="2:15" ht="16" x14ac:dyDescent="0.2">
      <c r="C500" s="119">
        <v>24</v>
      </c>
      <c r="D500" s="383"/>
      <c r="E500" s="389"/>
      <c r="F500" s="385"/>
      <c r="G500" s="391"/>
      <c r="H500" s="385"/>
      <c r="I500" s="391"/>
      <c r="J500" s="385"/>
      <c r="K500" s="391"/>
      <c r="L500" s="385"/>
      <c r="M500" s="391"/>
      <c r="N500" s="385"/>
      <c r="O500" s="190"/>
    </row>
    <row r="501" spans="2:15" ht="16" x14ac:dyDescent="0.2">
      <c r="C501" s="119">
        <v>25</v>
      </c>
      <c r="D501" s="383"/>
      <c r="E501" s="389"/>
      <c r="F501" s="385"/>
      <c r="G501" s="391"/>
      <c r="H501" s="385"/>
      <c r="I501" s="391"/>
      <c r="J501" s="385"/>
      <c r="K501" s="391"/>
      <c r="L501" s="385"/>
      <c r="M501" s="391"/>
      <c r="N501" s="385"/>
      <c r="O501" s="190"/>
    </row>
    <row r="502" spans="2:15" ht="16" x14ac:dyDescent="0.2">
      <c r="C502" s="119">
        <v>26</v>
      </c>
      <c r="D502" s="383"/>
      <c r="E502" s="389"/>
      <c r="F502" s="385"/>
      <c r="G502" s="391"/>
      <c r="H502" s="385"/>
      <c r="I502" s="391"/>
      <c r="J502" s="385"/>
      <c r="K502" s="391"/>
      <c r="L502" s="385"/>
      <c r="M502" s="391"/>
      <c r="N502" s="385"/>
      <c r="O502" s="190"/>
    </row>
    <row r="503" spans="2:15" ht="16" x14ac:dyDescent="0.2">
      <c r="C503" s="119">
        <v>27</v>
      </c>
      <c r="D503" s="383"/>
      <c r="E503" s="389"/>
      <c r="F503" s="385"/>
      <c r="G503" s="391"/>
      <c r="H503" s="385"/>
      <c r="I503" s="391"/>
      <c r="J503" s="385"/>
      <c r="K503" s="391"/>
      <c r="L503" s="385"/>
      <c r="M503" s="391"/>
      <c r="N503" s="385"/>
      <c r="O503" s="190"/>
    </row>
    <row r="504" spans="2:15" ht="16" x14ac:dyDescent="0.2">
      <c r="C504" s="119">
        <v>28</v>
      </c>
      <c r="D504" s="383"/>
      <c r="E504" s="389"/>
      <c r="F504" s="385"/>
      <c r="G504" s="391"/>
      <c r="H504" s="385"/>
      <c r="I504" s="391"/>
      <c r="J504" s="385"/>
      <c r="K504" s="391"/>
      <c r="L504" s="385"/>
      <c r="M504" s="391"/>
      <c r="N504" s="385"/>
      <c r="O504" s="190"/>
    </row>
    <row r="505" spans="2:15" ht="16" x14ac:dyDescent="0.2">
      <c r="C505" s="119">
        <v>29</v>
      </c>
      <c r="D505" s="383"/>
      <c r="E505" s="389"/>
      <c r="F505" s="385"/>
      <c r="G505" s="391"/>
      <c r="H505" s="385"/>
      <c r="I505" s="391"/>
      <c r="J505" s="385"/>
      <c r="K505" s="391"/>
      <c r="L505" s="385"/>
      <c r="M505" s="391"/>
      <c r="N505" s="385"/>
      <c r="O505" s="190"/>
    </row>
    <row r="506" spans="2:15" ht="16" x14ac:dyDescent="0.2">
      <c r="C506" s="119">
        <v>30</v>
      </c>
      <c r="D506" s="383"/>
      <c r="E506" s="389"/>
      <c r="F506" s="385"/>
      <c r="G506" s="391"/>
      <c r="H506" s="385"/>
      <c r="I506" s="391"/>
      <c r="J506" s="385"/>
      <c r="K506" s="391"/>
      <c r="L506" s="385"/>
      <c r="M506" s="391"/>
      <c r="N506" s="385"/>
      <c r="O506" s="190"/>
    </row>
    <row r="507" spans="2:15" ht="16" x14ac:dyDescent="0.2">
      <c r="C507" s="120">
        <v>31</v>
      </c>
      <c r="D507" s="383"/>
      <c r="E507" s="389"/>
      <c r="F507" s="384"/>
      <c r="G507" s="390"/>
      <c r="H507" s="384"/>
      <c r="I507" s="390"/>
      <c r="J507" s="384"/>
      <c r="K507" s="390"/>
      <c r="L507" s="384"/>
      <c r="M507" s="390"/>
      <c r="N507" s="384"/>
      <c r="O507" s="190"/>
    </row>
    <row r="508" spans="2:15" ht="16" x14ac:dyDescent="0.2">
      <c r="B508" s="256"/>
      <c r="C508" s="377">
        <v>32</v>
      </c>
      <c r="D508" s="384"/>
      <c r="E508" s="390"/>
      <c r="F508" s="384"/>
      <c r="G508" s="390"/>
      <c r="H508" s="384"/>
      <c r="I508" s="390"/>
      <c r="J508" s="384"/>
      <c r="K508" s="390"/>
      <c r="L508" s="384"/>
      <c r="M508" s="390"/>
      <c r="N508" s="384"/>
      <c r="O508" s="190"/>
    </row>
    <row r="509" spans="2:15" ht="16" x14ac:dyDescent="0.2">
      <c r="B509" s="256"/>
      <c r="C509" s="119">
        <v>33</v>
      </c>
      <c r="D509" s="385"/>
      <c r="E509" s="391"/>
      <c r="F509" s="385"/>
      <c r="G509" s="391"/>
      <c r="H509" s="385"/>
      <c r="I509" s="391"/>
      <c r="J509" s="385"/>
      <c r="K509" s="391"/>
      <c r="L509" s="385"/>
      <c r="M509" s="391"/>
      <c r="N509" s="385"/>
      <c r="O509" s="190"/>
    </row>
    <row r="510" spans="2:15" ht="16" x14ac:dyDescent="0.2">
      <c r="B510" s="256"/>
      <c r="C510" s="119">
        <v>34</v>
      </c>
      <c r="D510" s="385"/>
      <c r="E510" s="391"/>
      <c r="F510" s="385"/>
      <c r="G510" s="391"/>
      <c r="H510" s="385"/>
      <c r="I510" s="391"/>
      <c r="J510" s="385"/>
      <c r="K510" s="391"/>
      <c r="L510" s="385"/>
      <c r="M510" s="391"/>
      <c r="N510" s="385"/>
      <c r="O510" s="190"/>
    </row>
    <row r="511" spans="2:15" ht="16" x14ac:dyDescent="0.2">
      <c r="B511" s="256"/>
      <c r="C511" s="119">
        <v>35</v>
      </c>
      <c r="D511" s="385"/>
      <c r="E511" s="391"/>
      <c r="F511" s="385"/>
      <c r="G511" s="391"/>
      <c r="H511" s="385"/>
      <c r="I511" s="391"/>
      <c r="J511" s="385"/>
      <c r="K511" s="391"/>
      <c r="L511" s="385"/>
      <c r="M511" s="391"/>
      <c r="N511" s="385"/>
      <c r="O511" s="190"/>
    </row>
    <row r="512" spans="2:15" ht="16" x14ac:dyDescent="0.2">
      <c r="B512" s="256"/>
      <c r="C512" s="119">
        <v>36</v>
      </c>
      <c r="D512" s="385"/>
      <c r="E512" s="391"/>
      <c r="F512" s="385"/>
      <c r="G512" s="391"/>
      <c r="H512" s="385"/>
      <c r="I512" s="391"/>
      <c r="J512" s="385"/>
      <c r="K512" s="391"/>
      <c r="L512" s="385"/>
      <c r="M512" s="391"/>
      <c r="N512" s="385"/>
      <c r="O512" s="190"/>
    </row>
    <row r="513" spans="2:15" ht="17" thickBot="1" x14ac:dyDescent="0.25">
      <c r="B513" s="256"/>
      <c r="C513" s="378">
        <v>37</v>
      </c>
      <c r="D513" s="386"/>
      <c r="E513" s="392"/>
      <c r="F513" s="386"/>
      <c r="G513" s="392"/>
      <c r="H513" s="386"/>
      <c r="I513" s="392"/>
      <c r="J513" s="386"/>
      <c r="K513" s="392"/>
      <c r="L513" s="386"/>
      <c r="M513" s="392"/>
      <c r="N513" s="386"/>
      <c r="O513" s="190"/>
    </row>
    <row r="514" spans="2:15" ht="17" thickBot="1" x14ac:dyDescent="0.25">
      <c r="C514" s="825" t="s">
        <v>19</v>
      </c>
      <c r="D514" s="826"/>
      <c r="E514" s="380"/>
      <c r="F514" s="376">
        <f>(F477+F478+F479+F480+F481+F482+F498+F485+F486+F483+F484+F487+F488+F489+F490+F491+F492+F493+F494+F495+F496+F497+F499+F500+F502+F503+F504+F505+F506+F507+F508+F509+F510+F513)/2</f>
        <v>77</v>
      </c>
      <c r="G514" s="397">
        <f>(G477+G478+G479+G480+G481+G498+G482+G486+G485+G483+G484+G487+G488+G489+G490+G491+G492+G493+G494+G495+G496+G497+G499+G500+G502+G503+G504+G505+G506+G507+G508+G509)/2</f>
        <v>49</v>
      </c>
      <c r="H514" s="399">
        <f>(H477+H478+H479+H480+H481+H482+H498+H501+H485+H486+H483+H484+H487+H488+H489+H490+H491+H492+H493+H494+H495+H496+H497+H499+H500+H502+H503+H504+H505+H506+H507+H508+H509+H510+H513)/2</f>
        <v>14</v>
      </c>
      <c r="I514" s="398">
        <f>(I477+I478+I479+I480+I481+I511+I512+I482+I498+I485+I501+I486+I483+I484+I487+I488+I489+I490+I491+I492+I493+I494+I495+I496+I497+I499+I500+I502+I503+I504+I505+I506+I507+I508+I509+I510+I513)/2</f>
        <v>44</v>
      </c>
      <c r="J514" s="376">
        <f>(J477+J478+J479+J480+J481+J482+J486+J483+J485+J484+J501+J487+J488+J489+J490+J491+J492+J493+J494+J495+J496+J497+J498+J499+J500+J502+J503+J504+J505+J506+J507+J508+J509)/2</f>
        <v>63</v>
      </c>
      <c r="K514" s="397">
        <f>(K477+K478+K479+K480+K481+K482+K486+K483+K484+K487+K488+K489+K490+K491+K492+K493+K494+K495+K496+K497+K499+K500+K502+K503+K504+K505+K506+K507+K508+K509+K498)</f>
        <v>0</v>
      </c>
      <c r="L514" s="399">
        <f>SUM(L477:L513)</f>
        <v>0</v>
      </c>
      <c r="M514" s="398">
        <f>(M477+M478+M479+M480+M481+M482+M486+M485+M483+M484+M487+M488+M489+M490+M491+M492+M493+M494+M495+M496+M497+M499+M500+M502+M503+M504+M505+M506+M507+M508+M509)/2</f>
        <v>0</v>
      </c>
      <c r="N514" s="376"/>
      <c r="O514" s="41"/>
    </row>
    <row r="515" spans="2:15" ht="17" thickBot="1" x14ac:dyDescent="0.25">
      <c r="C515" s="825" t="s">
        <v>91</v>
      </c>
      <c r="D515" s="826"/>
      <c r="E515" s="381">
        <f>SUM(F514:J514)</f>
        <v>247</v>
      </c>
    </row>
    <row r="516" spans="2:15" ht="16" thickBot="1" x14ac:dyDescent="0.25"/>
    <row r="517" spans="2:15" ht="17" thickBot="1" x14ac:dyDescent="0.25">
      <c r="C517" s="17"/>
      <c r="D517" s="379" t="s">
        <v>83</v>
      </c>
      <c r="E517" s="818" t="s">
        <v>63</v>
      </c>
      <c r="F517" s="819"/>
      <c r="G517" s="819"/>
      <c r="H517" s="819"/>
      <c r="I517" s="819"/>
      <c r="J517" s="400" t="s">
        <v>76</v>
      </c>
      <c r="K517" s="820">
        <v>45670</v>
      </c>
      <c r="L517" s="821"/>
      <c r="M517" s="821"/>
      <c r="N517" s="821"/>
      <c r="O517" s="822"/>
    </row>
    <row r="518" spans="2:15" ht="16" thickBot="1" x14ac:dyDescent="0.25">
      <c r="B518" s="175" t="s">
        <v>76</v>
      </c>
      <c r="C518" s="175" t="s">
        <v>77</v>
      </c>
      <c r="D518" s="823" t="s">
        <v>122</v>
      </c>
      <c r="E518" s="824"/>
      <c r="F518" s="175" t="s">
        <v>104</v>
      </c>
      <c r="G518" s="395" t="s">
        <v>86</v>
      </c>
      <c r="H518" s="175" t="s">
        <v>88</v>
      </c>
      <c r="I518" s="395" t="s">
        <v>87</v>
      </c>
      <c r="J518" s="401" t="s">
        <v>85</v>
      </c>
      <c r="K518" s="395" t="s">
        <v>123</v>
      </c>
      <c r="L518" s="175" t="s">
        <v>124</v>
      </c>
      <c r="M518" s="395" t="s">
        <v>100</v>
      </c>
      <c r="N518" s="175" t="s">
        <v>213</v>
      </c>
      <c r="O518" s="404" t="s">
        <v>125</v>
      </c>
    </row>
    <row r="519" spans="2:15" ht="16" thickBot="1" x14ac:dyDescent="0.25">
      <c r="B519" s="176">
        <f>K517</f>
        <v>45670</v>
      </c>
      <c r="C519" s="374"/>
      <c r="D519" s="375" t="s">
        <v>126</v>
      </c>
      <c r="E519" s="387" t="s">
        <v>127</v>
      </c>
      <c r="F519" s="331">
        <v>11</v>
      </c>
      <c r="G519" s="237">
        <v>7</v>
      </c>
      <c r="H519" s="331">
        <v>0</v>
      </c>
      <c r="I519" s="237">
        <v>5</v>
      </c>
      <c r="J519" s="331">
        <v>10</v>
      </c>
      <c r="K519" s="231"/>
      <c r="L519" s="125"/>
      <c r="M519" s="231"/>
      <c r="N519" s="125"/>
      <c r="O519" s="326"/>
    </row>
    <row r="520" spans="2:15" ht="16" x14ac:dyDescent="0.2">
      <c r="C520" s="118">
        <v>1</v>
      </c>
      <c r="D520" s="382">
        <v>0.41319444444444442</v>
      </c>
      <c r="E520" s="388">
        <v>0.43402777777777773</v>
      </c>
      <c r="F520" s="393"/>
      <c r="G520" s="396">
        <v>28</v>
      </c>
      <c r="H520" s="393"/>
      <c r="I520" s="396"/>
      <c r="J520" s="393"/>
      <c r="K520" s="396"/>
      <c r="L520" s="393"/>
      <c r="M520" s="396"/>
      <c r="N520" s="393"/>
      <c r="O520" s="190"/>
    </row>
    <row r="521" spans="2:15" ht="16" x14ac:dyDescent="0.2">
      <c r="C521" s="119">
        <v>2</v>
      </c>
      <c r="D521" s="383">
        <v>0.43402777777777773</v>
      </c>
      <c r="E521" s="389">
        <v>0.4548611111111111</v>
      </c>
      <c r="F521" s="385"/>
      <c r="G521" s="391">
        <v>28</v>
      </c>
      <c r="H521" s="385"/>
      <c r="I521" s="391"/>
      <c r="J521" s="385"/>
      <c r="K521" s="391"/>
      <c r="L521" s="385"/>
      <c r="M521" s="391"/>
      <c r="N521" s="385"/>
      <c r="O521" s="190"/>
    </row>
    <row r="522" spans="2:15" ht="16" x14ac:dyDescent="0.2">
      <c r="C522" s="119">
        <v>3</v>
      </c>
      <c r="D522" s="383">
        <v>0.4548611111111111</v>
      </c>
      <c r="E522" s="389">
        <v>0.47569444444444442</v>
      </c>
      <c r="F522" s="385"/>
      <c r="G522" s="391">
        <v>28</v>
      </c>
      <c r="H522" s="385"/>
      <c r="I522" s="391"/>
      <c r="J522" s="385"/>
      <c r="K522" s="391"/>
      <c r="L522" s="384"/>
      <c r="M522" s="391"/>
      <c r="N522" s="385"/>
      <c r="O522" s="190"/>
    </row>
    <row r="523" spans="2:15" ht="16" x14ac:dyDescent="0.2">
      <c r="C523" s="119">
        <v>4</v>
      </c>
      <c r="D523" s="383">
        <v>0.46527777777777773</v>
      </c>
      <c r="E523" s="389">
        <v>0.4861111111111111</v>
      </c>
      <c r="F523" s="385"/>
      <c r="G523" s="391">
        <v>14</v>
      </c>
      <c r="H523" s="316"/>
      <c r="I523" s="391"/>
      <c r="J523" s="385"/>
      <c r="K523" s="391"/>
      <c r="L523" s="402"/>
      <c r="M523" s="391"/>
      <c r="N523" s="385"/>
      <c r="O523" s="190"/>
    </row>
    <row r="524" spans="2:15" ht="16" x14ac:dyDescent="0.2">
      <c r="C524" s="119">
        <v>5</v>
      </c>
      <c r="D524" s="383">
        <v>0.46527777777777773</v>
      </c>
      <c r="E524" s="389">
        <v>0.4861111111111111</v>
      </c>
      <c r="F524" s="385">
        <v>14</v>
      </c>
      <c r="G524" s="391"/>
      <c r="H524" s="316"/>
      <c r="I524" s="391"/>
      <c r="J524" s="385"/>
      <c r="K524" s="391"/>
      <c r="L524" s="393"/>
      <c r="M524" s="391"/>
      <c r="N524" s="385"/>
      <c r="O524" s="190"/>
    </row>
    <row r="525" spans="2:15" ht="16" x14ac:dyDescent="0.2">
      <c r="C525" s="119">
        <v>6</v>
      </c>
      <c r="D525" s="383">
        <v>0.4861111111111111</v>
      </c>
      <c r="E525" s="389">
        <v>0.50694444444444442</v>
      </c>
      <c r="F525" s="385">
        <v>28</v>
      </c>
      <c r="G525" s="391"/>
      <c r="H525" s="316"/>
      <c r="I525" s="391"/>
      <c r="J525" s="385"/>
      <c r="K525" s="391"/>
      <c r="L525" s="393"/>
      <c r="M525" s="391"/>
      <c r="N525" s="385"/>
      <c r="O525" s="190"/>
    </row>
    <row r="526" spans="2:15" ht="16" x14ac:dyDescent="0.2">
      <c r="C526" s="119">
        <v>7</v>
      </c>
      <c r="D526" s="383">
        <v>0.50694444444444442</v>
      </c>
      <c r="E526" s="389">
        <v>0.52777777777777779</v>
      </c>
      <c r="F526" s="385">
        <v>28</v>
      </c>
      <c r="G526" s="391"/>
      <c r="H526" s="316"/>
      <c r="I526" s="391"/>
      <c r="J526" s="385"/>
      <c r="K526" s="391"/>
      <c r="L526" s="393"/>
      <c r="M526" s="391"/>
      <c r="N526" s="385"/>
      <c r="O526" s="190"/>
    </row>
    <row r="527" spans="2:15" ht="16" x14ac:dyDescent="0.2">
      <c r="C527" s="119">
        <v>8</v>
      </c>
      <c r="D527" s="383">
        <v>0.52777777777777779</v>
      </c>
      <c r="E527" s="389">
        <v>0.54861111111111105</v>
      </c>
      <c r="F527" s="385">
        <v>28</v>
      </c>
      <c r="G527" s="391"/>
      <c r="H527" s="316"/>
      <c r="I527" s="391"/>
      <c r="J527" s="385"/>
      <c r="K527" s="391"/>
      <c r="L527" s="385"/>
      <c r="M527" s="391"/>
      <c r="N527" s="385"/>
      <c r="O527" s="190"/>
    </row>
    <row r="528" spans="2:15" ht="16" x14ac:dyDescent="0.2">
      <c r="C528" s="119">
        <v>9</v>
      </c>
      <c r="D528" s="383">
        <v>0.54861111111111105</v>
      </c>
      <c r="E528" s="389">
        <v>0.56944444444444442</v>
      </c>
      <c r="F528" s="385">
        <v>28</v>
      </c>
      <c r="G528" s="391"/>
      <c r="H528" s="316"/>
      <c r="I528" s="391"/>
      <c r="J528" s="385"/>
      <c r="K528" s="391"/>
      <c r="L528" s="385"/>
      <c r="M528" s="391"/>
      <c r="N528" s="385"/>
      <c r="O528" s="190"/>
    </row>
    <row r="529" spans="3:15" ht="16" x14ac:dyDescent="0.2">
      <c r="C529" s="119">
        <v>10</v>
      </c>
      <c r="D529" s="383">
        <v>0.56944444444444442</v>
      </c>
      <c r="E529" s="389">
        <v>0.59027777777777779</v>
      </c>
      <c r="F529" s="385">
        <v>28</v>
      </c>
      <c r="G529" s="391"/>
      <c r="H529" s="316"/>
      <c r="I529" s="391"/>
      <c r="J529" s="385"/>
      <c r="K529" s="391"/>
      <c r="L529" s="385"/>
      <c r="M529" s="391"/>
      <c r="N529" s="385"/>
      <c r="O529" s="190"/>
    </row>
    <row r="530" spans="3:15" ht="16" x14ac:dyDescent="0.2">
      <c r="C530" s="119">
        <v>11</v>
      </c>
      <c r="D530" s="383">
        <v>0.55555555555555558</v>
      </c>
      <c r="E530" s="389">
        <v>0.57638888888888895</v>
      </c>
      <c r="F530" s="385"/>
      <c r="G530" s="391"/>
      <c r="H530" s="316"/>
      <c r="I530" s="391">
        <v>22</v>
      </c>
      <c r="J530" s="28"/>
      <c r="K530" s="391"/>
      <c r="L530" s="385"/>
      <c r="M530" s="391"/>
      <c r="N530" s="385"/>
      <c r="O530" s="190"/>
    </row>
    <row r="531" spans="3:15" ht="16" x14ac:dyDescent="0.2">
      <c r="C531" s="193">
        <v>12</v>
      </c>
      <c r="D531" s="383">
        <v>0.57986111111111105</v>
      </c>
      <c r="E531" s="389">
        <v>0.60069444444444442</v>
      </c>
      <c r="F531" s="385"/>
      <c r="G531" s="391"/>
      <c r="H531" s="316"/>
      <c r="I531" s="391">
        <v>44</v>
      </c>
      <c r="J531" s="385"/>
      <c r="K531" s="391"/>
      <c r="L531" s="385"/>
      <c r="M531" s="391"/>
      <c r="N531" s="385"/>
      <c r="O531" s="190"/>
    </row>
    <row r="532" spans="3:15" ht="16" x14ac:dyDescent="0.2">
      <c r="C532" s="119">
        <v>13</v>
      </c>
      <c r="D532" s="383">
        <v>0.60069444444444442</v>
      </c>
      <c r="E532" s="389">
        <v>0.62152777777777779</v>
      </c>
      <c r="F532" s="385"/>
      <c r="G532" s="391"/>
      <c r="H532" s="316"/>
      <c r="I532" s="391">
        <v>44</v>
      </c>
      <c r="J532" s="385"/>
      <c r="K532" s="391"/>
      <c r="L532" s="385"/>
      <c r="M532" s="391"/>
      <c r="N532" s="385"/>
      <c r="O532" s="190"/>
    </row>
    <row r="533" spans="3:15" ht="16" x14ac:dyDescent="0.2">
      <c r="C533" s="119">
        <v>14</v>
      </c>
      <c r="D533" s="383">
        <v>0.62152777777777779</v>
      </c>
      <c r="E533" s="389">
        <v>0.64236111111111105</v>
      </c>
      <c r="F533" s="385"/>
      <c r="G533" s="391"/>
      <c r="H533" s="316"/>
      <c r="I533" s="391"/>
      <c r="J533" s="385">
        <v>36</v>
      </c>
      <c r="K533" s="391"/>
      <c r="L533" s="385"/>
      <c r="M533" s="391"/>
      <c r="N533" s="385"/>
      <c r="O533" s="190"/>
    </row>
    <row r="534" spans="3:15" ht="16" x14ac:dyDescent="0.2">
      <c r="C534" s="119">
        <v>15</v>
      </c>
      <c r="D534" s="383">
        <v>0.64236111111111105</v>
      </c>
      <c r="E534" s="389">
        <v>0.66319444444444442</v>
      </c>
      <c r="F534" s="385"/>
      <c r="G534" s="391"/>
      <c r="H534" s="316"/>
      <c r="I534" s="391"/>
      <c r="J534" s="385">
        <v>32</v>
      </c>
      <c r="K534" s="391"/>
      <c r="L534" s="385"/>
      <c r="M534" s="391"/>
      <c r="N534" s="385"/>
      <c r="O534" s="190"/>
    </row>
    <row r="535" spans="3:15" ht="16" x14ac:dyDescent="0.2">
      <c r="C535" s="119">
        <v>16</v>
      </c>
      <c r="D535" s="383">
        <v>0.66319444444444442</v>
      </c>
      <c r="E535" s="389">
        <v>0.68402777777777779</v>
      </c>
      <c r="F535" s="385"/>
      <c r="G535" s="391"/>
      <c r="H535" s="316"/>
      <c r="I535" s="391"/>
      <c r="J535" s="385">
        <v>32</v>
      </c>
      <c r="K535" s="391"/>
      <c r="L535" s="385"/>
      <c r="M535" s="391"/>
      <c r="N535" s="385"/>
      <c r="O535" s="190"/>
    </row>
    <row r="536" spans="3:15" ht="16" x14ac:dyDescent="0.2">
      <c r="C536" s="119">
        <v>17</v>
      </c>
      <c r="D536" s="383">
        <v>0.68402777777777779</v>
      </c>
      <c r="E536" s="389">
        <v>0.70486111111111116</v>
      </c>
      <c r="F536" s="384"/>
      <c r="G536" s="33"/>
      <c r="H536" s="316"/>
      <c r="I536" s="390"/>
      <c r="J536" s="385">
        <v>36</v>
      </c>
      <c r="K536" s="391"/>
      <c r="L536" s="385"/>
      <c r="M536" s="391"/>
      <c r="N536" s="385"/>
      <c r="O536" s="190"/>
    </row>
    <row r="537" spans="3:15" ht="16" x14ac:dyDescent="0.2">
      <c r="C537" s="119">
        <v>18</v>
      </c>
      <c r="D537" s="383">
        <v>0.70486111111111116</v>
      </c>
      <c r="E537" s="389">
        <v>0.72569444444444453</v>
      </c>
      <c r="F537" s="394"/>
      <c r="G537" s="229"/>
      <c r="H537" s="394"/>
      <c r="I537" s="391"/>
      <c r="J537" s="385">
        <v>36</v>
      </c>
      <c r="K537" s="391"/>
      <c r="L537" s="385"/>
      <c r="M537" s="391"/>
      <c r="N537" s="385"/>
      <c r="O537" s="190"/>
    </row>
    <row r="538" spans="3:15" ht="16" x14ac:dyDescent="0.2">
      <c r="C538" s="119">
        <v>19</v>
      </c>
      <c r="D538" s="383"/>
      <c r="E538" s="389"/>
      <c r="F538" s="385"/>
      <c r="G538" s="391"/>
      <c r="H538" s="385"/>
      <c r="I538" s="391"/>
      <c r="J538" s="385"/>
      <c r="K538" s="391"/>
      <c r="L538" s="403"/>
      <c r="M538" s="391"/>
      <c r="N538" s="385"/>
      <c r="O538" s="190"/>
    </row>
    <row r="539" spans="3:15" ht="16" x14ac:dyDescent="0.2">
      <c r="C539" s="119">
        <v>20</v>
      </c>
      <c r="D539" s="383"/>
      <c r="E539" s="389"/>
      <c r="F539" s="385"/>
      <c r="G539" s="391"/>
      <c r="H539" s="385"/>
      <c r="I539" s="391"/>
      <c r="J539" s="385"/>
      <c r="K539" s="391"/>
      <c r="L539" s="403"/>
      <c r="M539" s="391"/>
      <c r="N539" s="385"/>
      <c r="O539" s="190"/>
    </row>
    <row r="540" spans="3:15" ht="16" x14ac:dyDescent="0.2">
      <c r="C540" s="119">
        <v>21</v>
      </c>
      <c r="D540" s="383"/>
      <c r="E540" s="389"/>
      <c r="F540" s="385"/>
      <c r="G540" s="391"/>
      <c r="H540" s="385"/>
      <c r="I540" s="391"/>
      <c r="J540" s="385"/>
      <c r="K540" s="391"/>
      <c r="L540" s="385"/>
      <c r="M540" s="391"/>
      <c r="N540" s="385"/>
      <c r="O540" s="190"/>
    </row>
    <row r="541" spans="3:15" ht="16" x14ac:dyDescent="0.2">
      <c r="C541" s="119">
        <v>22</v>
      </c>
      <c r="D541" s="383"/>
      <c r="E541" s="389"/>
      <c r="F541" s="385"/>
      <c r="G541" s="391"/>
      <c r="H541" s="385"/>
      <c r="I541" s="391"/>
      <c r="J541" s="385"/>
      <c r="K541" s="391"/>
      <c r="L541" s="385"/>
      <c r="M541" s="391"/>
      <c r="N541" s="385"/>
      <c r="O541" s="190"/>
    </row>
    <row r="542" spans="3:15" ht="16" x14ac:dyDescent="0.2">
      <c r="C542" s="119">
        <v>23</v>
      </c>
      <c r="D542" s="383"/>
      <c r="E542" s="389"/>
      <c r="F542" s="385"/>
      <c r="G542" s="391"/>
      <c r="H542" s="385"/>
      <c r="I542" s="391"/>
      <c r="J542" s="385"/>
      <c r="K542" s="391"/>
      <c r="L542" s="385"/>
      <c r="M542" s="391"/>
      <c r="N542" s="385"/>
      <c r="O542" s="190"/>
    </row>
    <row r="543" spans="3:15" ht="16" x14ac:dyDescent="0.2">
      <c r="C543" s="119">
        <v>24</v>
      </c>
      <c r="D543" s="383"/>
      <c r="E543" s="389"/>
      <c r="F543" s="385"/>
      <c r="G543" s="391"/>
      <c r="H543" s="385"/>
      <c r="I543" s="391"/>
      <c r="J543" s="385"/>
      <c r="K543" s="391"/>
      <c r="L543" s="385"/>
      <c r="M543" s="391"/>
      <c r="N543" s="385"/>
      <c r="O543" s="190"/>
    </row>
    <row r="544" spans="3:15" ht="16" x14ac:dyDescent="0.2">
      <c r="C544" s="119">
        <v>25</v>
      </c>
      <c r="D544" s="383"/>
      <c r="E544" s="389"/>
      <c r="F544" s="385"/>
      <c r="G544" s="391"/>
      <c r="H544" s="385"/>
      <c r="I544" s="391"/>
      <c r="J544" s="385"/>
      <c r="K544" s="391"/>
      <c r="L544" s="385"/>
      <c r="M544" s="391"/>
      <c r="N544" s="385"/>
      <c r="O544" s="190"/>
    </row>
    <row r="545" spans="2:15" ht="16" x14ac:dyDescent="0.2">
      <c r="C545" s="119">
        <v>26</v>
      </c>
      <c r="D545" s="383"/>
      <c r="E545" s="389"/>
      <c r="F545" s="385"/>
      <c r="G545" s="391"/>
      <c r="H545" s="385"/>
      <c r="I545" s="391"/>
      <c r="J545" s="385"/>
      <c r="K545" s="391"/>
      <c r="L545" s="385"/>
      <c r="M545" s="391"/>
      <c r="N545" s="385"/>
      <c r="O545" s="190"/>
    </row>
    <row r="546" spans="2:15" ht="16" x14ac:dyDescent="0.2">
      <c r="C546" s="119">
        <v>27</v>
      </c>
      <c r="D546" s="383"/>
      <c r="E546" s="389"/>
      <c r="F546" s="385"/>
      <c r="G546" s="391"/>
      <c r="H546" s="385"/>
      <c r="I546" s="391"/>
      <c r="J546" s="385"/>
      <c r="K546" s="391"/>
      <c r="L546" s="385"/>
      <c r="M546" s="391"/>
      <c r="N546" s="385"/>
      <c r="O546" s="190"/>
    </row>
    <row r="547" spans="2:15" ht="16" x14ac:dyDescent="0.2">
      <c r="C547" s="119">
        <v>28</v>
      </c>
      <c r="D547" s="383"/>
      <c r="E547" s="389"/>
      <c r="F547" s="385"/>
      <c r="G547" s="391"/>
      <c r="H547" s="385"/>
      <c r="I547" s="391"/>
      <c r="J547" s="385"/>
      <c r="K547" s="391"/>
      <c r="L547" s="385"/>
      <c r="M547" s="391"/>
      <c r="N547" s="385"/>
      <c r="O547" s="190"/>
    </row>
    <row r="548" spans="2:15" ht="16" x14ac:dyDescent="0.2">
      <c r="C548" s="119">
        <v>29</v>
      </c>
      <c r="D548" s="383"/>
      <c r="E548" s="389"/>
      <c r="F548" s="385"/>
      <c r="G548" s="391"/>
      <c r="H548" s="385"/>
      <c r="I548" s="391"/>
      <c r="J548" s="385"/>
      <c r="K548" s="391"/>
      <c r="L548" s="385"/>
      <c r="M548" s="391"/>
      <c r="N548" s="385"/>
      <c r="O548" s="190"/>
    </row>
    <row r="549" spans="2:15" ht="16" x14ac:dyDescent="0.2">
      <c r="C549" s="119">
        <v>30</v>
      </c>
      <c r="D549" s="383"/>
      <c r="E549" s="389"/>
      <c r="F549" s="385"/>
      <c r="G549" s="391"/>
      <c r="H549" s="385"/>
      <c r="I549" s="391"/>
      <c r="J549" s="385"/>
      <c r="K549" s="391"/>
      <c r="L549" s="385"/>
      <c r="M549" s="391"/>
      <c r="N549" s="385"/>
      <c r="O549" s="190"/>
    </row>
    <row r="550" spans="2:15" ht="16" x14ac:dyDescent="0.2">
      <c r="C550" s="120">
        <v>31</v>
      </c>
      <c r="D550" s="383"/>
      <c r="E550" s="389"/>
      <c r="F550" s="384"/>
      <c r="G550" s="390"/>
      <c r="H550" s="384"/>
      <c r="I550" s="390"/>
      <c r="J550" s="384"/>
      <c r="K550" s="390"/>
      <c r="L550" s="384"/>
      <c r="M550" s="390"/>
      <c r="N550" s="384"/>
      <c r="O550" s="190"/>
    </row>
    <row r="551" spans="2:15" ht="16" x14ac:dyDescent="0.2">
      <c r="B551" s="256"/>
      <c r="C551" s="377">
        <v>32</v>
      </c>
      <c r="D551" s="384"/>
      <c r="E551" s="390"/>
      <c r="F551" s="384"/>
      <c r="G551" s="390"/>
      <c r="H551" s="384"/>
      <c r="I551" s="390"/>
      <c r="J551" s="384"/>
      <c r="K551" s="390"/>
      <c r="L551" s="384"/>
      <c r="M551" s="390"/>
      <c r="N551" s="384"/>
      <c r="O551" s="190"/>
    </row>
    <row r="552" spans="2:15" ht="16" x14ac:dyDescent="0.2">
      <c r="B552" s="256"/>
      <c r="C552" s="119">
        <v>33</v>
      </c>
      <c r="D552" s="385"/>
      <c r="E552" s="391"/>
      <c r="F552" s="385"/>
      <c r="G552" s="391"/>
      <c r="H552" s="385"/>
      <c r="I552" s="391"/>
      <c r="J552" s="385"/>
      <c r="K552" s="391"/>
      <c r="L552" s="385"/>
      <c r="M552" s="391"/>
      <c r="N552" s="385"/>
      <c r="O552" s="190"/>
    </row>
    <row r="553" spans="2:15" ht="16" x14ac:dyDescent="0.2">
      <c r="B553" s="256"/>
      <c r="C553" s="119">
        <v>34</v>
      </c>
      <c r="D553" s="385"/>
      <c r="E553" s="391"/>
      <c r="F553" s="385"/>
      <c r="G553" s="391"/>
      <c r="H553" s="385"/>
      <c r="I553" s="391"/>
      <c r="J553" s="385"/>
      <c r="K553" s="391"/>
      <c r="L553" s="385"/>
      <c r="M553" s="391"/>
      <c r="N553" s="385"/>
      <c r="O553" s="190"/>
    </row>
    <row r="554" spans="2:15" ht="16" x14ac:dyDescent="0.2">
      <c r="B554" s="256"/>
      <c r="C554" s="119">
        <v>35</v>
      </c>
      <c r="D554" s="385"/>
      <c r="E554" s="391"/>
      <c r="F554" s="385"/>
      <c r="G554" s="391"/>
      <c r="H554" s="385"/>
      <c r="I554" s="391"/>
      <c r="J554" s="385"/>
      <c r="K554" s="391"/>
      <c r="L554" s="385"/>
      <c r="M554" s="391"/>
      <c r="N554" s="385"/>
      <c r="O554" s="190"/>
    </row>
    <row r="555" spans="2:15" ht="16" x14ac:dyDescent="0.2">
      <c r="B555" s="256"/>
      <c r="C555" s="119">
        <v>36</v>
      </c>
      <c r="D555" s="385"/>
      <c r="E555" s="391"/>
      <c r="F555" s="385"/>
      <c r="G555" s="391"/>
      <c r="H555" s="385"/>
      <c r="I555" s="391"/>
      <c r="J555" s="385"/>
      <c r="K555" s="391"/>
      <c r="L555" s="385"/>
      <c r="M555" s="391"/>
      <c r="N555" s="385"/>
      <c r="O555" s="190"/>
    </row>
    <row r="556" spans="2:15" ht="17" thickBot="1" x14ac:dyDescent="0.25">
      <c r="B556" s="256"/>
      <c r="C556" s="378">
        <v>37</v>
      </c>
      <c r="D556" s="386"/>
      <c r="E556" s="392"/>
      <c r="F556" s="386"/>
      <c r="G556" s="392"/>
      <c r="H556" s="386"/>
      <c r="I556" s="392"/>
      <c r="J556" s="386"/>
      <c r="K556" s="392"/>
      <c r="L556" s="386"/>
      <c r="M556" s="392"/>
      <c r="N556" s="386"/>
      <c r="O556" s="190"/>
    </row>
    <row r="557" spans="2:15" ht="17" thickBot="1" x14ac:dyDescent="0.25">
      <c r="C557" s="825" t="s">
        <v>19</v>
      </c>
      <c r="D557" s="826"/>
      <c r="E557" s="380"/>
      <c r="F557" s="376">
        <f>(F520+F521+F522+F523+F524+F525+F541+F528+F529+F526+F527+F530+F531+F532+F533+F534+F535+F536+F537+F538+F539+F540+F542+F543+F545+F546+F547+F548+F549+F550+F551+F552+F553+F556)/2</f>
        <v>77</v>
      </c>
      <c r="G557" s="397">
        <f>(G520+G521+G522+G523+G524+G541+G525+G529+G528+G526+G527+G530+G531+G532+G533+G534+G535+G536+G537+G538+G539+G540+G542+G543+G545+G546+G547+G548+G549+G550+G551+G552)/2</f>
        <v>49</v>
      </c>
      <c r="H557" s="399">
        <f>(H520+H521+H522+H523+H524+H525+H541+H544+H528+H529+H526+H527+H530+H531+H532+H533+H534+H535+H536+H537+H538+H539+H540+H542+H543+H545+H546+H547+H548+H549+H550+H551+H552+H553+H556)/2</f>
        <v>0</v>
      </c>
      <c r="I557" s="398">
        <f>(I520+I521+I522+I523+I524+I554+I555+I525+I541+I528+I544+I529+I526+I527+I530+I531+I532+I533+I534+I535+I536+I537+I538+I539+I540+I542+I543+I545+I546+I547+I548+I549+I550+I551+I552+I553+I556)/2</f>
        <v>55</v>
      </c>
      <c r="J557" s="376">
        <f>(J520+J521+J522+J523+J524+J525+J529+J526+J528+J527+J544+J530+J531+J532+J533+J534+J535+J536+J537+J538+J539+J540+J541+J542+J543+J545+J546+J547+J548+J549+J550+J551+J552)/2</f>
        <v>86</v>
      </c>
      <c r="K557" s="397">
        <f>(K520+K521+K522+K523+K524+K525+K529+K526+K527+K530+K531+K532+K533+K534+K535+K536+K537+K538+K539+K540+K542+K543+K545+K546+K547+K548+K549+K550+K551+K552+K541)</f>
        <v>0</v>
      </c>
      <c r="L557" s="399">
        <f>SUM(L520:L556)</f>
        <v>0</v>
      </c>
      <c r="M557" s="398">
        <f>(M520+M521+M522+M523+M524+M525+M529+M528+M526+M527+M530+M531+M532+M533+M534+M535+M536+M537+M538+M539+M540+M542+M543+M545+M546+M547+M548+M549+M550+M551+M552)/2</f>
        <v>0</v>
      </c>
      <c r="N557" s="376"/>
      <c r="O557" s="41"/>
    </row>
    <row r="558" spans="2:15" ht="17" thickBot="1" x14ac:dyDescent="0.25">
      <c r="C558" s="825" t="s">
        <v>91</v>
      </c>
      <c r="D558" s="826"/>
      <c r="E558" s="381">
        <f>SUM(F557:J557)</f>
        <v>267</v>
      </c>
    </row>
    <row r="559" spans="2:15" ht="16" thickBot="1" x14ac:dyDescent="0.25"/>
    <row r="560" spans="2:15" ht="17" thickBot="1" x14ac:dyDescent="0.25">
      <c r="C560" s="17"/>
      <c r="D560" s="379" t="s">
        <v>83</v>
      </c>
      <c r="E560" s="818" t="s">
        <v>64</v>
      </c>
      <c r="F560" s="819"/>
      <c r="G560" s="819"/>
      <c r="H560" s="819"/>
      <c r="I560" s="819"/>
      <c r="J560" s="400" t="s">
        <v>76</v>
      </c>
      <c r="K560" s="820">
        <v>45671</v>
      </c>
      <c r="L560" s="821"/>
      <c r="M560" s="821"/>
      <c r="N560" s="821"/>
      <c r="O560" s="822"/>
    </row>
    <row r="561" spans="2:15" ht="16" thickBot="1" x14ac:dyDescent="0.25">
      <c r="B561" s="175" t="s">
        <v>76</v>
      </c>
      <c r="C561" s="175" t="s">
        <v>77</v>
      </c>
      <c r="D561" s="823" t="s">
        <v>122</v>
      </c>
      <c r="E561" s="824"/>
      <c r="F561" s="175" t="s">
        <v>104</v>
      </c>
      <c r="G561" s="395" t="s">
        <v>86</v>
      </c>
      <c r="H561" s="175" t="s">
        <v>88</v>
      </c>
      <c r="I561" s="395" t="s">
        <v>87</v>
      </c>
      <c r="J561" s="401" t="s">
        <v>85</v>
      </c>
      <c r="K561" s="395" t="s">
        <v>123</v>
      </c>
      <c r="L561" s="175" t="s">
        <v>124</v>
      </c>
      <c r="M561" s="395" t="s">
        <v>100</v>
      </c>
      <c r="N561" s="175" t="s">
        <v>213</v>
      </c>
      <c r="O561" s="404" t="s">
        <v>125</v>
      </c>
    </row>
    <row r="562" spans="2:15" ht="16" thickBot="1" x14ac:dyDescent="0.25">
      <c r="B562" s="176">
        <f>K560</f>
        <v>45671</v>
      </c>
      <c r="C562" s="374"/>
      <c r="D562" s="375" t="s">
        <v>126</v>
      </c>
      <c r="E562" s="387" t="s">
        <v>127</v>
      </c>
      <c r="F562" s="331">
        <v>9</v>
      </c>
      <c r="G562" s="237">
        <v>6</v>
      </c>
      <c r="H562" s="331">
        <v>2</v>
      </c>
      <c r="I562" s="237">
        <v>4</v>
      </c>
      <c r="J562" s="331">
        <v>8</v>
      </c>
      <c r="K562" s="231"/>
      <c r="L562" s="125"/>
      <c r="M562" s="231"/>
      <c r="N562" s="125"/>
      <c r="O562" s="326"/>
    </row>
    <row r="563" spans="2:15" ht="16" x14ac:dyDescent="0.2">
      <c r="C563" s="118">
        <v>1</v>
      </c>
      <c r="D563" s="382">
        <v>0.30208333333333331</v>
      </c>
      <c r="E563" s="388">
        <v>0.32291666666666669</v>
      </c>
      <c r="F563" s="393"/>
      <c r="G563" s="396">
        <v>28</v>
      </c>
      <c r="H563" s="393"/>
      <c r="I563" s="396"/>
      <c r="J563" s="393"/>
      <c r="K563" s="396"/>
      <c r="L563" s="393"/>
      <c r="M563" s="396"/>
      <c r="N563" s="393"/>
      <c r="O563" s="190"/>
    </row>
    <row r="564" spans="2:15" ht="16" x14ac:dyDescent="0.2">
      <c r="C564" s="119">
        <v>2</v>
      </c>
      <c r="D564" s="383">
        <v>0.32291666666666669</v>
      </c>
      <c r="E564" s="389">
        <v>0.34375</v>
      </c>
      <c r="F564" s="385"/>
      <c r="G564" s="391">
        <v>28</v>
      </c>
      <c r="H564" s="385"/>
      <c r="I564" s="391"/>
      <c r="J564" s="385"/>
      <c r="K564" s="391"/>
      <c r="L564" s="385"/>
      <c r="M564" s="391"/>
      <c r="N564" s="385"/>
      <c r="O564" s="190"/>
    </row>
    <row r="565" spans="2:15" ht="16" x14ac:dyDescent="0.2">
      <c r="C565" s="119">
        <v>3</v>
      </c>
      <c r="D565" s="383">
        <v>0.34722222222222227</v>
      </c>
      <c r="E565" s="389">
        <v>0.36805555555555558</v>
      </c>
      <c r="F565" s="385"/>
      <c r="G565" s="391">
        <v>28</v>
      </c>
      <c r="H565" s="385"/>
      <c r="I565" s="391"/>
      <c r="J565" s="385"/>
      <c r="K565" s="391"/>
      <c r="L565" s="384"/>
      <c r="M565" s="391"/>
      <c r="N565" s="385"/>
      <c r="O565" s="190"/>
    </row>
    <row r="566" spans="2:15" ht="16" x14ac:dyDescent="0.2">
      <c r="C566" s="119">
        <v>4</v>
      </c>
      <c r="D566" s="383">
        <v>0.36805555555555558</v>
      </c>
      <c r="E566" s="389">
        <v>0.3888888888888889</v>
      </c>
      <c r="F566" s="385"/>
      <c r="G566" s="391"/>
      <c r="H566" s="316">
        <v>28</v>
      </c>
      <c r="I566" s="391"/>
      <c r="J566" s="385"/>
      <c r="K566" s="391"/>
      <c r="L566" s="402"/>
      <c r="M566" s="391"/>
      <c r="N566" s="385"/>
      <c r="O566" s="190"/>
    </row>
    <row r="567" spans="2:15" ht="16" x14ac:dyDescent="0.2">
      <c r="C567" s="119">
        <v>5</v>
      </c>
      <c r="D567" s="383">
        <v>0.38194444444444442</v>
      </c>
      <c r="E567" s="389">
        <v>0.40277777777777773</v>
      </c>
      <c r="F567" s="385">
        <v>14</v>
      </c>
      <c r="G567" s="391"/>
      <c r="H567" s="316"/>
      <c r="I567" s="391"/>
      <c r="J567" s="385"/>
      <c r="K567" s="391"/>
      <c r="L567" s="393"/>
      <c r="M567" s="391"/>
      <c r="N567" s="385"/>
      <c r="O567" s="190"/>
    </row>
    <row r="568" spans="2:15" ht="16" x14ac:dyDescent="0.2">
      <c r="C568" s="119">
        <v>6</v>
      </c>
      <c r="D568" s="383">
        <v>0.4548611111111111</v>
      </c>
      <c r="E568" s="389">
        <v>0.47569444444444442</v>
      </c>
      <c r="F568" s="385">
        <v>28</v>
      </c>
      <c r="G568" s="391"/>
      <c r="H568" s="316"/>
      <c r="I568" s="391"/>
      <c r="J568" s="385"/>
      <c r="K568" s="391"/>
      <c r="L568" s="393"/>
      <c r="M568" s="391"/>
      <c r="N568" s="385"/>
      <c r="O568" s="190"/>
    </row>
    <row r="569" spans="2:15" ht="16" x14ac:dyDescent="0.2">
      <c r="C569" s="119">
        <v>7</v>
      </c>
      <c r="D569" s="383">
        <v>0.47916666666666669</v>
      </c>
      <c r="E569" s="389">
        <v>0.5</v>
      </c>
      <c r="F569" s="385"/>
      <c r="G569" s="391"/>
      <c r="H569" s="316"/>
      <c r="I569" s="391">
        <v>44</v>
      </c>
      <c r="J569" s="385"/>
      <c r="K569" s="391"/>
      <c r="L569" s="393"/>
      <c r="M569" s="391"/>
      <c r="N569" s="385"/>
      <c r="O569" s="190"/>
    </row>
    <row r="570" spans="2:15" ht="16" x14ac:dyDescent="0.2">
      <c r="C570" s="119">
        <v>8</v>
      </c>
      <c r="D570" s="383">
        <v>0.51736111111111105</v>
      </c>
      <c r="E570" s="389">
        <v>0.53819444444444442</v>
      </c>
      <c r="F570" s="385">
        <v>28</v>
      </c>
      <c r="G570" s="391"/>
      <c r="H570" s="316"/>
      <c r="I570" s="391"/>
      <c r="J570" s="385"/>
      <c r="K570" s="391"/>
      <c r="L570" s="385"/>
      <c r="M570" s="391"/>
      <c r="N570" s="385"/>
      <c r="O570" s="190"/>
    </row>
    <row r="571" spans="2:15" ht="16" x14ac:dyDescent="0.2">
      <c r="C571" s="119">
        <v>9</v>
      </c>
      <c r="D571" s="383">
        <v>0.53819444444444442</v>
      </c>
      <c r="E571" s="389">
        <v>0.55902777777777779</v>
      </c>
      <c r="F571" s="385"/>
      <c r="G571" s="391"/>
      <c r="H571" s="316"/>
      <c r="I571" s="391">
        <v>44</v>
      </c>
      <c r="J571" s="385"/>
      <c r="K571" s="391"/>
      <c r="L571" s="385"/>
      <c r="M571" s="391"/>
      <c r="N571" s="385"/>
      <c r="O571" s="190"/>
    </row>
    <row r="572" spans="2:15" ht="16" x14ac:dyDescent="0.2">
      <c r="C572" s="119">
        <v>10</v>
      </c>
      <c r="D572" s="383">
        <v>0.56944444444444442</v>
      </c>
      <c r="E572" s="389">
        <v>0.59027777777777779</v>
      </c>
      <c r="F572" s="385">
        <v>28</v>
      </c>
      <c r="G572" s="391"/>
      <c r="H572" s="316"/>
      <c r="I572" s="391"/>
      <c r="J572" s="385"/>
      <c r="K572" s="391"/>
      <c r="L572" s="385"/>
      <c r="M572" s="391"/>
      <c r="N572" s="385"/>
      <c r="O572" s="190"/>
    </row>
    <row r="573" spans="2:15" ht="16" x14ac:dyDescent="0.2">
      <c r="C573" s="119">
        <v>11</v>
      </c>
      <c r="D573" s="383">
        <v>0.59722222222222221</v>
      </c>
      <c r="E573" s="389">
        <v>0.61805555555555558</v>
      </c>
      <c r="F573" s="385"/>
      <c r="G573" s="391"/>
      <c r="H573" s="316"/>
      <c r="I573" s="391"/>
      <c r="J573" s="28">
        <v>36</v>
      </c>
      <c r="K573" s="391"/>
      <c r="L573" s="385"/>
      <c r="M573" s="391"/>
      <c r="N573" s="385"/>
      <c r="O573" s="190"/>
    </row>
    <row r="574" spans="2:15" ht="16" x14ac:dyDescent="0.2">
      <c r="C574" s="193">
        <v>12</v>
      </c>
      <c r="D574" s="383">
        <v>0.63194444444444442</v>
      </c>
      <c r="E574" s="389">
        <v>0.65277777777777779</v>
      </c>
      <c r="F574" s="385">
        <v>28</v>
      </c>
      <c r="G574" s="391"/>
      <c r="H574" s="316"/>
      <c r="I574" s="391"/>
      <c r="J574" s="385"/>
      <c r="K574" s="391"/>
      <c r="L574" s="385"/>
      <c r="M574" s="391"/>
      <c r="N574" s="385"/>
      <c r="O574" s="190"/>
    </row>
    <row r="575" spans="2:15" ht="16" x14ac:dyDescent="0.2">
      <c r="C575" s="119">
        <v>13</v>
      </c>
      <c r="D575" s="383">
        <v>0.65972222222222221</v>
      </c>
      <c r="E575" s="389">
        <v>0.68055555555555547</v>
      </c>
      <c r="F575" s="385"/>
      <c r="G575" s="391"/>
      <c r="H575" s="316"/>
      <c r="I575" s="391"/>
      <c r="J575" s="385">
        <v>36</v>
      </c>
      <c r="K575" s="391"/>
      <c r="L575" s="385"/>
      <c r="M575" s="391"/>
      <c r="N575" s="385"/>
      <c r="O575" s="190"/>
    </row>
    <row r="576" spans="2:15" ht="16" x14ac:dyDescent="0.2">
      <c r="C576" s="119">
        <v>14</v>
      </c>
      <c r="D576" s="383">
        <v>0.69791666666666663</v>
      </c>
      <c r="E576" s="389">
        <v>0.71875</v>
      </c>
      <c r="F576" s="385"/>
      <c r="G576" s="391"/>
      <c r="H576" s="316"/>
      <c r="I576" s="391"/>
      <c r="J576" s="385">
        <v>30</v>
      </c>
      <c r="K576" s="391"/>
      <c r="L576" s="385"/>
      <c r="M576" s="391"/>
      <c r="N576" s="385"/>
      <c r="O576" s="190"/>
    </row>
    <row r="577" spans="3:15" ht="16" x14ac:dyDescent="0.2">
      <c r="C577" s="119">
        <v>15</v>
      </c>
      <c r="D577" s="383">
        <v>0.72569444444444453</v>
      </c>
      <c r="E577" s="389">
        <v>0.74652777777777779</v>
      </c>
      <c r="F577" s="385"/>
      <c r="G577" s="391"/>
      <c r="H577" s="316"/>
      <c r="I577" s="391"/>
      <c r="J577" s="385">
        <v>36</v>
      </c>
      <c r="K577" s="391"/>
      <c r="L577" s="385"/>
      <c r="M577" s="391"/>
      <c r="N577" s="385"/>
      <c r="O577" s="190"/>
    </row>
    <row r="578" spans="3:15" ht="16" x14ac:dyDescent="0.2">
      <c r="C578" s="119">
        <v>16</v>
      </c>
      <c r="D578" s="383"/>
      <c r="E578" s="389"/>
      <c r="F578" s="385"/>
      <c r="G578" s="391"/>
      <c r="H578" s="316"/>
      <c r="I578" s="391"/>
      <c r="J578" s="385"/>
      <c r="K578" s="391"/>
      <c r="L578" s="385"/>
      <c r="M578" s="391"/>
      <c r="N578" s="385"/>
      <c r="O578" s="190"/>
    </row>
    <row r="579" spans="3:15" ht="16" x14ac:dyDescent="0.2">
      <c r="C579" s="119">
        <v>17</v>
      </c>
      <c r="D579" s="383"/>
      <c r="E579" s="389"/>
      <c r="F579" s="384"/>
      <c r="G579" s="33"/>
      <c r="H579" s="316"/>
      <c r="I579" s="390"/>
      <c r="J579" s="385"/>
      <c r="K579" s="391"/>
      <c r="L579" s="385"/>
      <c r="M579" s="391"/>
      <c r="N579" s="385"/>
      <c r="O579" s="190"/>
    </row>
    <row r="580" spans="3:15" ht="16" x14ac:dyDescent="0.2">
      <c r="C580" s="119">
        <v>18</v>
      </c>
      <c r="D580" s="383"/>
      <c r="E580" s="389"/>
      <c r="F580" s="394"/>
      <c r="G580" s="229"/>
      <c r="H580" s="394"/>
      <c r="I580" s="391"/>
      <c r="J580" s="385"/>
      <c r="K580" s="391"/>
      <c r="L580" s="385"/>
      <c r="M580" s="391"/>
      <c r="N580" s="385"/>
      <c r="O580" s="190"/>
    </row>
    <row r="581" spans="3:15" ht="16" x14ac:dyDescent="0.2">
      <c r="C581" s="119">
        <v>19</v>
      </c>
      <c r="D581" s="383"/>
      <c r="E581" s="389"/>
      <c r="F581" s="385"/>
      <c r="G581" s="391"/>
      <c r="H581" s="385"/>
      <c r="I581" s="391"/>
      <c r="J581" s="385"/>
      <c r="K581" s="391"/>
      <c r="L581" s="403"/>
      <c r="M581" s="391"/>
      <c r="N581" s="385"/>
      <c r="O581" s="190"/>
    </row>
    <row r="582" spans="3:15" ht="16" x14ac:dyDescent="0.2">
      <c r="C582" s="119">
        <v>20</v>
      </c>
      <c r="D582" s="383"/>
      <c r="E582" s="389"/>
      <c r="F582" s="385"/>
      <c r="G582" s="391"/>
      <c r="H582" s="385"/>
      <c r="I582" s="391"/>
      <c r="J582" s="385"/>
      <c r="K582" s="391"/>
      <c r="L582" s="403"/>
      <c r="M582" s="391"/>
      <c r="N582" s="385"/>
      <c r="O582" s="190"/>
    </row>
    <row r="583" spans="3:15" ht="16" x14ac:dyDescent="0.2">
      <c r="C583" s="119">
        <v>21</v>
      </c>
      <c r="D583" s="383"/>
      <c r="E583" s="389"/>
      <c r="F583" s="385"/>
      <c r="G583" s="391"/>
      <c r="H583" s="385"/>
      <c r="I583" s="391"/>
      <c r="J583" s="385"/>
      <c r="K583" s="391"/>
      <c r="L583" s="385"/>
      <c r="M583" s="391"/>
      <c r="N583" s="385"/>
      <c r="O583" s="190"/>
    </row>
    <row r="584" spans="3:15" ht="16" x14ac:dyDescent="0.2">
      <c r="C584" s="119">
        <v>22</v>
      </c>
      <c r="D584" s="383"/>
      <c r="E584" s="389"/>
      <c r="F584" s="385"/>
      <c r="G584" s="391"/>
      <c r="H584" s="385"/>
      <c r="I584" s="391"/>
      <c r="J584" s="385"/>
      <c r="K584" s="391"/>
      <c r="L584" s="385"/>
      <c r="M584" s="391"/>
      <c r="N584" s="385"/>
      <c r="O584" s="190"/>
    </row>
    <row r="585" spans="3:15" ht="16" x14ac:dyDescent="0.2">
      <c r="C585" s="119">
        <v>23</v>
      </c>
      <c r="D585" s="383"/>
      <c r="E585" s="389"/>
      <c r="F585" s="385"/>
      <c r="G585" s="391"/>
      <c r="H585" s="385"/>
      <c r="I585" s="391"/>
      <c r="J585" s="385"/>
      <c r="K585" s="391"/>
      <c r="L585" s="385"/>
      <c r="M585" s="391"/>
      <c r="N585" s="385"/>
      <c r="O585" s="190"/>
    </row>
    <row r="586" spans="3:15" ht="16" x14ac:dyDescent="0.2">
      <c r="C586" s="119">
        <v>24</v>
      </c>
      <c r="D586" s="383"/>
      <c r="E586" s="389"/>
      <c r="F586" s="385"/>
      <c r="G586" s="391"/>
      <c r="H586" s="385"/>
      <c r="I586" s="391"/>
      <c r="J586" s="385"/>
      <c r="K586" s="391"/>
      <c r="L586" s="385"/>
      <c r="M586" s="391"/>
      <c r="N586" s="385"/>
      <c r="O586" s="190"/>
    </row>
    <row r="587" spans="3:15" ht="16" x14ac:dyDescent="0.2">
      <c r="C587" s="119">
        <v>25</v>
      </c>
      <c r="D587" s="383"/>
      <c r="E587" s="389"/>
      <c r="F587" s="385"/>
      <c r="G587" s="391"/>
      <c r="H587" s="385"/>
      <c r="I587" s="391"/>
      <c r="J587" s="385"/>
      <c r="K587" s="391"/>
      <c r="L587" s="385"/>
      <c r="M587" s="391"/>
      <c r="N587" s="385"/>
      <c r="O587" s="190"/>
    </row>
    <row r="588" spans="3:15" ht="16" x14ac:dyDescent="0.2">
      <c r="C588" s="119">
        <v>26</v>
      </c>
      <c r="D588" s="383"/>
      <c r="E588" s="389"/>
      <c r="F588" s="385"/>
      <c r="G588" s="391"/>
      <c r="H588" s="385"/>
      <c r="I588" s="391"/>
      <c r="J588" s="385"/>
      <c r="K588" s="391"/>
      <c r="L588" s="385"/>
      <c r="M588" s="391"/>
      <c r="N588" s="385"/>
      <c r="O588" s="190"/>
    </row>
    <row r="589" spans="3:15" ht="16" x14ac:dyDescent="0.2">
      <c r="C589" s="119">
        <v>27</v>
      </c>
      <c r="D589" s="383"/>
      <c r="E589" s="389"/>
      <c r="F589" s="385"/>
      <c r="G589" s="391"/>
      <c r="H589" s="385"/>
      <c r="I589" s="391"/>
      <c r="J589" s="385"/>
      <c r="K589" s="391"/>
      <c r="L589" s="385"/>
      <c r="M589" s="391"/>
      <c r="N589" s="385"/>
      <c r="O589" s="190"/>
    </row>
    <row r="590" spans="3:15" ht="16" x14ac:dyDescent="0.2">
      <c r="C590" s="119">
        <v>28</v>
      </c>
      <c r="D590" s="383"/>
      <c r="E590" s="389"/>
      <c r="F590" s="385"/>
      <c r="G590" s="391"/>
      <c r="H590" s="385"/>
      <c r="I590" s="391"/>
      <c r="J590" s="385"/>
      <c r="K590" s="391"/>
      <c r="L590" s="385"/>
      <c r="M590" s="391"/>
      <c r="N590" s="385"/>
      <c r="O590" s="190"/>
    </row>
    <row r="591" spans="3:15" ht="16" x14ac:dyDescent="0.2">
      <c r="C591" s="119">
        <v>29</v>
      </c>
      <c r="D591" s="383"/>
      <c r="E591" s="389"/>
      <c r="F591" s="385"/>
      <c r="G591" s="391"/>
      <c r="H591" s="385"/>
      <c r="I591" s="391"/>
      <c r="J591" s="385"/>
      <c r="K591" s="391"/>
      <c r="L591" s="385"/>
      <c r="M591" s="391"/>
      <c r="N591" s="385"/>
      <c r="O591" s="190"/>
    </row>
    <row r="592" spans="3:15" ht="16" x14ac:dyDescent="0.2">
      <c r="C592" s="119">
        <v>30</v>
      </c>
      <c r="D592" s="383"/>
      <c r="E592" s="389"/>
      <c r="F592" s="385"/>
      <c r="G592" s="391"/>
      <c r="H592" s="385"/>
      <c r="I592" s="391"/>
      <c r="J592" s="385"/>
      <c r="K592" s="391"/>
      <c r="L592" s="385"/>
      <c r="M592" s="391"/>
      <c r="N592" s="385"/>
      <c r="O592" s="190"/>
    </row>
    <row r="593" spans="2:15" ht="16" x14ac:dyDescent="0.2">
      <c r="C593" s="120">
        <v>31</v>
      </c>
      <c r="D593" s="383"/>
      <c r="E593" s="389"/>
      <c r="F593" s="384"/>
      <c r="G593" s="390"/>
      <c r="H593" s="384"/>
      <c r="I593" s="390"/>
      <c r="J593" s="384"/>
      <c r="K593" s="390"/>
      <c r="L593" s="384"/>
      <c r="M593" s="390"/>
      <c r="N593" s="384"/>
      <c r="O593" s="190"/>
    </row>
    <row r="594" spans="2:15" ht="16" x14ac:dyDescent="0.2">
      <c r="B594" s="256"/>
      <c r="C594" s="377">
        <v>32</v>
      </c>
      <c r="D594" s="384"/>
      <c r="E594" s="390"/>
      <c r="F594" s="384"/>
      <c r="G594" s="390"/>
      <c r="H594" s="384"/>
      <c r="I594" s="390"/>
      <c r="J594" s="384"/>
      <c r="K594" s="390"/>
      <c r="L594" s="384"/>
      <c r="M594" s="390"/>
      <c r="N594" s="384"/>
      <c r="O594" s="190"/>
    </row>
    <row r="595" spans="2:15" ht="16" x14ac:dyDescent="0.2">
      <c r="B595" s="256"/>
      <c r="C595" s="119">
        <v>33</v>
      </c>
      <c r="D595" s="385"/>
      <c r="E595" s="391"/>
      <c r="F595" s="385"/>
      <c r="G595" s="391"/>
      <c r="H595" s="385"/>
      <c r="I595" s="391"/>
      <c r="J595" s="385"/>
      <c r="K595" s="391"/>
      <c r="L595" s="385"/>
      <c r="M595" s="391"/>
      <c r="N595" s="385"/>
      <c r="O595" s="190"/>
    </row>
    <row r="596" spans="2:15" ht="16" x14ac:dyDescent="0.2">
      <c r="B596" s="256"/>
      <c r="C596" s="119">
        <v>34</v>
      </c>
      <c r="D596" s="385"/>
      <c r="E596" s="391"/>
      <c r="F596" s="385"/>
      <c r="G596" s="391"/>
      <c r="H596" s="385"/>
      <c r="I596" s="391"/>
      <c r="J596" s="385"/>
      <c r="K596" s="391"/>
      <c r="L596" s="385"/>
      <c r="M596" s="391"/>
      <c r="N596" s="385"/>
      <c r="O596" s="190"/>
    </row>
    <row r="597" spans="2:15" ht="16" x14ac:dyDescent="0.2">
      <c r="B597" s="256"/>
      <c r="C597" s="119">
        <v>35</v>
      </c>
      <c r="D597" s="385"/>
      <c r="E597" s="391"/>
      <c r="F597" s="385"/>
      <c r="G597" s="391"/>
      <c r="H597" s="385"/>
      <c r="I597" s="391"/>
      <c r="J597" s="385"/>
      <c r="K597" s="391"/>
      <c r="L597" s="385"/>
      <c r="M597" s="391"/>
      <c r="N597" s="385"/>
      <c r="O597" s="190"/>
    </row>
    <row r="598" spans="2:15" ht="16" x14ac:dyDescent="0.2">
      <c r="B598" s="256"/>
      <c r="C598" s="119">
        <v>36</v>
      </c>
      <c r="D598" s="385"/>
      <c r="E598" s="391"/>
      <c r="F598" s="385"/>
      <c r="G598" s="391"/>
      <c r="H598" s="385"/>
      <c r="I598" s="391"/>
      <c r="J598" s="385"/>
      <c r="K598" s="391"/>
      <c r="L598" s="385"/>
      <c r="M598" s="391"/>
      <c r="N598" s="385"/>
      <c r="O598" s="190"/>
    </row>
    <row r="599" spans="2:15" ht="17" thickBot="1" x14ac:dyDescent="0.25">
      <c r="B599" s="256"/>
      <c r="C599" s="378">
        <v>37</v>
      </c>
      <c r="D599" s="386"/>
      <c r="E599" s="392"/>
      <c r="F599" s="386"/>
      <c r="G599" s="392"/>
      <c r="H599" s="386"/>
      <c r="I599" s="392"/>
      <c r="J599" s="386"/>
      <c r="K599" s="392"/>
      <c r="L599" s="386"/>
      <c r="M599" s="392"/>
      <c r="N599" s="386"/>
      <c r="O599" s="190"/>
    </row>
    <row r="600" spans="2:15" ht="17" thickBot="1" x14ac:dyDescent="0.25">
      <c r="C600" s="825" t="s">
        <v>19</v>
      </c>
      <c r="D600" s="826"/>
      <c r="E600" s="380"/>
      <c r="F600" s="376">
        <f>(F563+F564+F565+F566+F567+F568+F584+F571+F572+F569+F570+F573+F574+F575+F576+F577+F578+F579+F580+F581+F582+F583+F585+F586+F588+F589+F590+F591+F592+F593+F594+F595+F596+F599)/2</f>
        <v>63</v>
      </c>
      <c r="G600" s="397">
        <f>(G563+G564+G565+G566+G567+G584+G568+G572+G571+G569+G570+G573+G574+G575+G576+G577+G578+G579+G580+G581+G582+G583+G585+G586+G588+G589+G590+G591+G592+G593+G594+G595)/2</f>
        <v>42</v>
      </c>
      <c r="H600" s="399">
        <f>(H563+H564+H565+H566+H567+H568+H584+H587+H571+H572+H569+H570+H573+H574+H575+H576+H577+H578+H579+H580+H581+H582+H583+H585+H586+H588+H589+H590+H591+H592+H593+H594+H595+H596+H599)/2</f>
        <v>14</v>
      </c>
      <c r="I600" s="398">
        <f>(I563+I564+I565+I566+I567+I597+I598+I568+I584+I571+I587+I572+I569+I570+I573+I574+I575+I576+I577+I578+I579+I580+I581+I582+I583+I585+I586+I588+I589+I590+I591+I592+I593+I594+I595+I596+I599)/2</f>
        <v>44</v>
      </c>
      <c r="J600" s="376">
        <f>(J563+J564+J565+J566+J567+J568+J572+J569+J571+J570+J587+J573+J574+J575+J576+J577+J578+J579+J580+J581+J582+J583+J584+J585+J586+J588+J589+J590+J591+J592+J593+J594+J595)/2</f>
        <v>69</v>
      </c>
      <c r="K600" s="397">
        <f>(K563+K564+K565+K566+K567+K568+K572+K569+K570+K573+K574+K575+K576+K577+K578+K579+K580+K581+K582+K583+K585+K586+K588+K589+K590+K591+K592+K593+K594+K595+K584)</f>
        <v>0</v>
      </c>
      <c r="L600" s="399">
        <f>SUM(L563:L599)</f>
        <v>0</v>
      </c>
      <c r="M600" s="398">
        <f>(M563+M564+M565+M566+M567+M568+M572+M571+M569+M570+M573+M574+M575+M576+M577+M578+M579+M580+M581+M582+M583+M585+M586+M588+M589+M590+M591+M592+M593+M594+M595)/2</f>
        <v>0</v>
      </c>
      <c r="N600" s="376"/>
      <c r="O600" s="41"/>
    </row>
    <row r="601" spans="2:15" ht="17" thickBot="1" x14ac:dyDescent="0.25">
      <c r="C601" s="825" t="s">
        <v>91</v>
      </c>
      <c r="D601" s="826"/>
      <c r="E601" s="381">
        <f>SUM(F600:J600)</f>
        <v>232</v>
      </c>
    </row>
    <row r="602" spans="2:15" ht="16" thickBot="1" x14ac:dyDescent="0.25"/>
    <row r="603" spans="2:15" ht="17" thickBot="1" x14ac:dyDescent="0.25">
      <c r="C603" s="17"/>
      <c r="D603" s="379" t="s">
        <v>83</v>
      </c>
      <c r="E603" s="818" t="s">
        <v>66</v>
      </c>
      <c r="F603" s="819"/>
      <c r="G603" s="819"/>
      <c r="H603" s="819"/>
      <c r="I603" s="819"/>
      <c r="J603" s="400" t="s">
        <v>76</v>
      </c>
      <c r="K603" s="820">
        <v>45673</v>
      </c>
      <c r="L603" s="821"/>
      <c r="M603" s="821"/>
      <c r="N603" s="821"/>
      <c r="O603" s="822"/>
    </row>
    <row r="604" spans="2:15" ht="16" thickBot="1" x14ac:dyDescent="0.25">
      <c r="B604" s="175" t="s">
        <v>76</v>
      </c>
      <c r="C604" s="175" t="s">
        <v>77</v>
      </c>
      <c r="D604" s="823" t="s">
        <v>122</v>
      </c>
      <c r="E604" s="824"/>
      <c r="F604" s="175" t="s">
        <v>104</v>
      </c>
      <c r="G604" s="395" t="s">
        <v>86</v>
      </c>
      <c r="H604" s="175" t="s">
        <v>88</v>
      </c>
      <c r="I604" s="395" t="s">
        <v>87</v>
      </c>
      <c r="J604" s="401" t="s">
        <v>85</v>
      </c>
      <c r="K604" s="395" t="s">
        <v>123</v>
      </c>
      <c r="L604" s="175" t="s">
        <v>124</v>
      </c>
      <c r="M604" s="395" t="s">
        <v>100</v>
      </c>
      <c r="N604" s="175" t="s">
        <v>213</v>
      </c>
      <c r="O604" s="404" t="s">
        <v>125</v>
      </c>
    </row>
    <row r="605" spans="2:15" ht="16" thickBot="1" x14ac:dyDescent="0.25">
      <c r="B605" s="176">
        <f>K603</f>
        <v>45673</v>
      </c>
      <c r="C605" s="374"/>
      <c r="D605" s="375" t="s">
        <v>126</v>
      </c>
      <c r="E605" s="387" t="s">
        <v>127</v>
      </c>
      <c r="F605" s="331">
        <v>10</v>
      </c>
      <c r="G605" s="237">
        <v>6</v>
      </c>
      <c r="H605" s="331">
        <v>3</v>
      </c>
      <c r="I605" s="237">
        <v>3</v>
      </c>
      <c r="J605" s="331">
        <v>6</v>
      </c>
      <c r="K605" s="231"/>
      <c r="L605" s="125"/>
      <c r="M605" s="231"/>
      <c r="N605" s="125"/>
      <c r="O605" s="326"/>
    </row>
    <row r="606" spans="2:15" ht="16" x14ac:dyDescent="0.2">
      <c r="C606" s="118">
        <v>1</v>
      </c>
      <c r="D606" s="382">
        <v>0.29166666666666669</v>
      </c>
      <c r="E606" s="388">
        <v>0.3125</v>
      </c>
      <c r="F606" s="393"/>
      <c r="G606" s="396">
        <v>28</v>
      </c>
      <c r="H606" s="393"/>
      <c r="I606" s="396"/>
      <c r="J606" s="393"/>
      <c r="K606" s="396"/>
      <c r="L606" s="393"/>
      <c r="M606" s="396"/>
      <c r="N606" s="393"/>
      <c r="O606" s="190"/>
    </row>
    <row r="607" spans="2:15" ht="16" x14ac:dyDescent="0.2">
      <c r="C607" s="119">
        <v>2</v>
      </c>
      <c r="D607" s="383">
        <v>0.31944444444444448</v>
      </c>
      <c r="E607" s="389">
        <v>0.34027777777777773</v>
      </c>
      <c r="F607" s="385"/>
      <c r="G607" s="391">
        <v>28</v>
      </c>
      <c r="H607" s="385"/>
      <c r="I607" s="391"/>
      <c r="J607" s="385"/>
      <c r="K607" s="391"/>
      <c r="L607" s="385"/>
      <c r="M607" s="391"/>
      <c r="N607" s="385"/>
      <c r="O607" s="190"/>
    </row>
    <row r="608" spans="2:15" ht="16" x14ac:dyDescent="0.2">
      <c r="C608" s="119">
        <v>3</v>
      </c>
      <c r="D608" s="383">
        <v>0.34375</v>
      </c>
      <c r="E608" s="389">
        <v>0.36458333333333331</v>
      </c>
      <c r="F608" s="385"/>
      <c r="G608" s="391">
        <v>28</v>
      </c>
      <c r="H608" s="385"/>
      <c r="I608" s="391"/>
      <c r="J608" s="385"/>
      <c r="K608" s="391"/>
      <c r="L608" s="384"/>
      <c r="M608" s="391"/>
      <c r="N608" s="385"/>
      <c r="O608" s="190"/>
    </row>
    <row r="609" spans="3:15" ht="16" x14ac:dyDescent="0.2">
      <c r="C609" s="119">
        <v>4</v>
      </c>
      <c r="D609" s="383">
        <v>0.36458333333333331</v>
      </c>
      <c r="E609" s="389">
        <v>0.38541666666666669</v>
      </c>
      <c r="F609" s="385">
        <v>28</v>
      </c>
      <c r="G609" s="391"/>
      <c r="H609" s="316"/>
      <c r="I609" s="391"/>
      <c r="J609" s="385"/>
      <c r="K609" s="391"/>
      <c r="L609" s="402"/>
      <c r="M609" s="391"/>
      <c r="N609" s="385"/>
      <c r="O609" s="190"/>
    </row>
    <row r="610" spans="3:15" ht="16" x14ac:dyDescent="0.2">
      <c r="C610" s="119">
        <v>5</v>
      </c>
      <c r="D610" s="383">
        <v>0.3888888888888889</v>
      </c>
      <c r="E610" s="389">
        <v>0.40972222222222227</v>
      </c>
      <c r="F610" s="385"/>
      <c r="G610" s="391"/>
      <c r="H610" s="316">
        <v>14</v>
      </c>
      <c r="I610" s="391"/>
      <c r="J610" s="385"/>
      <c r="K610" s="391"/>
      <c r="L610" s="393"/>
      <c r="M610" s="391"/>
      <c r="N610" s="385"/>
      <c r="O610" s="190"/>
    </row>
    <row r="611" spans="3:15" ht="16" x14ac:dyDescent="0.2">
      <c r="C611" s="119">
        <v>6</v>
      </c>
      <c r="D611" s="383">
        <v>0.40972222222222227</v>
      </c>
      <c r="E611" s="389">
        <v>0.43055555555555558</v>
      </c>
      <c r="F611" s="385">
        <v>28</v>
      </c>
      <c r="G611" s="391"/>
      <c r="H611" s="316"/>
      <c r="I611" s="391"/>
      <c r="J611" s="385"/>
      <c r="K611" s="391"/>
      <c r="L611" s="393"/>
      <c r="M611" s="391"/>
      <c r="N611" s="385"/>
      <c r="O611" s="190"/>
    </row>
    <row r="612" spans="3:15" ht="16" x14ac:dyDescent="0.2">
      <c r="C612" s="119">
        <v>7</v>
      </c>
      <c r="D612" s="383">
        <v>0.43402777777777773</v>
      </c>
      <c r="E612" s="389">
        <v>0.4548611111111111</v>
      </c>
      <c r="F612" s="385"/>
      <c r="G612" s="391"/>
      <c r="H612" s="316">
        <v>28</v>
      </c>
      <c r="I612" s="391"/>
      <c r="J612" s="385"/>
      <c r="K612" s="391"/>
      <c r="L612" s="393"/>
      <c r="M612" s="391"/>
      <c r="N612" s="385"/>
      <c r="O612" s="190"/>
    </row>
    <row r="613" spans="3:15" ht="16" x14ac:dyDescent="0.2">
      <c r="C613" s="119">
        <v>8</v>
      </c>
      <c r="D613" s="383">
        <v>0.46180555555555558</v>
      </c>
      <c r="E613" s="389">
        <v>0.4826388888888889</v>
      </c>
      <c r="F613" s="385"/>
      <c r="G613" s="391"/>
      <c r="H613" s="316"/>
      <c r="I613" s="391">
        <v>44</v>
      </c>
      <c r="J613" s="385"/>
      <c r="K613" s="391"/>
      <c r="L613" s="385"/>
      <c r="M613" s="391"/>
      <c r="N613" s="385"/>
      <c r="O613" s="190"/>
    </row>
    <row r="614" spans="3:15" ht="16" x14ac:dyDescent="0.2">
      <c r="C614" s="119">
        <v>9</v>
      </c>
      <c r="D614" s="383">
        <v>0.49305555555555558</v>
      </c>
      <c r="E614" s="389">
        <v>0.51388888888888895</v>
      </c>
      <c r="F614" s="385">
        <v>28</v>
      </c>
      <c r="G614" s="391"/>
      <c r="H614" s="316"/>
      <c r="I614" s="391"/>
      <c r="J614" s="385"/>
      <c r="K614" s="391"/>
      <c r="L614" s="385"/>
      <c r="M614" s="391"/>
      <c r="N614" s="385"/>
      <c r="O614" s="190"/>
    </row>
    <row r="615" spans="3:15" ht="16" x14ac:dyDescent="0.2">
      <c r="C615" s="119">
        <v>10</v>
      </c>
      <c r="D615" s="383">
        <v>0.52083333333333337</v>
      </c>
      <c r="E615" s="389">
        <v>0.54166666666666663</v>
      </c>
      <c r="F615" s="385"/>
      <c r="G615" s="391"/>
      <c r="H615" s="316"/>
      <c r="I615" s="391"/>
      <c r="J615" s="385">
        <v>36</v>
      </c>
      <c r="K615" s="391"/>
      <c r="L615" s="385"/>
      <c r="M615" s="391"/>
      <c r="N615" s="385"/>
      <c r="O615" s="190"/>
    </row>
    <row r="616" spans="3:15" ht="16" x14ac:dyDescent="0.2">
      <c r="C616" s="119">
        <v>11</v>
      </c>
      <c r="D616" s="383">
        <v>0.54513888888888895</v>
      </c>
      <c r="E616" s="389">
        <v>0.56597222222222221</v>
      </c>
      <c r="F616" s="385">
        <v>28</v>
      </c>
      <c r="G616" s="391"/>
      <c r="H616" s="316"/>
      <c r="I616" s="391"/>
      <c r="J616" s="28"/>
      <c r="K616" s="391"/>
      <c r="L616" s="385"/>
      <c r="M616" s="391"/>
      <c r="N616" s="385"/>
      <c r="O616" s="190"/>
    </row>
    <row r="617" spans="3:15" ht="16" x14ac:dyDescent="0.2">
      <c r="C617" s="193">
        <v>12</v>
      </c>
      <c r="D617" s="383">
        <v>0.57291666666666663</v>
      </c>
      <c r="E617" s="389">
        <v>0.59375</v>
      </c>
      <c r="F617" s="385"/>
      <c r="G617" s="391"/>
      <c r="H617" s="316"/>
      <c r="I617" s="391"/>
      <c r="J617" s="385">
        <v>36</v>
      </c>
      <c r="K617" s="391"/>
      <c r="L617" s="385"/>
      <c r="M617" s="391"/>
      <c r="N617" s="385"/>
      <c r="O617" s="190"/>
    </row>
    <row r="618" spans="3:15" ht="16" x14ac:dyDescent="0.2">
      <c r="C618" s="119">
        <v>13</v>
      </c>
      <c r="D618" s="383">
        <v>0.60069444444444442</v>
      </c>
      <c r="E618" s="389">
        <v>0.62152777777777779</v>
      </c>
      <c r="F618" s="385">
        <v>28</v>
      </c>
      <c r="G618" s="391"/>
      <c r="H618" s="316"/>
      <c r="I618" s="391"/>
      <c r="J618" s="385"/>
      <c r="K618" s="391"/>
      <c r="L618" s="385"/>
      <c r="M618" s="391"/>
      <c r="N618" s="385"/>
      <c r="O618" s="190"/>
    </row>
    <row r="619" spans="3:15" ht="16" x14ac:dyDescent="0.2">
      <c r="C619" s="119">
        <v>14</v>
      </c>
      <c r="D619" s="383">
        <v>0.62847222222222221</v>
      </c>
      <c r="E619" s="389">
        <v>0.64930555555555558</v>
      </c>
      <c r="F619" s="385"/>
      <c r="G619" s="391"/>
      <c r="H619" s="316"/>
      <c r="I619" s="391"/>
      <c r="J619" s="385">
        <v>28</v>
      </c>
      <c r="K619" s="391"/>
      <c r="L619" s="385"/>
      <c r="M619" s="391"/>
      <c r="N619" s="385"/>
      <c r="O619" s="190"/>
    </row>
    <row r="620" spans="3:15" ht="16" x14ac:dyDescent="0.2">
      <c r="C620" s="119">
        <v>15</v>
      </c>
      <c r="D620" s="383">
        <v>0.65625</v>
      </c>
      <c r="E620" s="389">
        <v>0.67708333333333337</v>
      </c>
      <c r="F620" s="385"/>
      <c r="G620" s="391"/>
      <c r="H620" s="316"/>
      <c r="I620" s="391">
        <v>22</v>
      </c>
      <c r="J620" s="385"/>
      <c r="K620" s="391"/>
      <c r="L620" s="385"/>
      <c r="M620" s="391"/>
      <c r="N620" s="385"/>
      <c r="O620" s="190"/>
    </row>
    <row r="621" spans="3:15" ht="16" x14ac:dyDescent="0.2">
      <c r="C621" s="119">
        <v>16</v>
      </c>
      <c r="D621" s="383"/>
      <c r="E621" s="389"/>
      <c r="F621" s="385"/>
      <c r="G621" s="391"/>
      <c r="H621" s="316"/>
      <c r="I621" s="391"/>
      <c r="J621" s="385"/>
      <c r="K621" s="391"/>
      <c r="L621" s="385"/>
      <c r="M621" s="391"/>
      <c r="N621" s="385"/>
      <c r="O621" s="190"/>
    </row>
    <row r="622" spans="3:15" ht="16" x14ac:dyDescent="0.2">
      <c r="C622" s="119">
        <v>17</v>
      </c>
      <c r="D622" s="383"/>
      <c r="E622" s="389"/>
      <c r="F622" s="384"/>
      <c r="G622" s="33"/>
      <c r="H622" s="316"/>
      <c r="I622" s="390"/>
      <c r="J622" s="385"/>
      <c r="K622" s="391"/>
      <c r="L622" s="385"/>
      <c r="M622" s="391"/>
      <c r="N622" s="385"/>
      <c r="O622" s="190"/>
    </row>
    <row r="623" spans="3:15" ht="16" x14ac:dyDescent="0.2">
      <c r="C623" s="119">
        <v>18</v>
      </c>
      <c r="D623" s="383"/>
      <c r="E623" s="389"/>
      <c r="F623" s="394"/>
      <c r="G623" s="229"/>
      <c r="H623" s="394"/>
      <c r="I623" s="391"/>
      <c r="J623" s="385"/>
      <c r="K623" s="391"/>
      <c r="L623" s="385"/>
      <c r="M623" s="391"/>
      <c r="N623" s="385"/>
      <c r="O623" s="190"/>
    </row>
    <row r="624" spans="3:15" ht="16" x14ac:dyDescent="0.2">
      <c r="C624" s="119">
        <v>19</v>
      </c>
      <c r="D624" s="383"/>
      <c r="E624" s="389"/>
      <c r="F624" s="385"/>
      <c r="G624" s="391"/>
      <c r="H624" s="385"/>
      <c r="I624" s="391"/>
      <c r="J624" s="385"/>
      <c r="K624" s="391"/>
      <c r="L624" s="403"/>
      <c r="M624" s="391"/>
      <c r="N624" s="385"/>
      <c r="O624" s="190"/>
    </row>
    <row r="625" spans="2:15" ht="16" x14ac:dyDescent="0.2">
      <c r="C625" s="119">
        <v>20</v>
      </c>
      <c r="D625" s="383"/>
      <c r="E625" s="389"/>
      <c r="F625" s="385"/>
      <c r="G625" s="391"/>
      <c r="H625" s="385"/>
      <c r="I625" s="391"/>
      <c r="J625" s="385"/>
      <c r="K625" s="391"/>
      <c r="L625" s="403"/>
      <c r="M625" s="391"/>
      <c r="N625" s="385"/>
      <c r="O625" s="190"/>
    </row>
    <row r="626" spans="2:15" ht="16" x14ac:dyDescent="0.2">
      <c r="C626" s="119">
        <v>21</v>
      </c>
      <c r="D626" s="383"/>
      <c r="E626" s="389"/>
      <c r="F626" s="385"/>
      <c r="G626" s="391"/>
      <c r="H626" s="385"/>
      <c r="I626" s="391"/>
      <c r="J626" s="385"/>
      <c r="K626" s="391"/>
      <c r="L626" s="385"/>
      <c r="M626" s="391"/>
      <c r="N626" s="385"/>
      <c r="O626" s="190"/>
    </row>
    <row r="627" spans="2:15" ht="16" x14ac:dyDescent="0.2">
      <c r="C627" s="119">
        <v>22</v>
      </c>
      <c r="D627" s="383"/>
      <c r="E627" s="389"/>
      <c r="F627" s="385"/>
      <c r="G627" s="391"/>
      <c r="H627" s="385"/>
      <c r="I627" s="391"/>
      <c r="J627" s="385"/>
      <c r="K627" s="391"/>
      <c r="L627" s="385"/>
      <c r="M627" s="391"/>
      <c r="N627" s="385"/>
      <c r="O627" s="190"/>
    </row>
    <row r="628" spans="2:15" ht="16" x14ac:dyDescent="0.2">
      <c r="C628" s="119">
        <v>23</v>
      </c>
      <c r="D628" s="383"/>
      <c r="E628" s="389"/>
      <c r="F628" s="385"/>
      <c r="G628" s="391"/>
      <c r="H628" s="385"/>
      <c r="I628" s="391"/>
      <c r="J628" s="385"/>
      <c r="K628" s="391"/>
      <c r="L628" s="385"/>
      <c r="M628" s="391"/>
      <c r="N628" s="385"/>
      <c r="O628" s="190"/>
    </row>
    <row r="629" spans="2:15" ht="16" x14ac:dyDescent="0.2">
      <c r="C629" s="119">
        <v>24</v>
      </c>
      <c r="D629" s="383"/>
      <c r="E629" s="389"/>
      <c r="F629" s="385"/>
      <c r="G629" s="391"/>
      <c r="H629" s="385"/>
      <c r="I629" s="391"/>
      <c r="J629" s="385"/>
      <c r="K629" s="391"/>
      <c r="L629" s="385"/>
      <c r="M629" s="391"/>
      <c r="N629" s="385"/>
      <c r="O629" s="190"/>
    </row>
    <row r="630" spans="2:15" ht="16" x14ac:dyDescent="0.2">
      <c r="C630" s="119">
        <v>25</v>
      </c>
      <c r="D630" s="383"/>
      <c r="E630" s="389"/>
      <c r="F630" s="385"/>
      <c r="G630" s="391"/>
      <c r="H630" s="385"/>
      <c r="I630" s="391"/>
      <c r="J630" s="385"/>
      <c r="K630" s="391"/>
      <c r="L630" s="385"/>
      <c r="M630" s="391"/>
      <c r="N630" s="385"/>
      <c r="O630" s="190"/>
    </row>
    <row r="631" spans="2:15" ht="16" x14ac:dyDescent="0.2">
      <c r="C631" s="119">
        <v>26</v>
      </c>
      <c r="D631" s="383"/>
      <c r="E631" s="389"/>
      <c r="F631" s="385"/>
      <c r="G631" s="391"/>
      <c r="H631" s="385"/>
      <c r="I631" s="391"/>
      <c r="J631" s="385"/>
      <c r="K631" s="391"/>
      <c r="L631" s="385"/>
      <c r="M631" s="391"/>
      <c r="N631" s="385"/>
      <c r="O631" s="190"/>
    </row>
    <row r="632" spans="2:15" ht="16" x14ac:dyDescent="0.2">
      <c r="C632" s="119">
        <v>27</v>
      </c>
      <c r="D632" s="383"/>
      <c r="E632" s="389"/>
      <c r="F632" s="385"/>
      <c r="G632" s="391"/>
      <c r="H632" s="385"/>
      <c r="I632" s="391"/>
      <c r="J632" s="385"/>
      <c r="K632" s="391"/>
      <c r="L632" s="385"/>
      <c r="M632" s="391"/>
      <c r="N632" s="385"/>
      <c r="O632" s="190"/>
    </row>
    <row r="633" spans="2:15" ht="16" x14ac:dyDescent="0.2">
      <c r="C633" s="119">
        <v>28</v>
      </c>
      <c r="D633" s="383"/>
      <c r="E633" s="389"/>
      <c r="F633" s="385"/>
      <c r="G633" s="391"/>
      <c r="H633" s="385"/>
      <c r="I633" s="391"/>
      <c r="J633" s="385"/>
      <c r="K633" s="391"/>
      <c r="L633" s="385"/>
      <c r="M633" s="391"/>
      <c r="N633" s="385"/>
      <c r="O633" s="190"/>
    </row>
    <row r="634" spans="2:15" ht="16" x14ac:dyDescent="0.2">
      <c r="C634" s="119">
        <v>29</v>
      </c>
      <c r="D634" s="383"/>
      <c r="E634" s="389"/>
      <c r="F634" s="385"/>
      <c r="G634" s="391"/>
      <c r="H634" s="385"/>
      <c r="I634" s="391"/>
      <c r="J634" s="385"/>
      <c r="K634" s="391"/>
      <c r="L634" s="385"/>
      <c r="M634" s="391"/>
      <c r="N634" s="385"/>
      <c r="O634" s="190"/>
    </row>
    <row r="635" spans="2:15" ht="16" x14ac:dyDescent="0.2">
      <c r="C635" s="119">
        <v>30</v>
      </c>
      <c r="D635" s="383"/>
      <c r="E635" s="389"/>
      <c r="F635" s="385"/>
      <c r="G635" s="391"/>
      <c r="H635" s="385"/>
      <c r="I635" s="391"/>
      <c r="J635" s="385"/>
      <c r="K635" s="391"/>
      <c r="L635" s="385"/>
      <c r="M635" s="391"/>
      <c r="N635" s="385"/>
      <c r="O635" s="190"/>
    </row>
    <row r="636" spans="2:15" ht="16" x14ac:dyDescent="0.2">
      <c r="C636" s="120">
        <v>31</v>
      </c>
      <c r="D636" s="383"/>
      <c r="E636" s="389"/>
      <c r="F636" s="384"/>
      <c r="G636" s="390"/>
      <c r="H636" s="384"/>
      <c r="I636" s="390"/>
      <c r="J636" s="384"/>
      <c r="K636" s="390"/>
      <c r="L636" s="384"/>
      <c r="M636" s="390"/>
      <c r="N636" s="384"/>
      <c r="O636" s="190"/>
    </row>
    <row r="637" spans="2:15" ht="16" x14ac:dyDescent="0.2">
      <c r="B637" s="256"/>
      <c r="C637" s="377">
        <v>32</v>
      </c>
      <c r="D637" s="384"/>
      <c r="E637" s="390"/>
      <c r="F637" s="384"/>
      <c r="G637" s="390"/>
      <c r="H637" s="384"/>
      <c r="I637" s="390"/>
      <c r="J637" s="384"/>
      <c r="K637" s="390"/>
      <c r="L637" s="384"/>
      <c r="M637" s="390"/>
      <c r="N637" s="384"/>
      <c r="O637" s="190"/>
    </row>
    <row r="638" spans="2:15" ht="16" x14ac:dyDescent="0.2">
      <c r="B638" s="256"/>
      <c r="C638" s="119">
        <v>33</v>
      </c>
      <c r="D638" s="385"/>
      <c r="E638" s="391"/>
      <c r="F638" s="385"/>
      <c r="G638" s="391"/>
      <c r="H638" s="385"/>
      <c r="I638" s="391"/>
      <c r="J638" s="385"/>
      <c r="K638" s="391"/>
      <c r="L638" s="385"/>
      <c r="M638" s="391"/>
      <c r="N638" s="385"/>
      <c r="O638" s="190"/>
    </row>
    <row r="639" spans="2:15" ht="16" x14ac:dyDescent="0.2">
      <c r="B639" s="256"/>
      <c r="C639" s="119">
        <v>34</v>
      </c>
      <c r="D639" s="385"/>
      <c r="E639" s="391"/>
      <c r="F639" s="385"/>
      <c r="G639" s="391"/>
      <c r="H639" s="385"/>
      <c r="I639" s="391"/>
      <c r="J639" s="385"/>
      <c r="K639" s="391"/>
      <c r="L639" s="385"/>
      <c r="M639" s="391"/>
      <c r="N639" s="385"/>
      <c r="O639" s="190"/>
    </row>
    <row r="640" spans="2:15" ht="16" x14ac:dyDescent="0.2">
      <c r="B640" s="256"/>
      <c r="C640" s="119">
        <v>35</v>
      </c>
      <c r="D640" s="385"/>
      <c r="E640" s="391"/>
      <c r="F640" s="385"/>
      <c r="G640" s="391"/>
      <c r="H640" s="385"/>
      <c r="I640" s="391"/>
      <c r="J640" s="385"/>
      <c r="K640" s="391"/>
      <c r="L640" s="385"/>
      <c r="M640" s="391"/>
      <c r="N640" s="385"/>
      <c r="O640" s="190"/>
    </row>
    <row r="641" spans="2:15" ht="16" x14ac:dyDescent="0.2">
      <c r="B641" s="256"/>
      <c r="C641" s="119">
        <v>36</v>
      </c>
      <c r="D641" s="385"/>
      <c r="E641" s="391"/>
      <c r="F641" s="385"/>
      <c r="G641" s="391"/>
      <c r="H641" s="385"/>
      <c r="I641" s="391"/>
      <c r="J641" s="385"/>
      <c r="K641" s="391"/>
      <c r="L641" s="385"/>
      <c r="M641" s="391"/>
      <c r="N641" s="385"/>
      <c r="O641" s="190"/>
    </row>
    <row r="642" spans="2:15" ht="17" thickBot="1" x14ac:dyDescent="0.25">
      <c r="B642" s="256"/>
      <c r="C642" s="378">
        <v>37</v>
      </c>
      <c r="D642" s="386"/>
      <c r="E642" s="392"/>
      <c r="F642" s="386"/>
      <c r="G642" s="392"/>
      <c r="H642" s="386"/>
      <c r="I642" s="392"/>
      <c r="J642" s="386"/>
      <c r="K642" s="392"/>
      <c r="L642" s="386"/>
      <c r="M642" s="392"/>
      <c r="N642" s="386"/>
      <c r="O642" s="190"/>
    </row>
    <row r="643" spans="2:15" ht="17" thickBot="1" x14ac:dyDescent="0.25">
      <c r="C643" s="825" t="s">
        <v>19</v>
      </c>
      <c r="D643" s="826"/>
      <c r="E643" s="380"/>
      <c r="F643" s="376">
        <f>(F606+F607+F608+F609+F610+F611+F627+F614+F615+F612+F613+F616+F617+F618+F619+F620+F621+F622+F623+F624+F625+F626+F628+F629+F631+F632+F633+F634+F635+F636+F637+F638+F639+F642)/2</f>
        <v>70</v>
      </c>
      <c r="G643" s="397">
        <f>(G606+G607+G608+G609+G610+G627+G611+G615+G614+G612+G613+G616+G617+G618+G619+G620+G621+G622+G623+G624+G625+G626+G628+G629+G631+G632+G633+G634+G635+G636+G637+G638)/2</f>
        <v>42</v>
      </c>
      <c r="H643" s="399">
        <f>(H606+H607+H608+H609+H610+H611+H627+H630+H614+H615+H612+H613+H616+H617+H618+H619+H620+H621+H622+H623+H624+H625+H626+H628+H629+H631+H632+H633+H634+H635+H636+H637+H638+H639+H642)/2</f>
        <v>21</v>
      </c>
      <c r="I643" s="398">
        <f>(I606+I607+I608+I609+I610+I640+I641+I611+I627+I614+I630+I615+I612+I613+I616+I617+I618+I619+I620+I621+I622+I623+I624+I625+I626+I628+I629+I631+I632+I633+I634+I635+I636+I637+I638+I639+I642)/2</f>
        <v>33</v>
      </c>
      <c r="J643" s="376">
        <f>(J606+J607+J608+J609+J610+J611+J615+J612+J614+J613+J630+J616+J617+J618+J619+J620+J621+J622+J623+J624+J625+J626+J627+J628+J629+J631+J632+J633+J634+J635+J636+J637+J638)/2</f>
        <v>50</v>
      </c>
      <c r="K643" s="397">
        <f>(K606+K607+K608+K609+K610+K611+K615+K612+K613+K616+K617+K618+K619+K620+K621+K622+K623+K624+K625+K626+K628+K629+K631+K632+K633+K634+K635+K636+K637+K638+K627)</f>
        <v>0</v>
      </c>
      <c r="L643" s="399">
        <f>SUM(L606:L642)</f>
        <v>0</v>
      </c>
      <c r="M643" s="398">
        <f>(M606+M607+M608+M609+M610+M611+M615+M614+M612+M613+M616+M617+M618+M619+M620+M621+M622+M623+M624+M625+M626+M628+M629+M631+M632+M633+M634+M635+M636+M637+M638)/2</f>
        <v>0</v>
      </c>
      <c r="N643" s="376"/>
      <c r="O643" s="41"/>
    </row>
    <row r="644" spans="2:15" ht="17" thickBot="1" x14ac:dyDescent="0.25">
      <c r="C644" s="825" t="s">
        <v>91</v>
      </c>
      <c r="D644" s="826"/>
      <c r="E644" s="381">
        <f>SUM(F643:J643)</f>
        <v>216</v>
      </c>
    </row>
    <row r="645" spans="2:15" ht="16" thickBot="1" x14ac:dyDescent="0.25"/>
    <row r="646" spans="2:15" ht="17" thickBot="1" x14ac:dyDescent="0.25">
      <c r="C646" s="17"/>
      <c r="D646" s="379" t="s">
        <v>83</v>
      </c>
      <c r="E646" s="818" t="s">
        <v>66</v>
      </c>
      <c r="F646" s="819"/>
      <c r="G646" s="819"/>
      <c r="H646" s="819"/>
      <c r="I646" s="819"/>
      <c r="J646" s="400" t="s">
        <v>76</v>
      </c>
      <c r="K646" s="820">
        <v>45673</v>
      </c>
      <c r="L646" s="821"/>
      <c r="M646" s="821"/>
      <c r="N646" s="821"/>
      <c r="O646" s="822"/>
    </row>
    <row r="647" spans="2:15" ht="16" thickBot="1" x14ac:dyDescent="0.25">
      <c r="B647" s="175" t="s">
        <v>76</v>
      </c>
      <c r="C647" s="175" t="s">
        <v>77</v>
      </c>
      <c r="D647" s="823" t="s">
        <v>122</v>
      </c>
      <c r="E647" s="824"/>
      <c r="F647" s="175" t="s">
        <v>104</v>
      </c>
      <c r="G647" s="395" t="s">
        <v>86</v>
      </c>
      <c r="H647" s="175" t="s">
        <v>88</v>
      </c>
      <c r="I647" s="395" t="s">
        <v>87</v>
      </c>
      <c r="J647" s="401" t="s">
        <v>85</v>
      </c>
      <c r="K647" s="395" t="s">
        <v>123</v>
      </c>
      <c r="L647" s="175" t="s">
        <v>124</v>
      </c>
      <c r="M647" s="395" t="s">
        <v>100</v>
      </c>
      <c r="N647" s="175" t="s">
        <v>213</v>
      </c>
      <c r="O647" s="404" t="s">
        <v>125</v>
      </c>
    </row>
    <row r="648" spans="2:15" ht="16" thickBot="1" x14ac:dyDescent="0.25">
      <c r="B648" s="176">
        <f>K646</f>
        <v>45673</v>
      </c>
      <c r="C648" s="374"/>
      <c r="D648" s="375" t="s">
        <v>126</v>
      </c>
      <c r="E648" s="387" t="s">
        <v>127</v>
      </c>
      <c r="F648" s="331">
        <v>3</v>
      </c>
      <c r="G648" s="237">
        <v>2</v>
      </c>
      <c r="H648" s="331">
        <v>0</v>
      </c>
      <c r="I648" s="237">
        <v>2</v>
      </c>
      <c r="J648" s="331">
        <v>3</v>
      </c>
      <c r="K648" s="231"/>
      <c r="L648" s="125"/>
      <c r="M648" s="231"/>
      <c r="N648" s="125"/>
      <c r="O648" s="326"/>
    </row>
    <row r="649" spans="2:15" ht="16" x14ac:dyDescent="0.2">
      <c r="C649" s="118">
        <v>1</v>
      </c>
      <c r="D649" s="382">
        <v>0.76388888888888884</v>
      </c>
      <c r="E649" s="388">
        <v>0.78472222222222221</v>
      </c>
      <c r="F649" s="393"/>
      <c r="G649" s="396">
        <v>28</v>
      </c>
      <c r="H649" s="393"/>
      <c r="I649" s="396"/>
      <c r="J649" s="393"/>
      <c r="K649" s="396"/>
      <c r="L649" s="393"/>
      <c r="M649" s="396"/>
      <c r="N649" s="393"/>
      <c r="O649" s="190"/>
    </row>
    <row r="650" spans="2:15" ht="16" x14ac:dyDescent="0.2">
      <c r="C650" s="119">
        <v>2</v>
      </c>
      <c r="D650" s="383">
        <v>0.78472222222222221</v>
      </c>
      <c r="E650" s="389">
        <v>0.80555555555555547</v>
      </c>
      <c r="F650" s="385">
        <v>28</v>
      </c>
      <c r="G650" s="391"/>
      <c r="H650" s="385"/>
      <c r="I650" s="391"/>
      <c r="J650" s="385"/>
      <c r="K650" s="391"/>
      <c r="L650" s="385"/>
      <c r="M650" s="391"/>
      <c r="N650" s="385"/>
      <c r="O650" s="190"/>
    </row>
    <row r="651" spans="2:15" ht="16" x14ac:dyDescent="0.2">
      <c r="C651" s="119">
        <v>3</v>
      </c>
      <c r="D651" s="383">
        <v>0.80555555555555547</v>
      </c>
      <c r="E651" s="389">
        <v>0.82638888888888884</v>
      </c>
      <c r="F651" s="385">
        <v>14</v>
      </c>
      <c r="G651" s="391"/>
      <c r="H651" s="385"/>
      <c r="I651" s="391"/>
      <c r="J651" s="385"/>
      <c r="K651" s="391"/>
      <c r="L651" s="384"/>
      <c r="M651" s="391"/>
      <c r="N651" s="385"/>
      <c r="O651" s="190"/>
    </row>
    <row r="652" spans="2:15" ht="16" x14ac:dyDescent="0.2">
      <c r="C652" s="119">
        <v>4</v>
      </c>
      <c r="D652" s="383">
        <v>0.82638888888888884</v>
      </c>
      <c r="E652" s="389">
        <v>0.84722222222222221</v>
      </c>
      <c r="F652" s="385"/>
      <c r="G652" s="391"/>
      <c r="H652" s="316"/>
      <c r="I652" s="391"/>
      <c r="J652" s="385">
        <v>18</v>
      </c>
      <c r="K652" s="391"/>
      <c r="L652" s="402"/>
      <c r="M652" s="391"/>
      <c r="N652" s="385"/>
      <c r="O652" s="190"/>
    </row>
    <row r="653" spans="2:15" ht="16" x14ac:dyDescent="0.2">
      <c r="C653" s="119">
        <v>5</v>
      </c>
      <c r="D653" s="383">
        <v>0.85416666666666663</v>
      </c>
      <c r="E653" s="389">
        <v>0.875</v>
      </c>
      <c r="F653" s="385"/>
      <c r="G653" s="391"/>
      <c r="H653" s="316"/>
      <c r="I653" s="391"/>
      <c r="J653" s="385">
        <v>36</v>
      </c>
      <c r="K653" s="391"/>
      <c r="L653" s="393"/>
      <c r="M653" s="391"/>
      <c r="N653" s="385"/>
      <c r="O653" s="190"/>
    </row>
    <row r="654" spans="2:15" ht="16" x14ac:dyDescent="0.2">
      <c r="C654" s="119">
        <v>6</v>
      </c>
      <c r="D654" s="383">
        <v>0.875</v>
      </c>
      <c r="E654" s="389">
        <v>0.89583333333333337</v>
      </c>
      <c r="F654" s="385"/>
      <c r="G654" s="391"/>
      <c r="H654" s="316"/>
      <c r="I654" s="391">
        <v>44</v>
      </c>
      <c r="J654" s="385"/>
      <c r="K654" s="391"/>
      <c r="L654" s="393"/>
      <c r="M654" s="391"/>
      <c r="N654" s="385"/>
      <c r="O654" s="190"/>
    </row>
    <row r="655" spans="2:15" ht="16" x14ac:dyDescent="0.2">
      <c r="C655" s="119">
        <v>7</v>
      </c>
      <c r="D655" s="383"/>
      <c r="E655" s="389"/>
      <c r="F655" s="385"/>
      <c r="G655" s="391"/>
      <c r="H655" s="316"/>
      <c r="I655" s="391"/>
      <c r="J655" s="385"/>
      <c r="K655" s="391"/>
      <c r="L655" s="393"/>
      <c r="M655" s="391"/>
      <c r="N655" s="385"/>
      <c r="O655" s="190"/>
    </row>
    <row r="656" spans="2:15" ht="16" x14ac:dyDescent="0.2">
      <c r="C656" s="119">
        <v>8</v>
      </c>
      <c r="D656" s="383"/>
      <c r="E656" s="389"/>
      <c r="F656" s="385"/>
      <c r="G656" s="391"/>
      <c r="H656" s="316"/>
      <c r="I656" s="391"/>
      <c r="J656" s="385"/>
      <c r="K656" s="391"/>
      <c r="L656" s="385"/>
      <c r="M656" s="391"/>
      <c r="N656" s="385"/>
      <c r="O656" s="190"/>
    </row>
    <row r="657" spans="3:15" ht="16" x14ac:dyDescent="0.2">
      <c r="C657" s="119">
        <v>9</v>
      </c>
      <c r="D657" s="383"/>
      <c r="E657" s="389"/>
      <c r="F657" s="385"/>
      <c r="G657" s="391"/>
      <c r="H657" s="316"/>
      <c r="I657" s="391"/>
      <c r="J657" s="385"/>
      <c r="K657" s="391"/>
      <c r="L657" s="385"/>
      <c r="M657" s="391"/>
      <c r="N657" s="385"/>
      <c r="O657" s="190"/>
    </row>
    <row r="658" spans="3:15" ht="16" x14ac:dyDescent="0.2">
      <c r="C658" s="119">
        <v>10</v>
      </c>
      <c r="D658" s="383"/>
      <c r="E658" s="389"/>
      <c r="F658" s="385"/>
      <c r="G658" s="391"/>
      <c r="H658" s="316"/>
      <c r="I658" s="391"/>
      <c r="J658" s="385"/>
      <c r="K658" s="391"/>
      <c r="L658" s="385"/>
      <c r="M658" s="391"/>
      <c r="N658" s="385"/>
      <c r="O658" s="190"/>
    </row>
    <row r="659" spans="3:15" ht="16" x14ac:dyDescent="0.2">
      <c r="C659" s="119">
        <v>11</v>
      </c>
      <c r="D659" s="383"/>
      <c r="E659" s="389"/>
      <c r="F659" s="385"/>
      <c r="G659" s="391"/>
      <c r="H659" s="316"/>
      <c r="I659" s="391"/>
      <c r="J659" s="28"/>
      <c r="K659" s="391"/>
      <c r="L659" s="385"/>
      <c r="M659" s="391"/>
      <c r="N659" s="385"/>
      <c r="O659" s="190"/>
    </row>
    <row r="660" spans="3:15" ht="16" x14ac:dyDescent="0.2">
      <c r="C660" s="193">
        <v>12</v>
      </c>
      <c r="D660" s="383"/>
      <c r="E660" s="389"/>
      <c r="F660" s="385"/>
      <c r="G660" s="391"/>
      <c r="H660" s="316"/>
      <c r="I660" s="391"/>
      <c r="J660" s="385"/>
      <c r="K660" s="391"/>
      <c r="L660" s="385"/>
      <c r="M660" s="391"/>
      <c r="N660" s="385"/>
      <c r="O660" s="190"/>
    </row>
    <row r="661" spans="3:15" ht="16" x14ac:dyDescent="0.2">
      <c r="C661" s="119">
        <v>13</v>
      </c>
      <c r="D661" s="383"/>
      <c r="E661" s="389"/>
      <c r="F661" s="385"/>
      <c r="G661" s="391"/>
      <c r="H661" s="316"/>
      <c r="I661" s="391"/>
      <c r="J661" s="385"/>
      <c r="K661" s="391"/>
      <c r="L661" s="385"/>
      <c r="M661" s="391"/>
      <c r="N661" s="385"/>
      <c r="O661" s="190"/>
    </row>
    <row r="662" spans="3:15" ht="16" x14ac:dyDescent="0.2">
      <c r="C662" s="119">
        <v>14</v>
      </c>
      <c r="D662" s="383"/>
      <c r="E662" s="389"/>
      <c r="F662" s="385"/>
      <c r="G662" s="391"/>
      <c r="H662" s="316"/>
      <c r="I662" s="391"/>
      <c r="J662" s="385"/>
      <c r="K662" s="391"/>
      <c r="L662" s="385"/>
      <c r="M662" s="391"/>
      <c r="N662" s="385"/>
      <c r="O662" s="190"/>
    </row>
    <row r="663" spans="3:15" ht="16" x14ac:dyDescent="0.2">
      <c r="C663" s="119">
        <v>15</v>
      </c>
      <c r="D663" s="383"/>
      <c r="E663" s="389"/>
      <c r="F663" s="385"/>
      <c r="G663" s="391"/>
      <c r="H663" s="316"/>
      <c r="I663" s="391"/>
      <c r="J663" s="385"/>
      <c r="K663" s="391"/>
      <c r="L663" s="385"/>
      <c r="M663" s="391"/>
      <c r="N663" s="385"/>
      <c r="O663" s="190"/>
    </row>
    <row r="664" spans="3:15" ht="16" x14ac:dyDescent="0.2">
      <c r="C664" s="119">
        <v>16</v>
      </c>
      <c r="D664" s="383"/>
      <c r="E664" s="389"/>
      <c r="F664" s="385"/>
      <c r="G664" s="391"/>
      <c r="H664" s="316"/>
      <c r="I664" s="391"/>
      <c r="J664" s="385"/>
      <c r="K664" s="391"/>
      <c r="L664" s="385"/>
      <c r="M664" s="391"/>
      <c r="N664" s="385"/>
      <c r="O664" s="190"/>
    </row>
    <row r="665" spans="3:15" ht="16" x14ac:dyDescent="0.2">
      <c r="C665" s="119">
        <v>17</v>
      </c>
      <c r="D665" s="383"/>
      <c r="E665" s="389"/>
      <c r="F665" s="384"/>
      <c r="G665" s="33"/>
      <c r="H665" s="316"/>
      <c r="I665" s="390"/>
      <c r="J665" s="385"/>
      <c r="K665" s="391"/>
      <c r="L665" s="385"/>
      <c r="M665" s="391"/>
      <c r="N665" s="385"/>
      <c r="O665" s="190"/>
    </row>
    <row r="666" spans="3:15" ht="16" x14ac:dyDescent="0.2">
      <c r="C666" s="119">
        <v>18</v>
      </c>
      <c r="D666" s="383"/>
      <c r="E666" s="389"/>
      <c r="F666" s="394"/>
      <c r="G666" s="229"/>
      <c r="H666" s="394"/>
      <c r="I666" s="391"/>
      <c r="J666" s="385"/>
      <c r="K666" s="391"/>
      <c r="L666" s="385"/>
      <c r="M666" s="391"/>
      <c r="N666" s="385"/>
      <c r="O666" s="190"/>
    </row>
    <row r="667" spans="3:15" ht="16" x14ac:dyDescent="0.2">
      <c r="C667" s="119">
        <v>19</v>
      </c>
      <c r="D667" s="383"/>
      <c r="E667" s="389"/>
      <c r="F667" s="385"/>
      <c r="G667" s="391"/>
      <c r="H667" s="385"/>
      <c r="I667" s="391"/>
      <c r="J667" s="385"/>
      <c r="K667" s="391"/>
      <c r="L667" s="403"/>
      <c r="M667" s="391"/>
      <c r="N667" s="385"/>
      <c r="O667" s="190"/>
    </row>
    <row r="668" spans="3:15" ht="16" x14ac:dyDescent="0.2">
      <c r="C668" s="119">
        <v>20</v>
      </c>
      <c r="D668" s="383"/>
      <c r="E668" s="389"/>
      <c r="F668" s="385"/>
      <c r="G668" s="391"/>
      <c r="H668" s="385"/>
      <c r="I668" s="391"/>
      <c r="J668" s="385"/>
      <c r="K668" s="391"/>
      <c r="L668" s="403"/>
      <c r="M668" s="391"/>
      <c r="N668" s="385"/>
      <c r="O668" s="190"/>
    </row>
    <row r="669" spans="3:15" ht="16" x14ac:dyDescent="0.2">
      <c r="C669" s="119">
        <v>21</v>
      </c>
      <c r="D669" s="383"/>
      <c r="E669" s="389"/>
      <c r="F669" s="385"/>
      <c r="G669" s="391"/>
      <c r="H669" s="385"/>
      <c r="I669" s="391"/>
      <c r="J669" s="385"/>
      <c r="K669" s="391"/>
      <c r="L669" s="385"/>
      <c r="M669" s="391"/>
      <c r="N669" s="385"/>
      <c r="O669" s="190"/>
    </row>
    <row r="670" spans="3:15" ht="16" x14ac:dyDescent="0.2">
      <c r="C670" s="119">
        <v>22</v>
      </c>
      <c r="D670" s="383"/>
      <c r="E670" s="389"/>
      <c r="F670" s="385"/>
      <c r="G670" s="391"/>
      <c r="H670" s="385"/>
      <c r="I670" s="391"/>
      <c r="J670" s="385"/>
      <c r="K670" s="391"/>
      <c r="L670" s="385"/>
      <c r="M670" s="391"/>
      <c r="N670" s="385"/>
      <c r="O670" s="190"/>
    </row>
    <row r="671" spans="3:15" ht="16" x14ac:dyDescent="0.2">
      <c r="C671" s="119">
        <v>23</v>
      </c>
      <c r="D671" s="383"/>
      <c r="E671" s="389"/>
      <c r="F671" s="385"/>
      <c r="G671" s="391"/>
      <c r="H671" s="385"/>
      <c r="I671" s="391"/>
      <c r="J671" s="385"/>
      <c r="K671" s="391"/>
      <c r="L671" s="385"/>
      <c r="M671" s="391"/>
      <c r="N671" s="385"/>
      <c r="O671" s="190"/>
    </row>
    <row r="672" spans="3:15" ht="16" x14ac:dyDescent="0.2">
      <c r="C672" s="119">
        <v>24</v>
      </c>
      <c r="D672" s="383"/>
      <c r="E672" s="389"/>
      <c r="F672" s="385"/>
      <c r="G672" s="391"/>
      <c r="H672" s="385"/>
      <c r="I672" s="391"/>
      <c r="J672" s="385"/>
      <c r="K672" s="391"/>
      <c r="L672" s="385"/>
      <c r="M672" s="391"/>
      <c r="N672" s="385"/>
      <c r="O672" s="190"/>
    </row>
    <row r="673" spans="2:15" ht="16" x14ac:dyDescent="0.2">
      <c r="C673" s="119">
        <v>25</v>
      </c>
      <c r="D673" s="383"/>
      <c r="E673" s="389"/>
      <c r="F673" s="385"/>
      <c r="G673" s="391"/>
      <c r="H673" s="385"/>
      <c r="I673" s="391"/>
      <c r="J673" s="385"/>
      <c r="K673" s="391"/>
      <c r="L673" s="385"/>
      <c r="M673" s="391"/>
      <c r="N673" s="385"/>
      <c r="O673" s="190"/>
    </row>
    <row r="674" spans="2:15" ht="16" x14ac:dyDescent="0.2">
      <c r="C674" s="119">
        <v>26</v>
      </c>
      <c r="D674" s="383"/>
      <c r="E674" s="389"/>
      <c r="F674" s="385"/>
      <c r="G674" s="391"/>
      <c r="H674" s="385"/>
      <c r="I674" s="391"/>
      <c r="J674" s="385"/>
      <c r="K674" s="391"/>
      <c r="L674" s="385"/>
      <c r="M674" s="391"/>
      <c r="N674" s="385"/>
      <c r="O674" s="190"/>
    </row>
    <row r="675" spans="2:15" ht="16" x14ac:dyDescent="0.2">
      <c r="C675" s="119">
        <v>27</v>
      </c>
      <c r="D675" s="383"/>
      <c r="E675" s="389"/>
      <c r="F675" s="385"/>
      <c r="G675" s="391"/>
      <c r="H675" s="385"/>
      <c r="I675" s="391"/>
      <c r="J675" s="385"/>
      <c r="K675" s="391"/>
      <c r="L675" s="385"/>
      <c r="M675" s="391"/>
      <c r="N675" s="385"/>
      <c r="O675" s="190"/>
    </row>
    <row r="676" spans="2:15" ht="16" x14ac:dyDescent="0.2">
      <c r="C676" s="119">
        <v>28</v>
      </c>
      <c r="D676" s="383"/>
      <c r="E676" s="389"/>
      <c r="F676" s="385"/>
      <c r="G676" s="391"/>
      <c r="H676" s="385"/>
      <c r="I676" s="391"/>
      <c r="J676" s="385"/>
      <c r="K676" s="391"/>
      <c r="L676" s="385"/>
      <c r="M676" s="391"/>
      <c r="N676" s="385"/>
      <c r="O676" s="190"/>
    </row>
    <row r="677" spans="2:15" ht="16" x14ac:dyDescent="0.2">
      <c r="C677" s="119">
        <v>29</v>
      </c>
      <c r="D677" s="383"/>
      <c r="E677" s="389"/>
      <c r="F677" s="385"/>
      <c r="G677" s="391"/>
      <c r="H677" s="385"/>
      <c r="I677" s="391"/>
      <c r="J677" s="385"/>
      <c r="K677" s="391"/>
      <c r="L677" s="385"/>
      <c r="M677" s="391"/>
      <c r="N677" s="385"/>
      <c r="O677" s="190"/>
    </row>
    <row r="678" spans="2:15" ht="16" x14ac:dyDescent="0.2">
      <c r="C678" s="119">
        <v>30</v>
      </c>
      <c r="D678" s="383"/>
      <c r="E678" s="389"/>
      <c r="F678" s="385"/>
      <c r="G678" s="391"/>
      <c r="H678" s="385"/>
      <c r="I678" s="391"/>
      <c r="J678" s="385"/>
      <c r="K678" s="391"/>
      <c r="L678" s="385"/>
      <c r="M678" s="391"/>
      <c r="N678" s="385"/>
      <c r="O678" s="190"/>
    </row>
    <row r="679" spans="2:15" ht="16" x14ac:dyDescent="0.2">
      <c r="C679" s="120">
        <v>31</v>
      </c>
      <c r="D679" s="383"/>
      <c r="E679" s="389"/>
      <c r="F679" s="384"/>
      <c r="G679" s="390"/>
      <c r="H679" s="384"/>
      <c r="I679" s="390"/>
      <c r="J679" s="384"/>
      <c r="K679" s="390"/>
      <c r="L679" s="384"/>
      <c r="M679" s="390"/>
      <c r="N679" s="384"/>
      <c r="O679" s="190"/>
    </row>
    <row r="680" spans="2:15" ht="16" x14ac:dyDescent="0.2">
      <c r="B680" s="256"/>
      <c r="C680" s="377">
        <v>32</v>
      </c>
      <c r="D680" s="384"/>
      <c r="E680" s="390"/>
      <c r="F680" s="384"/>
      <c r="G680" s="390"/>
      <c r="H680" s="384"/>
      <c r="I680" s="390"/>
      <c r="J680" s="384"/>
      <c r="K680" s="390"/>
      <c r="L680" s="384"/>
      <c r="M680" s="390"/>
      <c r="N680" s="384"/>
      <c r="O680" s="190"/>
    </row>
    <row r="681" spans="2:15" ht="16" x14ac:dyDescent="0.2">
      <c r="B681" s="256"/>
      <c r="C681" s="119">
        <v>33</v>
      </c>
      <c r="D681" s="385"/>
      <c r="E681" s="391"/>
      <c r="F681" s="385"/>
      <c r="G681" s="391"/>
      <c r="H681" s="385"/>
      <c r="I681" s="391"/>
      <c r="J681" s="385"/>
      <c r="K681" s="391"/>
      <c r="L681" s="385"/>
      <c r="M681" s="391"/>
      <c r="N681" s="385"/>
      <c r="O681" s="190"/>
    </row>
    <row r="682" spans="2:15" ht="16" x14ac:dyDescent="0.2">
      <c r="B682" s="256"/>
      <c r="C682" s="119">
        <v>34</v>
      </c>
      <c r="D682" s="385"/>
      <c r="E682" s="391"/>
      <c r="F682" s="385"/>
      <c r="G682" s="391"/>
      <c r="H682" s="385"/>
      <c r="I682" s="391"/>
      <c r="J682" s="385"/>
      <c r="K682" s="391"/>
      <c r="L682" s="385"/>
      <c r="M682" s="391"/>
      <c r="N682" s="385"/>
      <c r="O682" s="190"/>
    </row>
    <row r="683" spans="2:15" ht="16" x14ac:dyDescent="0.2">
      <c r="B683" s="256"/>
      <c r="C683" s="119">
        <v>35</v>
      </c>
      <c r="D683" s="385"/>
      <c r="E683" s="391"/>
      <c r="F683" s="385"/>
      <c r="G683" s="391"/>
      <c r="H683" s="385"/>
      <c r="I683" s="391"/>
      <c r="J683" s="385"/>
      <c r="K683" s="391"/>
      <c r="L683" s="385"/>
      <c r="M683" s="391"/>
      <c r="N683" s="385"/>
      <c r="O683" s="190"/>
    </row>
    <row r="684" spans="2:15" ht="16" x14ac:dyDescent="0.2">
      <c r="B684" s="256"/>
      <c r="C684" s="119">
        <v>36</v>
      </c>
      <c r="D684" s="385"/>
      <c r="E684" s="391"/>
      <c r="F684" s="385"/>
      <c r="G684" s="391"/>
      <c r="H684" s="385"/>
      <c r="I684" s="391"/>
      <c r="J684" s="385"/>
      <c r="K684" s="391"/>
      <c r="L684" s="385"/>
      <c r="M684" s="391"/>
      <c r="N684" s="385"/>
      <c r="O684" s="190"/>
    </row>
    <row r="685" spans="2:15" ht="17" thickBot="1" x14ac:dyDescent="0.25">
      <c r="B685" s="256"/>
      <c r="C685" s="378">
        <v>37</v>
      </c>
      <c r="D685" s="386"/>
      <c r="E685" s="392"/>
      <c r="F685" s="386"/>
      <c r="G685" s="392"/>
      <c r="H685" s="386"/>
      <c r="I685" s="392"/>
      <c r="J685" s="386"/>
      <c r="K685" s="392"/>
      <c r="L685" s="386"/>
      <c r="M685" s="392"/>
      <c r="N685" s="386"/>
      <c r="O685" s="190"/>
    </row>
    <row r="686" spans="2:15" ht="17" thickBot="1" x14ac:dyDescent="0.25">
      <c r="C686" s="825" t="s">
        <v>19</v>
      </c>
      <c r="D686" s="826"/>
      <c r="E686" s="380"/>
      <c r="F686" s="376">
        <f>(F649+F650+F651+F652+F653+F654+F670+F657+F658+F655+F656+F659+F660+F661+F662+F663+F664+F665+F666+F667+F668+F669+F671+F672+F674+F675+F676+F677+F678+F679+F680+F681+F682+F685)/2</f>
        <v>21</v>
      </c>
      <c r="G686" s="397">
        <f>(G649+G650+G651+G652+G653+G670+G654+G658+G657+G655+G656+G659+G660+G661+G662+G663+G664+G665+G666+G667+G668+G669+G671+G672+G674+G675+G676+G677+G678+G679+G680+G681)/2</f>
        <v>14</v>
      </c>
      <c r="H686" s="399">
        <f>(H649+H650+H651+H652+H653+H654+H670+H673+H657+H658+H655+H656+H659+H660+H661+H662+H663+H664+H665+H666+H667+H668+H669+H671+H672+H674+H675+H676+H677+H678+H679+H680+H681+H682+H685)/2</f>
        <v>0</v>
      </c>
      <c r="I686" s="398">
        <f>(I649+I650+I651+I652+I653+I683+I684+I654+I670+I657+I673+I658+I655+I656+I659+I660+I661+I662+I663+I664+I665+I666+I667+I668+I669+I671+I672+I674+I675+I676+I677+I678+I679+I680+I681+I682+I685)/2</f>
        <v>22</v>
      </c>
      <c r="J686" s="376">
        <f>(J649+J650+J651+J652+J653+J654+J658+J655+J657+J656+J673+J659+J660+J661+J662+J663+J664+J665+J666+J667+J668+J669+J670+J671+J672+J674+J675+J676+J677+J678+J679+J680+J681)/2</f>
        <v>27</v>
      </c>
      <c r="K686" s="397">
        <f>(K649+K650+K651+K652+K653+K654+K658+K655+K656+K659+K660+K661+K662+K663+K664+K665+K666+K667+K668+K669+K671+K672+K674+K675+K676+K677+K678+K679+K680+K681+K670)</f>
        <v>0</v>
      </c>
      <c r="L686" s="399">
        <f>SUM(L649:L685)</f>
        <v>0</v>
      </c>
      <c r="M686" s="398">
        <f>(M649+M650+M651+M652+M653+M654+M658+M657+M655+M656+M659+M660+M661+M662+M663+M664+M665+M666+M667+M668+M669+M671+M672+M674+M675+M676+M677+M678+M679+M680+M681)/2</f>
        <v>0</v>
      </c>
      <c r="N686" s="376"/>
      <c r="O686" s="41"/>
    </row>
    <row r="687" spans="2:15" ht="17" thickBot="1" x14ac:dyDescent="0.25">
      <c r="C687" s="825" t="s">
        <v>91</v>
      </c>
      <c r="D687" s="826"/>
      <c r="E687" s="381">
        <f>SUM(F686:J686)</f>
        <v>84</v>
      </c>
    </row>
    <row r="688" spans="2:15" ht="16" thickBot="1" x14ac:dyDescent="0.25"/>
    <row r="689" spans="2:15" ht="17" thickBot="1" x14ac:dyDescent="0.25">
      <c r="C689" s="17"/>
      <c r="D689" s="379" t="s">
        <v>83</v>
      </c>
      <c r="E689" s="818" t="s">
        <v>68</v>
      </c>
      <c r="F689" s="819"/>
      <c r="G689" s="819"/>
      <c r="H689" s="819"/>
      <c r="I689" s="819"/>
      <c r="J689" s="400" t="s">
        <v>76</v>
      </c>
      <c r="K689" s="820">
        <v>45675</v>
      </c>
      <c r="L689" s="821"/>
      <c r="M689" s="821"/>
      <c r="N689" s="821"/>
      <c r="O689" s="822"/>
    </row>
    <row r="690" spans="2:15" ht="16" thickBot="1" x14ac:dyDescent="0.25">
      <c r="B690" s="175" t="s">
        <v>76</v>
      </c>
      <c r="C690" s="175" t="s">
        <v>77</v>
      </c>
      <c r="D690" s="823" t="s">
        <v>122</v>
      </c>
      <c r="E690" s="824"/>
      <c r="F690" s="175" t="s">
        <v>104</v>
      </c>
      <c r="G690" s="395" t="s">
        <v>86</v>
      </c>
      <c r="H690" s="175" t="s">
        <v>88</v>
      </c>
      <c r="I690" s="395" t="s">
        <v>87</v>
      </c>
      <c r="J690" s="401" t="s">
        <v>85</v>
      </c>
      <c r="K690" s="395" t="s">
        <v>123</v>
      </c>
      <c r="L690" s="175" t="s">
        <v>124</v>
      </c>
      <c r="M690" s="395" t="s">
        <v>100</v>
      </c>
      <c r="N690" s="175" t="s">
        <v>213</v>
      </c>
      <c r="O690" s="404" t="s">
        <v>125</v>
      </c>
    </row>
    <row r="691" spans="2:15" ht="16" thickBot="1" x14ac:dyDescent="0.25">
      <c r="B691" s="176">
        <f>K689</f>
        <v>45675</v>
      </c>
      <c r="C691" s="374"/>
      <c r="D691" s="375" t="s">
        <v>126</v>
      </c>
      <c r="E691" s="387" t="s">
        <v>127</v>
      </c>
      <c r="F691" s="331">
        <v>8</v>
      </c>
      <c r="G691" s="237">
        <v>4</v>
      </c>
      <c r="H691" s="331">
        <v>0</v>
      </c>
      <c r="I691" s="237">
        <v>2</v>
      </c>
      <c r="J691" s="331">
        <v>0</v>
      </c>
      <c r="K691" s="231"/>
      <c r="L691" s="125"/>
      <c r="M691" s="231"/>
      <c r="N691" s="125"/>
      <c r="O691" s="326"/>
    </row>
    <row r="692" spans="2:15" ht="16" x14ac:dyDescent="0.2">
      <c r="C692" s="118">
        <v>1</v>
      </c>
      <c r="D692" s="382">
        <v>0.61458333333333337</v>
      </c>
      <c r="E692" s="388">
        <v>0.63541666666666663</v>
      </c>
      <c r="F692" s="393"/>
      <c r="G692" s="396">
        <v>28</v>
      </c>
      <c r="H692" s="393"/>
      <c r="I692" s="396"/>
      <c r="J692" s="393"/>
      <c r="K692" s="396"/>
      <c r="L692" s="393"/>
      <c r="M692" s="396"/>
      <c r="N692" s="393"/>
      <c r="O692" s="190"/>
    </row>
    <row r="693" spans="2:15" ht="16" x14ac:dyDescent="0.2">
      <c r="C693" s="119">
        <v>2</v>
      </c>
      <c r="D693" s="383">
        <v>0.64236111111111105</v>
      </c>
      <c r="E693" s="389">
        <v>0.66319444444444442</v>
      </c>
      <c r="F693" s="385"/>
      <c r="G693" s="391">
        <v>28</v>
      </c>
      <c r="H693" s="385"/>
      <c r="I693" s="391"/>
      <c r="J693" s="385"/>
      <c r="K693" s="391"/>
      <c r="L693" s="385"/>
      <c r="M693" s="391"/>
      <c r="N693" s="385"/>
      <c r="O693" s="190"/>
    </row>
    <row r="694" spans="2:15" ht="16" x14ac:dyDescent="0.2">
      <c r="C694" s="119">
        <v>3</v>
      </c>
      <c r="D694" s="383">
        <v>0.66666666666666663</v>
      </c>
      <c r="E694" s="389">
        <v>0.6875</v>
      </c>
      <c r="F694" s="385"/>
      <c r="G694" s="391"/>
      <c r="H694" s="385"/>
      <c r="I694" s="391">
        <v>44</v>
      </c>
      <c r="J694" s="385"/>
      <c r="K694" s="391"/>
      <c r="L694" s="384"/>
      <c r="M694" s="391"/>
      <c r="N694" s="385"/>
      <c r="O694" s="190"/>
    </row>
    <row r="695" spans="2:15" ht="16" x14ac:dyDescent="0.2">
      <c r="C695" s="119">
        <v>4</v>
      </c>
      <c r="D695" s="383">
        <v>0.70138888888888884</v>
      </c>
      <c r="E695" s="389">
        <v>0.72222222222222221</v>
      </c>
      <c r="F695" s="385">
        <v>28</v>
      </c>
      <c r="G695" s="391"/>
      <c r="H695" s="316"/>
      <c r="I695" s="391"/>
      <c r="J695" s="385"/>
      <c r="K695" s="391"/>
      <c r="L695" s="402"/>
      <c r="M695" s="391"/>
      <c r="N695" s="385"/>
      <c r="O695" s="190"/>
    </row>
    <row r="696" spans="2:15" ht="16" x14ac:dyDescent="0.2">
      <c r="C696" s="119">
        <v>5</v>
      </c>
      <c r="D696" s="383">
        <v>0.64236111111111105</v>
      </c>
      <c r="E696" s="389">
        <v>0.66319444444444442</v>
      </c>
      <c r="F696" s="385">
        <v>28</v>
      </c>
      <c r="G696" s="391"/>
      <c r="H696" s="316"/>
      <c r="I696" s="391"/>
      <c r="J696" s="385"/>
      <c r="K696" s="391"/>
      <c r="L696" s="393"/>
      <c r="M696" s="391"/>
      <c r="N696" s="385"/>
      <c r="O696" s="190"/>
    </row>
    <row r="697" spans="2:15" ht="16" x14ac:dyDescent="0.2">
      <c r="C697" s="119">
        <v>6</v>
      </c>
      <c r="D697" s="383">
        <v>0.74652777777777779</v>
      </c>
      <c r="E697" s="389">
        <v>0.76736111111111116</v>
      </c>
      <c r="F697" s="385">
        <v>28</v>
      </c>
      <c r="G697" s="391"/>
      <c r="H697" s="316"/>
      <c r="I697" s="391"/>
      <c r="J697" s="385"/>
      <c r="K697" s="391"/>
      <c r="L697" s="393"/>
      <c r="M697" s="391"/>
      <c r="N697" s="385"/>
      <c r="O697" s="190"/>
    </row>
    <row r="698" spans="2:15" ht="16" x14ac:dyDescent="0.2">
      <c r="C698" s="119">
        <v>7</v>
      </c>
      <c r="D698" s="383">
        <v>0.76736111111111116</v>
      </c>
      <c r="E698" s="389">
        <v>0.78819444444444453</v>
      </c>
      <c r="F698" s="385">
        <v>28</v>
      </c>
      <c r="G698" s="391"/>
      <c r="H698" s="316"/>
      <c r="I698" s="391"/>
      <c r="J698" s="385"/>
      <c r="K698" s="391"/>
      <c r="L698" s="393"/>
      <c r="M698" s="391"/>
      <c r="N698" s="385"/>
      <c r="O698" s="190"/>
    </row>
    <row r="699" spans="2:15" ht="16" x14ac:dyDescent="0.2">
      <c r="C699" s="119">
        <v>8</v>
      </c>
      <c r="D699" s="383"/>
      <c r="E699" s="389"/>
      <c r="F699" s="385"/>
      <c r="G699" s="391"/>
      <c r="H699" s="316"/>
      <c r="I699" s="391"/>
      <c r="J699" s="385"/>
      <c r="K699" s="391"/>
      <c r="L699" s="385"/>
      <c r="M699" s="391"/>
      <c r="N699" s="385"/>
      <c r="O699" s="190"/>
    </row>
    <row r="700" spans="2:15" ht="16" x14ac:dyDescent="0.2">
      <c r="C700" s="119">
        <v>9</v>
      </c>
      <c r="D700" s="383"/>
      <c r="E700" s="389"/>
      <c r="F700" s="385"/>
      <c r="G700" s="391"/>
      <c r="H700" s="316"/>
      <c r="I700" s="391"/>
      <c r="J700" s="385"/>
      <c r="K700" s="391"/>
      <c r="L700" s="385"/>
      <c r="M700" s="391"/>
      <c r="N700" s="385"/>
      <c r="O700" s="190"/>
    </row>
    <row r="701" spans="2:15" ht="16" x14ac:dyDescent="0.2">
      <c r="C701" s="119">
        <v>10</v>
      </c>
      <c r="D701" s="383"/>
      <c r="E701" s="389"/>
      <c r="F701" s="385"/>
      <c r="G701" s="391"/>
      <c r="H701" s="316"/>
      <c r="I701" s="391"/>
      <c r="J701" s="385"/>
      <c r="K701" s="391"/>
      <c r="L701" s="385"/>
      <c r="M701" s="391"/>
      <c r="N701" s="385"/>
      <c r="O701" s="190"/>
    </row>
    <row r="702" spans="2:15" ht="16" x14ac:dyDescent="0.2">
      <c r="C702" s="119">
        <v>11</v>
      </c>
      <c r="D702" s="383"/>
      <c r="E702" s="389"/>
      <c r="F702" s="385"/>
      <c r="G702" s="391"/>
      <c r="H702" s="316"/>
      <c r="I702" s="391"/>
      <c r="J702" s="28"/>
      <c r="K702" s="391"/>
      <c r="L702" s="385"/>
      <c r="M702" s="391"/>
      <c r="N702" s="385"/>
      <c r="O702" s="190"/>
    </row>
    <row r="703" spans="2:15" ht="16" x14ac:dyDescent="0.2">
      <c r="C703" s="193">
        <v>12</v>
      </c>
      <c r="D703" s="383"/>
      <c r="E703" s="389"/>
      <c r="F703" s="385"/>
      <c r="G703" s="391"/>
      <c r="H703" s="316"/>
      <c r="I703" s="391"/>
      <c r="J703" s="385"/>
      <c r="K703" s="391"/>
      <c r="L703" s="385"/>
      <c r="M703" s="391"/>
      <c r="N703" s="385"/>
      <c r="O703" s="190"/>
    </row>
    <row r="704" spans="2:15" ht="16" x14ac:dyDescent="0.2">
      <c r="C704" s="119">
        <v>13</v>
      </c>
      <c r="D704" s="383"/>
      <c r="E704" s="389"/>
      <c r="F704" s="385"/>
      <c r="G704" s="391"/>
      <c r="H704" s="316"/>
      <c r="I704" s="391"/>
      <c r="J704" s="385"/>
      <c r="K704" s="391"/>
      <c r="L704" s="385"/>
      <c r="M704" s="391"/>
      <c r="N704" s="385"/>
      <c r="O704" s="190"/>
    </row>
    <row r="705" spans="3:15" ht="16" x14ac:dyDescent="0.2">
      <c r="C705" s="119">
        <v>14</v>
      </c>
      <c r="D705" s="383"/>
      <c r="E705" s="389"/>
      <c r="F705" s="385"/>
      <c r="G705" s="391"/>
      <c r="H705" s="316"/>
      <c r="I705" s="391"/>
      <c r="J705" s="385"/>
      <c r="K705" s="391"/>
      <c r="L705" s="385"/>
      <c r="M705" s="391"/>
      <c r="N705" s="385"/>
      <c r="O705" s="190"/>
    </row>
    <row r="706" spans="3:15" ht="16" x14ac:dyDescent="0.2">
      <c r="C706" s="119">
        <v>15</v>
      </c>
      <c r="D706" s="383"/>
      <c r="E706" s="389"/>
      <c r="F706" s="385"/>
      <c r="G706" s="391"/>
      <c r="H706" s="316"/>
      <c r="I706" s="391"/>
      <c r="J706" s="385"/>
      <c r="K706" s="391"/>
      <c r="L706" s="385"/>
      <c r="M706" s="391"/>
      <c r="N706" s="385"/>
      <c r="O706" s="190"/>
    </row>
    <row r="707" spans="3:15" ht="16" x14ac:dyDescent="0.2">
      <c r="C707" s="119">
        <v>16</v>
      </c>
      <c r="D707" s="383"/>
      <c r="E707" s="389"/>
      <c r="F707" s="385"/>
      <c r="G707" s="391"/>
      <c r="H707" s="316"/>
      <c r="I707" s="391"/>
      <c r="J707" s="385"/>
      <c r="K707" s="391"/>
      <c r="L707" s="385"/>
      <c r="M707" s="391"/>
      <c r="N707" s="385"/>
      <c r="O707" s="190"/>
    </row>
    <row r="708" spans="3:15" ht="16" x14ac:dyDescent="0.2">
      <c r="C708" s="119">
        <v>17</v>
      </c>
      <c r="D708" s="383"/>
      <c r="E708" s="389"/>
      <c r="F708" s="384"/>
      <c r="G708" s="33"/>
      <c r="H708" s="316"/>
      <c r="I708" s="390"/>
      <c r="J708" s="385"/>
      <c r="K708" s="391"/>
      <c r="L708" s="385"/>
      <c r="M708" s="391"/>
      <c r="N708" s="385"/>
      <c r="O708" s="190"/>
    </row>
    <row r="709" spans="3:15" ht="16" x14ac:dyDescent="0.2">
      <c r="C709" s="119">
        <v>18</v>
      </c>
      <c r="D709" s="383"/>
      <c r="E709" s="389"/>
      <c r="F709" s="394"/>
      <c r="G709" s="229"/>
      <c r="H709" s="394"/>
      <c r="I709" s="391"/>
      <c r="J709" s="385"/>
      <c r="K709" s="391"/>
      <c r="L709" s="385"/>
      <c r="M709" s="391"/>
      <c r="N709" s="385"/>
      <c r="O709" s="190"/>
    </row>
    <row r="710" spans="3:15" ht="16" x14ac:dyDescent="0.2">
      <c r="C710" s="119">
        <v>19</v>
      </c>
      <c r="D710" s="383"/>
      <c r="E710" s="389"/>
      <c r="F710" s="385"/>
      <c r="G710" s="391"/>
      <c r="H710" s="385"/>
      <c r="I710" s="391"/>
      <c r="J710" s="385"/>
      <c r="K710" s="391"/>
      <c r="L710" s="403"/>
      <c r="M710" s="391"/>
      <c r="N710" s="385"/>
      <c r="O710" s="190"/>
    </row>
    <row r="711" spans="3:15" ht="16" x14ac:dyDescent="0.2">
      <c r="C711" s="119">
        <v>20</v>
      </c>
      <c r="D711" s="383"/>
      <c r="E711" s="389"/>
      <c r="F711" s="385"/>
      <c r="G711" s="391"/>
      <c r="H711" s="385"/>
      <c r="I711" s="391"/>
      <c r="J711" s="385"/>
      <c r="K711" s="391"/>
      <c r="L711" s="403"/>
      <c r="M711" s="391"/>
      <c r="N711" s="385"/>
      <c r="O711" s="190"/>
    </row>
    <row r="712" spans="3:15" ht="16" x14ac:dyDescent="0.2">
      <c r="C712" s="119">
        <v>21</v>
      </c>
      <c r="D712" s="383"/>
      <c r="E712" s="389"/>
      <c r="F712" s="385"/>
      <c r="G712" s="391"/>
      <c r="H712" s="385"/>
      <c r="I712" s="391"/>
      <c r="J712" s="385"/>
      <c r="K712" s="391"/>
      <c r="L712" s="385"/>
      <c r="M712" s="391"/>
      <c r="N712" s="385"/>
      <c r="O712" s="190"/>
    </row>
    <row r="713" spans="3:15" ht="16" x14ac:dyDescent="0.2">
      <c r="C713" s="119">
        <v>22</v>
      </c>
      <c r="D713" s="383"/>
      <c r="E713" s="389"/>
      <c r="F713" s="385"/>
      <c r="G713" s="391"/>
      <c r="H713" s="385"/>
      <c r="I713" s="391"/>
      <c r="J713" s="385"/>
      <c r="K713" s="391"/>
      <c r="L713" s="385"/>
      <c r="M713" s="391"/>
      <c r="N713" s="385"/>
      <c r="O713" s="190"/>
    </row>
    <row r="714" spans="3:15" ht="16" x14ac:dyDescent="0.2">
      <c r="C714" s="119">
        <v>23</v>
      </c>
      <c r="D714" s="383"/>
      <c r="E714" s="389"/>
      <c r="F714" s="385"/>
      <c r="G714" s="391"/>
      <c r="H714" s="385"/>
      <c r="I714" s="391"/>
      <c r="J714" s="385"/>
      <c r="K714" s="391"/>
      <c r="L714" s="385"/>
      <c r="M714" s="391"/>
      <c r="N714" s="385"/>
      <c r="O714" s="190"/>
    </row>
    <row r="715" spans="3:15" ht="16" x14ac:dyDescent="0.2">
      <c r="C715" s="119">
        <v>24</v>
      </c>
      <c r="D715" s="383"/>
      <c r="E715" s="389"/>
      <c r="F715" s="385"/>
      <c r="G715" s="391"/>
      <c r="H715" s="385"/>
      <c r="I715" s="391"/>
      <c r="J715" s="385"/>
      <c r="K715" s="391"/>
      <c r="L715" s="385"/>
      <c r="M715" s="391"/>
      <c r="N715" s="385"/>
      <c r="O715" s="190"/>
    </row>
    <row r="716" spans="3:15" ht="16" x14ac:dyDescent="0.2">
      <c r="C716" s="119">
        <v>25</v>
      </c>
      <c r="D716" s="383"/>
      <c r="E716" s="389"/>
      <c r="F716" s="385"/>
      <c r="G716" s="391"/>
      <c r="H716" s="385"/>
      <c r="I716" s="391"/>
      <c r="J716" s="385"/>
      <c r="K716" s="391"/>
      <c r="L716" s="385"/>
      <c r="M716" s="391"/>
      <c r="N716" s="385"/>
      <c r="O716" s="190"/>
    </row>
    <row r="717" spans="3:15" ht="16" x14ac:dyDescent="0.2">
      <c r="C717" s="119">
        <v>26</v>
      </c>
      <c r="D717" s="383"/>
      <c r="E717" s="389"/>
      <c r="F717" s="385"/>
      <c r="G717" s="391"/>
      <c r="H717" s="385"/>
      <c r="I717" s="391"/>
      <c r="J717" s="385"/>
      <c r="K717" s="391"/>
      <c r="L717" s="385"/>
      <c r="M717" s="391"/>
      <c r="N717" s="385"/>
      <c r="O717" s="190"/>
    </row>
    <row r="718" spans="3:15" ht="16" x14ac:dyDescent="0.2">
      <c r="C718" s="119">
        <v>27</v>
      </c>
      <c r="D718" s="383"/>
      <c r="E718" s="389"/>
      <c r="F718" s="385"/>
      <c r="G718" s="391"/>
      <c r="H718" s="385"/>
      <c r="I718" s="391"/>
      <c r="J718" s="385"/>
      <c r="K718" s="391"/>
      <c r="L718" s="385"/>
      <c r="M718" s="391"/>
      <c r="N718" s="385"/>
      <c r="O718" s="190"/>
    </row>
    <row r="719" spans="3:15" ht="16" x14ac:dyDescent="0.2">
      <c r="C719" s="119">
        <v>28</v>
      </c>
      <c r="D719" s="383"/>
      <c r="E719" s="389"/>
      <c r="F719" s="385"/>
      <c r="G719" s="391"/>
      <c r="H719" s="385"/>
      <c r="I719" s="391"/>
      <c r="J719" s="385"/>
      <c r="K719" s="391"/>
      <c r="L719" s="385"/>
      <c r="M719" s="391"/>
      <c r="N719" s="385"/>
      <c r="O719" s="190"/>
    </row>
    <row r="720" spans="3:15" ht="16" x14ac:dyDescent="0.2">
      <c r="C720" s="119">
        <v>29</v>
      </c>
      <c r="D720" s="383"/>
      <c r="E720" s="389"/>
      <c r="F720" s="385"/>
      <c r="G720" s="391"/>
      <c r="H720" s="385"/>
      <c r="I720" s="391"/>
      <c r="J720" s="385"/>
      <c r="K720" s="391"/>
      <c r="L720" s="385"/>
      <c r="M720" s="391"/>
      <c r="N720" s="385"/>
      <c r="O720" s="190"/>
    </row>
    <row r="721" spans="2:15" ht="16" x14ac:dyDescent="0.2">
      <c r="C721" s="119">
        <v>30</v>
      </c>
      <c r="D721" s="383"/>
      <c r="E721" s="389"/>
      <c r="F721" s="385"/>
      <c r="G721" s="391"/>
      <c r="H721" s="385"/>
      <c r="I721" s="391"/>
      <c r="J721" s="385"/>
      <c r="K721" s="391"/>
      <c r="L721" s="385"/>
      <c r="M721" s="391"/>
      <c r="N721" s="385"/>
      <c r="O721" s="190"/>
    </row>
    <row r="722" spans="2:15" ht="16" x14ac:dyDescent="0.2">
      <c r="C722" s="120">
        <v>31</v>
      </c>
      <c r="D722" s="383"/>
      <c r="E722" s="389"/>
      <c r="F722" s="384"/>
      <c r="G722" s="390"/>
      <c r="H722" s="384"/>
      <c r="I722" s="390"/>
      <c r="J722" s="384"/>
      <c r="K722" s="390"/>
      <c r="L722" s="384"/>
      <c r="M722" s="390"/>
      <c r="N722" s="384"/>
      <c r="O722" s="190"/>
    </row>
    <row r="723" spans="2:15" ht="16" x14ac:dyDescent="0.2">
      <c r="B723" s="256"/>
      <c r="C723" s="377">
        <v>32</v>
      </c>
      <c r="D723" s="384"/>
      <c r="E723" s="390"/>
      <c r="F723" s="384"/>
      <c r="G723" s="390"/>
      <c r="H723" s="384"/>
      <c r="I723" s="390"/>
      <c r="J723" s="384"/>
      <c r="K723" s="390"/>
      <c r="L723" s="384"/>
      <c r="M723" s="390"/>
      <c r="N723" s="384"/>
      <c r="O723" s="190"/>
    </row>
    <row r="724" spans="2:15" ht="16" x14ac:dyDescent="0.2">
      <c r="B724" s="256"/>
      <c r="C724" s="119">
        <v>33</v>
      </c>
      <c r="D724" s="385"/>
      <c r="E724" s="391"/>
      <c r="F724" s="385"/>
      <c r="G724" s="391"/>
      <c r="H724" s="385"/>
      <c r="I724" s="391"/>
      <c r="J724" s="385"/>
      <c r="K724" s="391"/>
      <c r="L724" s="385"/>
      <c r="M724" s="391"/>
      <c r="N724" s="385"/>
      <c r="O724" s="190"/>
    </row>
    <row r="725" spans="2:15" ht="16" x14ac:dyDescent="0.2">
      <c r="B725" s="256"/>
      <c r="C725" s="119">
        <v>34</v>
      </c>
      <c r="D725" s="385"/>
      <c r="E725" s="391"/>
      <c r="F725" s="385"/>
      <c r="G725" s="391"/>
      <c r="H725" s="385"/>
      <c r="I725" s="391"/>
      <c r="J725" s="385"/>
      <c r="K725" s="391"/>
      <c r="L725" s="385"/>
      <c r="M725" s="391"/>
      <c r="N725" s="385"/>
      <c r="O725" s="190"/>
    </row>
    <row r="726" spans="2:15" ht="16" x14ac:dyDescent="0.2">
      <c r="B726" s="256"/>
      <c r="C726" s="119">
        <v>35</v>
      </c>
      <c r="D726" s="385"/>
      <c r="E726" s="391"/>
      <c r="F726" s="385"/>
      <c r="G726" s="391"/>
      <c r="H726" s="385"/>
      <c r="I726" s="391"/>
      <c r="J726" s="385"/>
      <c r="K726" s="391"/>
      <c r="L726" s="385"/>
      <c r="M726" s="391"/>
      <c r="N726" s="385"/>
      <c r="O726" s="190"/>
    </row>
    <row r="727" spans="2:15" ht="16" x14ac:dyDescent="0.2">
      <c r="B727" s="256"/>
      <c r="C727" s="119">
        <v>36</v>
      </c>
      <c r="D727" s="385"/>
      <c r="E727" s="391"/>
      <c r="F727" s="385"/>
      <c r="G727" s="391"/>
      <c r="H727" s="385"/>
      <c r="I727" s="391"/>
      <c r="J727" s="385"/>
      <c r="K727" s="391"/>
      <c r="L727" s="385"/>
      <c r="M727" s="391"/>
      <c r="N727" s="385"/>
      <c r="O727" s="190"/>
    </row>
    <row r="728" spans="2:15" ht="17" thickBot="1" x14ac:dyDescent="0.25">
      <c r="B728" s="256"/>
      <c r="C728" s="378">
        <v>37</v>
      </c>
      <c r="D728" s="386"/>
      <c r="E728" s="392"/>
      <c r="F728" s="386"/>
      <c r="G728" s="392"/>
      <c r="H728" s="386"/>
      <c r="I728" s="392"/>
      <c r="J728" s="386"/>
      <c r="K728" s="392"/>
      <c r="L728" s="386"/>
      <c r="M728" s="392"/>
      <c r="N728" s="386"/>
      <c r="O728" s="190"/>
    </row>
    <row r="729" spans="2:15" ht="17" thickBot="1" x14ac:dyDescent="0.25">
      <c r="C729" s="825" t="s">
        <v>19</v>
      </c>
      <c r="D729" s="826"/>
      <c r="E729" s="380"/>
      <c r="F729" s="376">
        <f>(F692+F693+F694+F695+F696+F697+F713+F700+F701+F698+F699+F702+F703+F704+F705+F706+F707+F708+F709+F710+F711+F712+F714+F715+F717+F718+F719+F720+F721+F722+F723+F724+F725+F728)/2</f>
        <v>56</v>
      </c>
      <c r="G729" s="397">
        <f>(G692+G693+G694+G695+G696+G713+G697+G701+G700+G698+G699+G702+G703+G704+G705+G706+G707+G708+G709+G710+G711+G712+G714+G715+G717+G718+G719+G720+G721+G722+G723+G724)/2</f>
        <v>28</v>
      </c>
      <c r="H729" s="399">
        <f>(H692+H693+H694+H695+H696+H697+H713+H716+H700+H701+H698+H699+H702+H703+H704+H705+H706+H707+H708+H709+H710+H711+H712+H714+H715+H717+H718+H719+H720+H721+H722+H723+H724+H725+H728)/2</f>
        <v>0</v>
      </c>
      <c r="I729" s="398">
        <f>(I692+I693+I694+I695+I696+I726+I727+I697+I713+I700+I716+I701+I698+I699+I702+I703+I704+I705+I706+I707+I708+I709+I710+I711+I712+I714+I715+I717+I718+I719+I720+I721+I722+I723+I724+I725+I728)/2</f>
        <v>22</v>
      </c>
      <c r="J729" s="376">
        <f>(J692+J693+J694+J695+J696+J697+J701+J698+J700+J699+J716+J702+J703+J704+J705+J706+J707+J708+J709+J710+J711+J712+J713+J714+J715+J717+J718+J719+J720+J721+J722+J723+J724)/2</f>
        <v>0</v>
      </c>
      <c r="K729" s="397">
        <f>(K692+K693+K694+K695+K696+K697+K701+K698+K699+K702+K703+K704+K705+K706+K707+K708+K709+K710+K711+K712+K714+K715+K717+K718+K719+K720+K721+K722+K723+K724+K713)</f>
        <v>0</v>
      </c>
      <c r="L729" s="399">
        <f>SUM(L692:L728)</f>
        <v>0</v>
      </c>
      <c r="M729" s="398">
        <f>(M692+M693+M694+M695+M696+M697+M701+M700+M698+M699+M702+M703+M704+M705+M706+M707+M708+M709+M710+M711+M712+M714+M715+M717+M718+M719+M720+M721+M722+M723+M724)/2</f>
        <v>0</v>
      </c>
      <c r="N729" s="376"/>
      <c r="O729" s="41"/>
    </row>
    <row r="730" spans="2:15" ht="17" thickBot="1" x14ac:dyDescent="0.25">
      <c r="C730" s="825" t="s">
        <v>91</v>
      </c>
      <c r="D730" s="826"/>
      <c r="E730" s="381">
        <f>SUM(F729:J729)</f>
        <v>106</v>
      </c>
    </row>
    <row r="731" spans="2:15" ht="16" thickBot="1" x14ac:dyDescent="0.25"/>
    <row r="732" spans="2:15" ht="17" thickBot="1" x14ac:dyDescent="0.25">
      <c r="C732" s="17"/>
      <c r="D732" s="379" t="s">
        <v>83</v>
      </c>
      <c r="E732" s="818" t="s">
        <v>69</v>
      </c>
      <c r="F732" s="819"/>
      <c r="G732" s="819"/>
      <c r="H732" s="819"/>
      <c r="I732" s="819"/>
      <c r="J732" s="400" t="s">
        <v>76</v>
      </c>
      <c r="K732" s="820">
        <v>45676</v>
      </c>
      <c r="L732" s="821"/>
      <c r="M732" s="821"/>
      <c r="N732" s="821"/>
      <c r="O732" s="822"/>
    </row>
    <row r="733" spans="2:15" ht="16" thickBot="1" x14ac:dyDescent="0.25">
      <c r="B733" s="175" t="s">
        <v>76</v>
      </c>
      <c r="C733" s="175" t="s">
        <v>77</v>
      </c>
      <c r="D733" s="823" t="s">
        <v>122</v>
      </c>
      <c r="E733" s="824"/>
      <c r="F733" s="175" t="s">
        <v>104</v>
      </c>
      <c r="G733" s="395" t="s">
        <v>86</v>
      </c>
      <c r="H733" s="175" t="s">
        <v>88</v>
      </c>
      <c r="I733" s="395" t="s">
        <v>87</v>
      </c>
      <c r="J733" s="401" t="s">
        <v>85</v>
      </c>
      <c r="K733" s="395" t="s">
        <v>123</v>
      </c>
      <c r="L733" s="175" t="s">
        <v>124</v>
      </c>
      <c r="M733" s="395" t="s">
        <v>100</v>
      </c>
      <c r="N733" s="175" t="s">
        <v>213</v>
      </c>
      <c r="O733" s="404" t="s">
        <v>125</v>
      </c>
    </row>
    <row r="734" spans="2:15" ht="16" thickBot="1" x14ac:dyDescent="0.25">
      <c r="B734" s="176">
        <f>K732</f>
        <v>45676</v>
      </c>
      <c r="C734" s="374"/>
      <c r="D734" s="375" t="s">
        <v>126</v>
      </c>
      <c r="E734" s="387" t="s">
        <v>127</v>
      </c>
      <c r="F734" s="331">
        <v>9</v>
      </c>
      <c r="G734" s="237">
        <v>6</v>
      </c>
      <c r="H734" s="331">
        <v>3</v>
      </c>
      <c r="I734" s="237">
        <v>4</v>
      </c>
      <c r="J734" s="331">
        <v>7</v>
      </c>
      <c r="K734" s="231"/>
      <c r="L734" s="125"/>
      <c r="M734" s="231"/>
      <c r="N734" s="125"/>
      <c r="O734" s="326"/>
    </row>
    <row r="735" spans="2:15" ht="16" x14ac:dyDescent="0.2">
      <c r="C735" s="118">
        <v>1</v>
      </c>
      <c r="D735" s="382">
        <v>0.29166666666666669</v>
      </c>
      <c r="E735" s="388">
        <v>0.3125</v>
      </c>
      <c r="F735" s="393"/>
      <c r="G735" s="396">
        <v>28</v>
      </c>
      <c r="H735" s="393"/>
      <c r="I735" s="396"/>
      <c r="J735" s="393"/>
      <c r="K735" s="396"/>
      <c r="L735" s="393"/>
      <c r="M735" s="396"/>
      <c r="N735" s="393"/>
      <c r="O735" s="190"/>
    </row>
    <row r="736" spans="2:15" ht="16" x14ac:dyDescent="0.2">
      <c r="C736" s="119">
        <v>2</v>
      </c>
      <c r="D736" s="383">
        <v>0.3125</v>
      </c>
      <c r="E736" s="389">
        <v>0.33333333333333331</v>
      </c>
      <c r="F736" s="385"/>
      <c r="G736" s="391">
        <v>28</v>
      </c>
      <c r="H736" s="385"/>
      <c r="I736" s="391"/>
      <c r="J736" s="385"/>
      <c r="K736" s="391"/>
      <c r="L736" s="385"/>
      <c r="M736" s="391"/>
      <c r="N736" s="385"/>
      <c r="O736" s="190"/>
    </row>
    <row r="737" spans="3:15" ht="16" x14ac:dyDescent="0.2">
      <c r="C737" s="119">
        <v>3</v>
      </c>
      <c r="D737" s="383">
        <v>0.34375</v>
      </c>
      <c r="E737" s="389">
        <v>0.36458333333333331</v>
      </c>
      <c r="F737" s="385"/>
      <c r="G737" s="391">
        <v>28</v>
      </c>
      <c r="H737" s="385"/>
      <c r="I737" s="391"/>
      <c r="J737" s="385"/>
      <c r="K737" s="391"/>
      <c r="L737" s="384"/>
      <c r="M737" s="391"/>
      <c r="N737" s="385"/>
      <c r="O737" s="190"/>
    </row>
    <row r="738" spans="3:15" ht="16" x14ac:dyDescent="0.2">
      <c r="C738" s="119">
        <v>4</v>
      </c>
      <c r="D738" s="383">
        <v>0.37152777777777773</v>
      </c>
      <c r="E738" s="389">
        <v>0.3923611111111111</v>
      </c>
      <c r="F738" s="385"/>
      <c r="G738" s="391"/>
      <c r="H738" s="316">
        <v>28</v>
      </c>
      <c r="I738" s="391"/>
      <c r="J738" s="385"/>
      <c r="K738" s="391"/>
      <c r="L738" s="402"/>
      <c r="M738" s="391"/>
      <c r="N738" s="385"/>
      <c r="O738" s="190"/>
    </row>
    <row r="739" spans="3:15" ht="16" x14ac:dyDescent="0.2">
      <c r="C739" s="119">
        <v>5</v>
      </c>
      <c r="D739" s="383">
        <v>0.38194444444444442</v>
      </c>
      <c r="E739" s="389">
        <v>0.40277777777777773</v>
      </c>
      <c r="F739" s="385">
        <v>14</v>
      </c>
      <c r="G739" s="391"/>
      <c r="H739" s="316"/>
      <c r="I739" s="391"/>
      <c r="J739" s="385"/>
      <c r="K739" s="391"/>
      <c r="L739" s="393"/>
      <c r="M739" s="391"/>
      <c r="N739" s="385"/>
      <c r="O739" s="190"/>
    </row>
    <row r="740" spans="3:15" ht="16" x14ac:dyDescent="0.2">
      <c r="C740" s="119">
        <v>6</v>
      </c>
      <c r="D740" s="383">
        <v>0.3923611111111111</v>
      </c>
      <c r="E740" s="389">
        <v>0.41319444444444442</v>
      </c>
      <c r="F740" s="385"/>
      <c r="G740" s="391"/>
      <c r="H740" s="316">
        <v>14</v>
      </c>
      <c r="I740" s="391"/>
      <c r="J740" s="385"/>
      <c r="K740" s="391"/>
      <c r="L740" s="393"/>
      <c r="M740" s="391"/>
      <c r="N740" s="385"/>
      <c r="O740" s="190"/>
    </row>
    <row r="741" spans="3:15" ht="16" x14ac:dyDescent="0.2">
      <c r="C741" s="119">
        <v>7</v>
      </c>
      <c r="D741" s="383">
        <v>0.4201388888888889</v>
      </c>
      <c r="E741" s="389">
        <v>0.44097222222222227</v>
      </c>
      <c r="F741" s="385">
        <v>28</v>
      </c>
      <c r="G741" s="391"/>
      <c r="H741" s="316"/>
      <c r="I741" s="391"/>
      <c r="J741" s="385"/>
      <c r="K741" s="391"/>
      <c r="L741" s="393"/>
      <c r="M741" s="391"/>
      <c r="N741" s="385"/>
      <c r="O741" s="190"/>
    </row>
    <row r="742" spans="3:15" ht="16" x14ac:dyDescent="0.2">
      <c r="C742" s="119">
        <v>8</v>
      </c>
      <c r="D742" s="383">
        <v>0.4375</v>
      </c>
      <c r="E742" s="389">
        <v>0.45833333333333331</v>
      </c>
      <c r="F742" s="385"/>
      <c r="G742" s="391"/>
      <c r="H742" s="316"/>
      <c r="I742" s="391">
        <v>44</v>
      </c>
      <c r="J742" s="385"/>
      <c r="K742" s="391"/>
      <c r="L742" s="385"/>
      <c r="M742" s="391"/>
      <c r="N742" s="385"/>
      <c r="O742" s="190"/>
    </row>
    <row r="743" spans="3:15" ht="16" x14ac:dyDescent="0.2">
      <c r="C743" s="119">
        <v>9</v>
      </c>
      <c r="D743" s="383">
        <v>0.46875</v>
      </c>
      <c r="E743" s="389">
        <v>0.48958333333333331</v>
      </c>
      <c r="F743" s="385">
        <v>28</v>
      </c>
      <c r="G743" s="391"/>
      <c r="H743" s="316"/>
      <c r="I743" s="391"/>
      <c r="J743" s="385"/>
      <c r="K743" s="391"/>
      <c r="L743" s="385"/>
      <c r="M743" s="391"/>
      <c r="N743" s="385"/>
      <c r="O743" s="190"/>
    </row>
    <row r="744" spans="3:15" ht="16" x14ac:dyDescent="0.2">
      <c r="C744" s="119">
        <v>10</v>
      </c>
      <c r="D744" s="383">
        <v>0.5</v>
      </c>
      <c r="E744" s="389">
        <v>0.52083333333333337</v>
      </c>
      <c r="F744" s="385"/>
      <c r="G744" s="391"/>
      <c r="H744" s="316"/>
      <c r="I744" s="391">
        <v>44</v>
      </c>
      <c r="J744" s="385"/>
      <c r="K744" s="391"/>
      <c r="L744" s="385"/>
      <c r="M744" s="391"/>
      <c r="N744" s="385"/>
      <c r="O744" s="190"/>
    </row>
    <row r="745" spans="3:15" ht="16" x14ac:dyDescent="0.2">
      <c r="C745" s="119">
        <v>11</v>
      </c>
      <c r="D745" s="383">
        <v>0.53472222222222221</v>
      </c>
      <c r="E745" s="389">
        <v>0.55555555555555558</v>
      </c>
      <c r="F745" s="385">
        <v>28</v>
      </c>
      <c r="G745" s="391"/>
      <c r="H745" s="316"/>
      <c r="I745" s="391"/>
      <c r="J745" s="28"/>
      <c r="K745" s="391"/>
      <c r="L745" s="385"/>
      <c r="M745" s="391"/>
      <c r="N745" s="385"/>
      <c r="O745" s="190"/>
    </row>
    <row r="746" spans="3:15" ht="16" x14ac:dyDescent="0.2">
      <c r="C746" s="193">
        <v>12</v>
      </c>
      <c r="D746" s="383">
        <v>0.55902777777777779</v>
      </c>
      <c r="E746" s="389">
        <v>0.57986111111111105</v>
      </c>
      <c r="F746" s="385"/>
      <c r="G746" s="391"/>
      <c r="H746" s="316"/>
      <c r="I746" s="391"/>
      <c r="J746" s="385">
        <v>36</v>
      </c>
      <c r="K746" s="391"/>
      <c r="L746" s="385"/>
      <c r="M746" s="391"/>
      <c r="N746" s="385"/>
      <c r="O746" s="190"/>
    </row>
    <row r="747" spans="3:15" ht="16" x14ac:dyDescent="0.2">
      <c r="C747" s="119">
        <v>13</v>
      </c>
      <c r="D747" s="383">
        <v>0.59375</v>
      </c>
      <c r="E747" s="389">
        <v>0.61111111111111105</v>
      </c>
      <c r="F747" s="385">
        <v>28</v>
      </c>
      <c r="G747" s="391"/>
      <c r="H747" s="316"/>
      <c r="I747" s="391"/>
      <c r="J747" s="385"/>
      <c r="K747" s="391"/>
      <c r="L747" s="385"/>
      <c r="M747" s="391"/>
      <c r="N747" s="385"/>
      <c r="O747" s="190"/>
    </row>
    <row r="748" spans="3:15" ht="16" x14ac:dyDescent="0.2">
      <c r="C748" s="119">
        <v>14</v>
      </c>
      <c r="D748" s="383">
        <v>0.61805555555555558</v>
      </c>
      <c r="E748" s="389">
        <v>0.63888888888888895</v>
      </c>
      <c r="F748" s="385"/>
      <c r="G748" s="391"/>
      <c r="H748" s="316"/>
      <c r="I748" s="391"/>
      <c r="J748" s="385">
        <v>36</v>
      </c>
      <c r="K748" s="391"/>
      <c r="L748" s="385"/>
      <c r="M748" s="391"/>
      <c r="N748" s="385"/>
      <c r="O748" s="190"/>
    </row>
    <row r="749" spans="3:15" ht="16" x14ac:dyDescent="0.2">
      <c r="C749" s="119">
        <v>15</v>
      </c>
      <c r="D749" s="383">
        <v>0.64583333333333337</v>
      </c>
      <c r="E749" s="389">
        <v>0.66666666666666663</v>
      </c>
      <c r="F749" s="385"/>
      <c r="G749" s="391"/>
      <c r="H749" s="316"/>
      <c r="I749" s="391"/>
      <c r="J749" s="385">
        <v>36</v>
      </c>
      <c r="K749" s="391"/>
      <c r="L749" s="385"/>
      <c r="M749" s="391"/>
      <c r="N749" s="385"/>
      <c r="O749" s="190"/>
    </row>
    <row r="750" spans="3:15" ht="16" x14ac:dyDescent="0.2">
      <c r="C750" s="119">
        <v>16</v>
      </c>
      <c r="D750" s="383">
        <v>0.68055555555555547</v>
      </c>
      <c r="E750" s="389">
        <v>0.70138888888888884</v>
      </c>
      <c r="F750" s="385"/>
      <c r="G750" s="391"/>
      <c r="H750" s="316"/>
      <c r="I750" s="391"/>
      <c r="J750" s="385">
        <v>18</v>
      </c>
      <c r="K750" s="391"/>
      <c r="L750" s="385"/>
      <c r="M750" s="391"/>
      <c r="N750" s="385"/>
      <c r="O750" s="190"/>
    </row>
    <row r="751" spans="3:15" ht="16" x14ac:dyDescent="0.2">
      <c r="C751" s="119">
        <v>17</v>
      </c>
      <c r="D751" s="383"/>
      <c r="E751" s="389"/>
      <c r="F751" s="384"/>
      <c r="G751" s="33"/>
      <c r="H751" s="316"/>
      <c r="I751" s="390"/>
      <c r="J751" s="385"/>
      <c r="K751" s="391"/>
      <c r="L751" s="385"/>
      <c r="M751" s="391"/>
      <c r="N751" s="385"/>
      <c r="O751" s="190"/>
    </row>
    <row r="752" spans="3:15" ht="16" x14ac:dyDescent="0.2">
      <c r="C752" s="119">
        <v>18</v>
      </c>
      <c r="D752" s="383"/>
      <c r="E752" s="389"/>
      <c r="F752" s="394"/>
      <c r="G752" s="229"/>
      <c r="H752" s="394"/>
      <c r="I752" s="391"/>
      <c r="J752" s="385"/>
      <c r="K752" s="391"/>
      <c r="L752" s="385"/>
      <c r="M752" s="391"/>
      <c r="N752" s="385"/>
      <c r="O752" s="190"/>
    </row>
    <row r="753" spans="2:15" ht="16" x14ac:dyDescent="0.2">
      <c r="C753" s="119">
        <v>19</v>
      </c>
      <c r="D753" s="383"/>
      <c r="E753" s="389"/>
      <c r="F753" s="385"/>
      <c r="G753" s="391"/>
      <c r="H753" s="385"/>
      <c r="I753" s="391"/>
      <c r="J753" s="385"/>
      <c r="K753" s="391"/>
      <c r="L753" s="403"/>
      <c r="M753" s="391"/>
      <c r="N753" s="385"/>
      <c r="O753" s="190"/>
    </row>
    <row r="754" spans="2:15" ht="16" x14ac:dyDescent="0.2">
      <c r="C754" s="119">
        <v>20</v>
      </c>
      <c r="D754" s="383"/>
      <c r="E754" s="389"/>
      <c r="F754" s="385"/>
      <c r="G754" s="391"/>
      <c r="H754" s="385"/>
      <c r="I754" s="391"/>
      <c r="J754" s="385"/>
      <c r="K754" s="391"/>
      <c r="L754" s="403"/>
      <c r="M754" s="391"/>
      <c r="N754" s="385"/>
      <c r="O754" s="190"/>
    </row>
    <row r="755" spans="2:15" ht="16" x14ac:dyDescent="0.2">
      <c r="C755" s="119">
        <v>21</v>
      </c>
      <c r="D755" s="383"/>
      <c r="E755" s="389"/>
      <c r="F755" s="385"/>
      <c r="G755" s="391"/>
      <c r="H755" s="385"/>
      <c r="I755" s="391"/>
      <c r="J755" s="385"/>
      <c r="K755" s="391"/>
      <c r="L755" s="385"/>
      <c r="M755" s="391"/>
      <c r="N755" s="385"/>
      <c r="O755" s="190"/>
    </row>
    <row r="756" spans="2:15" ht="16" x14ac:dyDescent="0.2">
      <c r="C756" s="119">
        <v>22</v>
      </c>
      <c r="D756" s="383"/>
      <c r="E756" s="389"/>
      <c r="F756" s="385"/>
      <c r="G756" s="391"/>
      <c r="H756" s="385"/>
      <c r="I756" s="391"/>
      <c r="J756" s="385"/>
      <c r="K756" s="391"/>
      <c r="L756" s="385"/>
      <c r="M756" s="391"/>
      <c r="N756" s="385"/>
      <c r="O756" s="190"/>
    </row>
    <row r="757" spans="2:15" ht="16" x14ac:dyDescent="0.2">
      <c r="C757" s="119">
        <v>23</v>
      </c>
      <c r="D757" s="383"/>
      <c r="E757" s="389"/>
      <c r="F757" s="385"/>
      <c r="G757" s="391"/>
      <c r="H757" s="385"/>
      <c r="I757" s="391"/>
      <c r="J757" s="385"/>
      <c r="K757" s="391"/>
      <c r="L757" s="385"/>
      <c r="M757" s="391"/>
      <c r="N757" s="385"/>
      <c r="O757" s="190"/>
    </row>
    <row r="758" spans="2:15" ht="16" x14ac:dyDescent="0.2">
      <c r="C758" s="119">
        <v>24</v>
      </c>
      <c r="D758" s="383"/>
      <c r="E758" s="389"/>
      <c r="F758" s="385"/>
      <c r="G758" s="391"/>
      <c r="H758" s="385"/>
      <c r="I758" s="391"/>
      <c r="J758" s="385"/>
      <c r="K758" s="391"/>
      <c r="L758" s="385"/>
      <c r="M758" s="391"/>
      <c r="N758" s="385"/>
      <c r="O758" s="190"/>
    </row>
    <row r="759" spans="2:15" ht="16" x14ac:dyDescent="0.2">
      <c r="C759" s="119">
        <v>25</v>
      </c>
      <c r="D759" s="383"/>
      <c r="E759" s="389"/>
      <c r="F759" s="385"/>
      <c r="G759" s="391"/>
      <c r="H759" s="385"/>
      <c r="I759" s="391"/>
      <c r="J759" s="385"/>
      <c r="K759" s="391"/>
      <c r="L759" s="385"/>
      <c r="M759" s="391"/>
      <c r="N759" s="385"/>
      <c r="O759" s="190"/>
    </row>
    <row r="760" spans="2:15" ht="16" x14ac:dyDescent="0.2">
      <c r="C760" s="119">
        <v>26</v>
      </c>
      <c r="D760" s="383"/>
      <c r="E760" s="389"/>
      <c r="F760" s="385"/>
      <c r="G760" s="391"/>
      <c r="H760" s="385"/>
      <c r="I760" s="391"/>
      <c r="J760" s="385"/>
      <c r="K760" s="391"/>
      <c r="L760" s="385"/>
      <c r="M760" s="391"/>
      <c r="N760" s="385"/>
      <c r="O760" s="190"/>
    </row>
    <row r="761" spans="2:15" ht="16" x14ac:dyDescent="0.2">
      <c r="C761" s="119">
        <v>27</v>
      </c>
      <c r="D761" s="383"/>
      <c r="E761" s="389"/>
      <c r="F761" s="385"/>
      <c r="G761" s="391"/>
      <c r="H761" s="385"/>
      <c r="I761" s="391"/>
      <c r="J761" s="385"/>
      <c r="K761" s="391"/>
      <c r="L761" s="385"/>
      <c r="M761" s="391"/>
      <c r="N761" s="385"/>
      <c r="O761" s="190"/>
    </row>
    <row r="762" spans="2:15" ht="16" x14ac:dyDescent="0.2">
      <c r="C762" s="119">
        <v>28</v>
      </c>
      <c r="D762" s="383"/>
      <c r="E762" s="389"/>
      <c r="F762" s="385"/>
      <c r="G762" s="391"/>
      <c r="H762" s="385"/>
      <c r="I762" s="391"/>
      <c r="J762" s="385"/>
      <c r="K762" s="391"/>
      <c r="L762" s="385"/>
      <c r="M762" s="391"/>
      <c r="N762" s="385"/>
      <c r="O762" s="190"/>
    </row>
    <row r="763" spans="2:15" ht="16" x14ac:dyDescent="0.2">
      <c r="C763" s="119">
        <v>29</v>
      </c>
      <c r="D763" s="383"/>
      <c r="E763" s="389"/>
      <c r="F763" s="385"/>
      <c r="G763" s="391"/>
      <c r="H763" s="385"/>
      <c r="I763" s="391"/>
      <c r="J763" s="385"/>
      <c r="K763" s="391"/>
      <c r="L763" s="385"/>
      <c r="M763" s="391"/>
      <c r="N763" s="385"/>
      <c r="O763" s="190"/>
    </row>
    <row r="764" spans="2:15" ht="16" x14ac:dyDescent="0.2">
      <c r="C764" s="119">
        <v>30</v>
      </c>
      <c r="D764" s="383"/>
      <c r="E764" s="389"/>
      <c r="F764" s="385"/>
      <c r="G764" s="391"/>
      <c r="H764" s="385"/>
      <c r="I764" s="391"/>
      <c r="J764" s="385"/>
      <c r="K764" s="391"/>
      <c r="L764" s="385"/>
      <c r="M764" s="391"/>
      <c r="N764" s="385"/>
      <c r="O764" s="190"/>
    </row>
    <row r="765" spans="2:15" ht="16" x14ac:dyDescent="0.2">
      <c r="C765" s="120">
        <v>31</v>
      </c>
      <c r="D765" s="383"/>
      <c r="E765" s="389"/>
      <c r="F765" s="384"/>
      <c r="G765" s="390"/>
      <c r="H765" s="384"/>
      <c r="I765" s="390"/>
      <c r="J765" s="384"/>
      <c r="K765" s="390"/>
      <c r="L765" s="384"/>
      <c r="M765" s="390"/>
      <c r="N765" s="384"/>
      <c r="O765" s="190"/>
    </row>
    <row r="766" spans="2:15" ht="16" x14ac:dyDescent="0.2">
      <c r="B766" s="256"/>
      <c r="C766" s="377">
        <v>32</v>
      </c>
      <c r="D766" s="384"/>
      <c r="E766" s="390"/>
      <c r="F766" s="384"/>
      <c r="G766" s="390"/>
      <c r="H766" s="384"/>
      <c r="I766" s="390"/>
      <c r="J766" s="384"/>
      <c r="K766" s="390"/>
      <c r="L766" s="384"/>
      <c r="M766" s="390"/>
      <c r="N766" s="384"/>
      <c r="O766" s="190"/>
    </row>
    <row r="767" spans="2:15" ht="16" x14ac:dyDescent="0.2">
      <c r="B767" s="256"/>
      <c r="C767" s="119">
        <v>33</v>
      </c>
      <c r="D767" s="385"/>
      <c r="E767" s="391"/>
      <c r="F767" s="385"/>
      <c r="G767" s="391"/>
      <c r="H767" s="385"/>
      <c r="I767" s="391"/>
      <c r="J767" s="385"/>
      <c r="K767" s="391"/>
      <c r="L767" s="385"/>
      <c r="M767" s="391"/>
      <c r="N767" s="385"/>
      <c r="O767" s="190"/>
    </row>
    <row r="768" spans="2:15" ht="16" x14ac:dyDescent="0.2">
      <c r="B768" s="256"/>
      <c r="C768" s="119">
        <v>34</v>
      </c>
      <c r="D768" s="385"/>
      <c r="E768" s="391"/>
      <c r="F768" s="385"/>
      <c r="G768" s="391"/>
      <c r="H768" s="385"/>
      <c r="I768" s="391"/>
      <c r="J768" s="385"/>
      <c r="K768" s="391"/>
      <c r="L768" s="385"/>
      <c r="M768" s="391"/>
      <c r="N768" s="385"/>
      <c r="O768" s="190"/>
    </row>
    <row r="769" spans="2:15" ht="16" x14ac:dyDescent="0.2">
      <c r="B769" s="256"/>
      <c r="C769" s="119">
        <v>35</v>
      </c>
      <c r="D769" s="385"/>
      <c r="E769" s="391"/>
      <c r="F769" s="385"/>
      <c r="G769" s="391"/>
      <c r="H769" s="385"/>
      <c r="I769" s="391"/>
      <c r="J769" s="385"/>
      <c r="K769" s="391"/>
      <c r="L769" s="385"/>
      <c r="M769" s="391"/>
      <c r="N769" s="385"/>
      <c r="O769" s="190"/>
    </row>
    <row r="770" spans="2:15" ht="16" x14ac:dyDescent="0.2">
      <c r="B770" s="256"/>
      <c r="C770" s="119">
        <v>36</v>
      </c>
      <c r="D770" s="385"/>
      <c r="E770" s="391"/>
      <c r="F770" s="385"/>
      <c r="G770" s="391"/>
      <c r="H770" s="385"/>
      <c r="I770" s="391"/>
      <c r="J770" s="385"/>
      <c r="K770" s="391"/>
      <c r="L770" s="385"/>
      <c r="M770" s="391"/>
      <c r="N770" s="385"/>
      <c r="O770" s="190"/>
    </row>
    <row r="771" spans="2:15" ht="17" thickBot="1" x14ac:dyDescent="0.25">
      <c r="B771" s="256"/>
      <c r="C771" s="378">
        <v>37</v>
      </c>
      <c r="D771" s="386"/>
      <c r="E771" s="392"/>
      <c r="F771" s="386"/>
      <c r="G771" s="392"/>
      <c r="H771" s="386"/>
      <c r="I771" s="392"/>
      <c r="J771" s="386"/>
      <c r="K771" s="392"/>
      <c r="L771" s="386"/>
      <c r="M771" s="392"/>
      <c r="N771" s="386"/>
      <c r="O771" s="190"/>
    </row>
    <row r="772" spans="2:15" ht="17" thickBot="1" x14ac:dyDescent="0.25">
      <c r="C772" s="825" t="s">
        <v>19</v>
      </c>
      <c r="D772" s="826"/>
      <c r="E772" s="380"/>
      <c r="F772" s="376">
        <f>(F735+F736+F737+F738+F739+F740+F756+F743+F744+F741+F742+F745+F746+F747+F748+F749+F750+F751+F752+F753+F754+F755+F757+F758+F760+F761+F762+F763+F764+F765+F766+F767+F768+F771)/2</f>
        <v>63</v>
      </c>
      <c r="G772" s="397">
        <f>(G735+G736+G737+G738+G739+G756+G740+G744+G743+G741+G742+G745+G746+G747+G748+G749+G750+G751+G752+G753+G754+G755+G757+G758+G760+G761+G762+G763+G764+G765+G766+G767)/2</f>
        <v>42</v>
      </c>
      <c r="H772" s="399">
        <f>(H735+H736+H737+H738+H739+H740+H756+H759+H743+H744+H741+H742+H745+H746+H747+H748+H749+H750+H751+H752+H753+H754+H755+H757+H758+H760+H761+H762+H763+H764+H765+H766+H767+H768+H771)/2</f>
        <v>21</v>
      </c>
      <c r="I772" s="398">
        <f>(I735+I736+I737+I738+I739+I769+I770+I740+I756+I743+I759+I744+I741+I742+I745+I746+I747+I748+I749+I750+I751+I752+I753+I754+I755+I757+I758+I760+I761+I762+I763+I764+I765+I766+I767+I768+I771)/2</f>
        <v>44</v>
      </c>
      <c r="J772" s="376">
        <f>(J735+J736+J737+J738+J739+J740+J744+J741+J743+J742+J759+J745+J746+J747+J748+J749+J750+J751+J752+J753+J754+J755+J756+J757+J758+J760+J761+J762+J763+J764+J765+J766+J767)/2</f>
        <v>63</v>
      </c>
      <c r="K772" s="397">
        <f>(K735+K736+K737+K738+K739+K740+K744+K741+K742+K745+K746+K747+K748+K749+K750+K751+K752+K753+K754+K755+K757+K758+K760+K761+K762+K763+K764+K765+K766+K767+K756)</f>
        <v>0</v>
      </c>
      <c r="L772" s="399">
        <f>SUM(L735:L771)</f>
        <v>0</v>
      </c>
      <c r="M772" s="398">
        <f>(M735+M736+M737+M738+M739+M740+M744+M743+M741+M742+M745+M746+M747+M748+M749+M750+M751+M752+M753+M754+M755+M757+M758+M760+M761+M762+M763+M764+M765+M766+M767)/2</f>
        <v>0</v>
      </c>
      <c r="N772" s="376"/>
      <c r="O772" s="41"/>
    </row>
    <row r="773" spans="2:15" ht="17" thickBot="1" x14ac:dyDescent="0.25">
      <c r="C773" s="825" t="s">
        <v>91</v>
      </c>
      <c r="D773" s="826"/>
      <c r="E773" s="381">
        <f>SUM(F772:J772)</f>
        <v>233</v>
      </c>
    </row>
    <row r="774" spans="2:15" ht="16" thickBot="1" x14ac:dyDescent="0.25"/>
    <row r="775" spans="2:15" ht="17" thickBot="1" x14ac:dyDescent="0.25">
      <c r="C775" s="17"/>
      <c r="D775" s="379" t="s">
        <v>83</v>
      </c>
      <c r="E775" s="818" t="s">
        <v>63</v>
      </c>
      <c r="F775" s="819"/>
      <c r="G775" s="819"/>
      <c r="H775" s="819"/>
      <c r="I775" s="819"/>
      <c r="J775" s="400" t="s">
        <v>76</v>
      </c>
      <c r="K775" s="820">
        <v>45677</v>
      </c>
      <c r="L775" s="821"/>
      <c r="M775" s="821"/>
      <c r="N775" s="821"/>
      <c r="O775" s="822"/>
    </row>
    <row r="776" spans="2:15" ht="16" thickBot="1" x14ac:dyDescent="0.25">
      <c r="B776" s="175" t="s">
        <v>76</v>
      </c>
      <c r="C776" s="175" t="s">
        <v>77</v>
      </c>
      <c r="D776" s="823" t="s">
        <v>122</v>
      </c>
      <c r="E776" s="824"/>
      <c r="F776" s="175" t="s">
        <v>104</v>
      </c>
      <c r="G776" s="395" t="s">
        <v>86</v>
      </c>
      <c r="H776" s="175" t="s">
        <v>88</v>
      </c>
      <c r="I776" s="395" t="s">
        <v>87</v>
      </c>
      <c r="J776" s="401" t="s">
        <v>85</v>
      </c>
      <c r="K776" s="395" t="s">
        <v>123</v>
      </c>
      <c r="L776" s="175" t="s">
        <v>124</v>
      </c>
      <c r="M776" s="395" t="s">
        <v>100</v>
      </c>
      <c r="N776" s="175" t="s">
        <v>213</v>
      </c>
      <c r="O776" s="404" t="s">
        <v>125</v>
      </c>
    </row>
    <row r="777" spans="2:15" ht="16" thickBot="1" x14ac:dyDescent="0.25">
      <c r="B777" s="176">
        <f>K775</f>
        <v>45677</v>
      </c>
      <c r="C777" s="374"/>
      <c r="D777" s="375" t="s">
        <v>126</v>
      </c>
      <c r="E777" s="387" t="s">
        <v>127</v>
      </c>
      <c r="F777" s="331">
        <v>14</v>
      </c>
      <c r="G777" s="237">
        <v>10</v>
      </c>
      <c r="H777" s="331">
        <v>0</v>
      </c>
      <c r="I777" s="237">
        <v>6</v>
      </c>
      <c r="J777" s="331">
        <v>12</v>
      </c>
      <c r="K777" s="231"/>
      <c r="L777" s="125"/>
      <c r="M777" s="231"/>
      <c r="N777" s="125"/>
      <c r="O777" s="326"/>
    </row>
    <row r="778" spans="2:15" ht="16" x14ac:dyDescent="0.2">
      <c r="C778" s="118">
        <v>1</v>
      </c>
      <c r="D778" s="382">
        <v>0.29166666666666669</v>
      </c>
      <c r="E778" s="388">
        <v>0.3125</v>
      </c>
      <c r="F778" s="393"/>
      <c r="G778" s="396">
        <v>28</v>
      </c>
      <c r="H778" s="393"/>
      <c r="I778" s="396"/>
      <c r="J778" s="393"/>
      <c r="K778" s="396"/>
      <c r="L778" s="393"/>
      <c r="M778" s="396"/>
      <c r="N778" s="393"/>
      <c r="O778" s="190"/>
    </row>
    <row r="779" spans="2:15" ht="16" x14ac:dyDescent="0.2">
      <c r="C779" s="119">
        <v>2</v>
      </c>
      <c r="D779" s="383">
        <v>0.32291666666666669</v>
      </c>
      <c r="E779" s="389">
        <v>0.34375</v>
      </c>
      <c r="F779" s="385"/>
      <c r="G779" s="391">
        <v>28</v>
      </c>
      <c r="H779" s="385"/>
      <c r="I779" s="391"/>
      <c r="J779" s="385"/>
      <c r="K779" s="391"/>
      <c r="L779" s="385"/>
      <c r="M779" s="391"/>
      <c r="N779" s="385"/>
      <c r="O779" s="190"/>
    </row>
    <row r="780" spans="2:15" ht="16" x14ac:dyDescent="0.2">
      <c r="C780" s="119">
        <v>3</v>
      </c>
      <c r="D780" s="383">
        <v>0.34375</v>
      </c>
      <c r="E780" s="389">
        <v>0.36458333333333331</v>
      </c>
      <c r="F780" s="385"/>
      <c r="G780" s="391">
        <v>28</v>
      </c>
      <c r="H780" s="385"/>
      <c r="I780" s="391"/>
      <c r="J780" s="385"/>
      <c r="K780" s="391"/>
      <c r="L780" s="384"/>
      <c r="M780" s="391"/>
      <c r="N780" s="385"/>
      <c r="O780" s="190"/>
    </row>
    <row r="781" spans="2:15" ht="16" x14ac:dyDescent="0.2">
      <c r="C781" s="119">
        <v>4</v>
      </c>
      <c r="D781" s="383">
        <v>0.36458333333333331</v>
      </c>
      <c r="E781" s="389">
        <v>0.38541666666666669</v>
      </c>
      <c r="F781" s="385"/>
      <c r="G781" s="391">
        <v>28</v>
      </c>
      <c r="H781" s="316"/>
      <c r="I781" s="391"/>
      <c r="J781" s="385"/>
      <c r="K781" s="391"/>
      <c r="L781" s="402"/>
      <c r="M781" s="391"/>
      <c r="N781" s="385"/>
      <c r="O781" s="190"/>
    </row>
    <row r="782" spans="2:15" ht="16" x14ac:dyDescent="0.2">
      <c r="C782" s="119">
        <v>5</v>
      </c>
      <c r="D782" s="383">
        <v>0.3888888888888889</v>
      </c>
      <c r="E782" s="389">
        <v>0.40972222222222227</v>
      </c>
      <c r="F782" s="385"/>
      <c r="G782" s="391">
        <v>28</v>
      </c>
      <c r="H782" s="316"/>
      <c r="I782" s="391"/>
      <c r="J782" s="385"/>
      <c r="K782" s="391"/>
      <c r="L782" s="393"/>
      <c r="M782" s="391"/>
      <c r="N782" s="385"/>
      <c r="O782" s="190"/>
    </row>
    <row r="783" spans="2:15" ht="16" x14ac:dyDescent="0.2">
      <c r="C783" s="119">
        <v>6</v>
      </c>
      <c r="D783" s="383">
        <v>0.41319444444444442</v>
      </c>
      <c r="E783" s="389">
        <v>0.43402777777777773</v>
      </c>
      <c r="F783" s="385">
        <v>28</v>
      </c>
      <c r="G783" s="391"/>
      <c r="H783" s="316"/>
      <c r="I783" s="391"/>
      <c r="J783" s="385"/>
      <c r="K783" s="391"/>
      <c r="L783" s="393"/>
      <c r="M783" s="391"/>
      <c r="N783" s="385"/>
      <c r="O783" s="190"/>
    </row>
    <row r="784" spans="2:15" ht="16" x14ac:dyDescent="0.2">
      <c r="C784" s="119">
        <v>7</v>
      </c>
      <c r="D784" s="383">
        <v>0.43402777777777773</v>
      </c>
      <c r="E784" s="389">
        <v>0.4548611111111111</v>
      </c>
      <c r="F784" s="385">
        <v>28</v>
      </c>
      <c r="G784" s="391"/>
      <c r="H784" s="316"/>
      <c r="I784" s="391"/>
      <c r="J784" s="385"/>
      <c r="K784" s="391"/>
      <c r="L784" s="393"/>
      <c r="M784" s="391"/>
      <c r="N784" s="385"/>
      <c r="O784" s="190"/>
    </row>
    <row r="785" spans="3:15" ht="16" x14ac:dyDescent="0.2">
      <c r="C785" s="119">
        <v>8</v>
      </c>
      <c r="D785" s="383">
        <v>0.4548611111111111</v>
      </c>
      <c r="E785" s="389">
        <v>0.47569444444444442</v>
      </c>
      <c r="F785" s="385"/>
      <c r="G785" s="391"/>
      <c r="H785" s="316"/>
      <c r="I785" s="391">
        <v>44</v>
      </c>
      <c r="J785" s="385"/>
      <c r="K785" s="391"/>
      <c r="L785" s="385"/>
      <c r="M785" s="391"/>
      <c r="N785" s="385"/>
      <c r="O785" s="190"/>
    </row>
    <row r="786" spans="3:15" ht="16" x14ac:dyDescent="0.2">
      <c r="C786" s="119">
        <v>9</v>
      </c>
      <c r="D786" s="383">
        <v>0.51736111111111105</v>
      </c>
      <c r="E786" s="389">
        <v>0.53819444444444442</v>
      </c>
      <c r="F786" s="385">
        <v>28</v>
      </c>
      <c r="G786" s="391"/>
      <c r="H786" s="316"/>
      <c r="I786" s="391"/>
      <c r="J786" s="385"/>
      <c r="K786" s="391"/>
      <c r="L786" s="385"/>
      <c r="M786" s="391"/>
      <c r="N786" s="385"/>
      <c r="O786" s="190"/>
    </row>
    <row r="787" spans="3:15" ht="16" x14ac:dyDescent="0.2">
      <c r="C787" s="119">
        <v>10</v>
      </c>
      <c r="D787" s="383">
        <v>0.55208333333333337</v>
      </c>
      <c r="E787" s="389">
        <v>0.57291666666666663</v>
      </c>
      <c r="F787" s="385"/>
      <c r="G787" s="391"/>
      <c r="H787" s="316"/>
      <c r="I787" s="391">
        <v>44</v>
      </c>
      <c r="J787" s="385"/>
      <c r="K787" s="391"/>
      <c r="L787" s="385"/>
      <c r="M787" s="391"/>
      <c r="N787" s="385"/>
      <c r="O787" s="190"/>
    </row>
    <row r="788" spans="3:15" ht="16" x14ac:dyDescent="0.2">
      <c r="C788" s="119">
        <v>11</v>
      </c>
      <c r="D788" s="383">
        <v>0.57986111111111105</v>
      </c>
      <c r="E788" s="389">
        <v>0.60069444444444442</v>
      </c>
      <c r="F788" s="385">
        <v>28</v>
      </c>
      <c r="G788" s="391"/>
      <c r="H788" s="316"/>
      <c r="I788" s="391"/>
      <c r="J788" s="28"/>
      <c r="K788" s="391"/>
      <c r="L788" s="385"/>
      <c r="M788" s="391"/>
      <c r="N788" s="385"/>
      <c r="O788" s="190"/>
    </row>
    <row r="789" spans="3:15" ht="16" x14ac:dyDescent="0.2">
      <c r="C789" s="193">
        <v>12</v>
      </c>
      <c r="D789" s="383">
        <v>0.61111111111111105</v>
      </c>
      <c r="E789" s="389">
        <v>0.63194444444444442</v>
      </c>
      <c r="F789" s="385"/>
      <c r="G789" s="391"/>
      <c r="H789" s="316"/>
      <c r="I789" s="391">
        <v>44</v>
      </c>
      <c r="J789" s="385"/>
      <c r="K789" s="391"/>
      <c r="L789" s="385"/>
      <c r="M789" s="391"/>
      <c r="N789" s="385"/>
      <c r="O789" s="190"/>
    </row>
    <row r="790" spans="3:15" ht="16" x14ac:dyDescent="0.2">
      <c r="C790" s="119">
        <v>13</v>
      </c>
      <c r="D790" s="383">
        <v>0.64236111111111105</v>
      </c>
      <c r="E790" s="389">
        <v>0.66319444444444442</v>
      </c>
      <c r="F790" s="385">
        <v>28</v>
      </c>
      <c r="G790" s="391"/>
      <c r="H790" s="316"/>
      <c r="I790" s="391"/>
      <c r="J790" s="385"/>
      <c r="K790" s="391"/>
      <c r="L790" s="385"/>
      <c r="M790" s="391"/>
      <c r="N790" s="385"/>
      <c r="O790" s="190"/>
    </row>
    <row r="791" spans="3:15" ht="16" x14ac:dyDescent="0.2">
      <c r="C791" s="119">
        <v>14</v>
      </c>
      <c r="D791" s="383">
        <v>0.67013888888888884</v>
      </c>
      <c r="E791" s="389">
        <v>0.69097222222222221</v>
      </c>
      <c r="F791" s="385"/>
      <c r="G791" s="391"/>
      <c r="H791" s="316"/>
      <c r="I791" s="391"/>
      <c r="J791" s="385">
        <v>36</v>
      </c>
      <c r="K791" s="391"/>
      <c r="L791" s="385"/>
      <c r="M791" s="391"/>
      <c r="N791" s="385"/>
      <c r="O791" s="190"/>
    </row>
    <row r="792" spans="3:15" ht="16" x14ac:dyDescent="0.2">
      <c r="C792" s="119">
        <v>15</v>
      </c>
      <c r="D792" s="383">
        <v>0.69444444444444453</v>
      </c>
      <c r="E792" s="389">
        <v>0.71527777777777779</v>
      </c>
      <c r="F792" s="385">
        <v>28</v>
      </c>
      <c r="G792" s="391"/>
      <c r="H792" s="316"/>
      <c r="I792" s="391"/>
      <c r="J792" s="385"/>
      <c r="K792" s="391"/>
      <c r="L792" s="385"/>
      <c r="M792" s="391"/>
      <c r="N792" s="385"/>
      <c r="O792" s="190"/>
    </row>
    <row r="793" spans="3:15" ht="16" x14ac:dyDescent="0.2">
      <c r="C793" s="119">
        <v>16</v>
      </c>
      <c r="D793" s="383">
        <v>0.71875</v>
      </c>
      <c r="E793" s="389">
        <v>0.73958333333333337</v>
      </c>
      <c r="F793" s="385"/>
      <c r="G793" s="391"/>
      <c r="H793" s="316"/>
      <c r="I793" s="391"/>
      <c r="J793" s="385">
        <v>36</v>
      </c>
      <c r="K793" s="391"/>
      <c r="L793" s="385"/>
      <c r="M793" s="391"/>
      <c r="N793" s="385"/>
      <c r="O793" s="190"/>
    </row>
    <row r="794" spans="3:15" ht="16" x14ac:dyDescent="0.2">
      <c r="C794" s="119">
        <v>17</v>
      </c>
      <c r="D794" s="383">
        <v>0.73958333333333337</v>
      </c>
      <c r="E794" s="389">
        <v>0.76041666666666663</v>
      </c>
      <c r="F794" s="384">
        <v>28</v>
      </c>
      <c r="G794" s="33"/>
      <c r="H794" s="316"/>
      <c r="I794" s="390"/>
      <c r="J794" s="385"/>
      <c r="K794" s="391"/>
      <c r="L794" s="385"/>
      <c r="M794" s="391"/>
      <c r="N794" s="385"/>
      <c r="O794" s="190"/>
    </row>
    <row r="795" spans="3:15" ht="16" x14ac:dyDescent="0.2">
      <c r="C795" s="119">
        <v>18</v>
      </c>
      <c r="D795" s="383">
        <v>0.76736111111111116</v>
      </c>
      <c r="E795" s="389">
        <v>0.78819444444444453</v>
      </c>
      <c r="F795" s="394"/>
      <c r="G795" s="229"/>
      <c r="H795" s="394"/>
      <c r="I795" s="391"/>
      <c r="J795" s="385">
        <v>36</v>
      </c>
      <c r="K795" s="391"/>
      <c r="L795" s="385"/>
      <c r="M795" s="391"/>
      <c r="N795" s="385"/>
      <c r="O795" s="190"/>
    </row>
    <row r="796" spans="3:15" ht="16" x14ac:dyDescent="0.2">
      <c r="C796" s="119">
        <v>19</v>
      </c>
      <c r="D796" s="383">
        <v>0.79513888888888884</v>
      </c>
      <c r="E796" s="389">
        <v>0.81597222222222221</v>
      </c>
      <c r="F796" s="385"/>
      <c r="G796" s="391"/>
      <c r="H796" s="385"/>
      <c r="I796" s="391"/>
      <c r="J796" s="385">
        <v>36</v>
      </c>
      <c r="K796" s="391"/>
      <c r="L796" s="403"/>
      <c r="M796" s="391"/>
      <c r="N796" s="385"/>
      <c r="O796" s="190"/>
    </row>
    <row r="797" spans="3:15" ht="16" x14ac:dyDescent="0.2">
      <c r="C797" s="119">
        <v>20</v>
      </c>
      <c r="D797" s="383">
        <v>0.84027777777777779</v>
      </c>
      <c r="E797" s="389">
        <v>0.86111111111111116</v>
      </c>
      <c r="F797" s="385"/>
      <c r="G797" s="391"/>
      <c r="H797" s="385"/>
      <c r="I797" s="391"/>
      <c r="J797" s="385">
        <v>30</v>
      </c>
      <c r="K797" s="391"/>
      <c r="L797" s="403"/>
      <c r="M797" s="391"/>
      <c r="N797" s="385"/>
      <c r="O797" s="190"/>
    </row>
    <row r="798" spans="3:15" ht="16" x14ac:dyDescent="0.2">
      <c r="C798" s="119">
        <v>21</v>
      </c>
      <c r="D798" s="383">
        <v>0.86111111111111116</v>
      </c>
      <c r="E798" s="389">
        <v>0.88194444444444453</v>
      </c>
      <c r="F798" s="385"/>
      <c r="G798" s="391"/>
      <c r="H798" s="385"/>
      <c r="I798" s="391"/>
      <c r="J798" s="385">
        <v>36</v>
      </c>
      <c r="K798" s="391"/>
      <c r="L798" s="385"/>
      <c r="M798" s="391"/>
      <c r="N798" s="385"/>
      <c r="O798" s="190"/>
    </row>
    <row r="799" spans="3:15" ht="16" x14ac:dyDescent="0.2">
      <c r="C799" s="119">
        <v>22</v>
      </c>
      <c r="D799" s="383"/>
      <c r="E799" s="389"/>
      <c r="F799" s="385"/>
      <c r="G799" s="391"/>
      <c r="H799" s="385"/>
      <c r="I799" s="391"/>
      <c r="J799" s="385"/>
      <c r="K799" s="391"/>
      <c r="L799" s="385"/>
      <c r="M799" s="391"/>
      <c r="N799" s="385"/>
      <c r="O799" s="190"/>
    </row>
    <row r="800" spans="3:15" ht="16" x14ac:dyDescent="0.2">
      <c r="C800" s="119">
        <v>23</v>
      </c>
      <c r="D800" s="383"/>
      <c r="E800" s="389"/>
      <c r="F800" s="385"/>
      <c r="G800" s="391"/>
      <c r="H800" s="385"/>
      <c r="I800" s="391"/>
      <c r="J800" s="385"/>
      <c r="K800" s="391"/>
      <c r="L800" s="385"/>
      <c r="M800" s="391"/>
      <c r="N800" s="385"/>
      <c r="O800" s="190"/>
    </row>
    <row r="801" spans="2:15" ht="16" x14ac:dyDescent="0.2">
      <c r="C801" s="119">
        <v>24</v>
      </c>
      <c r="D801" s="383"/>
      <c r="E801" s="389"/>
      <c r="F801" s="385"/>
      <c r="G801" s="391"/>
      <c r="H801" s="385"/>
      <c r="I801" s="391"/>
      <c r="J801" s="385"/>
      <c r="K801" s="391"/>
      <c r="L801" s="385"/>
      <c r="M801" s="391"/>
      <c r="N801" s="385"/>
      <c r="O801" s="190"/>
    </row>
    <row r="802" spans="2:15" ht="16" x14ac:dyDescent="0.2">
      <c r="C802" s="119">
        <v>25</v>
      </c>
      <c r="D802" s="383"/>
      <c r="E802" s="389"/>
      <c r="F802" s="385"/>
      <c r="G802" s="391"/>
      <c r="H802" s="385"/>
      <c r="I802" s="391"/>
      <c r="J802" s="385"/>
      <c r="K802" s="391"/>
      <c r="L802" s="385"/>
      <c r="M802" s="391"/>
      <c r="N802" s="385"/>
      <c r="O802" s="190"/>
    </row>
    <row r="803" spans="2:15" ht="16" x14ac:dyDescent="0.2">
      <c r="C803" s="119">
        <v>26</v>
      </c>
      <c r="D803" s="383"/>
      <c r="E803" s="389"/>
      <c r="F803" s="385"/>
      <c r="G803" s="391"/>
      <c r="H803" s="385"/>
      <c r="I803" s="391"/>
      <c r="J803" s="385"/>
      <c r="K803" s="391"/>
      <c r="L803" s="385"/>
      <c r="M803" s="391"/>
      <c r="N803" s="385"/>
      <c r="O803" s="190"/>
    </row>
    <row r="804" spans="2:15" ht="16" x14ac:dyDescent="0.2">
      <c r="C804" s="119">
        <v>27</v>
      </c>
      <c r="D804" s="383"/>
      <c r="E804" s="389"/>
      <c r="F804" s="385"/>
      <c r="G804" s="391"/>
      <c r="H804" s="385"/>
      <c r="I804" s="391"/>
      <c r="J804" s="385"/>
      <c r="K804" s="391"/>
      <c r="L804" s="385"/>
      <c r="M804" s="391"/>
      <c r="N804" s="385"/>
      <c r="O804" s="190"/>
    </row>
    <row r="805" spans="2:15" ht="16" x14ac:dyDescent="0.2">
      <c r="C805" s="119">
        <v>28</v>
      </c>
      <c r="D805" s="383"/>
      <c r="E805" s="389"/>
      <c r="F805" s="385"/>
      <c r="G805" s="391"/>
      <c r="H805" s="385"/>
      <c r="I805" s="391"/>
      <c r="J805" s="385"/>
      <c r="K805" s="391"/>
      <c r="L805" s="385"/>
      <c r="M805" s="391"/>
      <c r="N805" s="385"/>
      <c r="O805" s="190"/>
    </row>
    <row r="806" spans="2:15" ht="16" x14ac:dyDescent="0.2">
      <c r="C806" s="119">
        <v>29</v>
      </c>
      <c r="D806" s="383"/>
      <c r="E806" s="389"/>
      <c r="F806" s="385"/>
      <c r="G806" s="391"/>
      <c r="H806" s="385"/>
      <c r="I806" s="391"/>
      <c r="J806" s="385"/>
      <c r="K806" s="391"/>
      <c r="L806" s="385"/>
      <c r="M806" s="391"/>
      <c r="N806" s="385"/>
      <c r="O806" s="190"/>
    </row>
    <row r="807" spans="2:15" ht="16" x14ac:dyDescent="0.2">
      <c r="C807" s="119">
        <v>30</v>
      </c>
      <c r="D807" s="383"/>
      <c r="E807" s="389"/>
      <c r="F807" s="385"/>
      <c r="G807" s="391"/>
      <c r="H807" s="385"/>
      <c r="I807" s="391"/>
      <c r="J807" s="385"/>
      <c r="K807" s="391"/>
      <c r="L807" s="385"/>
      <c r="M807" s="391"/>
      <c r="N807" s="385"/>
      <c r="O807" s="190"/>
    </row>
    <row r="808" spans="2:15" ht="16" x14ac:dyDescent="0.2">
      <c r="C808" s="120">
        <v>31</v>
      </c>
      <c r="D808" s="383"/>
      <c r="E808" s="389"/>
      <c r="F808" s="384"/>
      <c r="G808" s="390"/>
      <c r="H808" s="384"/>
      <c r="I808" s="390"/>
      <c r="J808" s="384"/>
      <c r="K808" s="390"/>
      <c r="L808" s="384"/>
      <c r="M808" s="390"/>
      <c r="N808" s="384"/>
      <c r="O808" s="190"/>
    </row>
    <row r="809" spans="2:15" ht="16" x14ac:dyDescent="0.2">
      <c r="B809" s="256"/>
      <c r="C809" s="377">
        <v>32</v>
      </c>
      <c r="D809" s="384"/>
      <c r="E809" s="390"/>
      <c r="F809" s="384"/>
      <c r="G809" s="390"/>
      <c r="H809" s="384"/>
      <c r="I809" s="390"/>
      <c r="J809" s="384"/>
      <c r="K809" s="390"/>
      <c r="L809" s="384"/>
      <c r="M809" s="390"/>
      <c r="N809" s="384"/>
      <c r="O809" s="190"/>
    </row>
    <row r="810" spans="2:15" ht="16" x14ac:dyDescent="0.2">
      <c r="B810" s="256"/>
      <c r="C810" s="119">
        <v>33</v>
      </c>
      <c r="D810" s="385"/>
      <c r="E810" s="391"/>
      <c r="F810" s="385"/>
      <c r="G810" s="391"/>
      <c r="H810" s="385"/>
      <c r="I810" s="391"/>
      <c r="J810" s="385"/>
      <c r="K810" s="391"/>
      <c r="L810" s="385"/>
      <c r="M810" s="391"/>
      <c r="N810" s="385"/>
      <c r="O810" s="190"/>
    </row>
    <row r="811" spans="2:15" ht="16" x14ac:dyDescent="0.2">
      <c r="B811" s="256"/>
      <c r="C811" s="119">
        <v>34</v>
      </c>
      <c r="D811" s="385"/>
      <c r="E811" s="391"/>
      <c r="F811" s="385"/>
      <c r="G811" s="391"/>
      <c r="H811" s="385"/>
      <c r="I811" s="391"/>
      <c r="J811" s="385"/>
      <c r="K811" s="391"/>
      <c r="L811" s="385"/>
      <c r="M811" s="391"/>
      <c r="N811" s="385"/>
      <c r="O811" s="190"/>
    </row>
    <row r="812" spans="2:15" ht="16" x14ac:dyDescent="0.2">
      <c r="B812" s="256"/>
      <c r="C812" s="119">
        <v>35</v>
      </c>
      <c r="D812" s="385"/>
      <c r="E812" s="391"/>
      <c r="F812" s="385"/>
      <c r="G812" s="391"/>
      <c r="H812" s="385"/>
      <c r="I812" s="391"/>
      <c r="J812" s="385"/>
      <c r="K812" s="391"/>
      <c r="L812" s="385"/>
      <c r="M812" s="391"/>
      <c r="N812" s="385"/>
      <c r="O812" s="190"/>
    </row>
    <row r="813" spans="2:15" ht="16" x14ac:dyDescent="0.2">
      <c r="B813" s="256"/>
      <c r="C813" s="119">
        <v>36</v>
      </c>
      <c r="D813" s="385"/>
      <c r="E813" s="391"/>
      <c r="F813" s="385"/>
      <c r="G813" s="391"/>
      <c r="H813" s="385"/>
      <c r="I813" s="391"/>
      <c r="J813" s="385"/>
      <c r="K813" s="391"/>
      <c r="L813" s="385"/>
      <c r="M813" s="391"/>
      <c r="N813" s="385"/>
      <c r="O813" s="190"/>
    </row>
    <row r="814" spans="2:15" ht="17" thickBot="1" x14ac:dyDescent="0.25">
      <c r="B814" s="256"/>
      <c r="C814" s="378">
        <v>37</v>
      </c>
      <c r="D814" s="386"/>
      <c r="E814" s="392"/>
      <c r="F814" s="386"/>
      <c r="G814" s="392"/>
      <c r="H814" s="386"/>
      <c r="I814" s="392"/>
      <c r="J814" s="386"/>
      <c r="K814" s="392"/>
      <c r="L814" s="386"/>
      <c r="M814" s="392"/>
      <c r="N814" s="386"/>
      <c r="O814" s="190"/>
    </row>
    <row r="815" spans="2:15" ht="17" thickBot="1" x14ac:dyDescent="0.25">
      <c r="C815" s="825" t="s">
        <v>19</v>
      </c>
      <c r="D815" s="826"/>
      <c r="E815" s="380"/>
      <c r="F815" s="376">
        <f>(F778+F779+F780+F781+F782+F783+F799+F786+F787+F784+F785+F788+F789+F790+F791+F792+F793+F794+F795+F796+F797+F798+F800+F801+F803+F804+F805+F806+F807+F808+F809+F810+F811+F814)/2</f>
        <v>98</v>
      </c>
      <c r="G815" s="397">
        <f>(G778+G779+G780+G781+G782+G799+G783+G787+G786+G784+G785+G788+G789+G790+G791+G792+G793+G794+G795+G796+G797+G798+G800+G801+G803+G804+G805+G806+G807+G808+G809+G810)/2</f>
        <v>70</v>
      </c>
      <c r="H815" s="399">
        <f>(H778+H779+H780+H781+H782+H783+H799+H802+H786+H787+H784+H785+H788+H789+H790+H791+H792+H793+H794+H795+H796+H797+H798+H800+H801+H803+H804+H805+H806+H807+H808+H809+H810+H811+H814)/2</f>
        <v>0</v>
      </c>
      <c r="I815" s="398">
        <f>(I778+I779+I780+I781+I782+I812+I813+I783+I799+I786+I802+I787+I784+I785+I788+I789+I790+I791+I792+I793+I794+I795+I796+I797+I798+I800+I801+I803+I804+I805+I806+I807+I808+I809+I810+I811+I814)/2</f>
        <v>66</v>
      </c>
      <c r="J815" s="376">
        <f>(J778+J779+J780+J781+J782+J783+J787+J784+J786+J785+J802+J788+J789+J790+J791+J792+J793+J794+J795+J796+J797+J798+J799+J800+J801+J803+J804+J805+J806+J807+J808+J809+J810)/2</f>
        <v>105</v>
      </c>
      <c r="K815" s="397">
        <f>(K778+K779+K780+K781+K782+K783+K787+K784+K785+K788+K789+K790+K791+K792+K793+K794+K795+K796+K797+K798+K800+K801+K803+K804+K805+K806+K807+K808+K809+K810+K799)</f>
        <v>0</v>
      </c>
      <c r="L815" s="399">
        <f>SUM(L778:L814)</f>
        <v>0</v>
      </c>
      <c r="M815" s="398">
        <f>(M778+M779+M780+M781+M782+M783+M787+M786+M784+M785+M788+M789+M790+M791+M792+M793+M794+M795+M796+M797+M798+M800+M801+M803+M804+M805+M806+M807+M808+M809+M810)/2</f>
        <v>0</v>
      </c>
      <c r="N815" s="376"/>
      <c r="O815" s="41"/>
    </row>
    <row r="816" spans="2:15" ht="17" thickBot="1" x14ac:dyDescent="0.25">
      <c r="C816" s="825" t="s">
        <v>91</v>
      </c>
      <c r="D816" s="826"/>
      <c r="E816" s="381">
        <f>SUM(F815:J815)</f>
        <v>339</v>
      </c>
    </row>
    <row r="817" spans="2:15" ht="16" thickBot="1" x14ac:dyDescent="0.25"/>
    <row r="818" spans="2:15" ht="17" thickBot="1" x14ac:dyDescent="0.25">
      <c r="C818" s="17"/>
      <c r="D818" s="379" t="s">
        <v>83</v>
      </c>
      <c r="E818" s="818" t="s">
        <v>64</v>
      </c>
      <c r="F818" s="819"/>
      <c r="G818" s="819"/>
      <c r="H818" s="819"/>
      <c r="I818" s="819"/>
      <c r="J818" s="400" t="s">
        <v>76</v>
      </c>
      <c r="K818" s="820">
        <v>45678</v>
      </c>
      <c r="L818" s="821"/>
      <c r="M818" s="821"/>
      <c r="N818" s="821"/>
      <c r="O818" s="822"/>
    </row>
    <row r="819" spans="2:15" ht="16" thickBot="1" x14ac:dyDescent="0.25">
      <c r="B819" s="175" t="s">
        <v>76</v>
      </c>
      <c r="C819" s="175" t="s">
        <v>77</v>
      </c>
      <c r="D819" s="823" t="s">
        <v>122</v>
      </c>
      <c r="E819" s="824"/>
      <c r="F819" s="175" t="s">
        <v>104</v>
      </c>
      <c r="G819" s="395" t="s">
        <v>86</v>
      </c>
      <c r="H819" s="175" t="s">
        <v>88</v>
      </c>
      <c r="I819" s="395" t="s">
        <v>87</v>
      </c>
      <c r="J819" s="401" t="s">
        <v>85</v>
      </c>
      <c r="K819" s="395" t="s">
        <v>123</v>
      </c>
      <c r="L819" s="175" t="s">
        <v>124</v>
      </c>
      <c r="M819" s="395" t="s">
        <v>100</v>
      </c>
      <c r="N819" s="175" t="s">
        <v>213</v>
      </c>
      <c r="O819" s="404" t="s">
        <v>125</v>
      </c>
    </row>
    <row r="820" spans="2:15" ht="16" thickBot="1" x14ac:dyDescent="0.25">
      <c r="B820" s="176">
        <f>K818</f>
        <v>45678</v>
      </c>
      <c r="C820" s="374"/>
      <c r="D820" s="375" t="s">
        <v>126</v>
      </c>
      <c r="E820" s="387" t="s">
        <v>127</v>
      </c>
      <c r="F820" s="331">
        <v>10</v>
      </c>
      <c r="G820" s="237">
        <v>5</v>
      </c>
      <c r="H820" s="331">
        <v>2</v>
      </c>
      <c r="I820" s="237">
        <v>3</v>
      </c>
      <c r="J820" s="331">
        <v>6</v>
      </c>
      <c r="K820" s="231"/>
      <c r="L820" s="125"/>
      <c r="M820" s="231"/>
      <c r="N820" s="125"/>
      <c r="O820" s="326"/>
    </row>
    <row r="821" spans="2:15" ht="16" x14ac:dyDescent="0.2">
      <c r="C821" s="118">
        <v>1</v>
      </c>
      <c r="D821" s="382">
        <v>0.36458333333333331</v>
      </c>
      <c r="E821" s="388">
        <v>0.38541666666666669</v>
      </c>
      <c r="F821" s="393"/>
      <c r="G821" s="396">
        <v>28</v>
      </c>
      <c r="H821" s="393"/>
      <c r="I821" s="396"/>
      <c r="J821" s="393"/>
      <c r="K821" s="396"/>
      <c r="L821" s="393"/>
      <c r="M821" s="396"/>
      <c r="N821" s="393"/>
      <c r="O821" s="190"/>
    </row>
    <row r="822" spans="2:15" ht="16" x14ac:dyDescent="0.2">
      <c r="C822" s="119">
        <v>2</v>
      </c>
      <c r="D822" s="383">
        <v>0.38541666666666669</v>
      </c>
      <c r="E822" s="389">
        <v>0.40625</v>
      </c>
      <c r="F822" s="385"/>
      <c r="G822" s="391">
        <v>28</v>
      </c>
      <c r="H822" s="385"/>
      <c r="I822" s="391"/>
      <c r="J822" s="385"/>
      <c r="K822" s="391"/>
      <c r="L822" s="385"/>
      <c r="M822" s="391"/>
      <c r="N822" s="385"/>
      <c r="O822" s="190"/>
    </row>
    <row r="823" spans="2:15" ht="16" x14ac:dyDescent="0.2">
      <c r="C823" s="119">
        <v>3</v>
      </c>
      <c r="D823" s="383">
        <v>0.40625</v>
      </c>
      <c r="E823" s="389">
        <v>0.42708333333333331</v>
      </c>
      <c r="F823" s="385"/>
      <c r="G823" s="391"/>
      <c r="H823" s="385">
        <v>28</v>
      </c>
      <c r="I823" s="391"/>
      <c r="J823" s="385"/>
      <c r="K823" s="391"/>
      <c r="L823" s="384"/>
      <c r="M823" s="391"/>
      <c r="N823" s="385"/>
      <c r="O823" s="190"/>
    </row>
    <row r="824" spans="2:15" ht="16" x14ac:dyDescent="0.2">
      <c r="C824" s="119">
        <v>4</v>
      </c>
      <c r="D824" s="383">
        <v>0.42708333333333331</v>
      </c>
      <c r="E824" s="389">
        <v>0.44791666666666669</v>
      </c>
      <c r="F824" s="385">
        <v>22</v>
      </c>
      <c r="G824" s="391"/>
      <c r="H824" s="316"/>
      <c r="I824" s="391"/>
      <c r="J824" s="385"/>
      <c r="K824" s="391">
        <v>2</v>
      </c>
      <c r="L824" s="402"/>
      <c r="M824" s="391"/>
      <c r="N824" s="385"/>
      <c r="O824" s="190"/>
    </row>
    <row r="825" spans="2:15" ht="16" x14ac:dyDescent="0.2">
      <c r="C825" s="119">
        <v>5</v>
      </c>
      <c r="D825" s="383">
        <v>0.43055555555555558</v>
      </c>
      <c r="E825" s="389">
        <v>0.4513888888888889</v>
      </c>
      <c r="F825" s="385"/>
      <c r="G825" s="391">
        <v>14</v>
      </c>
      <c r="H825" s="316"/>
      <c r="I825" s="391"/>
      <c r="J825" s="385"/>
      <c r="K825" s="391"/>
      <c r="L825" s="393"/>
      <c r="M825" s="391"/>
      <c r="N825" s="385"/>
      <c r="O825" s="190"/>
    </row>
    <row r="826" spans="2:15" ht="16" x14ac:dyDescent="0.2">
      <c r="C826" s="119">
        <v>6</v>
      </c>
      <c r="D826" s="383">
        <v>0.47222222222222227</v>
      </c>
      <c r="E826" s="389">
        <v>0.49305555555555558</v>
      </c>
      <c r="F826" s="385">
        <v>28</v>
      </c>
      <c r="G826" s="391"/>
      <c r="H826" s="316"/>
      <c r="I826" s="391"/>
      <c r="J826" s="385"/>
      <c r="K826" s="391"/>
      <c r="L826" s="393"/>
      <c r="M826" s="391"/>
      <c r="N826" s="385"/>
      <c r="O826" s="190"/>
    </row>
    <row r="827" spans="2:15" ht="16" x14ac:dyDescent="0.2">
      <c r="C827" s="119">
        <v>7</v>
      </c>
      <c r="D827" s="383">
        <v>0.49652777777777773</v>
      </c>
      <c r="E827" s="389">
        <v>0.51736111111111105</v>
      </c>
      <c r="F827" s="385">
        <v>28</v>
      </c>
      <c r="G827" s="391"/>
      <c r="H827" s="316"/>
      <c r="I827" s="391"/>
      <c r="J827" s="385"/>
      <c r="K827" s="391"/>
      <c r="L827" s="393"/>
      <c r="M827" s="391"/>
      <c r="N827" s="385"/>
      <c r="O827" s="190"/>
    </row>
    <row r="828" spans="2:15" ht="16" x14ac:dyDescent="0.2">
      <c r="C828" s="119">
        <v>8</v>
      </c>
      <c r="D828" s="383">
        <v>0.51736111111111105</v>
      </c>
      <c r="E828" s="389">
        <v>0.53819444444444442</v>
      </c>
      <c r="F828" s="385">
        <v>28</v>
      </c>
      <c r="G828" s="391"/>
      <c r="H828" s="316"/>
      <c r="I828" s="391"/>
      <c r="J828" s="385"/>
      <c r="K828" s="391"/>
      <c r="L828" s="385"/>
      <c r="M828" s="391"/>
      <c r="N828" s="385"/>
      <c r="O828" s="190"/>
    </row>
    <row r="829" spans="2:15" ht="16" x14ac:dyDescent="0.2">
      <c r="C829" s="119">
        <v>9</v>
      </c>
      <c r="D829" s="383">
        <v>0.53819444444444442</v>
      </c>
      <c r="E829" s="389">
        <v>0.55902777777777779</v>
      </c>
      <c r="F829" s="385">
        <v>28</v>
      </c>
      <c r="G829" s="391"/>
      <c r="H829" s="316"/>
      <c r="I829" s="391"/>
      <c r="J829" s="385"/>
      <c r="K829" s="391"/>
      <c r="L829" s="385"/>
      <c r="M829" s="391"/>
      <c r="N829" s="385"/>
      <c r="O829" s="190"/>
    </row>
    <row r="830" spans="2:15" ht="16" x14ac:dyDescent="0.2">
      <c r="C830" s="119">
        <v>10</v>
      </c>
      <c r="D830" s="383">
        <v>0.54166666666666663</v>
      </c>
      <c r="E830" s="389">
        <v>0.5625</v>
      </c>
      <c r="F830" s="385"/>
      <c r="G830" s="391"/>
      <c r="H830" s="316"/>
      <c r="I830" s="391"/>
      <c r="J830" s="385">
        <v>36</v>
      </c>
      <c r="K830" s="391"/>
      <c r="L830" s="385"/>
      <c r="M830" s="391"/>
      <c r="N830" s="385"/>
      <c r="O830" s="190"/>
    </row>
    <row r="831" spans="2:15" ht="16" x14ac:dyDescent="0.2">
      <c r="C831" s="119">
        <v>11</v>
      </c>
      <c r="D831" s="383">
        <v>0.5625</v>
      </c>
      <c r="E831" s="389">
        <v>0.58333333333333337</v>
      </c>
      <c r="F831" s="385"/>
      <c r="G831" s="391"/>
      <c r="H831" s="316"/>
      <c r="I831" s="391"/>
      <c r="J831" s="28">
        <v>36</v>
      </c>
      <c r="K831" s="391"/>
      <c r="L831" s="385"/>
      <c r="M831" s="391"/>
      <c r="N831" s="385"/>
      <c r="O831" s="190"/>
    </row>
    <row r="832" spans="2:15" ht="16" x14ac:dyDescent="0.2">
      <c r="C832" s="193">
        <v>12</v>
      </c>
      <c r="D832" s="383">
        <v>0.58333333333333337</v>
      </c>
      <c r="E832" s="389">
        <v>0.60416666666666663</v>
      </c>
      <c r="F832" s="385"/>
      <c r="G832" s="391"/>
      <c r="H832" s="316"/>
      <c r="I832" s="391"/>
      <c r="J832" s="385">
        <v>36</v>
      </c>
      <c r="K832" s="391"/>
      <c r="L832" s="385"/>
      <c r="M832" s="391"/>
      <c r="N832" s="385"/>
      <c r="O832" s="190"/>
    </row>
    <row r="833" spans="3:15" ht="16" x14ac:dyDescent="0.2">
      <c r="C833" s="119">
        <v>13</v>
      </c>
      <c r="D833" s="383">
        <v>0.60763888888888895</v>
      </c>
      <c r="E833" s="389">
        <v>0.62847222222222221</v>
      </c>
      <c r="F833" s="385"/>
      <c r="G833" s="391"/>
      <c r="H833" s="316"/>
      <c r="I833" s="391">
        <v>44</v>
      </c>
      <c r="J833" s="385"/>
      <c r="K833" s="391"/>
      <c r="L833" s="385"/>
      <c r="M833" s="391"/>
      <c r="N833" s="385"/>
      <c r="O833" s="190"/>
    </row>
    <row r="834" spans="3:15" ht="16" x14ac:dyDescent="0.2">
      <c r="C834" s="119">
        <v>14</v>
      </c>
      <c r="D834" s="383">
        <v>0.63541666666666663</v>
      </c>
      <c r="E834" s="389">
        <v>0.65625</v>
      </c>
      <c r="F834" s="385"/>
      <c r="G834" s="391"/>
      <c r="H834" s="316"/>
      <c r="I834" s="391">
        <v>22</v>
      </c>
      <c r="J834" s="385"/>
      <c r="K834" s="391"/>
      <c r="L834" s="385"/>
      <c r="M834" s="391"/>
      <c r="N834" s="385"/>
      <c r="O834" s="190"/>
    </row>
    <row r="835" spans="3:15" ht="16" x14ac:dyDescent="0.2">
      <c r="C835" s="119">
        <v>15</v>
      </c>
      <c r="D835" s="383"/>
      <c r="E835" s="389"/>
      <c r="F835" s="385"/>
      <c r="G835" s="391"/>
      <c r="H835" s="316"/>
      <c r="I835" s="391"/>
      <c r="J835" s="385"/>
      <c r="K835" s="391"/>
      <c r="L835" s="385"/>
      <c r="M835" s="391"/>
      <c r="N835" s="385"/>
      <c r="O835" s="190"/>
    </row>
    <row r="836" spans="3:15" ht="16" x14ac:dyDescent="0.2">
      <c r="C836" s="119">
        <v>16</v>
      </c>
      <c r="D836" s="383"/>
      <c r="E836" s="389"/>
      <c r="F836" s="385"/>
      <c r="G836" s="391"/>
      <c r="H836" s="316"/>
      <c r="I836" s="391"/>
      <c r="J836" s="385"/>
      <c r="K836" s="391"/>
      <c r="L836" s="385"/>
      <c r="M836" s="391"/>
      <c r="N836" s="385"/>
      <c r="O836" s="190"/>
    </row>
    <row r="837" spans="3:15" ht="16" x14ac:dyDescent="0.2">
      <c r="C837" s="119">
        <v>17</v>
      </c>
      <c r="D837" s="383"/>
      <c r="E837" s="389"/>
      <c r="F837" s="384"/>
      <c r="G837" s="33"/>
      <c r="H837" s="316"/>
      <c r="I837" s="390"/>
      <c r="J837" s="385"/>
      <c r="K837" s="391"/>
      <c r="L837" s="385"/>
      <c r="M837" s="391"/>
      <c r="N837" s="385"/>
      <c r="O837" s="190"/>
    </row>
    <row r="838" spans="3:15" ht="16" x14ac:dyDescent="0.2">
      <c r="C838" s="119">
        <v>18</v>
      </c>
      <c r="D838" s="383"/>
      <c r="E838" s="389"/>
      <c r="F838" s="394"/>
      <c r="G838" s="229"/>
      <c r="H838" s="394"/>
      <c r="I838" s="391"/>
      <c r="J838" s="385"/>
      <c r="K838" s="391"/>
      <c r="L838" s="385"/>
      <c r="M838" s="391"/>
      <c r="N838" s="385"/>
      <c r="O838" s="190"/>
    </row>
    <row r="839" spans="3:15" ht="16" x14ac:dyDescent="0.2">
      <c r="C839" s="119">
        <v>19</v>
      </c>
      <c r="D839" s="383"/>
      <c r="E839" s="389"/>
      <c r="F839" s="385"/>
      <c r="G839" s="391"/>
      <c r="H839" s="385"/>
      <c r="I839" s="391"/>
      <c r="J839" s="385"/>
      <c r="K839" s="391"/>
      <c r="L839" s="403"/>
      <c r="M839" s="391"/>
      <c r="N839" s="385"/>
      <c r="O839" s="190"/>
    </row>
    <row r="840" spans="3:15" ht="16" x14ac:dyDescent="0.2">
      <c r="C840" s="119">
        <v>20</v>
      </c>
      <c r="D840" s="383"/>
      <c r="E840" s="389"/>
      <c r="F840" s="385"/>
      <c r="G840" s="391"/>
      <c r="H840" s="385"/>
      <c r="I840" s="391"/>
      <c r="J840" s="385"/>
      <c r="K840" s="391"/>
      <c r="L840" s="403"/>
      <c r="M840" s="391"/>
      <c r="N840" s="385"/>
      <c r="O840" s="190"/>
    </row>
    <row r="841" spans="3:15" ht="16" x14ac:dyDescent="0.2">
      <c r="C841" s="119">
        <v>21</v>
      </c>
      <c r="D841" s="383"/>
      <c r="E841" s="389"/>
      <c r="F841" s="385"/>
      <c r="G841" s="391"/>
      <c r="H841" s="385"/>
      <c r="I841" s="391"/>
      <c r="J841" s="385"/>
      <c r="K841" s="391"/>
      <c r="L841" s="385"/>
      <c r="M841" s="391"/>
      <c r="N841" s="385"/>
      <c r="O841" s="190"/>
    </row>
    <row r="842" spans="3:15" ht="16" x14ac:dyDescent="0.2">
      <c r="C842" s="119">
        <v>22</v>
      </c>
      <c r="D842" s="383"/>
      <c r="E842" s="389"/>
      <c r="F842" s="385"/>
      <c r="G842" s="391"/>
      <c r="H842" s="385"/>
      <c r="I842" s="391"/>
      <c r="J842" s="385"/>
      <c r="K842" s="391"/>
      <c r="L842" s="385"/>
      <c r="M842" s="391"/>
      <c r="N842" s="385"/>
      <c r="O842" s="190"/>
    </row>
    <row r="843" spans="3:15" ht="16" x14ac:dyDescent="0.2">
      <c r="C843" s="119">
        <v>23</v>
      </c>
      <c r="D843" s="383"/>
      <c r="E843" s="389"/>
      <c r="F843" s="385"/>
      <c r="G843" s="391"/>
      <c r="H843" s="385"/>
      <c r="I843" s="391"/>
      <c r="J843" s="385"/>
      <c r="K843" s="391"/>
      <c r="L843" s="385"/>
      <c r="M843" s="391"/>
      <c r="N843" s="385"/>
      <c r="O843" s="190"/>
    </row>
    <row r="844" spans="3:15" ht="16" x14ac:dyDescent="0.2">
      <c r="C844" s="119">
        <v>24</v>
      </c>
      <c r="D844" s="383"/>
      <c r="E844" s="389"/>
      <c r="F844" s="385"/>
      <c r="G844" s="391"/>
      <c r="H844" s="385"/>
      <c r="I844" s="391"/>
      <c r="J844" s="385"/>
      <c r="K844" s="391"/>
      <c r="L844" s="385"/>
      <c r="M844" s="391"/>
      <c r="N844" s="385"/>
      <c r="O844" s="190"/>
    </row>
    <row r="845" spans="3:15" ht="16" x14ac:dyDescent="0.2">
      <c r="C845" s="119">
        <v>25</v>
      </c>
      <c r="D845" s="383"/>
      <c r="E845" s="389"/>
      <c r="F845" s="385"/>
      <c r="G845" s="391"/>
      <c r="H845" s="385"/>
      <c r="I845" s="391"/>
      <c r="J845" s="385"/>
      <c r="K845" s="391"/>
      <c r="L845" s="385"/>
      <c r="M845" s="391"/>
      <c r="N845" s="385"/>
      <c r="O845" s="190"/>
    </row>
    <row r="846" spans="3:15" ht="16" x14ac:dyDescent="0.2">
      <c r="C846" s="119">
        <v>26</v>
      </c>
      <c r="D846" s="383"/>
      <c r="E846" s="389"/>
      <c r="F846" s="385"/>
      <c r="G846" s="391"/>
      <c r="H846" s="385"/>
      <c r="I846" s="391"/>
      <c r="J846" s="385"/>
      <c r="K846" s="391"/>
      <c r="L846" s="385"/>
      <c r="M846" s="391"/>
      <c r="N846" s="385"/>
      <c r="O846" s="190"/>
    </row>
    <row r="847" spans="3:15" ht="16" x14ac:dyDescent="0.2">
      <c r="C847" s="119">
        <v>27</v>
      </c>
      <c r="D847" s="383"/>
      <c r="E847" s="389"/>
      <c r="F847" s="385"/>
      <c r="G847" s="391"/>
      <c r="H847" s="385"/>
      <c r="I847" s="391"/>
      <c r="J847" s="385"/>
      <c r="K847" s="391"/>
      <c r="L847" s="385"/>
      <c r="M847" s="391"/>
      <c r="N847" s="385"/>
      <c r="O847" s="190"/>
    </row>
    <row r="848" spans="3:15" ht="16" x14ac:dyDescent="0.2">
      <c r="C848" s="119">
        <v>28</v>
      </c>
      <c r="D848" s="383"/>
      <c r="E848" s="389"/>
      <c r="F848" s="385"/>
      <c r="G848" s="391"/>
      <c r="H848" s="385"/>
      <c r="I848" s="391"/>
      <c r="J848" s="385"/>
      <c r="K848" s="391"/>
      <c r="L848" s="385"/>
      <c r="M848" s="391"/>
      <c r="N848" s="385"/>
      <c r="O848" s="190"/>
    </row>
    <row r="849" spans="2:15" ht="16" x14ac:dyDescent="0.2">
      <c r="C849" s="119">
        <v>29</v>
      </c>
      <c r="D849" s="383"/>
      <c r="E849" s="389"/>
      <c r="F849" s="385"/>
      <c r="G849" s="391"/>
      <c r="H849" s="385"/>
      <c r="I849" s="391"/>
      <c r="J849" s="385"/>
      <c r="K849" s="391"/>
      <c r="L849" s="385"/>
      <c r="M849" s="391"/>
      <c r="N849" s="385"/>
      <c r="O849" s="190"/>
    </row>
    <row r="850" spans="2:15" ht="16" x14ac:dyDescent="0.2">
      <c r="C850" s="119">
        <v>30</v>
      </c>
      <c r="D850" s="383"/>
      <c r="E850" s="389"/>
      <c r="F850" s="385"/>
      <c r="G850" s="391"/>
      <c r="H850" s="385"/>
      <c r="I850" s="391"/>
      <c r="J850" s="385"/>
      <c r="K850" s="391"/>
      <c r="L850" s="385"/>
      <c r="M850" s="391"/>
      <c r="N850" s="385"/>
      <c r="O850" s="190"/>
    </row>
    <row r="851" spans="2:15" ht="16" x14ac:dyDescent="0.2">
      <c r="C851" s="120">
        <v>31</v>
      </c>
      <c r="D851" s="383"/>
      <c r="E851" s="389"/>
      <c r="F851" s="384"/>
      <c r="G851" s="390"/>
      <c r="H851" s="384"/>
      <c r="I851" s="390"/>
      <c r="J851" s="384"/>
      <c r="K851" s="390"/>
      <c r="L851" s="384"/>
      <c r="M851" s="390"/>
      <c r="N851" s="384"/>
      <c r="O851" s="190"/>
    </row>
    <row r="852" spans="2:15" ht="16" x14ac:dyDescent="0.2">
      <c r="B852" s="256"/>
      <c r="C852" s="377">
        <v>32</v>
      </c>
      <c r="D852" s="384"/>
      <c r="E852" s="390"/>
      <c r="F852" s="384"/>
      <c r="G852" s="390"/>
      <c r="H852" s="384"/>
      <c r="I852" s="390"/>
      <c r="J852" s="384"/>
      <c r="K852" s="390"/>
      <c r="L852" s="384"/>
      <c r="M852" s="390"/>
      <c r="N852" s="384"/>
      <c r="O852" s="190"/>
    </row>
    <row r="853" spans="2:15" ht="16" x14ac:dyDescent="0.2">
      <c r="B853" s="256"/>
      <c r="C853" s="119">
        <v>33</v>
      </c>
      <c r="D853" s="385"/>
      <c r="E853" s="391"/>
      <c r="F853" s="385"/>
      <c r="G853" s="391"/>
      <c r="H853" s="385"/>
      <c r="I853" s="391"/>
      <c r="J853" s="385"/>
      <c r="K853" s="391"/>
      <c r="L853" s="385"/>
      <c r="M853" s="391"/>
      <c r="N853" s="385"/>
      <c r="O853" s="190"/>
    </row>
    <row r="854" spans="2:15" ht="16" x14ac:dyDescent="0.2">
      <c r="B854" s="256"/>
      <c r="C854" s="119">
        <v>34</v>
      </c>
      <c r="D854" s="385"/>
      <c r="E854" s="391"/>
      <c r="F854" s="385"/>
      <c r="G854" s="391"/>
      <c r="H854" s="385"/>
      <c r="I854" s="391"/>
      <c r="J854" s="385"/>
      <c r="K854" s="391"/>
      <c r="L854" s="385"/>
      <c r="M854" s="391"/>
      <c r="N854" s="385"/>
      <c r="O854" s="190"/>
    </row>
    <row r="855" spans="2:15" ht="16" x14ac:dyDescent="0.2">
      <c r="B855" s="256"/>
      <c r="C855" s="119">
        <v>35</v>
      </c>
      <c r="D855" s="385"/>
      <c r="E855" s="391"/>
      <c r="F855" s="385"/>
      <c r="G855" s="391"/>
      <c r="H855" s="385"/>
      <c r="I855" s="391"/>
      <c r="J855" s="385"/>
      <c r="K855" s="391"/>
      <c r="L855" s="385"/>
      <c r="M855" s="391"/>
      <c r="N855" s="385"/>
      <c r="O855" s="190"/>
    </row>
    <row r="856" spans="2:15" ht="16" x14ac:dyDescent="0.2">
      <c r="B856" s="256"/>
      <c r="C856" s="119">
        <v>36</v>
      </c>
      <c r="D856" s="385"/>
      <c r="E856" s="391"/>
      <c r="F856" s="385"/>
      <c r="G856" s="391"/>
      <c r="H856" s="385"/>
      <c r="I856" s="391"/>
      <c r="J856" s="385"/>
      <c r="K856" s="391"/>
      <c r="L856" s="385"/>
      <c r="M856" s="391"/>
      <c r="N856" s="385"/>
      <c r="O856" s="190"/>
    </row>
    <row r="857" spans="2:15" ht="17" thickBot="1" x14ac:dyDescent="0.25">
      <c r="B857" s="256"/>
      <c r="C857" s="378">
        <v>37</v>
      </c>
      <c r="D857" s="386"/>
      <c r="E857" s="392"/>
      <c r="F857" s="386"/>
      <c r="G857" s="392"/>
      <c r="H857" s="386"/>
      <c r="I857" s="392"/>
      <c r="J857" s="386"/>
      <c r="K857" s="392"/>
      <c r="L857" s="386"/>
      <c r="M857" s="392"/>
      <c r="N857" s="386"/>
      <c r="O857" s="190"/>
    </row>
    <row r="858" spans="2:15" ht="17" thickBot="1" x14ac:dyDescent="0.25">
      <c r="C858" s="825" t="s">
        <v>19</v>
      </c>
      <c r="D858" s="826"/>
      <c r="E858" s="380"/>
      <c r="F858" s="376">
        <f>(F821+F822+F823+F824+F825+F826+F842+F829+F830+F827+F828+F831+F832+F833+F834+F835+F836+F837+F838+F839+F840+F841+F843+F844+F846+F847+F848+F849+F850+F851+F852+F853+F854+F857)/2</f>
        <v>67</v>
      </c>
      <c r="G858" s="397">
        <f>(G821+G822+G823+G824+G825+G842+G826+G830+G829+G827+G828+G831+G832+G833+G834+G835+G836+G837+G838+G839+G840+G841+G843+G844+G846+G847+G848+G849+G850+G851+G852+G853)/2</f>
        <v>35</v>
      </c>
      <c r="H858" s="399">
        <f>(H821+H822+H823+H824+H825+H826+H842+H845+H829+H830+H827+H828+H831+H832+H833+H834+H835+H836+H837+H838+H839+H840+H841+H843+H844+H846+H847+H848+H849+H850+H851+H852+H853+H854+H857)/2</f>
        <v>14</v>
      </c>
      <c r="I858" s="398">
        <f>(I821+I822+I823+I824+I825+I855+I856+I826+I842+I829+I845+I830+I827+I828+I831+I832+I833+I834+I835+I836+I837+I838+I839+I840+I841+I843+I844+I846+I847+I848+I849+I850+I851+I852+I853+I854+I857)/2</f>
        <v>33</v>
      </c>
      <c r="J858" s="376">
        <f>(J821+J822+J823+J824+J825+J826+J830+J827+J829+J828+J845+J831+J832+J833+J834+J835+J836+J837+J838+J839+J840+J841+J842+J843+J844+J846+J847+J848+J849+J850+J851+J852+J853)/2</f>
        <v>54</v>
      </c>
      <c r="K858" s="397">
        <f>(K821+K822+K823+K824+K825+K826+K830+K827+K828+K831+K832+K833+K834+K835+K836+K837+K838+K839+K840+K841+K843+K844+K846+K847+K848+K849+K850+K851+K852+K853+K842)</f>
        <v>2</v>
      </c>
      <c r="L858" s="399">
        <f>SUM(L821:L857)</f>
        <v>0</v>
      </c>
      <c r="M858" s="398">
        <f>(M821+M822+M823+M824+M825+M826+M830+M829+M827+M828+M831+M832+M833+M834+M835+M836+M837+M838+M839+M840+M841+M843+M844+M846+M847+M848+M849+M850+M851+M852+M853)/2</f>
        <v>0</v>
      </c>
      <c r="N858" s="376"/>
      <c r="O858" s="41"/>
    </row>
    <row r="859" spans="2:15" ht="17" thickBot="1" x14ac:dyDescent="0.25">
      <c r="C859" s="825" t="s">
        <v>91</v>
      </c>
      <c r="D859" s="826"/>
      <c r="E859" s="381">
        <f>SUM(F858:J858)</f>
        <v>203</v>
      </c>
    </row>
    <row r="860" spans="2:15" ht="16" thickBot="1" x14ac:dyDescent="0.25"/>
    <row r="861" spans="2:15" ht="17" thickBot="1" x14ac:dyDescent="0.25">
      <c r="C861" s="17"/>
      <c r="D861" s="379" t="s">
        <v>83</v>
      </c>
      <c r="E861" s="818" t="s">
        <v>66</v>
      </c>
      <c r="F861" s="819"/>
      <c r="G861" s="819"/>
      <c r="H861" s="819"/>
      <c r="I861" s="819"/>
      <c r="J861" s="400" t="s">
        <v>76</v>
      </c>
      <c r="K861" s="820">
        <v>45680</v>
      </c>
      <c r="L861" s="821"/>
      <c r="M861" s="821"/>
      <c r="N861" s="821"/>
      <c r="O861" s="822"/>
    </row>
    <row r="862" spans="2:15" ht="16" thickBot="1" x14ac:dyDescent="0.25">
      <c r="B862" s="175" t="s">
        <v>76</v>
      </c>
      <c r="C862" s="175" t="s">
        <v>77</v>
      </c>
      <c r="D862" s="823" t="s">
        <v>122</v>
      </c>
      <c r="E862" s="824"/>
      <c r="F862" s="175" t="s">
        <v>104</v>
      </c>
      <c r="G862" s="395" t="s">
        <v>86</v>
      </c>
      <c r="H862" s="175" t="s">
        <v>88</v>
      </c>
      <c r="I862" s="395" t="s">
        <v>87</v>
      </c>
      <c r="J862" s="401" t="s">
        <v>85</v>
      </c>
      <c r="K862" s="395" t="s">
        <v>123</v>
      </c>
      <c r="L862" s="175" t="s">
        <v>124</v>
      </c>
      <c r="M862" s="395" t="s">
        <v>100</v>
      </c>
      <c r="N862" s="175" t="s">
        <v>213</v>
      </c>
      <c r="O862" s="404" t="s">
        <v>125</v>
      </c>
    </row>
    <row r="863" spans="2:15" ht="16" thickBot="1" x14ac:dyDescent="0.25">
      <c r="B863" s="176">
        <f>K861</f>
        <v>45680</v>
      </c>
      <c r="C863" s="374"/>
      <c r="D863" s="375" t="s">
        <v>126</v>
      </c>
      <c r="E863" s="387" t="s">
        <v>127</v>
      </c>
      <c r="F863" s="331">
        <v>15</v>
      </c>
      <c r="G863" s="237">
        <v>9</v>
      </c>
      <c r="H863" s="331">
        <v>4</v>
      </c>
      <c r="I863" s="237">
        <v>6</v>
      </c>
      <c r="J863" s="331">
        <v>11</v>
      </c>
      <c r="K863" s="231"/>
      <c r="L863" s="125"/>
      <c r="M863" s="231"/>
      <c r="N863" s="125"/>
      <c r="O863" s="326"/>
    </row>
    <row r="864" spans="2:15" ht="16" x14ac:dyDescent="0.2">
      <c r="C864" s="118">
        <v>1</v>
      </c>
      <c r="D864" s="382">
        <v>0.41666666666666669</v>
      </c>
      <c r="E864" s="388">
        <v>0.4375</v>
      </c>
      <c r="F864" s="393"/>
      <c r="G864" s="396">
        <v>28</v>
      </c>
      <c r="H864" s="393"/>
      <c r="I864" s="396"/>
      <c r="J864" s="393"/>
      <c r="K864" s="396"/>
      <c r="L864" s="393"/>
      <c r="M864" s="396"/>
      <c r="N864" s="393"/>
      <c r="O864" s="190"/>
    </row>
    <row r="865" spans="3:15" ht="16" x14ac:dyDescent="0.2">
      <c r="C865" s="119">
        <v>2</v>
      </c>
      <c r="D865" s="383">
        <v>0.4375</v>
      </c>
      <c r="E865" s="389">
        <v>0.45833333333333331</v>
      </c>
      <c r="F865" s="385"/>
      <c r="G865" s="391">
        <v>28</v>
      </c>
      <c r="H865" s="385"/>
      <c r="I865" s="391"/>
      <c r="J865" s="385"/>
      <c r="K865" s="391"/>
      <c r="L865" s="385"/>
      <c r="M865" s="391"/>
      <c r="N865" s="385"/>
      <c r="O865" s="190"/>
    </row>
    <row r="866" spans="3:15" ht="16" x14ac:dyDescent="0.2">
      <c r="C866" s="119">
        <v>3</v>
      </c>
      <c r="D866" s="383">
        <v>0.45833333333333331</v>
      </c>
      <c r="E866" s="389">
        <v>0.47916666666666669</v>
      </c>
      <c r="F866" s="385"/>
      <c r="G866" s="391">
        <v>28</v>
      </c>
      <c r="H866" s="385"/>
      <c r="I866" s="391"/>
      <c r="J866" s="385"/>
      <c r="K866" s="391"/>
      <c r="L866" s="384"/>
      <c r="M866" s="391"/>
      <c r="N866" s="385"/>
      <c r="O866" s="190"/>
    </row>
    <row r="867" spans="3:15" ht="16" x14ac:dyDescent="0.2">
      <c r="C867" s="119">
        <v>4</v>
      </c>
      <c r="D867" s="383">
        <v>0.47916666666666669</v>
      </c>
      <c r="E867" s="389">
        <v>0.5</v>
      </c>
      <c r="F867" s="385"/>
      <c r="G867" s="391">
        <v>28</v>
      </c>
      <c r="H867" s="316"/>
      <c r="I867" s="391"/>
      <c r="J867" s="385"/>
      <c r="K867" s="391"/>
      <c r="L867" s="402"/>
      <c r="M867" s="391"/>
      <c r="N867" s="385"/>
      <c r="O867" s="190"/>
    </row>
    <row r="868" spans="3:15" ht="16" x14ac:dyDescent="0.2">
      <c r="C868" s="119">
        <v>5</v>
      </c>
      <c r="D868" s="383">
        <v>0.48958333333333331</v>
      </c>
      <c r="E868" s="389">
        <v>0.51041666666666663</v>
      </c>
      <c r="F868" s="385"/>
      <c r="G868" s="391"/>
      <c r="H868" s="316">
        <v>28</v>
      </c>
      <c r="I868" s="391"/>
      <c r="J868" s="385"/>
      <c r="K868" s="391"/>
      <c r="L868" s="393"/>
      <c r="M868" s="391"/>
      <c r="N868" s="385"/>
      <c r="O868" s="190"/>
    </row>
    <row r="869" spans="3:15" ht="16" x14ac:dyDescent="0.2">
      <c r="C869" s="119">
        <v>6</v>
      </c>
      <c r="D869" s="383">
        <v>0.51041666666666663</v>
      </c>
      <c r="E869" s="389">
        <v>0.53125</v>
      </c>
      <c r="F869" s="385"/>
      <c r="G869" s="391"/>
      <c r="H869" s="316">
        <v>28</v>
      </c>
      <c r="I869" s="391"/>
      <c r="J869" s="385"/>
      <c r="K869" s="391"/>
      <c r="L869" s="393"/>
      <c r="M869" s="391"/>
      <c r="N869" s="385"/>
      <c r="O869" s="190"/>
    </row>
    <row r="870" spans="3:15" ht="16" x14ac:dyDescent="0.2">
      <c r="C870" s="119">
        <v>7</v>
      </c>
      <c r="D870" s="383">
        <v>0.51388888888888895</v>
      </c>
      <c r="E870" s="389">
        <v>0.53472222222222221</v>
      </c>
      <c r="F870" s="385"/>
      <c r="G870" s="391">
        <v>14</v>
      </c>
      <c r="H870" s="316"/>
      <c r="I870" s="391"/>
      <c r="J870" s="385"/>
      <c r="K870" s="391"/>
      <c r="L870" s="393"/>
      <c r="M870" s="391"/>
      <c r="N870" s="385"/>
      <c r="O870" s="190"/>
    </row>
    <row r="871" spans="3:15" ht="16" x14ac:dyDescent="0.2">
      <c r="C871" s="119">
        <v>8</v>
      </c>
      <c r="D871" s="383">
        <v>0.51388888888888895</v>
      </c>
      <c r="E871" s="389">
        <v>0.53472222222222221</v>
      </c>
      <c r="F871" s="385">
        <v>28</v>
      </c>
      <c r="G871" s="391"/>
      <c r="H871" s="316"/>
      <c r="I871" s="391"/>
      <c r="J871" s="385"/>
      <c r="K871" s="391"/>
      <c r="L871" s="385"/>
      <c r="M871" s="391"/>
      <c r="N871" s="385"/>
      <c r="O871" s="190"/>
    </row>
    <row r="872" spans="3:15" ht="16" x14ac:dyDescent="0.2">
      <c r="C872" s="119">
        <v>9</v>
      </c>
      <c r="D872" s="383">
        <v>0.53472222222222221</v>
      </c>
      <c r="E872" s="389">
        <v>0.55555555555555558</v>
      </c>
      <c r="F872" s="385">
        <v>28</v>
      </c>
      <c r="G872" s="391"/>
      <c r="H872" s="316"/>
      <c r="I872" s="391"/>
      <c r="J872" s="385"/>
      <c r="K872" s="391"/>
      <c r="L872" s="385"/>
      <c r="M872" s="391"/>
      <c r="N872" s="385"/>
      <c r="O872" s="190"/>
    </row>
    <row r="873" spans="3:15" ht="16" x14ac:dyDescent="0.2">
      <c r="C873" s="119">
        <v>10</v>
      </c>
      <c r="D873" s="383">
        <v>0.55555555555555558</v>
      </c>
      <c r="E873" s="389">
        <v>0.57638888888888895</v>
      </c>
      <c r="F873" s="385">
        <v>28</v>
      </c>
      <c r="G873" s="391"/>
      <c r="H873" s="316"/>
      <c r="I873" s="391"/>
      <c r="J873" s="385"/>
      <c r="K873" s="391"/>
      <c r="L873" s="385"/>
      <c r="M873" s="391"/>
      <c r="N873" s="385"/>
      <c r="O873" s="190"/>
    </row>
    <row r="874" spans="3:15" ht="16" x14ac:dyDescent="0.2">
      <c r="C874" s="119">
        <v>11</v>
      </c>
      <c r="D874" s="383">
        <v>0.57638888888888895</v>
      </c>
      <c r="E874" s="389">
        <v>0.59027777777777779</v>
      </c>
      <c r="F874" s="385">
        <v>28</v>
      </c>
      <c r="G874" s="391"/>
      <c r="H874" s="316"/>
      <c r="I874" s="391"/>
      <c r="J874" s="28"/>
      <c r="K874" s="391"/>
      <c r="L874" s="385"/>
      <c r="M874" s="391"/>
      <c r="N874" s="385"/>
      <c r="O874" s="190"/>
    </row>
    <row r="875" spans="3:15" ht="16" x14ac:dyDescent="0.2">
      <c r="C875" s="193">
        <v>12</v>
      </c>
      <c r="D875" s="383">
        <v>0.59027777777777779</v>
      </c>
      <c r="E875" s="389">
        <v>0.61111111111111105</v>
      </c>
      <c r="F875" s="385">
        <v>28</v>
      </c>
      <c r="G875" s="391"/>
      <c r="H875" s="316"/>
      <c r="I875" s="391"/>
      <c r="J875" s="385"/>
      <c r="K875" s="391"/>
      <c r="L875" s="385"/>
      <c r="M875" s="391"/>
      <c r="N875" s="385"/>
      <c r="O875" s="190"/>
    </row>
    <row r="876" spans="3:15" ht="16" x14ac:dyDescent="0.2">
      <c r="C876" s="119">
        <v>13</v>
      </c>
      <c r="D876" s="383">
        <v>0.61111111111111105</v>
      </c>
      <c r="E876" s="389">
        <v>0.63194444444444442</v>
      </c>
      <c r="F876" s="385">
        <v>28</v>
      </c>
      <c r="G876" s="391"/>
      <c r="H876" s="316"/>
      <c r="I876" s="391"/>
      <c r="J876" s="385"/>
      <c r="K876" s="391"/>
      <c r="L876" s="385"/>
      <c r="M876" s="391"/>
      <c r="N876" s="385"/>
      <c r="O876" s="190"/>
    </row>
    <row r="877" spans="3:15" ht="16" x14ac:dyDescent="0.2">
      <c r="C877" s="119">
        <v>14</v>
      </c>
      <c r="D877" s="383">
        <v>0.63194444444444442</v>
      </c>
      <c r="E877" s="389">
        <v>0.65277777777777779</v>
      </c>
      <c r="F877" s="385">
        <v>28</v>
      </c>
      <c r="G877" s="391"/>
      <c r="H877" s="316"/>
      <c r="I877" s="391"/>
      <c r="J877" s="385"/>
      <c r="K877" s="391"/>
      <c r="L877" s="385"/>
      <c r="M877" s="391"/>
      <c r="N877" s="385"/>
      <c r="O877" s="190"/>
    </row>
    <row r="878" spans="3:15" ht="16" x14ac:dyDescent="0.2">
      <c r="C878" s="119">
        <v>15</v>
      </c>
      <c r="D878" s="383">
        <v>0.65277777777777779</v>
      </c>
      <c r="E878" s="389">
        <v>0.67361111111111116</v>
      </c>
      <c r="F878" s="385">
        <v>14</v>
      </c>
      <c r="G878" s="391"/>
      <c r="H878" s="316"/>
      <c r="I878" s="391"/>
      <c r="J878" s="385"/>
      <c r="K878" s="391"/>
      <c r="L878" s="385"/>
      <c r="M878" s="391"/>
      <c r="N878" s="385"/>
      <c r="O878" s="190"/>
    </row>
    <row r="879" spans="3:15" ht="16" x14ac:dyDescent="0.2">
      <c r="C879" s="119">
        <v>16</v>
      </c>
      <c r="D879" s="383">
        <v>0.70138888888888884</v>
      </c>
      <c r="E879" s="389">
        <v>0.72222222222222221</v>
      </c>
      <c r="F879" s="385"/>
      <c r="G879" s="391"/>
      <c r="H879" s="316"/>
      <c r="I879" s="391"/>
      <c r="J879" s="385">
        <v>36</v>
      </c>
      <c r="K879" s="391"/>
      <c r="L879" s="385"/>
      <c r="M879" s="391"/>
      <c r="N879" s="385"/>
      <c r="O879" s="190"/>
    </row>
    <row r="880" spans="3:15" ht="16" x14ac:dyDescent="0.2">
      <c r="C880" s="119">
        <v>17</v>
      </c>
      <c r="D880" s="383">
        <v>0.72222222222222221</v>
      </c>
      <c r="E880" s="389">
        <v>0.74305555555555547</v>
      </c>
      <c r="F880" s="384"/>
      <c r="G880" s="33"/>
      <c r="H880" s="316"/>
      <c r="I880" s="390"/>
      <c r="J880" s="385">
        <v>36</v>
      </c>
      <c r="K880" s="391"/>
      <c r="L880" s="385"/>
      <c r="M880" s="391"/>
      <c r="N880" s="385"/>
      <c r="O880" s="190"/>
    </row>
    <row r="881" spans="2:15" ht="16" x14ac:dyDescent="0.2">
      <c r="C881" s="119">
        <v>18</v>
      </c>
      <c r="D881" s="383">
        <v>0.74652777777777779</v>
      </c>
      <c r="E881" s="389">
        <v>0.76736111111111116</v>
      </c>
      <c r="F881" s="394"/>
      <c r="G881" s="229"/>
      <c r="H881" s="394"/>
      <c r="I881" s="391"/>
      <c r="J881" s="385">
        <v>36</v>
      </c>
      <c r="K881" s="391"/>
      <c r="L881" s="385"/>
      <c r="M881" s="391"/>
      <c r="N881" s="385"/>
      <c r="O881" s="190"/>
    </row>
    <row r="882" spans="2:15" ht="16" x14ac:dyDescent="0.2">
      <c r="C882" s="119">
        <v>19</v>
      </c>
      <c r="D882" s="383">
        <v>0.76736111111111116</v>
      </c>
      <c r="E882" s="389">
        <v>0.78819444444444453</v>
      </c>
      <c r="F882" s="385"/>
      <c r="G882" s="391"/>
      <c r="H882" s="385"/>
      <c r="I882" s="391"/>
      <c r="J882" s="385">
        <v>34</v>
      </c>
      <c r="K882" s="391"/>
      <c r="L882" s="403"/>
      <c r="M882" s="391"/>
      <c r="N882" s="385"/>
      <c r="O882" s="190"/>
    </row>
    <row r="883" spans="2:15" ht="16" x14ac:dyDescent="0.2">
      <c r="C883" s="119">
        <v>20</v>
      </c>
      <c r="D883" s="383">
        <v>0.79166666666666663</v>
      </c>
      <c r="E883" s="389">
        <v>0.8125</v>
      </c>
      <c r="F883" s="385"/>
      <c r="G883" s="391"/>
      <c r="H883" s="385"/>
      <c r="I883" s="391"/>
      <c r="J883" s="385">
        <v>36</v>
      </c>
      <c r="K883" s="391"/>
      <c r="L883" s="403"/>
      <c r="M883" s="391"/>
      <c r="N883" s="385"/>
      <c r="O883" s="190"/>
    </row>
    <row r="884" spans="2:15" ht="16" x14ac:dyDescent="0.2">
      <c r="C884" s="119">
        <v>21</v>
      </c>
      <c r="D884" s="383">
        <v>0.8125</v>
      </c>
      <c r="E884" s="389">
        <v>0.83333333333333337</v>
      </c>
      <c r="F884" s="385"/>
      <c r="G884" s="391"/>
      <c r="H884" s="385"/>
      <c r="I884" s="391"/>
      <c r="J884" s="385">
        <v>18</v>
      </c>
      <c r="K884" s="391"/>
      <c r="L884" s="385"/>
      <c r="M884" s="391"/>
      <c r="N884" s="385"/>
      <c r="O884" s="190"/>
    </row>
    <row r="885" spans="2:15" ht="16" x14ac:dyDescent="0.2">
      <c r="C885" s="119">
        <v>22</v>
      </c>
      <c r="D885" s="383">
        <v>0.83333333333333337</v>
      </c>
      <c r="E885" s="389">
        <v>0.85416666666666663</v>
      </c>
      <c r="F885" s="385"/>
      <c r="G885" s="391"/>
      <c r="H885" s="385"/>
      <c r="I885" s="391">
        <v>44</v>
      </c>
      <c r="J885" s="385"/>
      <c r="K885" s="391"/>
      <c r="L885" s="385"/>
      <c r="M885" s="391"/>
      <c r="N885" s="385"/>
      <c r="O885" s="190"/>
    </row>
    <row r="886" spans="2:15" ht="16" x14ac:dyDescent="0.2">
      <c r="C886" s="119">
        <v>23</v>
      </c>
      <c r="D886" s="383">
        <v>0.85416666666666663</v>
      </c>
      <c r="E886" s="389">
        <v>0.875</v>
      </c>
      <c r="F886" s="385"/>
      <c r="G886" s="391"/>
      <c r="H886" s="385"/>
      <c r="I886" s="391">
        <v>44</v>
      </c>
      <c r="J886" s="385"/>
      <c r="K886" s="391"/>
      <c r="L886" s="385"/>
      <c r="M886" s="391"/>
      <c r="N886" s="385"/>
      <c r="O886" s="190"/>
    </row>
    <row r="887" spans="2:15" ht="16" x14ac:dyDescent="0.2">
      <c r="C887" s="119">
        <v>24</v>
      </c>
      <c r="D887" s="383">
        <v>0.875</v>
      </c>
      <c r="E887" s="389">
        <v>0.89583333333333337</v>
      </c>
      <c r="F887" s="385"/>
      <c r="G887" s="391"/>
      <c r="H887" s="385"/>
      <c r="I887" s="391">
        <v>44</v>
      </c>
      <c r="J887" s="385"/>
      <c r="K887" s="391"/>
      <c r="L887" s="385"/>
      <c r="M887" s="391"/>
      <c r="N887" s="385"/>
      <c r="O887" s="190"/>
    </row>
    <row r="888" spans="2:15" ht="16" x14ac:dyDescent="0.2">
      <c r="C888" s="119">
        <v>25</v>
      </c>
      <c r="D888" s="383"/>
      <c r="E888" s="389"/>
      <c r="F888" s="385"/>
      <c r="G888" s="391"/>
      <c r="H888" s="385"/>
      <c r="I888" s="391"/>
      <c r="J888" s="385"/>
      <c r="K888" s="391"/>
      <c r="L888" s="385"/>
      <c r="M888" s="391"/>
      <c r="N888" s="385"/>
      <c r="O888" s="190"/>
    </row>
    <row r="889" spans="2:15" ht="16" x14ac:dyDescent="0.2">
      <c r="C889" s="119">
        <v>26</v>
      </c>
      <c r="D889" s="383"/>
      <c r="E889" s="389"/>
      <c r="F889" s="385"/>
      <c r="G889" s="391"/>
      <c r="H889" s="385"/>
      <c r="I889" s="391"/>
      <c r="J889" s="385"/>
      <c r="K889" s="391"/>
      <c r="L889" s="385"/>
      <c r="M889" s="391"/>
      <c r="N889" s="385"/>
      <c r="O889" s="190"/>
    </row>
    <row r="890" spans="2:15" ht="16" x14ac:dyDescent="0.2">
      <c r="C890" s="119">
        <v>27</v>
      </c>
      <c r="D890" s="383"/>
      <c r="E890" s="389"/>
      <c r="F890" s="385"/>
      <c r="G890" s="391"/>
      <c r="H890" s="385"/>
      <c r="I890" s="391"/>
      <c r="J890" s="385"/>
      <c r="K890" s="391"/>
      <c r="L890" s="385"/>
      <c r="M890" s="391"/>
      <c r="N890" s="385"/>
      <c r="O890" s="190"/>
    </row>
    <row r="891" spans="2:15" ht="16" x14ac:dyDescent="0.2">
      <c r="C891" s="119">
        <v>28</v>
      </c>
      <c r="D891" s="383"/>
      <c r="E891" s="389"/>
      <c r="F891" s="385"/>
      <c r="G891" s="391"/>
      <c r="H891" s="385"/>
      <c r="I891" s="391"/>
      <c r="J891" s="385"/>
      <c r="K891" s="391"/>
      <c r="L891" s="385"/>
      <c r="M891" s="391"/>
      <c r="N891" s="385"/>
      <c r="O891" s="190"/>
    </row>
    <row r="892" spans="2:15" ht="16" x14ac:dyDescent="0.2">
      <c r="C892" s="119">
        <v>29</v>
      </c>
      <c r="D892" s="383"/>
      <c r="E892" s="389"/>
      <c r="F892" s="385"/>
      <c r="G892" s="391"/>
      <c r="H892" s="385"/>
      <c r="I892" s="391"/>
      <c r="J892" s="385"/>
      <c r="K892" s="391"/>
      <c r="L892" s="385"/>
      <c r="M892" s="391"/>
      <c r="N892" s="385"/>
      <c r="O892" s="190"/>
    </row>
    <row r="893" spans="2:15" ht="16" x14ac:dyDescent="0.2">
      <c r="C893" s="119">
        <v>30</v>
      </c>
      <c r="D893" s="383"/>
      <c r="E893" s="389"/>
      <c r="F893" s="385"/>
      <c r="G893" s="391"/>
      <c r="H893" s="385"/>
      <c r="I893" s="391"/>
      <c r="J893" s="385"/>
      <c r="K893" s="391"/>
      <c r="L893" s="385"/>
      <c r="M893" s="391"/>
      <c r="N893" s="385"/>
      <c r="O893" s="190"/>
    </row>
    <row r="894" spans="2:15" ht="16" x14ac:dyDescent="0.2">
      <c r="C894" s="120">
        <v>31</v>
      </c>
      <c r="D894" s="383"/>
      <c r="E894" s="389"/>
      <c r="F894" s="384"/>
      <c r="G894" s="390"/>
      <c r="H894" s="384"/>
      <c r="I894" s="390"/>
      <c r="J894" s="384"/>
      <c r="K894" s="390"/>
      <c r="L894" s="384"/>
      <c r="M894" s="390"/>
      <c r="N894" s="384"/>
      <c r="O894" s="190"/>
    </row>
    <row r="895" spans="2:15" ht="16" x14ac:dyDescent="0.2">
      <c r="B895" s="256"/>
      <c r="C895" s="377">
        <v>32</v>
      </c>
      <c r="D895" s="384"/>
      <c r="E895" s="390"/>
      <c r="F895" s="384"/>
      <c r="G895" s="390"/>
      <c r="H895" s="384"/>
      <c r="I895" s="390"/>
      <c r="J895" s="384"/>
      <c r="K895" s="390"/>
      <c r="L895" s="384"/>
      <c r="M895" s="390"/>
      <c r="N895" s="384"/>
      <c r="O895" s="190"/>
    </row>
    <row r="896" spans="2:15" ht="16" x14ac:dyDescent="0.2">
      <c r="B896" s="256"/>
      <c r="C896" s="119">
        <v>33</v>
      </c>
      <c r="D896" s="385"/>
      <c r="E896" s="391"/>
      <c r="F896" s="385"/>
      <c r="G896" s="391"/>
      <c r="H896" s="385"/>
      <c r="I896" s="391"/>
      <c r="J896" s="385"/>
      <c r="K896" s="391"/>
      <c r="L896" s="385"/>
      <c r="M896" s="391"/>
      <c r="N896" s="385"/>
      <c r="O896" s="190"/>
    </row>
    <row r="897" spans="2:15" ht="16" x14ac:dyDescent="0.2">
      <c r="B897" s="256"/>
      <c r="C897" s="119">
        <v>34</v>
      </c>
      <c r="D897" s="385"/>
      <c r="E897" s="391"/>
      <c r="F897" s="385"/>
      <c r="G897" s="391"/>
      <c r="H897" s="385"/>
      <c r="I897" s="391"/>
      <c r="J897" s="385"/>
      <c r="K897" s="391"/>
      <c r="L897" s="385"/>
      <c r="M897" s="391"/>
      <c r="N897" s="385"/>
      <c r="O897" s="190"/>
    </row>
    <row r="898" spans="2:15" ht="16" x14ac:dyDescent="0.2">
      <c r="B898" s="256"/>
      <c r="C898" s="119">
        <v>35</v>
      </c>
      <c r="D898" s="385"/>
      <c r="E898" s="391"/>
      <c r="F898" s="385"/>
      <c r="G898" s="391"/>
      <c r="H898" s="385"/>
      <c r="I898" s="391"/>
      <c r="J898" s="385"/>
      <c r="K898" s="391"/>
      <c r="L898" s="385"/>
      <c r="M898" s="391"/>
      <c r="N898" s="385"/>
      <c r="O898" s="190"/>
    </row>
    <row r="899" spans="2:15" ht="16" x14ac:dyDescent="0.2">
      <c r="B899" s="256"/>
      <c r="C899" s="119">
        <v>36</v>
      </c>
      <c r="D899" s="385"/>
      <c r="E899" s="391"/>
      <c r="F899" s="385"/>
      <c r="G899" s="391"/>
      <c r="H899" s="385"/>
      <c r="I899" s="391"/>
      <c r="J899" s="385"/>
      <c r="K899" s="391"/>
      <c r="L899" s="385"/>
      <c r="M899" s="391"/>
      <c r="N899" s="385"/>
      <c r="O899" s="190"/>
    </row>
    <row r="900" spans="2:15" ht="17" thickBot="1" x14ac:dyDescent="0.25">
      <c r="B900" s="256"/>
      <c r="C900" s="378">
        <v>37</v>
      </c>
      <c r="D900" s="386"/>
      <c r="E900" s="392"/>
      <c r="F900" s="386"/>
      <c r="G900" s="392"/>
      <c r="H900" s="386"/>
      <c r="I900" s="392"/>
      <c r="J900" s="386"/>
      <c r="K900" s="392"/>
      <c r="L900" s="386"/>
      <c r="M900" s="392"/>
      <c r="N900" s="386"/>
      <c r="O900" s="190"/>
    </row>
    <row r="901" spans="2:15" ht="17" thickBot="1" x14ac:dyDescent="0.25">
      <c r="C901" s="825" t="s">
        <v>19</v>
      </c>
      <c r="D901" s="826"/>
      <c r="E901" s="380"/>
      <c r="F901" s="376">
        <f>(F864+F865+F866+F867+F868+F869+F885+F872+F873+F870+F871+F874+F875+F876+F877+F878+F879+F880+F881+F882+F883+F884+F886+F887+F889+F890+F891+F892+F893+F894+F895+F896+F897+F900)/2</f>
        <v>105</v>
      </c>
      <c r="G901" s="397">
        <f>(G864+G865+G866+G867+G868+G885+G869+G873+G872+G870+G871+G874+G875+G876+G877+G878+G879+G880+G881+G882+G883+G884+G886+G887+G889+G890+G891+G892+G893+G894+G895+G896)/2</f>
        <v>63</v>
      </c>
      <c r="H901" s="399">
        <f>(H864+H865+H866+H867+H868+H869+H885+H888+H872+H873+H870+H871+H874+H875+H876+H877+H878+H879+H880+H881+H882+H883+H884+H886+H887+H889+H890+H891+H892+H893+H894+H895+H896+H897+H900)/2</f>
        <v>28</v>
      </c>
      <c r="I901" s="398">
        <f>(I864+I865+I866+I867+I868+I898+I899+I869+I885+I872+I888+I873+I870+I871+I874+I875+I876+I877+I878+I879+I880+I881+I882+I883+I884+I886+I887+I889+I890+I891+I892+I893+I894+I895+I896+I897+I900)/2</f>
        <v>66</v>
      </c>
      <c r="J901" s="376">
        <f>(J864+J865+J866+J867+J868+J869+J873+J870+J872+J871+J888+J874+J875+J876+J877+J878+J879+J880+J881+J882+J883+J884+J885+J886+J887+J889+J890+J891+J892+J893+J894+J895+J896)/2</f>
        <v>98</v>
      </c>
      <c r="K901" s="397">
        <f>(K864+K865+K866+K867+K868+K869+K873+K870+K871+K874+K875+K876+K877+K878+K879+K880+K881+K882+K883+K884+K886+K887+K889+K890+K891+K892+K893+K894+K895+K896+K885)</f>
        <v>0</v>
      </c>
      <c r="L901" s="399">
        <f>SUM(L864:L900)</f>
        <v>0</v>
      </c>
      <c r="M901" s="398">
        <f>(M864+M865+M866+M867+M868+M869+M873+M872+M870+M871+M874+M875+M876+M877+M878+M879+M880+M881+M882+M883+M884+M886+M887+M889+M890+M891+M892+M893+M894+M895+M896)/2</f>
        <v>0</v>
      </c>
      <c r="N901" s="376"/>
      <c r="O901" s="41"/>
    </row>
    <row r="902" spans="2:15" ht="17" thickBot="1" x14ac:dyDescent="0.25">
      <c r="C902" s="825" t="s">
        <v>91</v>
      </c>
      <c r="D902" s="826"/>
      <c r="E902" s="381">
        <f>SUM(F901:J901)</f>
        <v>360</v>
      </c>
    </row>
    <row r="903" spans="2:15" ht="16" thickBot="1" x14ac:dyDescent="0.25"/>
    <row r="904" spans="2:15" ht="17" thickBot="1" x14ac:dyDescent="0.25">
      <c r="C904" s="17"/>
      <c r="D904" s="379" t="s">
        <v>83</v>
      </c>
      <c r="E904" s="818" t="s">
        <v>69</v>
      </c>
      <c r="F904" s="819"/>
      <c r="G904" s="819"/>
      <c r="H904" s="819"/>
      <c r="I904" s="819"/>
      <c r="J904" s="400" t="s">
        <v>76</v>
      </c>
      <c r="K904" s="820">
        <v>45683</v>
      </c>
      <c r="L904" s="821"/>
      <c r="M904" s="821"/>
      <c r="N904" s="821"/>
      <c r="O904" s="822"/>
    </row>
    <row r="905" spans="2:15" ht="16" thickBot="1" x14ac:dyDescent="0.25">
      <c r="B905" s="175" t="s">
        <v>76</v>
      </c>
      <c r="C905" s="175" t="s">
        <v>77</v>
      </c>
      <c r="D905" s="823" t="s">
        <v>122</v>
      </c>
      <c r="E905" s="824"/>
      <c r="F905" s="175" t="s">
        <v>104</v>
      </c>
      <c r="G905" s="395" t="s">
        <v>86</v>
      </c>
      <c r="H905" s="175" t="s">
        <v>88</v>
      </c>
      <c r="I905" s="395" t="s">
        <v>87</v>
      </c>
      <c r="J905" s="401" t="s">
        <v>85</v>
      </c>
      <c r="K905" s="395" t="s">
        <v>123</v>
      </c>
      <c r="L905" s="175" t="s">
        <v>124</v>
      </c>
      <c r="M905" s="395" t="s">
        <v>100</v>
      </c>
      <c r="N905" s="175" t="s">
        <v>213</v>
      </c>
      <c r="O905" s="404" t="s">
        <v>125</v>
      </c>
    </row>
    <row r="906" spans="2:15" ht="16" thickBot="1" x14ac:dyDescent="0.25">
      <c r="B906" s="176">
        <f>K904</f>
        <v>45683</v>
      </c>
      <c r="C906" s="374"/>
      <c r="D906" s="375" t="s">
        <v>126</v>
      </c>
      <c r="E906" s="387" t="s">
        <v>127</v>
      </c>
      <c r="F906" s="331">
        <v>12</v>
      </c>
      <c r="G906" s="237">
        <v>8</v>
      </c>
      <c r="H906" s="331">
        <v>3</v>
      </c>
      <c r="I906" s="237">
        <v>4</v>
      </c>
      <c r="J906" s="331">
        <v>10</v>
      </c>
      <c r="K906" s="231"/>
      <c r="L906" s="125"/>
      <c r="M906" s="231"/>
      <c r="N906" s="125"/>
      <c r="O906" s="326"/>
    </row>
    <row r="907" spans="2:15" ht="16" x14ac:dyDescent="0.2">
      <c r="C907" s="118">
        <v>1</v>
      </c>
      <c r="D907" s="382">
        <v>0.375</v>
      </c>
      <c r="E907" s="388">
        <v>0.39583333333333331</v>
      </c>
      <c r="F907" s="393"/>
      <c r="G907" s="396"/>
      <c r="H907" s="393"/>
      <c r="I907" s="396"/>
      <c r="J907" s="393">
        <v>36</v>
      </c>
      <c r="K907" s="396"/>
      <c r="L907" s="393"/>
      <c r="M907" s="396"/>
      <c r="N907" s="393"/>
      <c r="O907" s="190"/>
    </row>
    <row r="908" spans="2:15" ht="16" x14ac:dyDescent="0.2">
      <c r="C908" s="119">
        <v>2</v>
      </c>
      <c r="D908" s="383">
        <v>0.39583333333333331</v>
      </c>
      <c r="E908" s="389">
        <v>0.41666666666666669</v>
      </c>
      <c r="F908" s="385">
        <v>28</v>
      </c>
      <c r="G908" s="391"/>
      <c r="H908" s="385"/>
      <c r="I908" s="391"/>
      <c r="J908" s="385"/>
      <c r="K908" s="391"/>
      <c r="L908" s="385"/>
      <c r="M908" s="391"/>
      <c r="N908" s="385"/>
      <c r="O908" s="190"/>
    </row>
    <row r="909" spans="2:15" ht="16" x14ac:dyDescent="0.2">
      <c r="C909" s="119">
        <v>3</v>
      </c>
      <c r="D909" s="383">
        <v>0.4201388888888889</v>
      </c>
      <c r="E909" s="389">
        <v>0.44097222222222227</v>
      </c>
      <c r="F909" s="385">
        <v>28</v>
      </c>
      <c r="G909" s="391"/>
      <c r="H909" s="385"/>
      <c r="I909" s="391"/>
      <c r="J909" s="385"/>
      <c r="K909" s="391"/>
      <c r="L909" s="384"/>
      <c r="M909" s="391"/>
      <c r="N909" s="385"/>
      <c r="O909" s="190"/>
    </row>
    <row r="910" spans="2:15" ht="16" x14ac:dyDescent="0.2">
      <c r="C910" s="119">
        <v>4</v>
      </c>
      <c r="D910" s="383">
        <v>0.44097222222222227</v>
      </c>
      <c r="E910" s="389">
        <v>0.46180555555555558</v>
      </c>
      <c r="F910" s="385">
        <v>28</v>
      </c>
      <c r="G910" s="391"/>
      <c r="H910" s="316"/>
      <c r="I910" s="391"/>
      <c r="J910" s="385"/>
      <c r="K910" s="391"/>
      <c r="L910" s="402"/>
      <c r="M910" s="391"/>
      <c r="N910" s="385"/>
      <c r="O910" s="190"/>
    </row>
    <row r="911" spans="2:15" ht="16" x14ac:dyDescent="0.2">
      <c r="C911" s="119">
        <v>5</v>
      </c>
      <c r="D911" s="383">
        <v>0.46180555555555558</v>
      </c>
      <c r="E911" s="389">
        <v>0.4826388888888889</v>
      </c>
      <c r="F911" s="385">
        <v>28</v>
      </c>
      <c r="G911" s="391"/>
      <c r="H911" s="316"/>
      <c r="I911" s="391"/>
      <c r="J911" s="385"/>
      <c r="K911" s="391"/>
      <c r="L911" s="393"/>
      <c r="M911" s="391"/>
      <c r="N911" s="385"/>
      <c r="O911" s="190"/>
    </row>
    <row r="912" spans="2:15" ht="16" x14ac:dyDescent="0.2">
      <c r="C912" s="119">
        <v>6</v>
      </c>
      <c r="D912" s="383">
        <v>0.4826388888888889</v>
      </c>
      <c r="E912" s="389">
        <v>0.50347222222222221</v>
      </c>
      <c r="F912" s="385">
        <v>28</v>
      </c>
      <c r="G912" s="391"/>
      <c r="H912" s="316"/>
      <c r="I912" s="391"/>
      <c r="J912" s="385"/>
      <c r="K912" s="391"/>
      <c r="L912" s="393"/>
      <c r="M912" s="391"/>
      <c r="N912" s="385"/>
      <c r="O912" s="190"/>
    </row>
    <row r="913" spans="3:15" ht="16" x14ac:dyDescent="0.2">
      <c r="C913" s="119">
        <v>7</v>
      </c>
      <c r="D913" s="383">
        <v>0.51388888888888895</v>
      </c>
      <c r="E913" s="389">
        <v>0.53472222222222221</v>
      </c>
      <c r="F913" s="385">
        <v>28</v>
      </c>
      <c r="G913" s="391"/>
      <c r="H913" s="316"/>
      <c r="I913" s="391"/>
      <c r="J913" s="385"/>
      <c r="K913" s="391"/>
      <c r="L913" s="393"/>
      <c r="M913" s="391"/>
      <c r="N913" s="385"/>
      <c r="O913" s="190"/>
    </row>
    <row r="914" spans="3:15" ht="16" x14ac:dyDescent="0.2">
      <c r="C914" s="119">
        <v>8</v>
      </c>
      <c r="D914" s="383">
        <v>0.53819444444444442</v>
      </c>
      <c r="E914" s="389">
        <v>0.55902777777777779</v>
      </c>
      <c r="F914" s="385"/>
      <c r="G914" s="391"/>
      <c r="H914" s="316">
        <v>28</v>
      </c>
      <c r="I914" s="391"/>
      <c r="J914" s="385"/>
      <c r="K914" s="391"/>
      <c r="L914" s="385"/>
      <c r="M914" s="391"/>
      <c r="N914" s="385"/>
      <c r="O914" s="190"/>
    </row>
    <row r="915" spans="3:15" ht="16" x14ac:dyDescent="0.2">
      <c r="C915" s="119">
        <v>9</v>
      </c>
      <c r="D915" s="383">
        <v>0.54861111111111105</v>
      </c>
      <c r="E915" s="389">
        <v>0.56944444444444442</v>
      </c>
      <c r="F915" s="385"/>
      <c r="G915" s="391"/>
      <c r="H915" s="316">
        <v>14</v>
      </c>
      <c r="I915" s="391"/>
      <c r="J915" s="385"/>
      <c r="K915" s="391"/>
      <c r="L915" s="385"/>
      <c r="M915" s="391"/>
      <c r="N915" s="385"/>
      <c r="O915" s="190"/>
    </row>
    <row r="916" spans="3:15" ht="16" x14ac:dyDescent="0.2">
      <c r="C916" s="119">
        <v>10</v>
      </c>
      <c r="D916" s="383">
        <v>0.57291666666666663</v>
      </c>
      <c r="E916" s="389">
        <v>0.59375</v>
      </c>
      <c r="F916" s="385"/>
      <c r="G916" s="391"/>
      <c r="H916" s="316"/>
      <c r="I916" s="391">
        <v>44</v>
      </c>
      <c r="J916" s="385"/>
      <c r="K916" s="391"/>
      <c r="L916" s="385"/>
      <c r="M916" s="391"/>
      <c r="N916" s="385"/>
      <c r="O916" s="190"/>
    </row>
    <row r="917" spans="3:15" ht="16" x14ac:dyDescent="0.2">
      <c r="C917" s="119">
        <v>11</v>
      </c>
      <c r="D917" s="383">
        <v>0.59375</v>
      </c>
      <c r="E917" s="389">
        <v>0.61458333333333337</v>
      </c>
      <c r="F917" s="385"/>
      <c r="G917" s="391"/>
      <c r="H917" s="316"/>
      <c r="I917" s="391">
        <v>44</v>
      </c>
      <c r="J917" s="28"/>
      <c r="K917" s="391"/>
      <c r="L917" s="385"/>
      <c r="M917" s="391"/>
      <c r="N917" s="385"/>
      <c r="O917" s="190"/>
    </row>
    <row r="918" spans="3:15" ht="16" x14ac:dyDescent="0.2">
      <c r="C918" s="193">
        <v>12</v>
      </c>
      <c r="D918" s="383">
        <v>0.61458333333333337</v>
      </c>
      <c r="E918" s="389">
        <v>0.63541666666666663</v>
      </c>
      <c r="F918" s="385"/>
      <c r="G918" s="391">
        <v>28</v>
      </c>
      <c r="H918" s="316"/>
      <c r="I918" s="391"/>
      <c r="J918" s="385"/>
      <c r="K918" s="391"/>
      <c r="L918" s="385"/>
      <c r="M918" s="391"/>
      <c r="N918" s="385"/>
      <c r="O918" s="190"/>
    </row>
    <row r="919" spans="3:15" ht="16" x14ac:dyDescent="0.2">
      <c r="C919" s="119">
        <v>13</v>
      </c>
      <c r="D919" s="383">
        <v>0.63541666666666663</v>
      </c>
      <c r="E919" s="389">
        <v>0.65625</v>
      </c>
      <c r="F919" s="385"/>
      <c r="G919" s="391">
        <v>28</v>
      </c>
      <c r="H919" s="316"/>
      <c r="I919" s="391"/>
      <c r="J919" s="385"/>
      <c r="K919" s="391"/>
      <c r="L919" s="385"/>
      <c r="M919" s="391"/>
      <c r="N919" s="385"/>
      <c r="O919" s="190"/>
    </row>
    <row r="920" spans="3:15" ht="16" x14ac:dyDescent="0.2">
      <c r="C920" s="119">
        <v>14</v>
      </c>
      <c r="D920" s="383">
        <v>0.65625</v>
      </c>
      <c r="E920" s="389">
        <v>0.67708333333333337</v>
      </c>
      <c r="F920" s="385"/>
      <c r="G920" s="391">
        <v>28</v>
      </c>
      <c r="H920" s="316"/>
      <c r="I920" s="391"/>
      <c r="J920" s="385"/>
      <c r="K920" s="391"/>
      <c r="L920" s="385"/>
      <c r="M920" s="391"/>
      <c r="N920" s="385"/>
      <c r="O920" s="190"/>
    </row>
    <row r="921" spans="3:15" ht="16" x14ac:dyDescent="0.2">
      <c r="C921" s="119">
        <v>15</v>
      </c>
      <c r="D921" s="383">
        <v>0.67708333333333337</v>
      </c>
      <c r="E921" s="389">
        <v>0.69791666666666663</v>
      </c>
      <c r="F921" s="385"/>
      <c r="G921" s="391">
        <v>28</v>
      </c>
      <c r="H921" s="316"/>
      <c r="I921" s="391"/>
      <c r="J921" s="385"/>
      <c r="K921" s="391"/>
      <c r="L921" s="385"/>
      <c r="M921" s="391"/>
      <c r="N921" s="385"/>
      <c r="O921" s="190"/>
    </row>
    <row r="922" spans="3:15" ht="16" x14ac:dyDescent="0.2">
      <c r="C922" s="119">
        <v>16</v>
      </c>
      <c r="D922" s="383">
        <v>0.69791666666666663</v>
      </c>
      <c r="E922" s="389">
        <v>0.71875</v>
      </c>
      <c r="F922" s="385"/>
      <c r="G922" s="391"/>
      <c r="H922" s="316"/>
      <c r="I922" s="391"/>
      <c r="J922" s="385">
        <v>36</v>
      </c>
      <c r="K922" s="391"/>
      <c r="L922" s="385"/>
      <c r="M922" s="391"/>
      <c r="N922" s="385"/>
      <c r="O922" s="190"/>
    </row>
    <row r="923" spans="3:15" ht="16" x14ac:dyDescent="0.2">
      <c r="C923" s="119">
        <v>17</v>
      </c>
      <c r="D923" s="383">
        <v>0.71875</v>
      </c>
      <c r="E923" s="389">
        <v>0.73958333333333337</v>
      </c>
      <c r="F923" s="384"/>
      <c r="G923" s="33"/>
      <c r="H923" s="316"/>
      <c r="I923" s="390"/>
      <c r="J923" s="385">
        <v>36</v>
      </c>
      <c r="K923" s="391"/>
      <c r="L923" s="385"/>
      <c r="M923" s="391"/>
      <c r="N923" s="385"/>
      <c r="O923" s="190"/>
    </row>
    <row r="924" spans="3:15" ht="16" x14ac:dyDescent="0.2">
      <c r="C924" s="119">
        <v>18</v>
      </c>
      <c r="D924" s="383">
        <v>0.73958333333333337</v>
      </c>
      <c r="E924" s="389">
        <v>0.76041666666666663</v>
      </c>
      <c r="F924" s="394"/>
      <c r="G924" s="229"/>
      <c r="H924" s="394"/>
      <c r="I924" s="391"/>
      <c r="J924" s="385">
        <v>29</v>
      </c>
      <c r="K924" s="391"/>
      <c r="L924" s="385"/>
      <c r="M924" s="391"/>
      <c r="N924" s="385"/>
      <c r="O924" s="190"/>
    </row>
    <row r="925" spans="3:15" ht="16" x14ac:dyDescent="0.2">
      <c r="C925" s="119">
        <v>19</v>
      </c>
      <c r="D925" s="383">
        <v>0.76041666666666663</v>
      </c>
      <c r="E925" s="389">
        <v>0.78125</v>
      </c>
      <c r="F925" s="385"/>
      <c r="G925" s="391"/>
      <c r="H925" s="385"/>
      <c r="I925" s="391"/>
      <c r="J925" s="385">
        <v>36</v>
      </c>
      <c r="K925" s="391"/>
      <c r="L925" s="403"/>
      <c r="M925" s="391"/>
      <c r="N925" s="385"/>
      <c r="O925" s="190"/>
    </row>
    <row r="926" spans="3:15" ht="16" x14ac:dyDescent="0.2">
      <c r="C926" s="119">
        <v>20</v>
      </c>
      <c r="D926" s="383"/>
      <c r="E926" s="389"/>
      <c r="F926" s="385"/>
      <c r="G926" s="391"/>
      <c r="H926" s="385"/>
      <c r="I926" s="391"/>
      <c r="J926" s="385"/>
      <c r="K926" s="391"/>
      <c r="L926" s="403"/>
      <c r="M926" s="391"/>
      <c r="N926" s="385"/>
      <c r="O926" s="190"/>
    </row>
    <row r="927" spans="3:15" ht="16" x14ac:dyDescent="0.2">
      <c r="C927" s="119">
        <v>21</v>
      </c>
      <c r="D927" s="383"/>
      <c r="E927" s="389"/>
      <c r="F927" s="385"/>
      <c r="G927" s="391"/>
      <c r="H927" s="385"/>
      <c r="I927" s="391"/>
      <c r="J927" s="385"/>
      <c r="K927" s="391"/>
      <c r="L927" s="385"/>
      <c r="M927" s="391"/>
      <c r="N927" s="385"/>
      <c r="O927" s="190"/>
    </row>
    <row r="928" spans="3:15" ht="16" x14ac:dyDescent="0.2">
      <c r="C928" s="119">
        <v>22</v>
      </c>
      <c r="D928" s="383"/>
      <c r="E928" s="389"/>
      <c r="F928" s="385"/>
      <c r="G928" s="391"/>
      <c r="H928" s="385"/>
      <c r="I928" s="391"/>
      <c r="J928" s="385"/>
      <c r="K928" s="391"/>
      <c r="L928" s="385"/>
      <c r="M928" s="391"/>
      <c r="N928" s="385"/>
      <c r="O928" s="190"/>
    </row>
    <row r="929" spans="2:15" ht="16" x14ac:dyDescent="0.2">
      <c r="C929" s="119">
        <v>23</v>
      </c>
      <c r="D929" s="383"/>
      <c r="E929" s="389"/>
      <c r="F929" s="385"/>
      <c r="G929" s="391"/>
      <c r="H929" s="385"/>
      <c r="I929" s="391"/>
      <c r="J929" s="385"/>
      <c r="K929" s="391"/>
      <c r="L929" s="385"/>
      <c r="M929" s="391"/>
      <c r="N929" s="385"/>
      <c r="O929" s="190"/>
    </row>
    <row r="930" spans="2:15" ht="16" x14ac:dyDescent="0.2">
      <c r="C930" s="119">
        <v>24</v>
      </c>
      <c r="D930" s="383"/>
      <c r="E930" s="389"/>
      <c r="F930" s="385"/>
      <c r="G930" s="391"/>
      <c r="H930" s="385"/>
      <c r="I930" s="391"/>
      <c r="J930" s="385"/>
      <c r="K930" s="391"/>
      <c r="L930" s="385"/>
      <c r="M930" s="391"/>
      <c r="N930" s="385"/>
      <c r="O930" s="190"/>
    </row>
    <row r="931" spans="2:15" ht="16" x14ac:dyDescent="0.2">
      <c r="C931" s="119">
        <v>25</v>
      </c>
      <c r="D931" s="383"/>
      <c r="E931" s="389"/>
      <c r="F931" s="385"/>
      <c r="G931" s="391"/>
      <c r="H931" s="385"/>
      <c r="I931" s="391"/>
      <c r="J931" s="385"/>
      <c r="K931" s="391"/>
      <c r="L931" s="385"/>
      <c r="M931" s="391"/>
      <c r="N931" s="385"/>
      <c r="O931" s="190"/>
    </row>
    <row r="932" spans="2:15" ht="16" x14ac:dyDescent="0.2">
      <c r="C932" s="119">
        <v>26</v>
      </c>
      <c r="D932" s="383"/>
      <c r="E932" s="389"/>
      <c r="F932" s="385"/>
      <c r="G932" s="391"/>
      <c r="H932" s="385"/>
      <c r="I932" s="391"/>
      <c r="J932" s="385"/>
      <c r="K932" s="391"/>
      <c r="L932" s="385"/>
      <c r="M932" s="391"/>
      <c r="N932" s="385"/>
      <c r="O932" s="190"/>
    </row>
    <row r="933" spans="2:15" ht="16" x14ac:dyDescent="0.2">
      <c r="C933" s="119">
        <v>27</v>
      </c>
      <c r="D933" s="383"/>
      <c r="E933" s="389"/>
      <c r="F933" s="385"/>
      <c r="G933" s="391"/>
      <c r="H933" s="385"/>
      <c r="I933" s="391"/>
      <c r="J933" s="385"/>
      <c r="K933" s="391"/>
      <c r="L933" s="385"/>
      <c r="M933" s="391"/>
      <c r="N933" s="385"/>
      <c r="O933" s="190"/>
    </row>
    <row r="934" spans="2:15" ht="16" x14ac:dyDescent="0.2">
      <c r="C934" s="119">
        <v>28</v>
      </c>
      <c r="D934" s="383"/>
      <c r="E934" s="389"/>
      <c r="F934" s="385"/>
      <c r="G934" s="391"/>
      <c r="H934" s="385"/>
      <c r="I934" s="391"/>
      <c r="J934" s="385"/>
      <c r="K934" s="391"/>
      <c r="L934" s="385"/>
      <c r="M934" s="391"/>
      <c r="N934" s="385"/>
      <c r="O934" s="190"/>
    </row>
    <row r="935" spans="2:15" ht="16" x14ac:dyDescent="0.2">
      <c r="C935" s="119">
        <v>29</v>
      </c>
      <c r="D935" s="383"/>
      <c r="E935" s="389"/>
      <c r="F935" s="385"/>
      <c r="G935" s="391"/>
      <c r="H935" s="385"/>
      <c r="I935" s="391"/>
      <c r="J935" s="385"/>
      <c r="K935" s="391"/>
      <c r="L935" s="385"/>
      <c r="M935" s="391"/>
      <c r="N935" s="385"/>
      <c r="O935" s="190"/>
    </row>
    <row r="936" spans="2:15" ht="16" x14ac:dyDescent="0.2">
      <c r="C936" s="119">
        <v>30</v>
      </c>
      <c r="D936" s="383"/>
      <c r="E936" s="389"/>
      <c r="F936" s="385"/>
      <c r="G936" s="391"/>
      <c r="H936" s="385"/>
      <c r="I936" s="391"/>
      <c r="J936" s="385"/>
      <c r="K936" s="391"/>
      <c r="L936" s="385"/>
      <c r="M936" s="391"/>
      <c r="N936" s="385"/>
      <c r="O936" s="190"/>
    </row>
    <row r="937" spans="2:15" ht="16" x14ac:dyDescent="0.2">
      <c r="C937" s="120">
        <v>31</v>
      </c>
      <c r="D937" s="383"/>
      <c r="E937" s="389"/>
      <c r="F937" s="384"/>
      <c r="G937" s="390"/>
      <c r="H937" s="384"/>
      <c r="I937" s="390"/>
      <c r="J937" s="384"/>
      <c r="K937" s="390"/>
      <c r="L937" s="384"/>
      <c r="M937" s="390"/>
      <c r="N937" s="384"/>
      <c r="O937" s="190"/>
    </row>
    <row r="938" spans="2:15" ht="16" x14ac:dyDescent="0.2">
      <c r="B938" s="256"/>
      <c r="C938" s="377">
        <v>32</v>
      </c>
      <c r="D938" s="384"/>
      <c r="E938" s="390"/>
      <c r="F938" s="384"/>
      <c r="G938" s="390"/>
      <c r="H938" s="384"/>
      <c r="I938" s="390"/>
      <c r="J938" s="384"/>
      <c r="K938" s="390"/>
      <c r="L938" s="384"/>
      <c r="M938" s="390"/>
      <c r="N938" s="384"/>
      <c r="O938" s="190"/>
    </row>
    <row r="939" spans="2:15" ht="16" x14ac:dyDescent="0.2">
      <c r="B939" s="256"/>
      <c r="C939" s="119">
        <v>33</v>
      </c>
      <c r="D939" s="385"/>
      <c r="E939" s="391"/>
      <c r="F939" s="385"/>
      <c r="G939" s="391"/>
      <c r="H939" s="385"/>
      <c r="I939" s="391"/>
      <c r="J939" s="385"/>
      <c r="K939" s="391"/>
      <c r="L939" s="385"/>
      <c r="M939" s="391"/>
      <c r="N939" s="385"/>
      <c r="O939" s="190"/>
    </row>
    <row r="940" spans="2:15" ht="16" x14ac:dyDescent="0.2">
      <c r="B940" s="256"/>
      <c r="C940" s="119">
        <v>34</v>
      </c>
      <c r="D940" s="385"/>
      <c r="E940" s="391"/>
      <c r="F940" s="385"/>
      <c r="G940" s="391"/>
      <c r="H940" s="385"/>
      <c r="I940" s="391"/>
      <c r="J940" s="385"/>
      <c r="K940" s="391"/>
      <c r="L940" s="385"/>
      <c r="M940" s="391"/>
      <c r="N940" s="385"/>
      <c r="O940" s="190"/>
    </row>
    <row r="941" spans="2:15" ht="16" x14ac:dyDescent="0.2">
      <c r="B941" s="256"/>
      <c r="C941" s="119">
        <v>35</v>
      </c>
      <c r="D941" s="385"/>
      <c r="E941" s="391"/>
      <c r="F941" s="385"/>
      <c r="G941" s="391"/>
      <c r="H941" s="385"/>
      <c r="I941" s="391"/>
      <c r="J941" s="385"/>
      <c r="K941" s="391"/>
      <c r="L941" s="385"/>
      <c r="M941" s="391"/>
      <c r="N941" s="385"/>
      <c r="O941" s="190"/>
    </row>
    <row r="942" spans="2:15" ht="16" x14ac:dyDescent="0.2">
      <c r="B942" s="256"/>
      <c r="C942" s="119">
        <v>36</v>
      </c>
      <c r="D942" s="385"/>
      <c r="E942" s="391"/>
      <c r="F942" s="385"/>
      <c r="G942" s="391"/>
      <c r="H942" s="385"/>
      <c r="I942" s="391"/>
      <c r="J942" s="385"/>
      <c r="K942" s="391"/>
      <c r="L942" s="385"/>
      <c r="M942" s="391"/>
      <c r="N942" s="385"/>
      <c r="O942" s="190"/>
    </row>
    <row r="943" spans="2:15" ht="17" thickBot="1" x14ac:dyDescent="0.25">
      <c r="B943" s="256"/>
      <c r="C943" s="378">
        <v>37</v>
      </c>
      <c r="D943" s="386"/>
      <c r="E943" s="392"/>
      <c r="F943" s="386"/>
      <c r="G943" s="392"/>
      <c r="H943" s="386"/>
      <c r="I943" s="392"/>
      <c r="J943" s="386"/>
      <c r="K943" s="392"/>
      <c r="L943" s="386"/>
      <c r="M943" s="392"/>
      <c r="N943" s="386"/>
      <c r="O943" s="190"/>
    </row>
    <row r="944" spans="2:15" ht="17" thickBot="1" x14ac:dyDescent="0.25">
      <c r="C944" s="825" t="s">
        <v>19</v>
      </c>
      <c r="D944" s="826"/>
      <c r="E944" s="380"/>
      <c r="F944" s="376">
        <f>(F907+F908+F909+F910+F911+F912+F928+F915+F916+F913+F914+F917+F918+F919+F920+F921+F922+F923+F924+F925+F926+F927+F929+F930+F932+F933+F934+F935+F936+F937+F938+F939+F940+F943)/2</f>
        <v>84</v>
      </c>
      <c r="G944" s="397">
        <f>(G907+G908+G909+G910+G911+G928+G912+G916+G915+G913+G914+G917+G918+G919+G920+G921+G922+G923+G924+G925+G926+G927+G929+G930+G932+G933+G934+G935+G936+G937+G938+G939)/2</f>
        <v>56</v>
      </c>
      <c r="H944" s="399">
        <f>(H907+H908+H909+H910+H911+H912+H928+H931+H915+H916+H913+H914+H917+H918+H919+H920+H921+H922+H923+H924+H925+H926+H927+H929+H930+H932+H933+H934+H935+H936+H937+H938+H939+H940+H943)/2</f>
        <v>21</v>
      </c>
      <c r="I944" s="398">
        <f>(I907+I908+I909+I910+I911+I941+I942+I912+I928+I915+I931+I916+I913+I914+I917+I918+I919+I920+I921+I922+I923+I924+I925+I926+I927+I929+I930+I932+I933+I934+I935+I936+I937+I938+I939+I940+I943)/2</f>
        <v>44</v>
      </c>
      <c r="J944" s="376">
        <f>(J907+J908+J909+J910+J911+J912+J916+J913+J915+J914+J931+J917+J918+J919+J920+J921+J922+J923+J924+J925+J926+J927+J928+J929+J930+J932+J933+J934+J935+J936+J937+J938+J939)/2</f>
        <v>86.5</v>
      </c>
      <c r="K944" s="397">
        <f>(K907+K908+K909+K910+K911+K912+K916+K913+K914+K917+K918+K919+K920+K921+K922+K923+K924+K925+K926+K927+K929+K930+K932+K933+K934+K935+K936+K937+K938+K939+K928)</f>
        <v>0</v>
      </c>
      <c r="L944" s="399">
        <f>SUM(L907:L943)</f>
        <v>0</v>
      </c>
      <c r="M944" s="398">
        <f>(M907+M908+M909+M910+M911+M912+M916+M915+M913+M914+M917+M918+M919+M920+M921+M922+M923+M924+M925+M926+M927+M929+M930+M932+M933+M934+M935+M936+M937+M938+M939)/2</f>
        <v>0</v>
      </c>
      <c r="N944" s="376"/>
      <c r="O944" s="41"/>
    </row>
    <row r="945" spans="2:15" ht="17" thickBot="1" x14ac:dyDescent="0.25">
      <c r="C945" s="825" t="s">
        <v>91</v>
      </c>
      <c r="D945" s="826"/>
      <c r="E945" s="381">
        <f>SUM(F944:J944)</f>
        <v>291.5</v>
      </c>
    </row>
    <row r="946" spans="2:15" ht="16" thickBot="1" x14ac:dyDescent="0.25"/>
    <row r="947" spans="2:15" ht="17" thickBot="1" x14ac:dyDescent="0.25">
      <c r="C947" s="17"/>
      <c r="D947" s="379" t="s">
        <v>83</v>
      </c>
      <c r="E947" s="818" t="s">
        <v>63</v>
      </c>
      <c r="F947" s="819"/>
      <c r="G947" s="819"/>
      <c r="H947" s="819"/>
      <c r="I947" s="819"/>
      <c r="J947" s="400" t="s">
        <v>76</v>
      </c>
      <c r="K947" s="820">
        <v>45684</v>
      </c>
      <c r="L947" s="821"/>
      <c r="M947" s="821"/>
      <c r="N947" s="821"/>
      <c r="O947" s="822"/>
    </row>
    <row r="948" spans="2:15" ht="16" thickBot="1" x14ac:dyDescent="0.25">
      <c r="B948" s="175" t="s">
        <v>76</v>
      </c>
      <c r="C948" s="175" t="s">
        <v>77</v>
      </c>
      <c r="D948" s="823" t="s">
        <v>122</v>
      </c>
      <c r="E948" s="824"/>
      <c r="F948" s="175" t="s">
        <v>104</v>
      </c>
      <c r="G948" s="395" t="s">
        <v>86</v>
      </c>
      <c r="H948" s="175" t="s">
        <v>88</v>
      </c>
      <c r="I948" s="395" t="s">
        <v>87</v>
      </c>
      <c r="J948" s="401" t="s">
        <v>85</v>
      </c>
      <c r="K948" s="395" t="s">
        <v>123</v>
      </c>
      <c r="L948" s="175" t="s">
        <v>124</v>
      </c>
      <c r="M948" s="395" t="s">
        <v>100</v>
      </c>
      <c r="N948" s="175" t="s">
        <v>213</v>
      </c>
      <c r="O948" s="404" t="s">
        <v>125</v>
      </c>
    </row>
    <row r="949" spans="2:15" ht="16" thickBot="1" x14ac:dyDescent="0.25">
      <c r="B949" s="176">
        <f>K947</f>
        <v>45684</v>
      </c>
      <c r="C949" s="374"/>
      <c r="D949" s="375" t="s">
        <v>126</v>
      </c>
      <c r="E949" s="387" t="s">
        <v>127</v>
      </c>
      <c r="F949" s="331">
        <v>13</v>
      </c>
      <c r="G949" s="237">
        <v>9</v>
      </c>
      <c r="H949" s="331">
        <v>0</v>
      </c>
      <c r="I949" s="237">
        <v>6</v>
      </c>
      <c r="J949" s="331">
        <v>11</v>
      </c>
      <c r="K949" s="231"/>
      <c r="L949" s="125"/>
      <c r="M949" s="231"/>
      <c r="N949" s="125"/>
      <c r="O949" s="326"/>
    </row>
    <row r="950" spans="2:15" ht="16" x14ac:dyDescent="0.2">
      <c r="C950" s="118">
        <v>1</v>
      </c>
      <c r="D950" s="382">
        <v>0.36458333333333331</v>
      </c>
      <c r="E950" s="388">
        <v>0.38541666666666669</v>
      </c>
      <c r="F950" s="393">
        <v>28</v>
      </c>
      <c r="G950" s="396"/>
      <c r="H950" s="393"/>
      <c r="I950" s="396"/>
      <c r="J950" s="393"/>
      <c r="K950" s="396"/>
      <c r="L950" s="393"/>
      <c r="M950" s="396"/>
      <c r="N950" s="393"/>
      <c r="O950" s="190"/>
    </row>
    <row r="951" spans="2:15" ht="16" x14ac:dyDescent="0.2">
      <c r="C951" s="119">
        <v>2</v>
      </c>
      <c r="D951" s="383">
        <v>0.38194444444444442</v>
      </c>
      <c r="E951" s="389">
        <v>0.40277777777777773</v>
      </c>
      <c r="F951" s="385">
        <v>28</v>
      </c>
      <c r="G951" s="391"/>
      <c r="H951" s="385"/>
      <c r="I951" s="391"/>
      <c r="J951" s="385"/>
      <c r="K951" s="391"/>
      <c r="L951" s="385"/>
      <c r="M951" s="391"/>
      <c r="N951" s="385"/>
      <c r="O951" s="190"/>
    </row>
    <row r="952" spans="2:15" ht="16" x14ac:dyDescent="0.2">
      <c r="C952" s="119">
        <v>3</v>
      </c>
      <c r="D952" s="383">
        <v>0.40277777777777773</v>
      </c>
      <c r="E952" s="389">
        <v>0.4236111111111111</v>
      </c>
      <c r="F952" s="385">
        <v>28</v>
      </c>
      <c r="G952" s="391"/>
      <c r="H952" s="385"/>
      <c r="I952" s="391"/>
      <c r="J952" s="385"/>
      <c r="K952" s="391"/>
      <c r="L952" s="384"/>
      <c r="M952" s="391"/>
      <c r="N952" s="385"/>
      <c r="O952" s="190"/>
    </row>
    <row r="953" spans="2:15" ht="16" x14ac:dyDescent="0.2">
      <c r="C953" s="119">
        <v>4</v>
      </c>
      <c r="D953" s="383">
        <v>0.4236111111111111</v>
      </c>
      <c r="E953" s="389">
        <v>0.44444444444444442</v>
      </c>
      <c r="F953" s="385">
        <v>14</v>
      </c>
      <c r="G953" s="391"/>
      <c r="H953" s="316"/>
      <c r="I953" s="391"/>
      <c r="J953" s="385"/>
      <c r="K953" s="391"/>
      <c r="L953" s="402"/>
      <c r="M953" s="391"/>
      <c r="N953" s="385"/>
      <c r="O953" s="190"/>
    </row>
    <row r="954" spans="2:15" ht="16" x14ac:dyDescent="0.2">
      <c r="C954" s="119">
        <v>5</v>
      </c>
      <c r="D954" s="383">
        <v>0.45833333333333331</v>
      </c>
      <c r="E954" s="389">
        <v>0.47916666666666669</v>
      </c>
      <c r="F954" s="385">
        <v>28</v>
      </c>
      <c r="G954" s="391"/>
      <c r="H954" s="316"/>
      <c r="I954" s="391"/>
      <c r="J954" s="385"/>
      <c r="K954" s="391"/>
      <c r="L954" s="393"/>
      <c r="M954" s="391"/>
      <c r="N954" s="385"/>
      <c r="O954" s="190"/>
    </row>
    <row r="955" spans="2:15" ht="16" x14ac:dyDescent="0.2">
      <c r="C955" s="119">
        <v>6</v>
      </c>
      <c r="D955" s="383">
        <v>0.47916666666666669</v>
      </c>
      <c r="E955" s="389">
        <v>0.5</v>
      </c>
      <c r="F955" s="385">
        <v>28</v>
      </c>
      <c r="G955" s="391"/>
      <c r="H955" s="316"/>
      <c r="I955" s="391"/>
      <c r="J955" s="385"/>
      <c r="K955" s="391"/>
      <c r="L955" s="393"/>
      <c r="M955" s="391"/>
      <c r="N955" s="385"/>
      <c r="O955" s="190"/>
    </row>
    <row r="956" spans="2:15" ht="16" x14ac:dyDescent="0.2">
      <c r="C956" s="119">
        <v>7</v>
      </c>
      <c r="D956" s="383">
        <v>0.5</v>
      </c>
      <c r="E956" s="389">
        <v>0.52083333333333337</v>
      </c>
      <c r="F956" s="385">
        <v>28</v>
      </c>
      <c r="G956" s="391"/>
      <c r="H956" s="316"/>
      <c r="I956" s="391"/>
      <c r="J956" s="385"/>
      <c r="K956" s="391"/>
      <c r="L956" s="393"/>
      <c r="M956" s="391"/>
      <c r="N956" s="385"/>
      <c r="O956" s="190"/>
    </row>
    <row r="957" spans="2:15" ht="16" x14ac:dyDescent="0.2">
      <c r="C957" s="119">
        <v>8</v>
      </c>
      <c r="D957" s="383">
        <v>0.52430555555555558</v>
      </c>
      <c r="E957" s="389">
        <v>0.54513888888888895</v>
      </c>
      <c r="F957" s="385"/>
      <c r="G957" s="391">
        <v>28</v>
      </c>
      <c r="H957" s="316"/>
      <c r="I957" s="391"/>
      <c r="J957" s="385"/>
      <c r="K957" s="391"/>
      <c r="L957" s="385"/>
      <c r="M957" s="391"/>
      <c r="N957" s="385"/>
      <c r="O957" s="190"/>
    </row>
    <row r="958" spans="2:15" ht="16" x14ac:dyDescent="0.2">
      <c r="C958" s="119">
        <v>9</v>
      </c>
      <c r="D958" s="383">
        <v>0.54513888888888895</v>
      </c>
      <c r="E958" s="389">
        <v>0.57986111111111105</v>
      </c>
      <c r="F958" s="385"/>
      <c r="G958" s="391">
        <v>28</v>
      </c>
      <c r="H958" s="316"/>
      <c r="I958" s="391"/>
      <c r="J958" s="385"/>
      <c r="K958" s="391"/>
      <c r="L958" s="385"/>
      <c r="M958" s="391"/>
      <c r="N958" s="385"/>
      <c r="O958" s="190"/>
    </row>
    <row r="959" spans="2:15" ht="16" x14ac:dyDescent="0.2">
      <c r="C959" s="119">
        <v>10</v>
      </c>
      <c r="D959" s="383">
        <v>0.56597222222222221</v>
      </c>
      <c r="E959" s="389">
        <v>0.58680555555555558</v>
      </c>
      <c r="F959" s="385"/>
      <c r="G959" s="391">
        <v>28</v>
      </c>
      <c r="H959" s="316"/>
      <c r="I959" s="391"/>
      <c r="J959" s="385"/>
      <c r="K959" s="391"/>
      <c r="L959" s="385"/>
      <c r="M959" s="391"/>
      <c r="N959" s="385"/>
      <c r="O959" s="190"/>
    </row>
    <row r="960" spans="2:15" ht="16" x14ac:dyDescent="0.2">
      <c r="C960" s="119">
        <v>11</v>
      </c>
      <c r="D960" s="383">
        <v>0.58680555555555558</v>
      </c>
      <c r="E960" s="389">
        <v>0.60763888888888895</v>
      </c>
      <c r="F960" s="385"/>
      <c r="G960" s="391">
        <v>28</v>
      </c>
      <c r="H960" s="316"/>
      <c r="I960" s="391"/>
      <c r="J960" s="28"/>
      <c r="K960" s="391"/>
      <c r="L960" s="385"/>
      <c r="M960" s="391"/>
      <c r="N960" s="385"/>
      <c r="O960" s="190"/>
    </row>
    <row r="961" spans="3:15" ht="16" x14ac:dyDescent="0.2">
      <c r="C961" s="193">
        <v>12</v>
      </c>
      <c r="D961" s="383">
        <v>0.57291666666666663</v>
      </c>
      <c r="E961" s="389">
        <v>0.59375</v>
      </c>
      <c r="F961" s="385"/>
      <c r="G961" s="391">
        <v>14</v>
      </c>
      <c r="H961" s="316"/>
      <c r="I961" s="391"/>
      <c r="J961" s="385"/>
      <c r="K961" s="391"/>
      <c r="L961" s="385"/>
      <c r="M961" s="391"/>
      <c r="N961" s="385"/>
      <c r="O961" s="190"/>
    </row>
    <row r="962" spans="3:15" ht="16" x14ac:dyDescent="0.2">
      <c r="C962" s="119">
        <v>13</v>
      </c>
      <c r="D962" s="383">
        <v>0.59375</v>
      </c>
      <c r="E962" s="389">
        <v>0.61458333333333337</v>
      </c>
      <c r="F962" s="385"/>
      <c r="G962" s="391"/>
      <c r="H962" s="316"/>
      <c r="I962" s="391"/>
      <c r="J962" s="385">
        <v>36</v>
      </c>
      <c r="K962" s="391"/>
      <c r="L962" s="385"/>
      <c r="M962" s="391"/>
      <c r="N962" s="385"/>
      <c r="O962" s="190"/>
    </row>
    <row r="963" spans="3:15" ht="16" x14ac:dyDescent="0.2">
      <c r="C963" s="119">
        <v>14</v>
      </c>
      <c r="D963" s="383">
        <v>0.61458333333333337</v>
      </c>
      <c r="E963" s="389">
        <v>0.63541666666666663</v>
      </c>
      <c r="F963" s="385"/>
      <c r="G963" s="391"/>
      <c r="H963" s="316"/>
      <c r="I963" s="391"/>
      <c r="J963" s="385">
        <v>36</v>
      </c>
      <c r="K963" s="391"/>
      <c r="L963" s="385"/>
      <c r="M963" s="391"/>
      <c r="N963" s="385"/>
      <c r="O963" s="190"/>
    </row>
    <row r="964" spans="3:15" ht="16" x14ac:dyDescent="0.2">
      <c r="C964" s="119">
        <v>15</v>
      </c>
      <c r="D964" s="383">
        <v>0.63541666666666663</v>
      </c>
      <c r="E964" s="389">
        <v>0.65625</v>
      </c>
      <c r="F964" s="385"/>
      <c r="G964" s="391"/>
      <c r="H964" s="316"/>
      <c r="I964" s="391"/>
      <c r="J964" s="385">
        <v>36</v>
      </c>
      <c r="K964" s="391"/>
      <c r="L964" s="385"/>
      <c r="M964" s="391"/>
      <c r="N964" s="385"/>
      <c r="O964" s="190"/>
    </row>
    <row r="965" spans="3:15" ht="16" x14ac:dyDescent="0.2">
      <c r="C965" s="119">
        <v>16</v>
      </c>
      <c r="D965" s="383">
        <v>0.65625</v>
      </c>
      <c r="E965" s="389">
        <v>0.67708333333333337</v>
      </c>
      <c r="F965" s="385"/>
      <c r="G965" s="391"/>
      <c r="H965" s="316"/>
      <c r="I965" s="391"/>
      <c r="J965" s="385">
        <v>36</v>
      </c>
      <c r="K965" s="391"/>
      <c r="L965" s="385"/>
      <c r="M965" s="391"/>
      <c r="N965" s="385"/>
      <c r="O965" s="190"/>
    </row>
    <row r="966" spans="3:15" ht="16" x14ac:dyDescent="0.2">
      <c r="C966" s="119">
        <v>17</v>
      </c>
      <c r="D966" s="383">
        <v>0.67708333333333337</v>
      </c>
      <c r="E966" s="389">
        <v>0.69791666666666663</v>
      </c>
      <c r="F966" s="384"/>
      <c r="G966" s="33"/>
      <c r="H966" s="316"/>
      <c r="I966" s="390"/>
      <c r="J966" s="385">
        <v>36</v>
      </c>
      <c r="K966" s="391"/>
      <c r="L966" s="385"/>
      <c r="M966" s="391"/>
      <c r="N966" s="385"/>
      <c r="O966" s="190"/>
    </row>
    <row r="967" spans="3:15" ht="16" x14ac:dyDescent="0.2">
      <c r="C967" s="119">
        <v>18</v>
      </c>
      <c r="D967" s="383">
        <v>0.69791666666666663</v>
      </c>
      <c r="E967" s="389">
        <v>0.71875</v>
      </c>
      <c r="F967" s="394"/>
      <c r="G967" s="229"/>
      <c r="H967" s="394"/>
      <c r="I967" s="391"/>
      <c r="J967" s="385">
        <v>18</v>
      </c>
      <c r="K967" s="391"/>
      <c r="L967" s="385"/>
      <c r="M967" s="391"/>
      <c r="N967" s="385"/>
      <c r="O967" s="190"/>
    </row>
    <row r="968" spans="3:15" ht="16" x14ac:dyDescent="0.2">
      <c r="C968" s="119">
        <v>19</v>
      </c>
      <c r="D968" s="383">
        <v>0.71875</v>
      </c>
      <c r="E968" s="389">
        <v>0.73958333333333337</v>
      </c>
      <c r="F968" s="385"/>
      <c r="G968" s="391"/>
      <c r="H968" s="385"/>
      <c r="I968" s="391">
        <v>44</v>
      </c>
      <c r="J968" s="385"/>
      <c r="K968" s="391"/>
      <c r="L968" s="403"/>
      <c r="M968" s="391"/>
      <c r="N968" s="385"/>
      <c r="O968" s="190"/>
    </row>
    <row r="969" spans="3:15" ht="16" x14ac:dyDescent="0.2">
      <c r="C969" s="119">
        <v>20</v>
      </c>
      <c r="D969" s="383">
        <v>0.78125</v>
      </c>
      <c r="E969" s="389">
        <v>0.80208333333333337</v>
      </c>
      <c r="F969" s="385"/>
      <c r="G969" s="391"/>
      <c r="H969" s="385"/>
      <c r="I969" s="391">
        <v>44</v>
      </c>
      <c r="J969" s="385"/>
      <c r="K969" s="391"/>
      <c r="L969" s="403"/>
      <c r="M969" s="391"/>
      <c r="N969" s="385"/>
      <c r="O969" s="190"/>
    </row>
    <row r="970" spans="3:15" ht="16" x14ac:dyDescent="0.2">
      <c r="C970" s="119">
        <v>21</v>
      </c>
      <c r="D970" s="383">
        <v>0.80208333333333337</v>
      </c>
      <c r="E970" s="389">
        <v>0.82291666666666663</v>
      </c>
      <c r="F970" s="385"/>
      <c r="G970" s="391"/>
      <c r="H970" s="385"/>
      <c r="I970" s="391">
        <v>44</v>
      </c>
      <c r="J970" s="385"/>
      <c r="K970" s="391"/>
      <c r="L970" s="385"/>
      <c r="M970" s="391"/>
      <c r="N970" s="385"/>
      <c r="O970" s="190"/>
    </row>
    <row r="971" spans="3:15" ht="16" x14ac:dyDescent="0.2">
      <c r="C971" s="119">
        <v>22</v>
      </c>
      <c r="D971" s="383"/>
      <c r="E971" s="389"/>
      <c r="F971" s="385"/>
      <c r="G971" s="391"/>
      <c r="H971" s="385"/>
      <c r="I971" s="391"/>
      <c r="J971" s="385"/>
      <c r="K971" s="391"/>
      <c r="L971" s="385"/>
      <c r="M971" s="391"/>
      <c r="N971" s="385"/>
      <c r="O971" s="190"/>
    </row>
    <row r="972" spans="3:15" ht="16" x14ac:dyDescent="0.2">
      <c r="C972" s="119">
        <v>23</v>
      </c>
      <c r="D972" s="383"/>
      <c r="E972" s="389"/>
      <c r="F972" s="385"/>
      <c r="G972" s="391"/>
      <c r="H972" s="385"/>
      <c r="I972" s="391"/>
      <c r="J972" s="385"/>
      <c r="K972" s="391"/>
      <c r="L972" s="385"/>
      <c r="M972" s="391"/>
      <c r="N972" s="385"/>
      <c r="O972" s="190"/>
    </row>
    <row r="973" spans="3:15" ht="16" x14ac:dyDescent="0.2">
      <c r="C973" s="119">
        <v>24</v>
      </c>
      <c r="D973" s="383"/>
      <c r="E973" s="389"/>
      <c r="F973" s="385"/>
      <c r="G973" s="391"/>
      <c r="H973" s="385"/>
      <c r="I973" s="391"/>
      <c r="J973" s="385"/>
      <c r="K973" s="391"/>
      <c r="L973" s="385"/>
      <c r="M973" s="391"/>
      <c r="N973" s="385"/>
      <c r="O973" s="190"/>
    </row>
    <row r="974" spans="3:15" ht="16" x14ac:dyDescent="0.2">
      <c r="C974" s="119">
        <v>25</v>
      </c>
      <c r="D974" s="383"/>
      <c r="E974" s="389"/>
      <c r="F974" s="385"/>
      <c r="G974" s="391"/>
      <c r="H974" s="385"/>
      <c r="I974" s="391"/>
      <c r="J974" s="385"/>
      <c r="K974" s="391"/>
      <c r="L974" s="385"/>
      <c r="M974" s="391"/>
      <c r="N974" s="385"/>
      <c r="O974" s="190"/>
    </row>
    <row r="975" spans="3:15" ht="16" x14ac:dyDescent="0.2">
      <c r="C975" s="119">
        <v>26</v>
      </c>
      <c r="D975" s="383"/>
      <c r="E975" s="389"/>
      <c r="F975" s="385"/>
      <c r="G975" s="391"/>
      <c r="H975" s="385"/>
      <c r="I975" s="391"/>
      <c r="J975" s="385"/>
      <c r="K975" s="391"/>
      <c r="L975" s="385"/>
      <c r="M975" s="391"/>
      <c r="N975" s="385"/>
      <c r="O975" s="190"/>
    </row>
    <row r="976" spans="3:15" ht="16" x14ac:dyDescent="0.2">
      <c r="C976" s="119">
        <v>27</v>
      </c>
      <c r="D976" s="383"/>
      <c r="E976" s="389"/>
      <c r="F976" s="385"/>
      <c r="G976" s="391"/>
      <c r="H976" s="385"/>
      <c r="I976" s="391"/>
      <c r="J976" s="385"/>
      <c r="K976" s="391"/>
      <c r="L976" s="385"/>
      <c r="M976" s="391"/>
      <c r="N976" s="385"/>
      <c r="O976" s="190"/>
    </row>
    <row r="977" spans="2:15" ht="16" x14ac:dyDescent="0.2">
      <c r="C977" s="119">
        <v>28</v>
      </c>
      <c r="D977" s="383"/>
      <c r="E977" s="389"/>
      <c r="F977" s="385"/>
      <c r="G977" s="391"/>
      <c r="H977" s="385"/>
      <c r="I977" s="391"/>
      <c r="J977" s="385"/>
      <c r="K977" s="391"/>
      <c r="L977" s="385"/>
      <c r="M977" s="391"/>
      <c r="N977" s="385"/>
      <c r="O977" s="190"/>
    </row>
    <row r="978" spans="2:15" ht="16" x14ac:dyDescent="0.2">
      <c r="C978" s="119">
        <v>29</v>
      </c>
      <c r="D978" s="383"/>
      <c r="E978" s="389"/>
      <c r="F978" s="385"/>
      <c r="G978" s="391"/>
      <c r="H978" s="385"/>
      <c r="I978" s="391"/>
      <c r="J978" s="385"/>
      <c r="K978" s="391"/>
      <c r="L978" s="385"/>
      <c r="M978" s="391"/>
      <c r="N978" s="385"/>
      <c r="O978" s="190"/>
    </row>
    <row r="979" spans="2:15" ht="16" x14ac:dyDescent="0.2">
      <c r="C979" s="119">
        <v>30</v>
      </c>
      <c r="D979" s="383"/>
      <c r="E979" s="389"/>
      <c r="F979" s="385"/>
      <c r="G979" s="391"/>
      <c r="H979" s="385"/>
      <c r="I979" s="391"/>
      <c r="J979" s="385"/>
      <c r="K979" s="391"/>
      <c r="L979" s="385"/>
      <c r="M979" s="391"/>
      <c r="N979" s="385"/>
      <c r="O979" s="190"/>
    </row>
    <row r="980" spans="2:15" ht="16" x14ac:dyDescent="0.2">
      <c r="C980" s="120">
        <v>31</v>
      </c>
      <c r="D980" s="383"/>
      <c r="E980" s="389"/>
      <c r="F980" s="384"/>
      <c r="G980" s="390"/>
      <c r="H980" s="384"/>
      <c r="I980" s="390"/>
      <c r="J980" s="384"/>
      <c r="K980" s="390"/>
      <c r="L980" s="384"/>
      <c r="M980" s="390"/>
      <c r="N980" s="384"/>
      <c r="O980" s="190"/>
    </row>
    <row r="981" spans="2:15" ht="16" x14ac:dyDescent="0.2">
      <c r="B981" s="256"/>
      <c r="C981" s="377">
        <v>32</v>
      </c>
      <c r="D981" s="384"/>
      <c r="E981" s="390"/>
      <c r="F981" s="384"/>
      <c r="G981" s="390"/>
      <c r="H981" s="384"/>
      <c r="I981" s="390"/>
      <c r="J981" s="384"/>
      <c r="K981" s="390"/>
      <c r="L981" s="384"/>
      <c r="M981" s="390"/>
      <c r="N981" s="384"/>
      <c r="O981" s="190"/>
    </row>
    <row r="982" spans="2:15" ht="16" x14ac:dyDescent="0.2">
      <c r="B982" s="256"/>
      <c r="C982" s="119">
        <v>33</v>
      </c>
      <c r="D982" s="385"/>
      <c r="E982" s="391"/>
      <c r="F982" s="385"/>
      <c r="G982" s="391"/>
      <c r="H982" s="385"/>
      <c r="I982" s="391"/>
      <c r="J982" s="385"/>
      <c r="K982" s="391"/>
      <c r="L982" s="385"/>
      <c r="M982" s="391"/>
      <c r="N982" s="385"/>
      <c r="O982" s="190"/>
    </row>
    <row r="983" spans="2:15" ht="16" x14ac:dyDescent="0.2">
      <c r="B983" s="256"/>
      <c r="C983" s="119">
        <v>34</v>
      </c>
      <c r="D983" s="385"/>
      <c r="E983" s="391"/>
      <c r="F983" s="385"/>
      <c r="G983" s="391"/>
      <c r="H983" s="385"/>
      <c r="I983" s="391"/>
      <c r="J983" s="385"/>
      <c r="K983" s="391"/>
      <c r="L983" s="385"/>
      <c r="M983" s="391"/>
      <c r="N983" s="385"/>
      <c r="O983" s="190"/>
    </row>
    <row r="984" spans="2:15" ht="16" x14ac:dyDescent="0.2">
      <c r="B984" s="256"/>
      <c r="C984" s="119">
        <v>35</v>
      </c>
      <c r="D984" s="385"/>
      <c r="E984" s="391"/>
      <c r="F984" s="385"/>
      <c r="G984" s="391"/>
      <c r="H984" s="385"/>
      <c r="I984" s="391"/>
      <c r="J984" s="385"/>
      <c r="K984" s="391"/>
      <c r="L984" s="385"/>
      <c r="M984" s="391"/>
      <c r="N984" s="385"/>
      <c r="O984" s="190"/>
    </row>
    <row r="985" spans="2:15" ht="16" x14ac:dyDescent="0.2">
      <c r="B985" s="256"/>
      <c r="C985" s="119">
        <v>36</v>
      </c>
      <c r="D985" s="385"/>
      <c r="E985" s="391"/>
      <c r="F985" s="385"/>
      <c r="G985" s="391"/>
      <c r="H985" s="385"/>
      <c r="I985" s="391"/>
      <c r="J985" s="385"/>
      <c r="K985" s="391"/>
      <c r="L985" s="385"/>
      <c r="M985" s="391"/>
      <c r="N985" s="385"/>
      <c r="O985" s="190"/>
    </row>
    <row r="986" spans="2:15" ht="17" thickBot="1" x14ac:dyDescent="0.25">
      <c r="B986" s="256"/>
      <c r="C986" s="378">
        <v>37</v>
      </c>
      <c r="D986" s="386"/>
      <c r="E986" s="392"/>
      <c r="F986" s="386"/>
      <c r="G986" s="392"/>
      <c r="H986" s="386"/>
      <c r="I986" s="392"/>
      <c r="J986" s="386"/>
      <c r="K986" s="392"/>
      <c r="L986" s="386"/>
      <c r="M986" s="392"/>
      <c r="N986" s="386"/>
      <c r="O986" s="190"/>
    </row>
    <row r="987" spans="2:15" ht="17" thickBot="1" x14ac:dyDescent="0.25">
      <c r="C987" s="825" t="s">
        <v>19</v>
      </c>
      <c r="D987" s="826"/>
      <c r="E987" s="380"/>
      <c r="F987" s="376">
        <f>(F950+F951+F952+F953+F954+F955+F971+F958+F959+F956+F957+F960+F961+F962+F963+F964+F965+F966+F967+F968+F969+F970+F972+F973+F975+F976+F977+F978+F979+F980+F981+F982+F983+F986)/2</f>
        <v>91</v>
      </c>
      <c r="G987" s="397">
        <f>(G950+G951+G952+G953+G954+G971+G955+G959+G958+G956+G957+G960+G961+G962+G963+G964+G965+G966+G967+G968+G969+G970+G972+G973+G975+G976+G977+G978+G979+G980+G981+G982)/2</f>
        <v>63</v>
      </c>
      <c r="H987" s="399">
        <f>(H950+H951+H952+H953+H954+H955+H971+H974+H958+H959+H956+H957+H960+H961+H962+H963+H964+H965+H966+H967+H968+H969+H970+H972+H973+H975+H976+H977+H978+H979+H980+H981+H982+H983+H986)/2</f>
        <v>0</v>
      </c>
      <c r="I987" s="398">
        <f>(I950+I951+I952+I953+I954+I984+I985+I955+I971+I958+I974+I959+I956+I957+I960+I961+I962+I963+I964+I965+I966+I967+I968+I969+I970+I972+I973+I975+I976+I977+I978+I979+I980+I981+I982+I983+I986)/2</f>
        <v>66</v>
      </c>
      <c r="J987" s="376">
        <f>(J950+J951+J952+J953+J954+J955+J959+J956+J958+J957+J974+J960+J961+J962+J963+J964+J965+J966+J967+J968+J969+J970+J971+J972+J973+J975+J976+J977+J978+J979+J980+J981+J982)/2</f>
        <v>99</v>
      </c>
      <c r="K987" s="397">
        <f>(K950+K951+K952+K953+K954+K955+K959+K956+K957+K960+K961+K962+K963+K964+K965+K966+K967+K968+K969+K970+K972+K973+K975+K976+K977+K978+K979+K980+K981+K982+K971)</f>
        <v>0</v>
      </c>
      <c r="L987" s="399">
        <f>SUM(L950:L986)</f>
        <v>0</v>
      </c>
      <c r="M987" s="398">
        <f>(M950+M951+M952+M953+M954+M955+M959+M958+M956+M957+M960+M961+M962+M963+M964+M965+M966+M967+M968+M969+M970+M972+M973+M975+M976+M977+M978+M979+M980+M981+M982)/2</f>
        <v>0</v>
      </c>
      <c r="N987" s="376"/>
      <c r="O987" s="41"/>
    </row>
    <row r="988" spans="2:15" ht="17" thickBot="1" x14ac:dyDescent="0.25">
      <c r="C988" s="825" t="s">
        <v>91</v>
      </c>
      <c r="D988" s="826"/>
      <c r="E988" s="381">
        <f>SUM(F987:J987)</f>
        <v>319</v>
      </c>
    </row>
    <row r="989" spans="2:15" ht="16" thickBot="1" x14ac:dyDescent="0.25"/>
    <row r="990" spans="2:15" ht="17" thickBot="1" x14ac:dyDescent="0.25">
      <c r="C990" s="17"/>
      <c r="D990" s="379" t="s">
        <v>83</v>
      </c>
      <c r="E990" s="818" t="s">
        <v>64</v>
      </c>
      <c r="F990" s="819"/>
      <c r="G990" s="819"/>
      <c r="H990" s="819"/>
      <c r="I990" s="819"/>
      <c r="J990" s="400" t="s">
        <v>76</v>
      </c>
      <c r="K990" s="820">
        <v>45685</v>
      </c>
      <c r="L990" s="821"/>
      <c r="M990" s="821"/>
      <c r="N990" s="821"/>
      <c r="O990" s="822"/>
    </row>
    <row r="991" spans="2:15" ht="16" thickBot="1" x14ac:dyDescent="0.25">
      <c r="B991" s="175" t="s">
        <v>76</v>
      </c>
      <c r="C991" s="175" t="s">
        <v>77</v>
      </c>
      <c r="D991" s="823" t="s">
        <v>122</v>
      </c>
      <c r="E991" s="824"/>
      <c r="F991" s="175" t="s">
        <v>104</v>
      </c>
      <c r="G991" s="395" t="s">
        <v>86</v>
      </c>
      <c r="H991" s="175" t="s">
        <v>88</v>
      </c>
      <c r="I991" s="395" t="s">
        <v>87</v>
      </c>
      <c r="J991" s="401" t="s">
        <v>85</v>
      </c>
      <c r="K991" s="395" t="s">
        <v>123</v>
      </c>
      <c r="L991" s="175" t="s">
        <v>124</v>
      </c>
      <c r="M991" s="395" t="s">
        <v>100</v>
      </c>
      <c r="N991" s="175" t="s">
        <v>213</v>
      </c>
      <c r="O991" s="404" t="s">
        <v>125</v>
      </c>
    </row>
    <row r="992" spans="2:15" ht="16" thickBot="1" x14ac:dyDescent="0.25">
      <c r="B992" s="176">
        <f>K990</f>
        <v>45685</v>
      </c>
      <c r="C992" s="374"/>
      <c r="D992" s="375" t="s">
        <v>126</v>
      </c>
      <c r="E992" s="387" t="s">
        <v>127</v>
      </c>
      <c r="F992" s="331">
        <v>10</v>
      </c>
      <c r="G992" s="237">
        <v>7</v>
      </c>
      <c r="H992" s="331">
        <v>2</v>
      </c>
      <c r="I992" s="237">
        <v>4</v>
      </c>
      <c r="J992" s="331">
        <v>8</v>
      </c>
      <c r="K992" s="231"/>
      <c r="L992" s="125"/>
      <c r="M992" s="231"/>
      <c r="N992" s="125"/>
      <c r="O992" s="326"/>
    </row>
    <row r="993" spans="3:15" ht="16" x14ac:dyDescent="0.2">
      <c r="C993" s="118">
        <v>1</v>
      </c>
      <c r="D993" s="382">
        <v>0.2951388888888889</v>
      </c>
      <c r="E993" s="388">
        <v>0.31597222222222221</v>
      </c>
      <c r="F993" s="393"/>
      <c r="G993" s="396">
        <v>14</v>
      </c>
      <c r="H993" s="393"/>
      <c r="I993" s="396"/>
      <c r="J993" s="393"/>
      <c r="K993" s="396"/>
      <c r="L993" s="393"/>
      <c r="M993" s="396"/>
      <c r="N993" s="393"/>
      <c r="O993" s="190"/>
    </row>
    <row r="994" spans="3:15" ht="16" x14ac:dyDescent="0.2">
      <c r="C994" s="119">
        <v>2</v>
      </c>
      <c r="D994" s="383">
        <v>0.30902777777777779</v>
      </c>
      <c r="E994" s="389">
        <v>0.3298611111111111</v>
      </c>
      <c r="F994" s="385"/>
      <c r="G994" s="391"/>
      <c r="H994" s="385">
        <v>28</v>
      </c>
      <c r="I994" s="391"/>
      <c r="J994" s="385"/>
      <c r="K994" s="391"/>
      <c r="L994" s="385"/>
      <c r="M994" s="391"/>
      <c r="N994" s="385"/>
      <c r="O994" s="190"/>
    </row>
    <row r="995" spans="3:15" ht="16" x14ac:dyDescent="0.2">
      <c r="C995" s="119">
        <v>3</v>
      </c>
      <c r="D995" s="383">
        <v>0.33680555555555558</v>
      </c>
      <c r="E995" s="389">
        <v>0.3576388888888889</v>
      </c>
      <c r="F995" s="385">
        <v>28</v>
      </c>
      <c r="G995" s="391"/>
      <c r="H995" s="385"/>
      <c r="I995" s="391"/>
      <c r="J995" s="385"/>
      <c r="K995" s="391"/>
      <c r="L995" s="384"/>
      <c r="M995" s="391"/>
      <c r="N995" s="385"/>
      <c r="O995" s="190"/>
    </row>
    <row r="996" spans="3:15" ht="16" x14ac:dyDescent="0.2">
      <c r="C996" s="119">
        <v>4</v>
      </c>
      <c r="D996" s="383">
        <v>0.36805555555555558</v>
      </c>
      <c r="E996" s="389">
        <v>0.3888888888888889</v>
      </c>
      <c r="F996" s="385">
        <v>28</v>
      </c>
      <c r="G996" s="391"/>
      <c r="H996" s="316"/>
      <c r="I996" s="391"/>
      <c r="J996" s="385"/>
      <c r="K996" s="391"/>
      <c r="L996" s="402"/>
      <c r="M996" s="391"/>
      <c r="N996" s="385"/>
      <c r="O996" s="190"/>
    </row>
    <row r="997" spans="3:15" ht="16" x14ac:dyDescent="0.2">
      <c r="C997" s="119">
        <v>5</v>
      </c>
      <c r="D997" s="383">
        <v>0.3923611111111111</v>
      </c>
      <c r="E997" s="389">
        <v>0.41319444444444442</v>
      </c>
      <c r="F997" s="385">
        <v>28</v>
      </c>
      <c r="G997" s="391"/>
      <c r="H997" s="316"/>
      <c r="I997" s="391"/>
      <c r="J997" s="385"/>
      <c r="K997" s="391"/>
      <c r="L997" s="393"/>
      <c r="M997" s="391"/>
      <c r="N997" s="385"/>
      <c r="O997" s="190"/>
    </row>
    <row r="998" spans="3:15" ht="16" x14ac:dyDescent="0.2">
      <c r="C998" s="119">
        <v>6</v>
      </c>
      <c r="D998" s="383">
        <v>0.41666666666666669</v>
      </c>
      <c r="E998" s="389">
        <v>0.4375</v>
      </c>
      <c r="F998" s="385">
        <v>28</v>
      </c>
      <c r="G998" s="391"/>
      <c r="H998" s="316"/>
      <c r="I998" s="391"/>
      <c r="J998" s="385"/>
      <c r="K998" s="391"/>
      <c r="L998" s="393"/>
      <c r="M998" s="391"/>
      <c r="N998" s="385"/>
      <c r="O998" s="190"/>
    </row>
    <row r="999" spans="3:15" ht="16" x14ac:dyDescent="0.2">
      <c r="C999" s="119">
        <v>7</v>
      </c>
      <c r="D999" s="383">
        <v>0.4375</v>
      </c>
      <c r="E999" s="389">
        <v>0.45833333333333331</v>
      </c>
      <c r="F999" s="385">
        <v>28</v>
      </c>
      <c r="G999" s="391"/>
      <c r="H999" s="316"/>
      <c r="I999" s="391"/>
      <c r="J999" s="385"/>
      <c r="K999" s="391"/>
      <c r="L999" s="393"/>
      <c r="M999" s="391"/>
      <c r="N999" s="385"/>
      <c r="O999" s="190"/>
    </row>
    <row r="1000" spans="3:15" ht="16" x14ac:dyDescent="0.2">
      <c r="C1000" s="119">
        <v>8</v>
      </c>
      <c r="D1000" s="383">
        <v>0.46527777777777773</v>
      </c>
      <c r="E1000" s="389">
        <v>0.4861111111111111</v>
      </c>
      <c r="F1000" s="385"/>
      <c r="G1000" s="391"/>
      <c r="H1000" s="316"/>
      <c r="I1000" s="391">
        <v>44</v>
      </c>
      <c r="J1000" s="385"/>
      <c r="K1000" s="391"/>
      <c r="L1000" s="385"/>
      <c r="M1000" s="391"/>
      <c r="N1000" s="385"/>
      <c r="O1000" s="190"/>
    </row>
    <row r="1001" spans="3:15" ht="16" x14ac:dyDescent="0.2">
      <c r="C1001" s="119">
        <v>9</v>
      </c>
      <c r="D1001" s="383">
        <v>0.5</v>
      </c>
      <c r="E1001" s="389">
        <v>0.52083333333333337</v>
      </c>
      <c r="F1001" s="385"/>
      <c r="G1001" s="391">
        <v>28</v>
      </c>
      <c r="H1001" s="316"/>
      <c r="I1001" s="391"/>
      <c r="J1001" s="385"/>
      <c r="K1001" s="391"/>
      <c r="L1001" s="385"/>
      <c r="M1001" s="391"/>
      <c r="N1001" s="385"/>
      <c r="O1001" s="190"/>
    </row>
    <row r="1002" spans="3:15" ht="16" x14ac:dyDescent="0.2">
      <c r="C1002" s="119">
        <v>10</v>
      </c>
      <c r="D1002" s="383">
        <v>0.52083333333333337</v>
      </c>
      <c r="E1002" s="389">
        <v>0.54166666666666663</v>
      </c>
      <c r="F1002" s="385"/>
      <c r="G1002" s="391"/>
      <c r="H1002" s="316"/>
      <c r="I1002" s="391">
        <v>44</v>
      </c>
      <c r="J1002" s="385"/>
      <c r="K1002" s="391"/>
      <c r="L1002" s="385"/>
      <c r="M1002" s="391"/>
      <c r="N1002" s="385"/>
      <c r="O1002" s="190"/>
    </row>
    <row r="1003" spans="3:15" ht="16" x14ac:dyDescent="0.2">
      <c r="C1003" s="119">
        <v>11</v>
      </c>
      <c r="D1003" s="383">
        <v>0.57986111111111105</v>
      </c>
      <c r="E1003" s="389">
        <v>0.60069444444444442</v>
      </c>
      <c r="F1003" s="385"/>
      <c r="G1003" s="391">
        <v>28</v>
      </c>
      <c r="H1003" s="316"/>
      <c r="I1003" s="391"/>
      <c r="J1003" s="28"/>
      <c r="K1003" s="391"/>
      <c r="L1003" s="385"/>
      <c r="M1003" s="391"/>
      <c r="N1003" s="385"/>
      <c r="O1003" s="190"/>
    </row>
    <row r="1004" spans="3:15" ht="16" x14ac:dyDescent="0.2">
      <c r="C1004" s="193">
        <v>12</v>
      </c>
      <c r="D1004" s="383">
        <v>0.60416666666666663</v>
      </c>
      <c r="E1004" s="389">
        <v>0.625</v>
      </c>
      <c r="F1004" s="385"/>
      <c r="G1004" s="391"/>
      <c r="H1004" s="316"/>
      <c r="I1004" s="391"/>
      <c r="J1004" s="385">
        <v>36</v>
      </c>
      <c r="K1004" s="391"/>
      <c r="L1004" s="385"/>
      <c r="M1004" s="391"/>
      <c r="N1004" s="385"/>
      <c r="O1004" s="190"/>
    </row>
    <row r="1005" spans="3:15" ht="16" x14ac:dyDescent="0.2">
      <c r="C1005" s="119">
        <v>13</v>
      </c>
      <c r="D1005" s="383">
        <v>0.62847222222222221</v>
      </c>
      <c r="E1005" s="389">
        <v>0.64930555555555558</v>
      </c>
      <c r="F1005" s="385"/>
      <c r="G1005" s="391">
        <v>28</v>
      </c>
      <c r="H1005" s="316"/>
      <c r="I1005" s="391"/>
      <c r="J1005" s="385"/>
      <c r="K1005" s="391"/>
      <c r="L1005" s="385"/>
      <c r="M1005" s="391"/>
      <c r="N1005" s="385"/>
      <c r="O1005" s="190"/>
    </row>
    <row r="1006" spans="3:15" ht="16" x14ac:dyDescent="0.2">
      <c r="C1006" s="119">
        <v>14</v>
      </c>
      <c r="D1006" s="383">
        <v>0.65625</v>
      </c>
      <c r="E1006" s="389">
        <v>0.67708333333333337</v>
      </c>
      <c r="F1006" s="385"/>
      <c r="G1006" s="391"/>
      <c r="H1006" s="316"/>
      <c r="I1006" s="391"/>
      <c r="J1006" s="385">
        <v>36</v>
      </c>
      <c r="K1006" s="391"/>
      <c r="L1006" s="385"/>
      <c r="M1006" s="391"/>
      <c r="N1006" s="385"/>
      <c r="O1006" s="190"/>
    </row>
    <row r="1007" spans="3:15" ht="16" x14ac:dyDescent="0.2">
      <c r="C1007" s="119">
        <v>15</v>
      </c>
      <c r="D1007" s="383">
        <v>0.68402777777777779</v>
      </c>
      <c r="E1007" s="389">
        <v>0.70486111111111116</v>
      </c>
      <c r="F1007" s="385"/>
      <c r="G1007" s="391"/>
      <c r="H1007" s="316"/>
      <c r="I1007" s="391"/>
      <c r="J1007" s="385">
        <v>36</v>
      </c>
      <c r="K1007" s="391"/>
      <c r="L1007" s="385"/>
      <c r="M1007" s="391"/>
      <c r="N1007" s="385"/>
      <c r="O1007" s="190"/>
    </row>
    <row r="1008" spans="3:15" ht="16" x14ac:dyDescent="0.2">
      <c r="C1008" s="119">
        <v>16</v>
      </c>
      <c r="D1008" s="383">
        <v>0.72569444444444453</v>
      </c>
      <c r="E1008" s="389">
        <v>0.74652777777777779</v>
      </c>
      <c r="F1008" s="385"/>
      <c r="G1008" s="391"/>
      <c r="H1008" s="316"/>
      <c r="I1008" s="391"/>
      <c r="J1008" s="385">
        <v>32</v>
      </c>
      <c r="K1008" s="391"/>
      <c r="L1008" s="385"/>
      <c r="M1008" s="391"/>
      <c r="N1008" s="385"/>
      <c r="O1008" s="190"/>
    </row>
    <row r="1009" spans="2:15" ht="16" x14ac:dyDescent="0.2">
      <c r="C1009" s="119">
        <v>17</v>
      </c>
      <c r="D1009" s="383"/>
      <c r="E1009" s="389"/>
      <c r="F1009" s="384"/>
      <c r="G1009" s="33"/>
      <c r="H1009" s="316"/>
      <c r="I1009" s="390"/>
      <c r="J1009" s="385"/>
      <c r="K1009" s="391"/>
      <c r="L1009" s="385"/>
      <c r="M1009" s="391"/>
      <c r="N1009" s="385"/>
      <c r="O1009" s="190"/>
    </row>
    <row r="1010" spans="2:15" ht="16" x14ac:dyDescent="0.2">
      <c r="C1010" s="119">
        <v>18</v>
      </c>
      <c r="D1010" s="383"/>
      <c r="E1010" s="389"/>
      <c r="F1010" s="394"/>
      <c r="G1010" s="229"/>
      <c r="H1010" s="394"/>
      <c r="I1010" s="391"/>
      <c r="J1010" s="385"/>
      <c r="K1010" s="391"/>
      <c r="L1010" s="385"/>
      <c r="M1010" s="391"/>
      <c r="N1010" s="385"/>
      <c r="O1010" s="190"/>
    </row>
    <row r="1011" spans="2:15" ht="16" x14ac:dyDescent="0.2">
      <c r="C1011" s="119">
        <v>19</v>
      </c>
      <c r="D1011" s="383"/>
      <c r="E1011" s="389"/>
      <c r="F1011" s="385"/>
      <c r="G1011" s="391"/>
      <c r="H1011" s="385"/>
      <c r="I1011" s="391"/>
      <c r="J1011" s="385"/>
      <c r="K1011" s="391"/>
      <c r="L1011" s="403"/>
      <c r="M1011" s="391"/>
      <c r="N1011" s="385"/>
      <c r="O1011" s="190"/>
    </row>
    <row r="1012" spans="2:15" ht="16" x14ac:dyDescent="0.2">
      <c r="C1012" s="119">
        <v>20</v>
      </c>
      <c r="D1012" s="383"/>
      <c r="E1012" s="389"/>
      <c r="F1012" s="385"/>
      <c r="G1012" s="391"/>
      <c r="H1012" s="385"/>
      <c r="I1012" s="391"/>
      <c r="J1012" s="385"/>
      <c r="K1012" s="391"/>
      <c r="L1012" s="403"/>
      <c r="M1012" s="391"/>
      <c r="N1012" s="385"/>
      <c r="O1012" s="190"/>
    </row>
    <row r="1013" spans="2:15" ht="16" x14ac:dyDescent="0.2">
      <c r="C1013" s="119">
        <v>21</v>
      </c>
      <c r="D1013" s="383"/>
      <c r="E1013" s="389"/>
      <c r="F1013" s="385"/>
      <c r="G1013" s="391"/>
      <c r="H1013" s="385"/>
      <c r="I1013" s="391"/>
      <c r="J1013" s="385"/>
      <c r="K1013" s="391"/>
      <c r="L1013" s="385"/>
      <c r="M1013" s="391"/>
      <c r="N1013" s="385"/>
      <c r="O1013" s="190"/>
    </row>
    <row r="1014" spans="2:15" ht="16" x14ac:dyDescent="0.2">
      <c r="C1014" s="119">
        <v>22</v>
      </c>
      <c r="D1014" s="383"/>
      <c r="E1014" s="389"/>
      <c r="F1014" s="385"/>
      <c r="G1014" s="391"/>
      <c r="H1014" s="385"/>
      <c r="I1014" s="391"/>
      <c r="J1014" s="385"/>
      <c r="K1014" s="391"/>
      <c r="L1014" s="385"/>
      <c r="M1014" s="391"/>
      <c r="N1014" s="385"/>
      <c r="O1014" s="190"/>
    </row>
    <row r="1015" spans="2:15" ht="16" x14ac:dyDescent="0.2">
      <c r="C1015" s="119">
        <v>23</v>
      </c>
      <c r="D1015" s="383"/>
      <c r="E1015" s="389"/>
      <c r="F1015" s="385"/>
      <c r="G1015" s="391"/>
      <c r="H1015" s="385"/>
      <c r="I1015" s="391"/>
      <c r="J1015" s="385"/>
      <c r="K1015" s="391"/>
      <c r="L1015" s="385"/>
      <c r="M1015" s="391"/>
      <c r="N1015" s="385"/>
      <c r="O1015" s="190"/>
    </row>
    <row r="1016" spans="2:15" ht="16" x14ac:dyDescent="0.2">
      <c r="C1016" s="119">
        <v>24</v>
      </c>
      <c r="D1016" s="383"/>
      <c r="E1016" s="389"/>
      <c r="F1016" s="385"/>
      <c r="G1016" s="391"/>
      <c r="H1016" s="385"/>
      <c r="I1016" s="391"/>
      <c r="J1016" s="385"/>
      <c r="K1016" s="391"/>
      <c r="L1016" s="385"/>
      <c r="M1016" s="391"/>
      <c r="N1016" s="385"/>
      <c r="O1016" s="190"/>
    </row>
    <row r="1017" spans="2:15" ht="16" x14ac:dyDescent="0.2">
      <c r="C1017" s="119">
        <v>25</v>
      </c>
      <c r="D1017" s="383"/>
      <c r="E1017" s="389"/>
      <c r="F1017" s="385"/>
      <c r="G1017" s="391"/>
      <c r="H1017" s="385"/>
      <c r="I1017" s="391"/>
      <c r="J1017" s="385"/>
      <c r="K1017" s="391"/>
      <c r="L1017" s="385"/>
      <c r="M1017" s="391"/>
      <c r="N1017" s="385"/>
      <c r="O1017" s="190"/>
    </row>
    <row r="1018" spans="2:15" ht="16" x14ac:dyDescent="0.2">
      <c r="C1018" s="119">
        <v>26</v>
      </c>
      <c r="D1018" s="383"/>
      <c r="E1018" s="389"/>
      <c r="F1018" s="385"/>
      <c r="G1018" s="391"/>
      <c r="H1018" s="385"/>
      <c r="I1018" s="391"/>
      <c r="J1018" s="385"/>
      <c r="K1018" s="391"/>
      <c r="L1018" s="385"/>
      <c r="M1018" s="391"/>
      <c r="N1018" s="385"/>
      <c r="O1018" s="190"/>
    </row>
    <row r="1019" spans="2:15" ht="16" x14ac:dyDescent="0.2">
      <c r="C1019" s="119">
        <v>27</v>
      </c>
      <c r="D1019" s="383"/>
      <c r="E1019" s="389"/>
      <c r="F1019" s="385"/>
      <c r="G1019" s="391"/>
      <c r="H1019" s="385"/>
      <c r="I1019" s="391"/>
      <c r="J1019" s="385"/>
      <c r="K1019" s="391"/>
      <c r="L1019" s="385"/>
      <c r="M1019" s="391"/>
      <c r="N1019" s="385"/>
      <c r="O1019" s="190"/>
    </row>
    <row r="1020" spans="2:15" ht="16" x14ac:dyDescent="0.2">
      <c r="C1020" s="119">
        <v>28</v>
      </c>
      <c r="D1020" s="383"/>
      <c r="E1020" s="389"/>
      <c r="F1020" s="385"/>
      <c r="G1020" s="391"/>
      <c r="H1020" s="385"/>
      <c r="I1020" s="391"/>
      <c r="J1020" s="385"/>
      <c r="K1020" s="391"/>
      <c r="L1020" s="385"/>
      <c r="M1020" s="391"/>
      <c r="N1020" s="385"/>
      <c r="O1020" s="190"/>
    </row>
    <row r="1021" spans="2:15" ht="16" x14ac:dyDescent="0.2">
      <c r="C1021" s="119">
        <v>29</v>
      </c>
      <c r="D1021" s="383"/>
      <c r="E1021" s="389"/>
      <c r="F1021" s="385"/>
      <c r="G1021" s="391"/>
      <c r="H1021" s="385"/>
      <c r="I1021" s="391"/>
      <c r="J1021" s="385"/>
      <c r="K1021" s="391"/>
      <c r="L1021" s="385"/>
      <c r="M1021" s="391"/>
      <c r="N1021" s="385"/>
      <c r="O1021" s="190"/>
    </row>
    <row r="1022" spans="2:15" ht="16" x14ac:dyDescent="0.2">
      <c r="C1022" s="119">
        <v>30</v>
      </c>
      <c r="D1022" s="383"/>
      <c r="E1022" s="389"/>
      <c r="F1022" s="385"/>
      <c r="G1022" s="391"/>
      <c r="H1022" s="385"/>
      <c r="I1022" s="391"/>
      <c r="J1022" s="385"/>
      <c r="K1022" s="391"/>
      <c r="L1022" s="385"/>
      <c r="M1022" s="391"/>
      <c r="N1022" s="385"/>
      <c r="O1022" s="190"/>
    </row>
    <row r="1023" spans="2:15" ht="16" x14ac:dyDescent="0.2">
      <c r="C1023" s="120">
        <v>31</v>
      </c>
      <c r="D1023" s="383"/>
      <c r="E1023" s="389"/>
      <c r="F1023" s="384"/>
      <c r="G1023" s="390"/>
      <c r="H1023" s="384"/>
      <c r="I1023" s="390"/>
      <c r="J1023" s="384"/>
      <c r="K1023" s="390"/>
      <c r="L1023" s="384"/>
      <c r="M1023" s="390"/>
      <c r="N1023" s="384"/>
      <c r="O1023" s="190"/>
    </row>
    <row r="1024" spans="2:15" ht="16" x14ac:dyDescent="0.2">
      <c r="B1024" s="256"/>
      <c r="C1024" s="377">
        <v>32</v>
      </c>
      <c r="D1024" s="384"/>
      <c r="E1024" s="390"/>
      <c r="F1024" s="384"/>
      <c r="G1024" s="390"/>
      <c r="H1024" s="384"/>
      <c r="I1024" s="390"/>
      <c r="J1024" s="384"/>
      <c r="K1024" s="390"/>
      <c r="L1024" s="384"/>
      <c r="M1024" s="390"/>
      <c r="N1024" s="384"/>
      <c r="O1024" s="190"/>
    </row>
    <row r="1025" spans="2:15" ht="16" x14ac:dyDescent="0.2">
      <c r="B1025" s="256"/>
      <c r="C1025" s="119">
        <v>33</v>
      </c>
      <c r="D1025" s="385"/>
      <c r="E1025" s="391"/>
      <c r="F1025" s="385"/>
      <c r="G1025" s="391"/>
      <c r="H1025" s="385"/>
      <c r="I1025" s="391"/>
      <c r="J1025" s="385"/>
      <c r="K1025" s="391"/>
      <c r="L1025" s="385"/>
      <c r="M1025" s="391"/>
      <c r="N1025" s="385"/>
      <c r="O1025" s="190"/>
    </row>
    <row r="1026" spans="2:15" ht="16" x14ac:dyDescent="0.2">
      <c r="B1026" s="256"/>
      <c r="C1026" s="119">
        <v>34</v>
      </c>
      <c r="D1026" s="385"/>
      <c r="E1026" s="391"/>
      <c r="F1026" s="385"/>
      <c r="G1026" s="391"/>
      <c r="H1026" s="385"/>
      <c r="I1026" s="391"/>
      <c r="J1026" s="385"/>
      <c r="K1026" s="391"/>
      <c r="L1026" s="385"/>
      <c r="M1026" s="391"/>
      <c r="N1026" s="385"/>
      <c r="O1026" s="190"/>
    </row>
    <row r="1027" spans="2:15" ht="16" x14ac:dyDescent="0.2">
      <c r="B1027" s="256"/>
      <c r="C1027" s="119">
        <v>35</v>
      </c>
      <c r="D1027" s="385"/>
      <c r="E1027" s="391"/>
      <c r="F1027" s="385"/>
      <c r="G1027" s="391"/>
      <c r="H1027" s="385"/>
      <c r="I1027" s="391"/>
      <c r="J1027" s="385"/>
      <c r="K1027" s="391"/>
      <c r="L1027" s="385"/>
      <c r="M1027" s="391"/>
      <c r="N1027" s="385"/>
      <c r="O1027" s="190"/>
    </row>
    <row r="1028" spans="2:15" ht="16" x14ac:dyDescent="0.2">
      <c r="B1028" s="256"/>
      <c r="C1028" s="119">
        <v>36</v>
      </c>
      <c r="D1028" s="385"/>
      <c r="E1028" s="391"/>
      <c r="F1028" s="385"/>
      <c r="G1028" s="391"/>
      <c r="H1028" s="385"/>
      <c r="I1028" s="391"/>
      <c r="J1028" s="385"/>
      <c r="K1028" s="391"/>
      <c r="L1028" s="385"/>
      <c r="M1028" s="391"/>
      <c r="N1028" s="385"/>
      <c r="O1028" s="190"/>
    </row>
    <row r="1029" spans="2:15" ht="17" thickBot="1" x14ac:dyDescent="0.25">
      <c r="B1029" s="256"/>
      <c r="C1029" s="378">
        <v>37</v>
      </c>
      <c r="D1029" s="386"/>
      <c r="E1029" s="392"/>
      <c r="F1029" s="386"/>
      <c r="G1029" s="392"/>
      <c r="H1029" s="386"/>
      <c r="I1029" s="392"/>
      <c r="J1029" s="386"/>
      <c r="K1029" s="392"/>
      <c r="L1029" s="386"/>
      <c r="M1029" s="392"/>
      <c r="N1029" s="386"/>
      <c r="O1029" s="190"/>
    </row>
    <row r="1030" spans="2:15" ht="17" thickBot="1" x14ac:dyDescent="0.25">
      <c r="C1030" s="825" t="s">
        <v>19</v>
      </c>
      <c r="D1030" s="826"/>
      <c r="E1030" s="380"/>
      <c r="F1030" s="376">
        <f>(F993+F994+F995+F996+F997+F998+F1014+F1001+F1002+F999+F1000+F1003+F1004+F1005+F1006+F1007+F1008+F1009+F1010+F1011+F1012+F1013+F1015+F1016+F1018+F1019+F1020+F1021+F1022+F1023+F1024+F1025+F1026+F1029)/2</f>
        <v>70</v>
      </c>
      <c r="G1030" s="397">
        <f>(G993+G994+G995+G996+G997+G1014+G998+G1002+G1001+G999+G1000+G1003+G1004+G1005+G1006+G1007+G1008+G1009+G1010+G1011+G1012+G1013+G1015+G1016+G1018+G1019+G1020+G1021+G1022+G1023+G1024+G1025)/2</f>
        <v>49</v>
      </c>
      <c r="H1030" s="399">
        <f>(H993+H994+H995+H996+H997+H998+H1014+H1017+H1001+H1002+H999+H1000+H1003+H1004+H1005+H1006+H1007+H1008+H1009+H1010+H1011+H1012+H1013+H1015+H1016+H1018+H1019+H1020+H1021+H1022+H1023+H1024+H1025+H1026+H1029)/2</f>
        <v>14</v>
      </c>
      <c r="I1030" s="398">
        <f>(I993+I994+I995+I996+I997+I1027+I1028+I998+I1014+I1001+I1017+I1002+I999+I1000+I1003+I1004+I1005+I1006+I1007+I1008+I1009+I1010+I1011+I1012+I1013+I1015+I1016+I1018+I1019+I1020+I1021+I1022+I1023+I1024+I1025+I1026+I1029)/2</f>
        <v>44</v>
      </c>
      <c r="J1030" s="376">
        <f>(J993+J994+J995+J996+J997+J998+J1002+J999+J1001+J1000+J1017+J1003+J1004+J1005+J1006+J1007+J1008+J1009+J1010+J1011+J1012+J1013+J1014+J1015+J1016+J1018+J1019+J1020+J1021+J1022+J1023+J1024+J1025)/2</f>
        <v>70</v>
      </c>
      <c r="K1030" s="397">
        <f>(K993+K994+K995+K996+K997+K998+K1002+K999+K1000+K1003+K1004+K1005+K1006+K1007+K1008+K1009+K1010+K1011+K1012+K1013+K1015+K1016+K1018+K1019+K1020+K1021+K1022+K1023+K1024+K1025+K1014)</f>
        <v>0</v>
      </c>
      <c r="L1030" s="399">
        <f>SUM(L993:L1029)</f>
        <v>0</v>
      </c>
      <c r="M1030" s="398">
        <f>(M993+M994+M995+M996+M997+M998+M1002+M1001+M999+M1000+M1003+M1004+M1005+M1006+M1007+M1008+M1009+M1010+M1011+M1012+M1013+M1015+M1016+M1018+M1019+M1020+M1021+M1022+M1023+M1024+M1025)/2</f>
        <v>0</v>
      </c>
      <c r="N1030" s="376"/>
      <c r="O1030" s="41"/>
    </row>
    <row r="1031" spans="2:15" ht="17" thickBot="1" x14ac:dyDescent="0.25">
      <c r="C1031" s="825" t="s">
        <v>91</v>
      </c>
      <c r="D1031" s="826"/>
      <c r="E1031" s="381">
        <f>SUM(F1030:J1030)</f>
        <v>247</v>
      </c>
    </row>
    <row r="1032" spans="2:15" ht="16" thickBot="1" x14ac:dyDescent="0.25"/>
    <row r="1033" spans="2:15" ht="17" thickBot="1" x14ac:dyDescent="0.25">
      <c r="C1033" s="17"/>
      <c r="D1033" s="379" t="s">
        <v>83</v>
      </c>
      <c r="E1033" s="818" t="s">
        <v>66</v>
      </c>
      <c r="F1033" s="819"/>
      <c r="G1033" s="819"/>
      <c r="H1033" s="819"/>
      <c r="I1033" s="819"/>
      <c r="J1033" s="400" t="s">
        <v>76</v>
      </c>
      <c r="K1033" s="820">
        <v>45687</v>
      </c>
      <c r="L1033" s="821"/>
      <c r="M1033" s="821"/>
      <c r="N1033" s="821"/>
      <c r="O1033" s="822"/>
    </row>
    <row r="1034" spans="2:15" ht="16" thickBot="1" x14ac:dyDescent="0.25">
      <c r="B1034" s="175" t="s">
        <v>76</v>
      </c>
      <c r="C1034" s="175" t="s">
        <v>77</v>
      </c>
      <c r="D1034" s="823" t="s">
        <v>122</v>
      </c>
      <c r="E1034" s="824"/>
      <c r="F1034" s="175" t="s">
        <v>104</v>
      </c>
      <c r="G1034" s="395" t="s">
        <v>86</v>
      </c>
      <c r="H1034" s="175" t="s">
        <v>88</v>
      </c>
      <c r="I1034" s="395" t="s">
        <v>87</v>
      </c>
      <c r="J1034" s="401" t="s">
        <v>85</v>
      </c>
      <c r="K1034" s="395" t="s">
        <v>123</v>
      </c>
      <c r="L1034" s="175" t="s">
        <v>124</v>
      </c>
      <c r="M1034" s="395" t="s">
        <v>100</v>
      </c>
      <c r="N1034" s="175" t="s">
        <v>213</v>
      </c>
      <c r="O1034" s="404" t="s">
        <v>125</v>
      </c>
    </row>
    <row r="1035" spans="2:15" ht="16" thickBot="1" x14ac:dyDescent="0.25">
      <c r="B1035" s="176">
        <f>K1033</f>
        <v>45687</v>
      </c>
      <c r="C1035" s="374"/>
      <c r="D1035" s="375" t="s">
        <v>126</v>
      </c>
      <c r="E1035" s="387" t="s">
        <v>127</v>
      </c>
      <c r="F1035" s="331">
        <v>15</v>
      </c>
      <c r="G1035" s="237">
        <v>8</v>
      </c>
      <c r="H1035" s="331">
        <v>5</v>
      </c>
      <c r="I1035" s="237">
        <v>5</v>
      </c>
      <c r="J1035" s="331">
        <v>11</v>
      </c>
      <c r="K1035" s="231"/>
      <c r="L1035" s="125"/>
      <c r="M1035" s="231"/>
      <c r="N1035" s="125"/>
      <c r="O1035" s="326"/>
    </row>
    <row r="1036" spans="2:15" ht="16" x14ac:dyDescent="0.2">
      <c r="C1036" s="118">
        <v>1</v>
      </c>
      <c r="D1036" s="382">
        <v>0.30208333333333331</v>
      </c>
      <c r="E1036" s="388">
        <v>0.32291666666666669</v>
      </c>
      <c r="F1036" s="393"/>
      <c r="G1036" s="396">
        <v>28</v>
      </c>
      <c r="H1036" s="393"/>
      <c r="I1036" s="396"/>
      <c r="J1036" s="393"/>
      <c r="K1036" s="396"/>
      <c r="L1036" s="393"/>
      <c r="M1036" s="396"/>
      <c r="N1036" s="393"/>
      <c r="O1036" s="190"/>
    </row>
    <row r="1037" spans="2:15" ht="16" x14ac:dyDescent="0.2">
      <c r="C1037" s="119">
        <v>2</v>
      </c>
      <c r="D1037" s="383">
        <v>0.31597222222222221</v>
      </c>
      <c r="E1037" s="389">
        <v>0.33680555555555558</v>
      </c>
      <c r="F1037" s="385"/>
      <c r="G1037" s="391"/>
      <c r="H1037" s="385">
        <v>14</v>
      </c>
      <c r="I1037" s="391"/>
      <c r="J1037" s="385"/>
      <c r="K1037" s="391"/>
      <c r="L1037" s="385"/>
      <c r="M1037" s="391"/>
      <c r="N1037" s="385"/>
      <c r="O1037" s="190"/>
    </row>
    <row r="1038" spans="2:15" ht="16" x14ac:dyDescent="0.2">
      <c r="C1038" s="119">
        <v>3</v>
      </c>
      <c r="D1038" s="383">
        <v>0.32291666666666669</v>
      </c>
      <c r="E1038" s="389">
        <v>0.34375</v>
      </c>
      <c r="F1038" s="385">
        <v>14</v>
      </c>
      <c r="G1038" s="391"/>
      <c r="H1038" s="385"/>
      <c r="I1038" s="391"/>
      <c r="J1038" s="385"/>
      <c r="K1038" s="391"/>
      <c r="L1038" s="384"/>
      <c r="M1038" s="391"/>
      <c r="N1038" s="385"/>
      <c r="O1038" s="190"/>
    </row>
    <row r="1039" spans="2:15" ht="16" x14ac:dyDescent="0.2">
      <c r="C1039" s="119">
        <v>4</v>
      </c>
      <c r="D1039" s="383">
        <v>0.35069444444444442</v>
      </c>
      <c r="E1039" s="389">
        <v>0.37152777777777773</v>
      </c>
      <c r="F1039" s="385">
        <v>28</v>
      </c>
      <c r="G1039" s="391"/>
      <c r="H1039" s="316"/>
      <c r="I1039" s="391"/>
      <c r="J1039" s="385"/>
      <c r="K1039" s="391"/>
      <c r="L1039" s="402"/>
      <c r="M1039" s="391"/>
      <c r="N1039" s="385"/>
      <c r="O1039" s="190"/>
    </row>
    <row r="1040" spans="2:15" ht="16" x14ac:dyDescent="0.2">
      <c r="C1040" s="119">
        <v>5</v>
      </c>
      <c r="D1040" s="383">
        <v>0.37152777777777773</v>
      </c>
      <c r="E1040" s="389">
        <v>0.3923611111111111</v>
      </c>
      <c r="F1040" s="385">
        <v>28</v>
      </c>
      <c r="G1040" s="391"/>
      <c r="H1040" s="316"/>
      <c r="I1040" s="391"/>
      <c r="J1040" s="385"/>
      <c r="K1040" s="391"/>
      <c r="L1040" s="393"/>
      <c r="M1040" s="391"/>
      <c r="N1040" s="385"/>
      <c r="O1040" s="190"/>
    </row>
    <row r="1041" spans="3:15" ht="16" x14ac:dyDescent="0.2">
      <c r="C1041" s="119">
        <v>6</v>
      </c>
      <c r="D1041" s="383">
        <v>0.3923611111111111</v>
      </c>
      <c r="E1041" s="389">
        <v>0.41319444444444442</v>
      </c>
      <c r="F1041" s="385">
        <v>28</v>
      </c>
      <c r="G1041" s="391"/>
      <c r="H1041" s="316"/>
      <c r="I1041" s="391"/>
      <c r="J1041" s="385"/>
      <c r="K1041" s="391"/>
      <c r="L1041" s="393"/>
      <c r="M1041" s="391"/>
      <c r="N1041" s="385"/>
      <c r="O1041" s="190"/>
    </row>
    <row r="1042" spans="3:15" ht="16" x14ac:dyDescent="0.2">
      <c r="C1042" s="119">
        <v>7</v>
      </c>
      <c r="D1042" s="383">
        <v>0.41319444444444442</v>
      </c>
      <c r="E1042" s="389">
        <v>0.43402777777777773</v>
      </c>
      <c r="F1042" s="385">
        <v>28</v>
      </c>
      <c r="G1042" s="391"/>
      <c r="H1042" s="316"/>
      <c r="I1042" s="391"/>
      <c r="J1042" s="385"/>
      <c r="K1042" s="391"/>
      <c r="L1042" s="393"/>
      <c r="M1042" s="391"/>
      <c r="N1042" s="385"/>
      <c r="O1042" s="190"/>
    </row>
    <row r="1043" spans="3:15" ht="16" x14ac:dyDescent="0.2">
      <c r="C1043" s="119">
        <v>8</v>
      </c>
      <c r="D1043" s="383">
        <v>0.43402777777777773</v>
      </c>
      <c r="E1043" s="389">
        <v>0.4548611111111111</v>
      </c>
      <c r="F1043" s="385">
        <v>28</v>
      </c>
      <c r="G1043" s="391"/>
      <c r="H1043" s="316"/>
      <c r="I1043" s="391"/>
      <c r="J1043" s="385"/>
      <c r="K1043" s="391"/>
      <c r="L1043" s="385"/>
      <c r="M1043" s="391"/>
      <c r="N1043" s="385"/>
      <c r="O1043" s="190"/>
    </row>
    <row r="1044" spans="3:15" ht="16" x14ac:dyDescent="0.2">
      <c r="C1044" s="119">
        <v>9</v>
      </c>
      <c r="D1044" s="383">
        <v>0.46180555555555558</v>
      </c>
      <c r="E1044" s="389">
        <v>0.4826388888888889</v>
      </c>
      <c r="F1044" s="385">
        <v>28</v>
      </c>
      <c r="G1044" s="391"/>
      <c r="H1044" s="316"/>
      <c r="I1044" s="391"/>
      <c r="J1044" s="385"/>
      <c r="K1044" s="391"/>
      <c r="L1044" s="385"/>
      <c r="M1044" s="391"/>
      <c r="N1044" s="385"/>
      <c r="O1044" s="190"/>
    </row>
    <row r="1045" spans="3:15" ht="16" x14ac:dyDescent="0.2">
      <c r="C1045" s="119">
        <v>10</v>
      </c>
      <c r="D1045" s="383">
        <v>0.4826388888888889</v>
      </c>
      <c r="E1045" s="389">
        <v>0.50347222222222221</v>
      </c>
      <c r="F1045" s="385">
        <v>28</v>
      </c>
      <c r="G1045" s="391"/>
      <c r="H1045" s="316"/>
      <c r="I1045" s="391"/>
      <c r="J1045" s="385"/>
      <c r="K1045" s="391"/>
      <c r="L1045" s="385"/>
      <c r="M1045" s="391"/>
      <c r="N1045" s="385"/>
      <c r="O1045" s="190"/>
    </row>
    <row r="1046" spans="3:15" ht="16" x14ac:dyDescent="0.2">
      <c r="C1046" s="119">
        <v>11</v>
      </c>
      <c r="D1046" s="383">
        <v>0.50694444444444442</v>
      </c>
      <c r="E1046" s="389">
        <v>0.52777777777777779</v>
      </c>
      <c r="F1046" s="385"/>
      <c r="G1046" s="391">
        <v>28</v>
      </c>
      <c r="H1046" s="316"/>
      <c r="I1046" s="391"/>
      <c r="J1046" s="28"/>
      <c r="K1046" s="391"/>
      <c r="L1046" s="385"/>
      <c r="M1046" s="391"/>
      <c r="N1046" s="385"/>
      <c r="O1046" s="190"/>
    </row>
    <row r="1047" spans="3:15" ht="16" x14ac:dyDescent="0.2">
      <c r="C1047" s="193">
        <v>12</v>
      </c>
      <c r="D1047" s="383">
        <v>0.53472222222222221</v>
      </c>
      <c r="E1047" s="389">
        <v>0.55555555555555558</v>
      </c>
      <c r="F1047" s="385"/>
      <c r="G1047" s="391"/>
      <c r="H1047" s="316"/>
      <c r="I1047" s="391">
        <v>44</v>
      </c>
      <c r="J1047" s="385"/>
      <c r="K1047" s="391"/>
      <c r="L1047" s="385"/>
      <c r="M1047" s="391"/>
      <c r="N1047" s="385"/>
      <c r="O1047" s="190"/>
    </row>
    <row r="1048" spans="3:15" ht="16" x14ac:dyDescent="0.2">
      <c r="C1048" s="119">
        <v>13</v>
      </c>
      <c r="D1048" s="383">
        <v>0.59722222222222221</v>
      </c>
      <c r="E1048" s="389">
        <v>0.61805555555555558</v>
      </c>
      <c r="F1048" s="385"/>
      <c r="G1048" s="391">
        <v>28</v>
      </c>
      <c r="H1048" s="316"/>
      <c r="I1048" s="391"/>
      <c r="J1048" s="385"/>
      <c r="K1048" s="391"/>
      <c r="L1048" s="385"/>
      <c r="M1048" s="391"/>
      <c r="N1048" s="385"/>
      <c r="O1048" s="190"/>
    </row>
    <row r="1049" spans="3:15" ht="16" x14ac:dyDescent="0.2">
      <c r="C1049" s="119">
        <v>14</v>
      </c>
      <c r="D1049" s="383">
        <v>0.625</v>
      </c>
      <c r="E1049" s="389">
        <v>0.64583333333333337</v>
      </c>
      <c r="F1049" s="385"/>
      <c r="G1049" s="391"/>
      <c r="H1049" s="316"/>
      <c r="I1049" s="391">
        <v>44</v>
      </c>
      <c r="J1049" s="385"/>
      <c r="K1049" s="391"/>
      <c r="L1049" s="385"/>
      <c r="M1049" s="391"/>
      <c r="N1049" s="385"/>
      <c r="O1049" s="190"/>
    </row>
    <row r="1050" spans="3:15" ht="16" x14ac:dyDescent="0.2">
      <c r="C1050" s="119">
        <v>15</v>
      </c>
      <c r="D1050" s="383">
        <v>0.65972222222222221</v>
      </c>
      <c r="E1050" s="389">
        <v>0.68055555555555547</v>
      </c>
      <c r="F1050" s="385"/>
      <c r="G1050" s="391">
        <v>28</v>
      </c>
      <c r="H1050" s="316"/>
      <c r="I1050" s="391"/>
      <c r="J1050" s="385"/>
      <c r="K1050" s="391"/>
      <c r="L1050" s="385"/>
      <c r="M1050" s="391"/>
      <c r="N1050" s="385"/>
      <c r="O1050" s="190"/>
    </row>
    <row r="1051" spans="3:15" ht="16" x14ac:dyDescent="0.2">
      <c r="C1051" s="119">
        <v>16</v>
      </c>
      <c r="D1051" s="383">
        <v>0.68402777777777779</v>
      </c>
      <c r="E1051" s="389">
        <v>0.70486111111111116</v>
      </c>
      <c r="F1051" s="385"/>
      <c r="G1051" s="391"/>
      <c r="H1051" s="316"/>
      <c r="I1051" s="391"/>
      <c r="J1051" s="385">
        <v>36</v>
      </c>
      <c r="K1051" s="391"/>
      <c r="L1051" s="385"/>
      <c r="M1051" s="391"/>
      <c r="N1051" s="385"/>
      <c r="O1051" s="190"/>
    </row>
    <row r="1052" spans="3:15" ht="16" x14ac:dyDescent="0.2">
      <c r="C1052" s="119">
        <v>17</v>
      </c>
      <c r="D1052" s="383">
        <v>0.70486111111111116</v>
      </c>
      <c r="E1052" s="389">
        <v>0.72569444444444453</v>
      </c>
      <c r="F1052" s="384"/>
      <c r="G1052" s="33"/>
      <c r="H1052" s="316">
        <v>28</v>
      </c>
      <c r="I1052" s="390"/>
      <c r="J1052" s="385"/>
      <c r="K1052" s="391"/>
      <c r="L1052" s="385"/>
      <c r="M1052" s="391"/>
      <c r="N1052" s="385"/>
      <c r="O1052" s="190"/>
    </row>
    <row r="1053" spans="3:15" ht="16" x14ac:dyDescent="0.2">
      <c r="C1053" s="119">
        <v>18</v>
      </c>
      <c r="D1053" s="383">
        <v>0.73263888888888884</v>
      </c>
      <c r="E1053" s="389">
        <v>0.75347222222222221</v>
      </c>
      <c r="F1053" s="394"/>
      <c r="G1053" s="229"/>
      <c r="H1053" s="394"/>
      <c r="I1053" s="391"/>
      <c r="J1053" s="385">
        <v>36</v>
      </c>
      <c r="K1053" s="391"/>
      <c r="L1053" s="385"/>
      <c r="M1053" s="391"/>
      <c r="N1053" s="385"/>
      <c r="O1053" s="190"/>
    </row>
    <row r="1054" spans="3:15" ht="16" x14ac:dyDescent="0.2">
      <c r="C1054" s="119">
        <v>19</v>
      </c>
      <c r="D1054" s="383">
        <v>0.75694444444444453</v>
      </c>
      <c r="E1054" s="389">
        <v>0.77777777777777779</v>
      </c>
      <c r="F1054" s="385"/>
      <c r="G1054" s="391"/>
      <c r="H1054" s="385">
        <v>28</v>
      </c>
      <c r="I1054" s="391"/>
      <c r="J1054" s="385"/>
      <c r="K1054" s="391"/>
      <c r="L1054" s="403"/>
      <c r="M1054" s="391"/>
      <c r="N1054" s="385"/>
      <c r="O1054" s="190"/>
    </row>
    <row r="1055" spans="3:15" ht="16" x14ac:dyDescent="0.2">
      <c r="C1055" s="119">
        <v>20</v>
      </c>
      <c r="D1055" s="383">
        <v>0.78472222222222221</v>
      </c>
      <c r="E1055" s="389">
        <v>0.80555555555555547</v>
      </c>
      <c r="F1055" s="385"/>
      <c r="G1055" s="391"/>
      <c r="H1055" s="385"/>
      <c r="I1055" s="391"/>
      <c r="J1055" s="385">
        <v>36</v>
      </c>
      <c r="K1055" s="391"/>
      <c r="L1055" s="403"/>
      <c r="M1055" s="391"/>
      <c r="N1055" s="385"/>
      <c r="O1055" s="190"/>
    </row>
    <row r="1056" spans="3:15" ht="16" x14ac:dyDescent="0.2">
      <c r="C1056" s="119">
        <v>21</v>
      </c>
      <c r="D1056" s="383">
        <v>0.80555555555555547</v>
      </c>
      <c r="E1056" s="389">
        <v>0.82638888888888884</v>
      </c>
      <c r="F1056" s="385"/>
      <c r="G1056" s="391"/>
      <c r="H1056" s="385"/>
      <c r="I1056" s="391">
        <v>22</v>
      </c>
      <c r="J1056" s="385"/>
      <c r="K1056" s="391"/>
      <c r="L1056" s="385"/>
      <c r="M1056" s="391"/>
      <c r="N1056" s="385"/>
      <c r="O1056" s="190"/>
    </row>
    <row r="1057" spans="2:15" ht="16" x14ac:dyDescent="0.2">
      <c r="C1057" s="119">
        <v>22</v>
      </c>
      <c r="D1057" s="383">
        <v>0.82291666666666663</v>
      </c>
      <c r="E1057" s="389">
        <v>0.84375</v>
      </c>
      <c r="F1057" s="385"/>
      <c r="G1057" s="391"/>
      <c r="H1057" s="385"/>
      <c r="I1057" s="391"/>
      <c r="J1057" s="385">
        <v>18</v>
      </c>
      <c r="K1057" s="391"/>
      <c r="L1057" s="385"/>
      <c r="M1057" s="391"/>
      <c r="N1057" s="385"/>
      <c r="O1057" s="190"/>
    </row>
    <row r="1058" spans="2:15" ht="16" x14ac:dyDescent="0.2">
      <c r="C1058" s="119">
        <v>23</v>
      </c>
      <c r="D1058" s="383">
        <v>0.86111111111111116</v>
      </c>
      <c r="E1058" s="389">
        <v>0.88194444444444453</v>
      </c>
      <c r="F1058" s="385"/>
      <c r="G1058" s="391"/>
      <c r="H1058" s="385"/>
      <c r="I1058" s="391"/>
      <c r="J1058" s="385">
        <v>25</v>
      </c>
      <c r="K1058" s="391"/>
      <c r="L1058" s="385"/>
      <c r="M1058" s="391"/>
      <c r="N1058" s="385"/>
      <c r="O1058" s="190"/>
    </row>
    <row r="1059" spans="2:15" ht="16" x14ac:dyDescent="0.2">
      <c r="C1059" s="119">
        <v>24</v>
      </c>
      <c r="D1059" s="383">
        <v>0.88888888888888884</v>
      </c>
      <c r="E1059" s="389">
        <v>0.90972222222222221</v>
      </c>
      <c r="F1059" s="385"/>
      <c r="G1059" s="391"/>
      <c r="H1059" s="385"/>
      <c r="I1059" s="391"/>
      <c r="J1059" s="385">
        <v>34</v>
      </c>
      <c r="K1059" s="391"/>
      <c r="L1059" s="385"/>
      <c r="M1059" s="391"/>
      <c r="N1059" s="385"/>
      <c r="O1059" s="190"/>
    </row>
    <row r="1060" spans="2:15" ht="16" x14ac:dyDescent="0.2">
      <c r="C1060" s="119">
        <v>25</v>
      </c>
      <c r="D1060" s="383"/>
      <c r="E1060" s="389"/>
      <c r="F1060" s="385"/>
      <c r="G1060" s="391"/>
      <c r="H1060" s="385"/>
      <c r="I1060" s="391"/>
      <c r="J1060" s="385"/>
      <c r="K1060" s="391"/>
      <c r="L1060" s="385"/>
      <c r="M1060" s="391"/>
      <c r="N1060" s="385"/>
      <c r="O1060" s="190"/>
    </row>
    <row r="1061" spans="2:15" ht="16" x14ac:dyDescent="0.2">
      <c r="C1061" s="119">
        <v>26</v>
      </c>
      <c r="D1061" s="383"/>
      <c r="E1061" s="389"/>
      <c r="F1061" s="385"/>
      <c r="G1061" s="391"/>
      <c r="H1061" s="385"/>
      <c r="I1061" s="391"/>
      <c r="J1061" s="385"/>
      <c r="K1061" s="391"/>
      <c r="L1061" s="385"/>
      <c r="M1061" s="391"/>
      <c r="N1061" s="385"/>
      <c r="O1061" s="190"/>
    </row>
    <row r="1062" spans="2:15" ht="16" x14ac:dyDescent="0.2">
      <c r="C1062" s="119">
        <v>27</v>
      </c>
      <c r="D1062" s="383"/>
      <c r="E1062" s="389"/>
      <c r="F1062" s="385"/>
      <c r="G1062" s="391"/>
      <c r="H1062" s="385"/>
      <c r="I1062" s="391"/>
      <c r="J1062" s="385"/>
      <c r="K1062" s="391"/>
      <c r="L1062" s="385"/>
      <c r="M1062" s="391"/>
      <c r="N1062" s="385"/>
      <c r="O1062" s="190"/>
    </row>
    <row r="1063" spans="2:15" ht="16" x14ac:dyDescent="0.2">
      <c r="C1063" s="119">
        <v>28</v>
      </c>
      <c r="D1063" s="383"/>
      <c r="E1063" s="389"/>
      <c r="F1063" s="385"/>
      <c r="G1063" s="391"/>
      <c r="H1063" s="385"/>
      <c r="I1063" s="391"/>
      <c r="J1063" s="385"/>
      <c r="K1063" s="391"/>
      <c r="L1063" s="385"/>
      <c r="M1063" s="391"/>
      <c r="N1063" s="385"/>
      <c r="O1063" s="190"/>
    </row>
    <row r="1064" spans="2:15" ht="16" x14ac:dyDescent="0.2">
      <c r="C1064" s="119">
        <v>29</v>
      </c>
      <c r="D1064" s="383"/>
      <c r="E1064" s="389"/>
      <c r="F1064" s="385"/>
      <c r="G1064" s="391"/>
      <c r="H1064" s="385"/>
      <c r="I1064" s="391"/>
      <c r="J1064" s="385"/>
      <c r="K1064" s="391"/>
      <c r="L1064" s="385"/>
      <c r="M1064" s="391"/>
      <c r="N1064" s="385"/>
      <c r="O1064" s="190"/>
    </row>
    <row r="1065" spans="2:15" ht="16" x14ac:dyDescent="0.2">
      <c r="C1065" s="119">
        <v>30</v>
      </c>
      <c r="D1065" s="383"/>
      <c r="E1065" s="389"/>
      <c r="F1065" s="385"/>
      <c r="G1065" s="391"/>
      <c r="H1065" s="385"/>
      <c r="I1065" s="391"/>
      <c r="J1065" s="385"/>
      <c r="K1065" s="391"/>
      <c r="L1065" s="385"/>
      <c r="M1065" s="391"/>
      <c r="N1065" s="385"/>
      <c r="O1065" s="190"/>
    </row>
    <row r="1066" spans="2:15" ht="16" x14ac:dyDescent="0.2">
      <c r="C1066" s="120">
        <v>31</v>
      </c>
      <c r="D1066" s="383"/>
      <c r="E1066" s="389"/>
      <c r="F1066" s="384"/>
      <c r="G1066" s="390"/>
      <c r="H1066" s="384"/>
      <c r="I1066" s="390"/>
      <c r="J1066" s="384"/>
      <c r="K1066" s="390"/>
      <c r="L1066" s="384"/>
      <c r="M1066" s="390"/>
      <c r="N1066" s="384"/>
      <c r="O1066" s="190"/>
    </row>
    <row r="1067" spans="2:15" ht="16" x14ac:dyDescent="0.2">
      <c r="B1067" s="256"/>
      <c r="C1067" s="377">
        <v>32</v>
      </c>
      <c r="D1067" s="384"/>
      <c r="E1067" s="390"/>
      <c r="F1067" s="384"/>
      <c r="G1067" s="390"/>
      <c r="H1067" s="384"/>
      <c r="I1067" s="390"/>
      <c r="J1067" s="384"/>
      <c r="K1067" s="390"/>
      <c r="L1067" s="384"/>
      <c r="M1067" s="390"/>
      <c r="N1067" s="384"/>
      <c r="O1067" s="190"/>
    </row>
    <row r="1068" spans="2:15" ht="16" x14ac:dyDescent="0.2">
      <c r="B1068" s="256"/>
      <c r="C1068" s="119">
        <v>33</v>
      </c>
      <c r="D1068" s="385"/>
      <c r="E1068" s="391"/>
      <c r="F1068" s="385"/>
      <c r="G1068" s="391"/>
      <c r="H1068" s="385"/>
      <c r="I1068" s="391"/>
      <c r="J1068" s="385"/>
      <c r="K1068" s="391"/>
      <c r="L1068" s="385"/>
      <c r="M1068" s="391"/>
      <c r="N1068" s="385"/>
      <c r="O1068" s="190"/>
    </row>
    <row r="1069" spans="2:15" ht="16" x14ac:dyDescent="0.2">
      <c r="B1069" s="256"/>
      <c r="C1069" s="119">
        <v>34</v>
      </c>
      <c r="D1069" s="385"/>
      <c r="E1069" s="391"/>
      <c r="F1069" s="385"/>
      <c r="G1069" s="391"/>
      <c r="H1069" s="385"/>
      <c r="I1069" s="391"/>
      <c r="J1069" s="385"/>
      <c r="K1069" s="391"/>
      <c r="L1069" s="385"/>
      <c r="M1069" s="391"/>
      <c r="N1069" s="385"/>
      <c r="O1069" s="190"/>
    </row>
    <row r="1070" spans="2:15" ht="16" x14ac:dyDescent="0.2">
      <c r="B1070" s="256"/>
      <c r="C1070" s="119">
        <v>35</v>
      </c>
      <c r="D1070" s="385"/>
      <c r="E1070" s="391"/>
      <c r="F1070" s="385"/>
      <c r="G1070" s="391"/>
      <c r="H1070" s="385"/>
      <c r="I1070" s="391"/>
      <c r="J1070" s="385"/>
      <c r="K1070" s="391"/>
      <c r="L1070" s="385"/>
      <c r="M1070" s="391"/>
      <c r="N1070" s="385"/>
      <c r="O1070" s="190"/>
    </row>
    <row r="1071" spans="2:15" ht="16" x14ac:dyDescent="0.2">
      <c r="B1071" s="256"/>
      <c r="C1071" s="119">
        <v>36</v>
      </c>
      <c r="D1071" s="385"/>
      <c r="E1071" s="391"/>
      <c r="F1071" s="385"/>
      <c r="G1071" s="391"/>
      <c r="H1071" s="385"/>
      <c r="I1071" s="391"/>
      <c r="J1071" s="385"/>
      <c r="K1071" s="391"/>
      <c r="L1071" s="385"/>
      <c r="M1071" s="391"/>
      <c r="N1071" s="385"/>
      <c r="O1071" s="190"/>
    </row>
    <row r="1072" spans="2:15" ht="17" thickBot="1" x14ac:dyDescent="0.25">
      <c r="B1072" s="256"/>
      <c r="C1072" s="378">
        <v>37</v>
      </c>
      <c r="D1072" s="386"/>
      <c r="E1072" s="392"/>
      <c r="F1072" s="386"/>
      <c r="G1072" s="392"/>
      <c r="H1072" s="386"/>
      <c r="I1072" s="392"/>
      <c r="J1072" s="386"/>
      <c r="K1072" s="392"/>
      <c r="L1072" s="386"/>
      <c r="M1072" s="392"/>
      <c r="N1072" s="386"/>
      <c r="O1072" s="190"/>
    </row>
    <row r="1073" spans="2:15" ht="17" thickBot="1" x14ac:dyDescent="0.25">
      <c r="C1073" s="825" t="s">
        <v>19</v>
      </c>
      <c r="D1073" s="826"/>
      <c r="E1073" s="380"/>
      <c r="F1073" s="376">
        <f>(F1036+F1037+F1038+F1039+F1040+F1041+F1057+F1044+F1045+F1042+F1043+F1046+F1047+F1048+F1049+F1050+F1051+F1052+F1053+F1054+F1055+F1056+F1058+F1059+F1061+F1062+F1063+F1064+F1065+F1066+F1067+F1068+F1069+F1072)/2</f>
        <v>105</v>
      </c>
      <c r="G1073" s="397">
        <f>(G1036+G1037+G1038+G1039+G1040+G1057+G1041+G1045+G1044+G1042+G1043+G1046+G1047+G1048+G1049+G1050+G1051+G1052+G1053+G1054+G1055+G1056+G1058+G1059+G1061+G1062+G1063+G1064+G1065+G1066+G1067+G1068)/2</f>
        <v>56</v>
      </c>
      <c r="H1073" s="399">
        <f>(H1036+H1037+H1038+H1039+H1040+H1041+H1057+H1060+H1044+H1045+H1042+H1043+H1046+H1047+H1048+H1049+H1050+H1051+H1052+H1053+H1054+H1055+H1056+H1058+H1059+H1061+H1062+H1063+H1064+H1065+H1066+H1067+H1068+H1069+H1072)/2</f>
        <v>35</v>
      </c>
      <c r="I1073" s="398">
        <f>(I1036+I1037+I1038+I1039+I1040+I1070+I1071+I1041+I1057+I1044+I1060+I1045+I1042+I1043+I1046+I1047+I1048+I1049+I1050+I1051+I1052+I1053+I1054+I1055+I1056+I1058+I1059+I1061+I1062+I1063+I1064+I1065+I1066+I1067+I1068+I1069+I1072)/2</f>
        <v>55</v>
      </c>
      <c r="J1073" s="376">
        <f>(J1036+J1037+J1038+J1039+J1040+J1041+J1045+J1042+J1044+J1043+J1060+J1046+J1047+J1048+J1049+J1050+J1051+J1052+J1053+J1054+J1055+J1056+J1057+J1058+J1059+J1061+J1062+J1063+J1064+J1065+J1066+J1067+J1068)/2</f>
        <v>92.5</v>
      </c>
      <c r="K1073" s="397">
        <f>(K1036+K1037+K1038+K1039+K1040+K1041+K1045+K1042+K1043+K1046+K1047+K1048+K1049+K1050+K1051+K1052+K1053+K1054+K1055+K1056+K1058+K1059+K1061+K1062+K1063+K1064+K1065+K1066+K1067+K1068+K1057)</f>
        <v>0</v>
      </c>
      <c r="L1073" s="399">
        <f>SUM(L1036:L1072)</f>
        <v>0</v>
      </c>
      <c r="M1073" s="398">
        <f>(M1036+M1037+M1038+M1039+M1040+M1041+M1045+M1044+M1042+M1043+M1046+M1047+M1048+M1049+M1050+M1051+M1052+M1053+M1054+M1055+M1056+M1058+M1059+M1061+M1062+M1063+M1064+M1065+M1066+M1067+M1068)/2</f>
        <v>0</v>
      </c>
      <c r="N1073" s="376"/>
      <c r="O1073" s="41"/>
    </row>
    <row r="1074" spans="2:15" ht="17" thickBot="1" x14ac:dyDescent="0.25">
      <c r="C1074" s="825" t="s">
        <v>91</v>
      </c>
      <c r="D1074" s="826"/>
      <c r="E1074" s="381">
        <f>SUM(F1073:J1073)</f>
        <v>343.5</v>
      </c>
    </row>
    <row r="1075" spans="2:15" ht="16" thickBot="1" x14ac:dyDescent="0.25"/>
    <row r="1076" spans="2:15" ht="17" thickBot="1" x14ac:dyDescent="0.25">
      <c r="C1076" s="17"/>
      <c r="D1076" s="379" t="s">
        <v>83</v>
      </c>
      <c r="E1076" s="818" t="s">
        <v>67</v>
      </c>
      <c r="F1076" s="819"/>
      <c r="G1076" s="819"/>
      <c r="H1076" s="819"/>
      <c r="I1076" s="819"/>
      <c r="J1076" s="400" t="s">
        <v>76</v>
      </c>
      <c r="K1076" s="820">
        <v>45688</v>
      </c>
      <c r="L1076" s="821"/>
      <c r="M1076" s="821"/>
      <c r="N1076" s="821"/>
      <c r="O1076" s="822"/>
    </row>
    <row r="1077" spans="2:15" ht="16" thickBot="1" x14ac:dyDescent="0.25">
      <c r="B1077" s="175" t="s">
        <v>76</v>
      </c>
      <c r="C1077" s="175" t="s">
        <v>77</v>
      </c>
      <c r="D1077" s="823" t="s">
        <v>122</v>
      </c>
      <c r="E1077" s="824"/>
      <c r="F1077" s="175" t="s">
        <v>104</v>
      </c>
      <c r="G1077" s="395" t="s">
        <v>86</v>
      </c>
      <c r="H1077" s="175" t="s">
        <v>88</v>
      </c>
      <c r="I1077" s="395" t="s">
        <v>87</v>
      </c>
      <c r="J1077" s="401" t="s">
        <v>85</v>
      </c>
      <c r="K1077" s="395" t="s">
        <v>123</v>
      </c>
      <c r="L1077" s="175" t="s">
        <v>124</v>
      </c>
      <c r="M1077" s="395" t="s">
        <v>100</v>
      </c>
      <c r="N1077" s="175" t="s">
        <v>213</v>
      </c>
      <c r="O1077" s="404" t="s">
        <v>125</v>
      </c>
    </row>
    <row r="1078" spans="2:15" ht="16" thickBot="1" x14ac:dyDescent="0.25">
      <c r="B1078" s="176">
        <f>K1076</f>
        <v>45688</v>
      </c>
      <c r="C1078" s="374"/>
      <c r="D1078" s="375" t="s">
        <v>126</v>
      </c>
      <c r="E1078" s="387" t="s">
        <v>127</v>
      </c>
      <c r="F1078" s="331">
        <v>10</v>
      </c>
      <c r="G1078" s="237">
        <v>4</v>
      </c>
      <c r="H1078" s="331">
        <v>0</v>
      </c>
      <c r="I1078" s="237">
        <v>1</v>
      </c>
      <c r="J1078" s="331">
        <v>2</v>
      </c>
      <c r="K1078" s="231"/>
      <c r="L1078" s="125"/>
      <c r="M1078" s="231"/>
      <c r="N1078" s="125"/>
      <c r="O1078" s="326"/>
    </row>
    <row r="1079" spans="2:15" ht="16" x14ac:dyDescent="0.2">
      <c r="C1079" s="118">
        <v>1</v>
      </c>
      <c r="D1079" s="382">
        <v>0.90972222222222221</v>
      </c>
      <c r="E1079" s="388">
        <v>0.93055555555555547</v>
      </c>
      <c r="F1079" s="393"/>
      <c r="G1079" s="396">
        <v>28</v>
      </c>
      <c r="H1079" s="393"/>
      <c r="I1079" s="396"/>
      <c r="J1079" s="393"/>
      <c r="K1079" s="396"/>
      <c r="L1079" s="393"/>
      <c r="M1079" s="396"/>
      <c r="N1079" s="393"/>
      <c r="O1079" s="190"/>
    </row>
    <row r="1080" spans="2:15" ht="16" x14ac:dyDescent="0.2">
      <c r="C1080" s="119">
        <v>2</v>
      </c>
      <c r="D1080" s="383">
        <v>0.93055555555555547</v>
      </c>
      <c r="E1080" s="389">
        <v>0.95138888888888884</v>
      </c>
      <c r="F1080" s="385"/>
      <c r="G1080" s="391">
        <v>28</v>
      </c>
      <c r="H1080" s="385"/>
      <c r="I1080" s="391"/>
      <c r="J1080" s="385"/>
      <c r="K1080" s="391"/>
      <c r="L1080" s="385"/>
      <c r="M1080" s="391"/>
      <c r="N1080" s="385"/>
      <c r="O1080" s="190"/>
    </row>
    <row r="1081" spans="2:15" ht="16" x14ac:dyDescent="0.2">
      <c r="C1081" s="119">
        <v>3</v>
      </c>
      <c r="D1081" s="383">
        <v>0.95138888888888884</v>
      </c>
      <c r="E1081" s="389">
        <v>0.97222222222222221</v>
      </c>
      <c r="F1081" s="385">
        <v>28</v>
      </c>
      <c r="G1081" s="391"/>
      <c r="H1081" s="385"/>
      <c r="I1081" s="391"/>
      <c r="J1081" s="385"/>
      <c r="K1081" s="391"/>
      <c r="L1081" s="384"/>
      <c r="M1081" s="391"/>
      <c r="N1081" s="385"/>
      <c r="O1081" s="190"/>
    </row>
    <row r="1082" spans="2:15" ht="16" x14ac:dyDescent="0.2">
      <c r="C1082" s="119">
        <v>4</v>
      </c>
      <c r="D1082" s="383">
        <v>0.97916666666666663</v>
      </c>
      <c r="E1082" s="389">
        <v>0</v>
      </c>
      <c r="F1082" s="385"/>
      <c r="G1082" s="391"/>
      <c r="H1082" s="316"/>
      <c r="I1082" s="391"/>
      <c r="J1082" s="385">
        <v>36</v>
      </c>
      <c r="K1082" s="391"/>
      <c r="L1082" s="402"/>
      <c r="M1082" s="391"/>
      <c r="N1082" s="385"/>
      <c r="O1082" s="190"/>
    </row>
    <row r="1083" spans="2:15" ht="16" x14ac:dyDescent="0.2">
      <c r="C1083" s="119">
        <v>5</v>
      </c>
      <c r="D1083" s="383">
        <v>6.9444444444444441E-3</v>
      </c>
      <c r="E1083" s="389">
        <v>2.7777777777777776E-2</v>
      </c>
      <c r="F1083" s="385">
        <v>28</v>
      </c>
      <c r="G1083" s="391"/>
      <c r="H1083" s="316"/>
      <c r="I1083" s="391"/>
      <c r="J1083" s="385"/>
      <c r="K1083" s="391"/>
      <c r="L1083" s="393"/>
      <c r="M1083" s="391"/>
      <c r="N1083" s="385"/>
      <c r="O1083" s="190"/>
    </row>
    <row r="1084" spans="2:15" ht="16" x14ac:dyDescent="0.2">
      <c r="C1084" s="119">
        <v>6</v>
      </c>
      <c r="D1084" s="383">
        <v>2.7777777777777776E-2</v>
      </c>
      <c r="E1084" s="389">
        <v>4.8611111111111112E-2</v>
      </c>
      <c r="F1084" s="385">
        <v>28</v>
      </c>
      <c r="G1084" s="391"/>
      <c r="H1084" s="316"/>
      <c r="I1084" s="391"/>
      <c r="J1084" s="385"/>
      <c r="K1084" s="391"/>
      <c r="L1084" s="393"/>
      <c r="M1084" s="391"/>
      <c r="N1084" s="385"/>
      <c r="O1084" s="190"/>
    </row>
    <row r="1085" spans="2:15" ht="16" x14ac:dyDescent="0.2">
      <c r="C1085" s="119">
        <v>7</v>
      </c>
      <c r="D1085" s="383">
        <v>5.2083333333333336E-2</v>
      </c>
      <c r="E1085" s="389">
        <v>7.2916666666666671E-2</v>
      </c>
      <c r="F1085" s="385"/>
      <c r="G1085" s="391"/>
      <c r="H1085" s="316"/>
      <c r="I1085" s="391">
        <v>22</v>
      </c>
      <c r="J1085" s="385"/>
      <c r="K1085" s="391"/>
      <c r="L1085" s="393"/>
      <c r="M1085" s="391"/>
      <c r="N1085" s="385"/>
      <c r="O1085" s="190"/>
    </row>
    <row r="1086" spans="2:15" ht="16" x14ac:dyDescent="0.2">
      <c r="C1086" s="119">
        <v>8</v>
      </c>
      <c r="D1086" s="383">
        <v>3.8194444444444441E-2</v>
      </c>
      <c r="E1086" s="389">
        <v>5.9027777777777783E-2</v>
      </c>
      <c r="F1086" s="385">
        <v>28</v>
      </c>
      <c r="G1086" s="391"/>
      <c r="H1086" s="316"/>
      <c r="I1086" s="391"/>
      <c r="J1086" s="385"/>
      <c r="K1086" s="391"/>
      <c r="L1086" s="385"/>
      <c r="M1086" s="391"/>
      <c r="N1086" s="385"/>
      <c r="O1086" s="190"/>
    </row>
    <row r="1087" spans="2:15" ht="16" x14ac:dyDescent="0.2">
      <c r="C1087" s="119">
        <v>9</v>
      </c>
      <c r="D1087" s="383">
        <v>5.5555555555555552E-2</v>
      </c>
      <c r="E1087" s="389">
        <v>7.6388888888888895E-2</v>
      </c>
      <c r="F1087" s="385">
        <v>28</v>
      </c>
      <c r="G1087" s="391"/>
      <c r="H1087" s="316"/>
      <c r="I1087" s="391"/>
      <c r="J1087" s="385"/>
      <c r="K1087" s="391"/>
      <c r="L1087" s="385"/>
      <c r="M1087" s="391"/>
      <c r="N1087" s="385"/>
      <c r="O1087" s="190"/>
    </row>
    <row r="1088" spans="2:15" ht="16" x14ac:dyDescent="0.2">
      <c r="C1088" s="119">
        <v>10</v>
      </c>
      <c r="D1088" s="383"/>
      <c r="E1088" s="389"/>
      <c r="F1088" s="385"/>
      <c r="G1088" s="391"/>
      <c r="H1088" s="316"/>
      <c r="I1088" s="391"/>
      <c r="J1088" s="385"/>
      <c r="K1088" s="391"/>
      <c r="L1088" s="385"/>
      <c r="M1088" s="391"/>
      <c r="N1088" s="385"/>
      <c r="O1088" s="190"/>
    </row>
    <row r="1089" spans="3:15" ht="16" x14ac:dyDescent="0.2">
      <c r="C1089" s="119">
        <v>11</v>
      </c>
      <c r="D1089" s="383"/>
      <c r="E1089" s="389"/>
      <c r="F1089" s="385"/>
      <c r="G1089" s="391"/>
      <c r="H1089" s="316"/>
      <c r="I1089" s="391"/>
      <c r="J1089" s="28"/>
      <c r="K1089" s="391"/>
      <c r="L1089" s="385"/>
      <c r="M1089" s="391"/>
      <c r="N1089" s="385"/>
      <c r="O1089" s="190"/>
    </row>
    <row r="1090" spans="3:15" ht="16" x14ac:dyDescent="0.2">
      <c r="C1090" s="193">
        <v>12</v>
      </c>
      <c r="D1090" s="383"/>
      <c r="E1090" s="389"/>
      <c r="F1090" s="385"/>
      <c r="G1090" s="391"/>
      <c r="H1090" s="316"/>
      <c r="I1090" s="391"/>
      <c r="J1090" s="385"/>
      <c r="K1090" s="391"/>
      <c r="L1090" s="385"/>
      <c r="M1090" s="391"/>
      <c r="N1090" s="385"/>
      <c r="O1090" s="190"/>
    </row>
    <row r="1091" spans="3:15" ht="16" x14ac:dyDescent="0.2">
      <c r="C1091" s="119">
        <v>13</v>
      </c>
      <c r="D1091" s="383"/>
      <c r="E1091" s="389"/>
      <c r="F1091" s="385"/>
      <c r="G1091" s="391"/>
      <c r="H1091" s="316"/>
      <c r="I1091" s="391"/>
      <c r="J1091" s="385"/>
      <c r="K1091" s="391"/>
      <c r="L1091" s="385"/>
      <c r="M1091" s="391"/>
      <c r="N1091" s="385"/>
      <c r="O1091" s="190"/>
    </row>
    <row r="1092" spans="3:15" ht="16" x14ac:dyDescent="0.2">
      <c r="C1092" s="119">
        <v>14</v>
      </c>
      <c r="D1092" s="383"/>
      <c r="E1092" s="389"/>
      <c r="F1092" s="385"/>
      <c r="G1092" s="391"/>
      <c r="H1092" s="316"/>
      <c r="I1092" s="391"/>
      <c r="J1092" s="385"/>
      <c r="K1092" s="391"/>
      <c r="L1092" s="385"/>
      <c r="M1092" s="391"/>
      <c r="N1092" s="385"/>
      <c r="O1092" s="190"/>
    </row>
    <row r="1093" spans="3:15" ht="16" x14ac:dyDescent="0.2">
      <c r="C1093" s="119">
        <v>15</v>
      </c>
      <c r="D1093" s="383"/>
      <c r="E1093" s="389"/>
      <c r="F1093" s="385"/>
      <c r="G1093" s="391"/>
      <c r="H1093" s="316"/>
      <c r="I1093" s="391"/>
      <c r="J1093" s="385"/>
      <c r="K1093" s="391"/>
      <c r="L1093" s="385"/>
      <c r="M1093" s="391"/>
      <c r="N1093" s="385"/>
      <c r="O1093" s="190"/>
    </row>
    <row r="1094" spans="3:15" ht="16" x14ac:dyDescent="0.2">
      <c r="C1094" s="119">
        <v>16</v>
      </c>
      <c r="D1094" s="383"/>
      <c r="E1094" s="389"/>
      <c r="F1094" s="385"/>
      <c r="G1094" s="391"/>
      <c r="H1094" s="316"/>
      <c r="I1094" s="391"/>
      <c r="J1094" s="385"/>
      <c r="K1094" s="391"/>
      <c r="L1094" s="385"/>
      <c r="M1094" s="391"/>
      <c r="N1094" s="385"/>
      <c r="O1094" s="190"/>
    </row>
    <row r="1095" spans="3:15" ht="16" x14ac:dyDescent="0.2">
      <c r="C1095" s="119">
        <v>17</v>
      </c>
      <c r="D1095" s="383"/>
      <c r="E1095" s="389"/>
      <c r="F1095" s="384"/>
      <c r="G1095" s="33"/>
      <c r="H1095" s="316"/>
      <c r="I1095" s="390"/>
      <c r="J1095" s="385"/>
      <c r="K1095" s="391"/>
      <c r="L1095" s="385"/>
      <c r="M1095" s="391"/>
      <c r="N1095" s="385"/>
      <c r="O1095" s="190"/>
    </row>
    <row r="1096" spans="3:15" ht="16" x14ac:dyDescent="0.2">
      <c r="C1096" s="119">
        <v>18</v>
      </c>
      <c r="D1096" s="383"/>
      <c r="E1096" s="389"/>
      <c r="F1096" s="394"/>
      <c r="G1096" s="229"/>
      <c r="H1096" s="394"/>
      <c r="I1096" s="391"/>
      <c r="J1096" s="385"/>
      <c r="K1096" s="391"/>
      <c r="L1096" s="385"/>
      <c r="M1096" s="391"/>
      <c r="N1096" s="385"/>
      <c r="O1096" s="190"/>
    </row>
    <row r="1097" spans="3:15" ht="16" x14ac:dyDescent="0.2">
      <c r="C1097" s="119">
        <v>19</v>
      </c>
      <c r="D1097" s="383"/>
      <c r="E1097" s="389"/>
      <c r="F1097" s="385"/>
      <c r="G1097" s="391"/>
      <c r="H1097" s="385"/>
      <c r="I1097" s="391"/>
      <c r="J1097" s="385"/>
      <c r="K1097" s="391"/>
      <c r="L1097" s="403"/>
      <c r="M1097" s="391"/>
      <c r="N1097" s="385"/>
      <c r="O1097" s="190"/>
    </row>
    <row r="1098" spans="3:15" ht="16" x14ac:dyDescent="0.2">
      <c r="C1098" s="119">
        <v>20</v>
      </c>
      <c r="D1098" s="383"/>
      <c r="E1098" s="389"/>
      <c r="F1098" s="385"/>
      <c r="G1098" s="391"/>
      <c r="H1098" s="385"/>
      <c r="I1098" s="391"/>
      <c r="J1098" s="385"/>
      <c r="K1098" s="391"/>
      <c r="L1098" s="403"/>
      <c r="M1098" s="391"/>
      <c r="N1098" s="385"/>
      <c r="O1098" s="190"/>
    </row>
    <row r="1099" spans="3:15" ht="16" x14ac:dyDescent="0.2">
      <c r="C1099" s="119">
        <v>21</v>
      </c>
      <c r="D1099" s="383"/>
      <c r="E1099" s="389"/>
      <c r="F1099" s="385"/>
      <c r="G1099" s="391"/>
      <c r="H1099" s="385"/>
      <c r="I1099" s="391"/>
      <c r="J1099" s="385"/>
      <c r="K1099" s="391"/>
      <c r="L1099" s="385"/>
      <c r="M1099" s="391"/>
      <c r="N1099" s="385"/>
      <c r="O1099" s="190"/>
    </row>
    <row r="1100" spans="3:15" ht="16" x14ac:dyDescent="0.2">
      <c r="C1100" s="119">
        <v>22</v>
      </c>
      <c r="D1100" s="383"/>
      <c r="E1100" s="389"/>
      <c r="F1100" s="385"/>
      <c r="G1100" s="391"/>
      <c r="H1100" s="385"/>
      <c r="I1100" s="391"/>
      <c r="J1100" s="385"/>
      <c r="K1100" s="391"/>
      <c r="L1100" s="385"/>
      <c r="M1100" s="391"/>
      <c r="N1100" s="385"/>
      <c r="O1100" s="190"/>
    </row>
    <row r="1101" spans="3:15" ht="16" x14ac:dyDescent="0.2">
      <c r="C1101" s="119">
        <v>23</v>
      </c>
      <c r="D1101" s="383"/>
      <c r="E1101" s="389"/>
      <c r="F1101" s="385"/>
      <c r="G1101" s="391"/>
      <c r="H1101" s="385"/>
      <c r="I1101" s="391"/>
      <c r="J1101" s="385"/>
      <c r="K1101" s="391"/>
      <c r="L1101" s="385"/>
      <c r="M1101" s="391"/>
      <c r="N1101" s="385"/>
      <c r="O1101" s="190"/>
    </row>
    <row r="1102" spans="3:15" ht="16" x14ac:dyDescent="0.2">
      <c r="C1102" s="119">
        <v>24</v>
      </c>
      <c r="D1102" s="383"/>
      <c r="E1102" s="389"/>
      <c r="F1102" s="385"/>
      <c r="G1102" s="391"/>
      <c r="H1102" s="385"/>
      <c r="I1102" s="391"/>
      <c r="J1102" s="385"/>
      <c r="K1102" s="391"/>
      <c r="L1102" s="385"/>
      <c r="M1102" s="391"/>
      <c r="N1102" s="385"/>
      <c r="O1102" s="190"/>
    </row>
    <row r="1103" spans="3:15" ht="16" x14ac:dyDescent="0.2">
      <c r="C1103" s="119">
        <v>25</v>
      </c>
      <c r="D1103" s="383"/>
      <c r="E1103" s="389"/>
      <c r="F1103" s="385"/>
      <c r="G1103" s="391"/>
      <c r="H1103" s="385"/>
      <c r="I1103" s="391"/>
      <c r="J1103" s="385"/>
      <c r="K1103" s="391"/>
      <c r="L1103" s="385"/>
      <c r="M1103" s="391"/>
      <c r="N1103" s="385"/>
      <c r="O1103" s="190"/>
    </row>
    <row r="1104" spans="3:15" ht="16" x14ac:dyDescent="0.2">
      <c r="C1104" s="119">
        <v>26</v>
      </c>
      <c r="D1104" s="383"/>
      <c r="E1104" s="389"/>
      <c r="F1104" s="385"/>
      <c r="G1104" s="391"/>
      <c r="H1104" s="385"/>
      <c r="I1104" s="391"/>
      <c r="J1104" s="385"/>
      <c r="K1104" s="391"/>
      <c r="L1104" s="385"/>
      <c r="M1104" s="391"/>
      <c r="N1104" s="385"/>
      <c r="O1104" s="190"/>
    </row>
    <row r="1105" spans="2:15" ht="16" x14ac:dyDescent="0.2">
      <c r="C1105" s="119">
        <v>27</v>
      </c>
      <c r="D1105" s="383"/>
      <c r="E1105" s="389"/>
      <c r="F1105" s="385"/>
      <c r="G1105" s="391"/>
      <c r="H1105" s="385"/>
      <c r="I1105" s="391"/>
      <c r="J1105" s="385"/>
      <c r="K1105" s="391"/>
      <c r="L1105" s="385"/>
      <c r="M1105" s="391"/>
      <c r="N1105" s="385"/>
      <c r="O1105" s="190"/>
    </row>
    <row r="1106" spans="2:15" ht="16" x14ac:dyDescent="0.2">
      <c r="C1106" s="119">
        <v>28</v>
      </c>
      <c r="D1106" s="383"/>
      <c r="E1106" s="389"/>
      <c r="F1106" s="385"/>
      <c r="G1106" s="391"/>
      <c r="H1106" s="385"/>
      <c r="I1106" s="391"/>
      <c r="J1106" s="385"/>
      <c r="K1106" s="391"/>
      <c r="L1106" s="385"/>
      <c r="M1106" s="391"/>
      <c r="N1106" s="385"/>
      <c r="O1106" s="190"/>
    </row>
    <row r="1107" spans="2:15" ht="16" x14ac:dyDescent="0.2">
      <c r="C1107" s="119">
        <v>29</v>
      </c>
      <c r="D1107" s="383"/>
      <c r="E1107" s="389"/>
      <c r="F1107" s="385"/>
      <c r="G1107" s="391"/>
      <c r="H1107" s="385"/>
      <c r="I1107" s="391"/>
      <c r="J1107" s="385"/>
      <c r="K1107" s="391"/>
      <c r="L1107" s="385"/>
      <c r="M1107" s="391"/>
      <c r="N1107" s="385"/>
      <c r="O1107" s="190"/>
    </row>
    <row r="1108" spans="2:15" ht="16" x14ac:dyDescent="0.2">
      <c r="C1108" s="119">
        <v>30</v>
      </c>
      <c r="D1108" s="383"/>
      <c r="E1108" s="389"/>
      <c r="F1108" s="385"/>
      <c r="G1108" s="391"/>
      <c r="H1108" s="385"/>
      <c r="I1108" s="391"/>
      <c r="J1108" s="385"/>
      <c r="K1108" s="391"/>
      <c r="L1108" s="385"/>
      <c r="M1108" s="391"/>
      <c r="N1108" s="385"/>
      <c r="O1108" s="190"/>
    </row>
    <row r="1109" spans="2:15" ht="16" x14ac:dyDescent="0.2">
      <c r="C1109" s="120">
        <v>31</v>
      </c>
      <c r="D1109" s="383"/>
      <c r="E1109" s="389"/>
      <c r="F1109" s="384"/>
      <c r="G1109" s="390"/>
      <c r="H1109" s="384"/>
      <c r="I1109" s="390"/>
      <c r="J1109" s="384"/>
      <c r="K1109" s="390"/>
      <c r="L1109" s="384"/>
      <c r="M1109" s="390"/>
      <c r="N1109" s="384"/>
      <c r="O1109" s="190"/>
    </row>
    <row r="1110" spans="2:15" ht="16" x14ac:dyDescent="0.2">
      <c r="B1110" s="256"/>
      <c r="C1110" s="377">
        <v>32</v>
      </c>
      <c r="D1110" s="384"/>
      <c r="E1110" s="390"/>
      <c r="F1110" s="384"/>
      <c r="G1110" s="390"/>
      <c r="H1110" s="384"/>
      <c r="I1110" s="390"/>
      <c r="J1110" s="384"/>
      <c r="K1110" s="390"/>
      <c r="L1110" s="384"/>
      <c r="M1110" s="390"/>
      <c r="N1110" s="384"/>
      <c r="O1110" s="190"/>
    </row>
    <row r="1111" spans="2:15" ht="16" x14ac:dyDescent="0.2">
      <c r="B1111" s="256"/>
      <c r="C1111" s="119">
        <v>33</v>
      </c>
      <c r="D1111" s="385"/>
      <c r="E1111" s="391"/>
      <c r="F1111" s="385"/>
      <c r="G1111" s="391"/>
      <c r="H1111" s="385"/>
      <c r="I1111" s="391"/>
      <c r="J1111" s="385"/>
      <c r="K1111" s="391"/>
      <c r="L1111" s="385"/>
      <c r="M1111" s="391"/>
      <c r="N1111" s="385"/>
      <c r="O1111" s="190"/>
    </row>
    <row r="1112" spans="2:15" ht="16" x14ac:dyDescent="0.2">
      <c r="B1112" s="256"/>
      <c r="C1112" s="119">
        <v>34</v>
      </c>
      <c r="D1112" s="385"/>
      <c r="E1112" s="391"/>
      <c r="F1112" s="385"/>
      <c r="G1112" s="391"/>
      <c r="H1112" s="385"/>
      <c r="I1112" s="391"/>
      <c r="J1112" s="385"/>
      <c r="K1112" s="391"/>
      <c r="L1112" s="385"/>
      <c r="M1112" s="391"/>
      <c r="N1112" s="385"/>
      <c r="O1112" s="190"/>
    </row>
    <row r="1113" spans="2:15" ht="16" x14ac:dyDescent="0.2">
      <c r="B1113" s="256"/>
      <c r="C1113" s="119">
        <v>35</v>
      </c>
      <c r="D1113" s="385"/>
      <c r="E1113" s="391"/>
      <c r="F1113" s="385"/>
      <c r="G1113" s="391"/>
      <c r="H1113" s="385"/>
      <c r="I1113" s="391"/>
      <c r="J1113" s="385"/>
      <c r="K1113" s="391"/>
      <c r="L1113" s="385"/>
      <c r="M1113" s="391"/>
      <c r="N1113" s="385"/>
      <c r="O1113" s="190"/>
    </row>
    <row r="1114" spans="2:15" ht="16" x14ac:dyDescent="0.2">
      <c r="B1114" s="256"/>
      <c r="C1114" s="119">
        <v>36</v>
      </c>
      <c r="D1114" s="385"/>
      <c r="E1114" s="391"/>
      <c r="F1114" s="385"/>
      <c r="G1114" s="391"/>
      <c r="H1114" s="385"/>
      <c r="I1114" s="391"/>
      <c r="J1114" s="385"/>
      <c r="K1114" s="391"/>
      <c r="L1114" s="385"/>
      <c r="M1114" s="391"/>
      <c r="N1114" s="385"/>
      <c r="O1114" s="190"/>
    </row>
    <row r="1115" spans="2:15" ht="17" thickBot="1" x14ac:dyDescent="0.25">
      <c r="B1115" s="256"/>
      <c r="C1115" s="378">
        <v>37</v>
      </c>
      <c r="D1115" s="386"/>
      <c r="E1115" s="392"/>
      <c r="F1115" s="386"/>
      <c r="G1115" s="392"/>
      <c r="H1115" s="386"/>
      <c r="I1115" s="392"/>
      <c r="J1115" s="386"/>
      <c r="K1115" s="392"/>
      <c r="L1115" s="386"/>
      <c r="M1115" s="392"/>
      <c r="N1115" s="386"/>
      <c r="O1115" s="190"/>
    </row>
    <row r="1116" spans="2:15" ht="17" thickBot="1" x14ac:dyDescent="0.25">
      <c r="C1116" s="825" t="s">
        <v>19</v>
      </c>
      <c r="D1116" s="826"/>
      <c r="E1116" s="380"/>
      <c r="F1116" s="376">
        <f>(F1079+F1080+F1081+F1082+F1083+F1084+F1100+F1087+F1088+F1085+F1086+F1089+F1090+F1091+F1092+F1093+F1094+F1095+F1096+F1097+F1098+F1099+F1101+F1102+F1104+F1105+F1106+F1107+F1108+F1109+F1110+F1111+F1112+F1115)/2</f>
        <v>70</v>
      </c>
      <c r="G1116" s="397">
        <f>(G1079+G1080+G1081+G1082+G1083+G1100+G1084+G1088+G1087+G1085+G1086+G1089+G1090+G1091+G1092+G1093+G1094+G1095+G1096+G1097+G1098+G1099+G1101+G1102+G1104+G1105+G1106+G1107+G1108+G1109+G1110+G1111)/2</f>
        <v>28</v>
      </c>
      <c r="H1116" s="399">
        <f>(H1079+H1080+H1081+H1082+H1083+H1084+H1100+H1103+H1087+H1088+H1085+H1086+H1089+H1090+H1091+H1092+H1093+H1094+H1095+H1096+H1097+H1098+H1099+H1101+H1102+H1104+H1105+H1106+H1107+H1108+H1109+H1110+H1111+H1112+H1115)/2</f>
        <v>0</v>
      </c>
      <c r="I1116" s="398">
        <f>(I1079+I1080+I1081+I1082+I1083+I1113+I1114+I1084+I1100+I1087+I1103+I1088+I1085+I1086+I1089+I1090+I1091+I1092+I1093+I1094+I1095+I1096+I1097+I1098+I1099+I1101+I1102+I1104+I1105+I1106+I1107+I1108+I1109+I1110+I1111+I1112+I1115)/2</f>
        <v>11</v>
      </c>
      <c r="J1116" s="376">
        <f>(J1079+J1080+J1081+J1082+J1083+J1084+J1088+J1085+J1087+J1086+J1103+J1089+J1090+J1091+J1092+J1093+J1094+J1095+J1096+J1097+J1098+J1099+J1100+J1101+J1102+J1104+J1105+J1106+J1107+J1108+J1109+J1110+J1111)/2</f>
        <v>18</v>
      </c>
      <c r="K1116" s="397">
        <f>(K1079+K1080+K1081+K1082+K1083+K1084+K1088+K1085+K1086+K1089+K1090+K1091+K1092+K1093+K1094+K1095+K1096+K1097+K1098+K1099+K1101+K1102+K1104+K1105+K1106+K1107+K1108+K1109+K1110+K1111+K1100)</f>
        <v>0</v>
      </c>
      <c r="L1116" s="399">
        <f>SUM(L1079:L1115)</f>
        <v>0</v>
      </c>
      <c r="M1116" s="398">
        <f>(M1079+M1080+M1081+M1082+M1083+M1084+M1088+M1087+M1085+M1086+M1089+M1090+M1091+M1092+M1093+M1094+M1095+M1096+M1097+M1098+M1099+M1101+M1102+M1104+M1105+M1106+M1107+M1108+M1109+M1110+M1111)/2</f>
        <v>0</v>
      </c>
      <c r="N1116" s="376"/>
      <c r="O1116" s="41"/>
    </row>
    <row r="1117" spans="2:15" ht="17" thickBot="1" x14ac:dyDescent="0.25">
      <c r="C1117" s="825" t="s">
        <v>91</v>
      </c>
      <c r="D1117" s="826"/>
      <c r="E1117" s="381">
        <f>SUM(F1116:J1116)</f>
        <v>127</v>
      </c>
    </row>
    <row r="1118" spans="2:15" ht="16" thickBot="1" x14ac:dyDescent="0.25"/>
    <row r="1119" spans="2:15" ht="17" thickBot="1" x14ac:dyDescent="0.25">
      <c r="C1119" s="17"/>
      <c r="D1119" s="379" t="s">
        <v>83</v>
      </c>
      <c r="E1119" s="818" t="s">
        <v>69</v>
      </c>
      <c r="F1119" s="819"/>
      <c r="G1119" s="819"/>
      <c r="H1119" s="819"/>
      <c r="I1119" s="819"/>
      <c r="J1119" s="400" t="s">
        <v>76</v>
      </c>
      <c r="K1119" s="820">
        <v>45690</v>
      </c>
      <c r="L1119" s="821"/>
      <c r="M1119" s="821"/>
      <c r="N1119" s="821"/>
      <c r="O1119" s="822"/>
    </row>
    <row r="1120" spans="2:15" ht="16" thickBot="1" x14ac:dyDescent="0.25">
      <c r="B1120" s="175" t="s">
        <v>76</v>
      </c>
      <c r="C1120" s="175" t="s">
        <v>77</v>
      </c>
      <c r="D1120" s="823" t="s">
        <v>122</v>
      </c>
      <c r="E1120" s="824"/>
      <c r="F1120" s="175" t="s">
        <v>104</v>
      </c>
      <c r="G1120" s="395" t="s">
        <v>86</v>
      </c>
      <c r="H1120" s="175" t="s">
        <v>88</v>
      </c>
      <c r="I1120" s="395" t="s">
        <v>87</v>
      </c>
      <c r="J1120" s="401" t="s">
        <v>85</v>
      </c>
      <c r="K1120" s="395" t="s">
        <v>123</v>
      </c>
      <c r="L1120" s="175" t="s">
        <v>124</v>
      </c>
      <c r="M1120" s="395" t="s">
        <v>100</v>
      </c>
      <c r="N1120" s="175" t="s">
        <v>213</v>
      </c>
      <c r="O1120" s="404" t="s">
        <v>125</v>
      </c>
    </row>
    <row r="1121" spans="2:15" ht="16" thickBot="1" x14ac:dyDescent="0.25">
      <c r="B1121" s="176">
        <f>K1119</f>
        <v>45690</v>
      </c>
      <c r="C1121" s="374"/>
      <c r="D1121" s="375" t="s">
        <v>126</v>
      </c>
      <c r="E1121" s="387" t="s">
        <v>127</v>
      </c>
      <c r="F1121" s="331">
        <v>12</v>
      </c>
      <c r="G1121" s="237">
        <v>7</v>
      </c>
      <c r="H1121" s="331">
        <v>3</v>
      </c>
      <c r="I1121" s="237">
        <v>4</v>
      </c>
      <c r="J1121" s="331">
        <v>8</v>
      </c>
      <c r="K1121" s="231"/>
      <c r="L1121" s="125"/>
      <c r="M1121" s="231"/>
      <c r="N1121" s="125"/>
      <c r="O1121" s="326"/>
    </row>
    <row r="1122" spans="2:15" ht="16" x14ac:dyDescent="0.2">
      <c r="C1122" s="118">
        <v>1</v>
      </c>
      <c r="D1122" s="382">
        <v>0.37152777777777773</v>
      </c>
      <c r="E1122" s="388">
        <v>0.3923611111111111</v>
      </c>
      <c r="F1122" s="393"/>
      <c r="G1122" s="396">
        <v>28</v>
      </c>
      <c r="H1122" s="393"/>
      <c r="I1122" s="396"/>
      <c r="J1122" s="393"/>
      <c r="K1122" s="396"/>
      <c r="L1122" s="393"/>
      <c r="M1122" s="396"/>
      <c r="N1122" s="393"/>
      <c r="O1122" s="190"/>
    </row>
    <row r="1123" spans="2:15" ht="16" x14ac:dyDescent="0.2">
      <c r="C1123" s="119">
        <v>2</v>
      </c>
      <c r="D1123" s="383">
        <v>0.3923611111111111</v>
      </c>
      <c r="E1123" s="389">
        <v>0.41319444444444442</v>
      </c>
      <c r="F1123" s="385"/>
      <c r="G1123" s="391">
        <v>28</v>
      </c>
      <c r="H1123" s="385"/>
      <c r="I1123" s="391"/>
      <c r="J1123" s="385"/>
      <c r="K1123" s="391"/>
      <c r="L1123" s="385"/>
      <c r="M1123" s="391"/>
      <c r="N1123" s="385"/>
      <c r="O1123" s="190"/>
    </row>
    <row r="1124" spans="2:15" ht="16" x14ac:dyDescent="0.2">
      <c r="C1124" s="119">
        <v>3</v>
      </c>
      <c r="D1124" s="383">
        <v>0.41666666666666669</v>
      </c>
      <c r="E1124" s="389">
        <v>0.4375</v>
      </c>
      <c r="F1124" s="385"/>
      <c r="G1124" s="391">
        <v>28</v>
      </c>
      <c r="H1124" s="385"/>
      <c r="I1124" s="391"/>
      <c r="J1124" s="385"/>
      <c r="K1124" s="391"/>
      <c r="L1124" s="384"/>
      <c r="M1124" s="391"/>
      <c r="N1124" s="385"/>
      <c r="O1124" s="190"/>
    </row>
    <row r="1125" spans="2:15" ht="16" x14ac:dyDescent="0.2">
      <c r="C1125" s="119">
        <v>4</v>
      </c>
      <c r="D1125" s="383">
        <v>0.4513888888888889</v>
      </c>
      <c r="E1125" s="389">
        <v>0.47222222222222227</v>
      </c>
      <c r="F1125" s="385"/>
      <c r="G1125" s="391"/>
      <c r="H1125" s="316">
        <v>28</v>
      </c>
      <c r="I1125" s="391"/>
      <c r="J1125" s="385"/>
      <c r="K1125" s="391"/>
      <c r="L1125" s="402"/>
      <c r="M1125" s="391"/>
      <c r="N1125" s="385"/>
      <c r="O1125" s="190"/>
    </row>
    <row r="1126" spans="2:15" ht="16" x14ac:dyDescent="0.2">
      <c r="C1126" s="119">
        <v>5</v>
      </c>
      <c r="D1126" s="383">
        <v>0.47569444444444442</v>
      </c>
      <c r="E1126" s="389">
        <v>0.49652777777777773</v>
      </c>
      <c r="F1126" s="385"/>
      <c r="G1126" s="391">
        <v>14</v>
      </c>
      <c r="H1126" s="316"/>
      <c r="I1126" s="391"/>
      <c r="J1126" s="385"/>
      <c r="K1126" s="391"/>
      <c r="L1126" s="393"/>
      <c r="M1126" s="391"/>
      <c r="N1126" s="385"/>
      <c r="O1126" s="190"/>
    </row>
    <row r="1127" spans="2:15" ht="16" x14ac:dyDescent="0.2">
      <c r="C1127" s="119">
        <v>6</v>
      </c>
      <c r="D1127" s="383">
        <v>0.4826388888888889</v>
      </c>
      <c r="E1127" s="389">
        <v>0.50347222222222221</v>
      </c>
      <c r="F1127" s="385"/>
      <c r="G1127" s="391"/>
      <c r="H1127" s="316">
        <v>14</v>
      </c>
      <c r="I1127" s="391"/>
      <c r="J1127" s="385"/>
      <c r="K1127" s="391"/>
      <c r="L1127" s="393"/>
      <c r="M1127" s="391"/>
      <c r="N1127" s="385"/>
      <c r="O1127" s="190"/>
    </row>
    <row r="1128" spans="2:15" ht="16" x14ac:dyDescent="0.2">
      <c r="C1128" s="119">
        <v>7</v>
      </c>
      <c r="D1128" s="383">
        <v>0.50347222222222221</v>
      </c>
      <c r="E1128" s="389">
        <v>0.52430555555555558</v>
      </c>
      <c r="F1128" s="385">
        <v>28</v>
      </c>
      <c r="G1128" s="391"/>
      <c r="H1128" s="316"/>
      <c r="I1128" s="391"/>
      <c r="J1128" s="385"/>
      <c r="K1128" s="391"/>
      <c r="L1128" s="393"/>
      <c r="M1128" s="391"/>
      <c r="N1128" s="385"/>
      <c r="O1128" s="190"/>
    </row>
    <row r="1129" spans="2:15" ht="16" x14ac:dyDescent="0.2">
      <c r="C1129" s="119">
        <v>8</v>
      </c>
      <c r="D1129" s="383">
        <v>0.52777777777777779</v>
      </c>
      <c r="E1129" s="389">
        <v>0.54861111111111105</v>
      </c>
      <c r="F1129" s="385"/>
      <c r="G1129" s="391"/>
      <c r="H1129" s="316"/>
      <c r="I1129" s="391">
        <v>44</v>
      </c>
      <c r="J1129" s="385"/>
      <c r="K1129" s="391"/>
      <c r="L1129" s="385"/>
      <c r="M1129" s="391"/>
      <c r="N1129" s="385"/>
      <c r="O1129" s="190"/>
    </row>
    <row r="1130" spans="2:15" ht="16" x14ac:dyDescent="0.2">
      <c r="C1130" s="119">
        <v>9</v>
      </c>
      <c r="D1130" s="383">
        <v>0.55902777777777779</v>
      </c>
      <c r="E1130" s="389">
        <v>0.57986111111111105</v>
      </c>
      <c r="F1130" s="385">
        <v>28</v>
      </c>
      <c r="G1130" s="391"/>
      <c r="H1130" s="316"/>
      <c r="I1130" s="391"/>
      <c r="J1130" s="385"/>
      <c r="K1130" s="391"/>
      <c r="L1130" s="385"/>
      <c r="M1130" s="391"/>
      <c r="N1130" s="385"/>
      <c r="O1130" s="190"/>
    </row>
    <row r="1131" spans="2:15" ht="16" x14ac:dyDescent="0.2">
      <c r="C1131" s="119">
        <v>10</v>
      </c>
      <c r="D1131" s="383">
        <v>0.58680555555555558</v>
      </c>
      <c r="E1131" s="389">
        <v>0.60763888888888895</v>
      </c>
      <c r="F1131" s="385"/>
      <c r="G1131" s="391"/>
      <c r="H1131" s="316"/>
      <c r="I1131" s="391">
        <v>44</v>
      </c>
      <c r="J1131" s="385"/>
      <c r="K1131" s="391"/>
      <c r="L1131" s="385"/>
      <c r="M1131" s="391"/>
      <c r="N1131" s="385"/>
      <c r="O1131" s="190"/>
    </row>
    <row r="1132" spans="2:15" ht="16" x14ac:dyDescent="0.2">
      <c r="C1132" s="119">
        <v>11</v>
      </c>
      <c r="D1132" s="383">
        <v>0.62152777777777779</v>
      </c>
      <c r="E1132" s="389">
        <v>0.64236111111111105</v>
      </c>
      <c r="F1132" s="385">
        <v>28</v>
      </c>
      <c r="G1132" s="391"/>
      <c r="H1132" s="316"/>
      <c r="I1132" s="391"/>
      <c r="J1132" s="28"/>
      <c r="K1132" s="391"/>
      <c r="L1132" s="385"/>
      <c r="M1132" s="391"/>
      <c r="N1132" s="385"/>
      <c r="O1132" s="190"/>
    </row>
    <row r="1133" spans="2:15" ht="16" x14ac:dyDescent="0.2">
      <c r="C1133" s="193">
        <v>12</v>
      </c>
      <c r="D1133" s="383">
        <v>0.64930555555555558</v>
      </c>
      <c r="E1133" s="389">
        <v>0.67013888888888884</v>
      </c>
      <c r="F1133" s="385"/>
      <c r="G1133" s="391"/>
      <c r="H1133" s="316"/>
      <c r="I1133" s="391"/>
      <c r="J1133" s="385">
        <v>36</v>
      </c>
      <c r="K1133" s="391"/>
      <c r="L1133" s="385"/>
      <c r="M1133" s="391"/>
      <c r="N1133" s="385"/>
      <c r="O1133" s="190"/>
    </row>
    <row r="1134" spans="2:15" ht="16" x14ac:dyDescent="0.2">
      <c r="C1134" s="119">
        <v>13</v>
      </c>
      <c r="D1134" s="383">
        <v>0.67013888888888884</v>
      </c>
      <c r="E1134" s="389">
        <v>0.69097222222222221</v>
      </c>
      <c r="F1134" s="385">
        <v>28</v>
      </c>
      <c r="G1134" s="391"/>
      <c r="H1134" s="316"/>
      <c r="I1134" s="391"/>
      <c r="J1134" s="385"/>
      <c r="K1134" s="391"/>
      <c r="L1134" s="385"/>
      <c r="M1134" s="391"/>
      <c r="N1134" s="385"/>
      <c r="O1134" s="190"/>
    </row>
    <row r="1135" spans="2:15" ht="16" x14ac:dyDescent="0.2">
      <c r="C1135" s="119">
        <v>14</v>
      </c>
      <c r="D1135" s="383">
        <v>0.70486111111111116</v>
      </c>
      <c r="E1135" s="389">
        <v>0.72569444444444453</v>
      </c>
      <c r="F1135" s="385"/>
      <c r="G1135" s="391"/>
      <c r="H1135" s="316"/>
      <c r="I1135" s="391"/>
      <c r="J1135" s="385">
        <v>36</v>
      </c>
      <c r="K1135" s="391"/>
      <c r="L1135" s="385"/>
      <c r="M1135" s="391"/>
      <c r="N1135" s="385"/>
      <c r="O1135" s="190"/>
    </row>
    <row r="1136" spans="2:15" ht="16" x14ac:dyDescent="0.2">
      <c r="C1136" s="119">
        <v>15</v>
      </c>
      <c r="D1136" s="383">
        <v>0.73611111111111116</v>
      </c>
      <c r="E1136" s="389">
        <v>0.75694444444444453</v>
      </c>
      <c r="F1136" s="385">
        <v>28</v>
      </c>
      <c r="G1136" s="391"/>
      <c r="H1136" s="316"/>
      <c r="I1136" s="391"/>
      <c r="J1136" s="385"/>
      <c r="K1136" s="391"/>
      <c r="L1136" s="385"/>
      <c r="M1136" s="391"/>
      <c r="N1136" s="385"/>
      <c r="O1136" s="190"/>
    </row>
    <row r="1137" spans="3:15" ht="16" x14ac:dyDescent="0.2">
      <c r="C1137" s="119">
        <v>16</v>
      </c>
      <c r="D1137" s="383">
        <v>0.76041666666666663</v>
      </c>
      <c r="E1137" s="389">
        <v>0.78125</v>
      </c>
      <c r="F1137" s="385"/>
      <c r="G1137" s="391"/>
      <c r="H1137" s="316"/>
      <c r="I1137" s="391"/>
      <c r="J1137" s="385">
        <v>36</v>
      </c>
      <c r="K1137" s="391"/>
      <c r="L1137" s="385"/>
      <c r="M1137" s="391"/>
      <c r="N1137" s="385"/>
      <c r="O1137" s="190"/>
    </row>
    <row r="1138" spans="3:15" ht="16" x14ac:dyDescent="0.2">
      <c r="C1138" s="119">
        <v>17</v>
      </c>
      <c r="D1138" s="383">
        <v>0.78472222222222221</v>
      </c>
      <c r="E1138" s="389">
        <v>0.80555555555555547</v>
      </c>
      <c r="F1138" s="384">
        <v>28</v>
      </c>
      <c r="G1138" s="33"/>
      <c r="H1138" s="316"/>
      <c r="I1138" s="390"/>
      <c r="J1138" s="385"/>
      <c r="K1138" s="391"/>
      <c r="L1138" s="385"/>
      <c r="M1138" s="391"/>
      <c r="N1138" s="385"/>
      <c r="O1138" s="190"/>
    </row>
    <row r="1139" spans="3:15" ht="16" x14ac:dyDescent="0.2">
      <c r="C1139" s="119">
        <v>18</v>
      </c>
      <c r="D1139" s="383">
        <v>0.81944444444444453</v>
      </c>
      <c r="E1139" s="389">
        <v>0.84027777777777779</v>
      </c>
      <c r="F1139" s="394"/>
      <c r="G1139" s="229"/>
      <c r="H1139" s="394"/>
      <c r="I1139" s="391"/>
      <c r="J1139" s="385">
        <v>32</v>
      </c>
      <c r="K1139" s="391"/>
      <c r="L1139" s="385"/>
      <c r="M1139" s="391"/>
      <c r="N1139" s="385"/>
      <c r="O1139" s="190"/>
    </row>
    <row r="1140" spans="3:15" ht="16" x14ac:dyDescent="0.2">
      <c r="C1140" s="119">
        <v>19</v>
      </c>
      <c r="D1140" s="383"/>
      <c r="E1140" s="389"/>
      <c r="F1140" s="385"/>
      <c r="G1140" s="391"/>
      <c r="H1140" s="385"/>
      <c r="I1140" s="391"/>
      <c r="J1140" s="385"/>
      <c r="K1140" s="391"/>
      <c r="L1140" s="403"/>
      <c r="M1140" s="391"/>
      <c r="N1140" s="385"/>
      <c r="O1140" s="190"/>
    </row>
    <row r="1141" spans="3:15" ht="16" x14ac:dyDescent="0.2">
      <c r="C1141" s="119">
        <v>20</v>
      </c>
      <c r="D1141" s="383"/>
      <c r="E1141" s="389"/>
      <c r="F1141" s="385"/>
      <c r="G1141" s="391"/>
      <c r="H1141" s="385"/>
      <c r="I1141" s="391"/>
      <c r="J1141" s="385"/>
      <c r="K1141" s="391"/>
      <c r="L1141" s="403"/>
      <c r="M1141" s="391"/>
      <c r="N1141" s="385"/>
      <c r="O1141" s="190"/>
    </row>
    <row r="1142" spans="3:15" ht="16" x14ac:dyDescent="0.2">
      <c r="C1142" s="119">
        <v>21</v>
      </c>
      <c r="D1142" s="383"/>
      <c r="E1142" s="389"/>
      <c r="F1142" s="385"/>
      <c r="G1142" s="391"/>
      <c r="H1142" s="385"/>
      <c r="I1142" s="391"/>
      <c r="J1142" s="385"/>
      <c r="K1142" s="391"/>
      <c r="L1142" s="385"/>
      <c r="M1142" s="391"/>
      <c r="N1142" s="385"/>
      <c r="O1142" s="190"/>
    </row>
    <row r="1143" spans="3:15" ht="16" x14ac:dyDescent="0.2">
      <c r="C1143" s="119">
        <v>22</v>
      </c>
      <c r="D1143" s="383"/>
      <c r="E1143" s="389"/>
      <c r="F1143" s="385"/>
      <c r="G1143" s="391"/>
      <c r="H1143" s="385"/>
      <c r="I1143" s="391"/>
      <c r="J1143" s="385"/>
      <c r="K1143" s="391"/>
      <c r="L1143" s="385"/>
      <c r="M1143" s="391"/>
      <c r="N1143" s="385"/>
      <c r="O1143" s="190"/>
    </row>
    <row r="1144" spans="3:15" ht="16" x14ac:dyDescent="0.2">
      <c r="C1144" s="119">
        <v>23</v>
      </c>
      <c r="D1144" s="383"/>
      <c r="E1144" s="389"/>
      <c r="F1144" s="385"/>
      <c r="G1144" s="391"/>
      <c r="H1144" s="385"/>
      <c r="I1144" s="391"/>
      <c r="J1144" s="385"/>
      <c r="K1144" s="391"/>
      <c r="L1144" s="385"/>
      <c r="M1144" s="391"/>
      <c r="N1144" s="385"/>
      <c r="O1144" s="190"/>
    </row>
    <row r="1145" spans="3:15" ht="16" x14ac:dyDescent="0.2">
      <c r="C1145" s="119">
        <v>24</v>
      </c>
      <c r="D1145" s="383"/>
      <c r="E1145" s="389"/>
      <c r="F1145" s="385"/>
      <c r="G1145" s="391"/>
      <c r="H1145" s="385"/>
      <c r="I1145" s="391"/>
      <c r="J1145" s="385"/>
      <c r="K1145" s="391"/>
      <c r="L1145" s="385"/>
      <c r="M1145" s="391"/>
      <c r="N1145" s="385"/>
      <c r="O1145" s="190"/>
    </row>
    <row r="1146" spans="3:15" ht="16" x14ac:dyDescent="0.2">
      <c r="C1146" s="119">
        <v>25</v>
      </c>
      <c r="D1146" s="383"/>
      <c r="E1146" s="389"/>
      <c r="F1146" s="385"/>
      <c r="G1146" s="391"/>
      <c r="H1146" s="385"/>
      <c r="I1146" s="391"/>
      <c r="J1146" s="385"/>
      <c r="K1146" s="391"/>
      <c r="L1146" s="385"/>
      <c r="M1146" s="391"/>
      <c r="N1146" s="385"/>
      <c r="O1146" s="190"/>
    </row>
    <row r="1147" spans="3:15" ht="16" x14ac:dyDescent="0.2">
      <c r="C1147" s="119">
        <v>26</v>
      </c>
      <c r="D1147" s="383"/>
      <c r="E1147" s="389"/>
      <c r="F1147" s="385"/>
      <c r="G1147" s="391"/>
      <c r="H1147" s="385"/>
      <c r="I1147" s="391"/>
      <c r="J1147" s="385"/>
      <c r="K1147" s="391"/>
      <c r="L1147" s="385"/>
      <c r="M1147" s="391"/>
      <c r="N1147" s="385"/>
      <c r="O1147" s="190"/>
    </row>
    <row r="1148" spans="3:15" ht="16" x14ac:dyDescent="0.2">
      <c r="C1148" s="119">
        <v>27</v>
      </c>
      <c r="D1148" s="383"/>
      <c r="E1148" s="389"/>
      <c r="F1148" s="385"/>
      <c r="G1148" s="391"/>
      <c r="H1148" s="385"/>
      <c r="I1148" s="391"/>
      <c r="J1148" s="385"/>
      <c r="K1148" s="391"/>
      <c r="L1148" s="385"/>
      <c r="M1148" s="391"/>
      <c r="N1148" s="385"/>
      <c r="O1148" s="190"/>
    </row>
    <row r="1149" spans="3:15" ht="16" x14ac:dyDescent="0.2">
      <c r="C1149" s="119">
        <v>28</v>
      </c>
      <c r="D1149" s="383"/>
      <c r="E1149" s="389"/>
      <c r="F1149" s="385"/>
      <c r="G1149" s="391"/>
      <c r="H1149" s="385"/>
      <c r="I1149" s="391"/>
      <c r="J1149" s="385"/>
      <c r="K1149" s="391"/>
      <c r="L1149" s="385"/>
      <c r="M1149" s="391"/>
      <c r="N1149" s="385"/>
      <c r="O1149" s="190"/>
    </row>
    <row r="1150" spans="3:15" ht="16" x14ac:dyDescent="0.2">
      <c r="C1150" s="119">
        <v>29</v>
      </c>
      <c r="D1150" s="383"/>
      <c r="E1150" s="389"/>
      <c r="F1150" s="385"/>
      <c r="G1150" s="391"/>
      <c r="H1150" s="385"/>
      <c r="I1150" s="391"/>
      <c r="J1150" s="385"/>
      <c r="K1150" s="391"/>
      <c r="L1150" s="385"/>
      <c r="M1150" s="391"/>
      <c r="N1150" s="385"/>
      <c r="O1150" s="190"/>
    </row>
    <row r="1151" spans="3:15" ht="16" x14ac:dyDescent="0.2">
      <c r="C1151" s="119">
        <v>30</v>
      </c>
      <c r="D1151" s="383"/>
      <c r="E1151" s="389"/>
      <c r="F1151" s="385"/>
      <c r="G1151" s="391"/>
      <c r="H1151" s="385"/>
      <c r="I1151" s="391"/>
      <c r="J1151" s="385"/>
      <c r="K1151" s="391"/>
      <c r="L1151" s="385"/>
      <c r="M1151" s="391"/>
      <c r="N1151" s="385"/>
      <c r="O1151" s="190"/>
    </row>
    <row r="1152" spans="3:15" ht="16" x14ac:dyDescent="0.2">
      <c r="C1152" s="120">
        <v>31</v>
      </c>
      <c r="D1152" s="383"/>
      <c r="E1152" s="389"/>
      <c r="F1152" s="384"/>
      <c r="G1152" s="390"/>
      <c r="H1152" s="384"/>
      <c r="I1152" s="390"/>
      <c r="J1152" s="384"/>
      <c r="K1152" s="390"/>
      <c r="L1152" s="384"/>
      <c r="M1152" s="390"/>
      <c r="N1152" s="384"/>
      <c r="O1152" s="190"/>
    </row>
    <row r="1153" spans="2:15" ht="16" x14ac:dyDescent="0.2">
      <c r="B1153" s="256"/>
      <c r="C1153" s="377">
        <v>32</v>
      </c>
      <c r="D1153" s="384"/>
      <c r="E1153" s="390"/>
      <c r="F1153" s="384"/>
      <c r="G1153" s="390"/>
      <c r="H1153" s="384"/>
      <c r="I1153" s="390"/>
      <c r="J1153" s="384"/>
      <c r="K1153" s="390"/>
      <c r="L1153" s="384"/>
      <c r="M1153" s="390"/>
      <c r="N1153" s="384"/>
      <c r="O1153" s="190"/>
    </row>
    <row r="1154" spans="2:15" ht="16" x14ac:dyDescent="0.2">
      <c r="B1154" s="256"/>
      <c r="C1154" s="119">
        <v>33</v>
      </c>
      <c r="D1154" s="385"/>
      <c r="E1154" s="391"/>
      <c r="F1154" s="385"/>
      <c r="G1154" s="391"/>
      <c r="H1154" s="385"/>
      <c r="I1154" s="391"/>
      <c r="J1154" s="385"/>
      <c r="K1154" s="391"/>
      <c r="L1154" s="385"/>
      <c r="M1154" s="391"/>
      <c r="N1154" s="385"/>
      <c r="O1154" s="190"/>
    </row>
    <row r="1155" spans="2:15" ht="16" x14ac:dyDescent="0.2">
      <c r="B1155" s="256"/>
      <c r="C1155" s="119">
        <v>34</v>
      </c>
      <c r="D1155" s="385"/>
      <c r="E1155" s="391"/>
      <c r="F1155" s="385"/>
      <c r="G1155" s="391"/>
      <c r="H1155" s="385"/>
      <c r="I1155" s="391"/>
      <c r="J1155" s="385"/>
      <c r="K1155" s="391"/>
      <c r="L1155" s="385"/>
      <c r="M1155" s="391"/>
      <c r="N1155" s="385"/>
      <c r="O1155" s="190"/>
    </row>
    <row r="1156" spans="2:15" ht="16" x14ac:dyDescent="0.2">
      <c r="B1156" s="256"/>
      <c r="C1156" s="119">
        <v>35</v>
      </c>
      <c r="D1156" s="385"/>
      <c r="E1156" s="391"/>
      <c r="F1156" s="385"/>
      <c r="G1156" s="391"/>
      <c r="H1156" s="385"/>
      <c r="I1156" s="391"/>
      <c r="J1156" s="385"/>
      <c r="K1156" s="391"/>
      <c r="L1156" s="385"/>
      <c r="M1156" s="391"/>
      <c r="N1156" s="385"/>
      <c r="O1156" s="190"/>
    </row>
    <row r="1157" spans="2:15" ht="16" x14ac:dyDescent="0.2">
      <c r="B1157" s="256"/>
      <c r="C1157" s="119">
        <v>36</v>
      </c>
      <c r="D1157" s="385"/>
      <c r="E1157" s="391"/>
      <c r="F1157" s="385"/>
      <c r="G1157" s="391"/>
      <c r="H1157" s="385"/>
      <c r="I1157" s="391"/>
      <c r="J1157" s="385"/>
      <c r="K1157" s="391"/>
      <c r="L1157" s="385"/>
      <c r="M1157" s="391"/>
      <c r="N1157" s="385"/>
      <c r="O1157" s="190"/>
    </row>
    <row r="1158" spans="2:15" ht="17" thickBot="1" x14ac:dyDescent="0.25">
      <c r="B1158" s="256"/>
      <c r="C1158" s="378">
        <v>37</v>
      </c>
      <c r="D1158" s="386"/>
      <c r="E1158" s="392"/>
      <c r="F1158" s="386"/>
      <c r="G1158" s="392"/>
      <c r="H1158" s="386"/>
      <c r="I1158" s="392"/>
      <c r="J1158" s="386"/>
      <c r="K1158" s="392"/>
      <c r="L1158" s="386"/>
      <c r="M1158" s="392"/>
      <c r="N1158" s="386"/>
      <c r="O1158" s="190"/>
    </row>
    <row r="1159" spans="2:15" ht="17" thickBot="1" x14ac:dyDescent="0.25">
      <c r="C1159" s="825" t="s">
        <v>19</v>
      </c>
      <c r="D1159" s="826"/>
      <c r="E1159" s="380"/>
      <c r="F1159" s="376">
        <f>(F1122+F1123+F1124+F1125+F1126+F1127+F1143+F1130+F1131+F1128+F1129+F1132+F1133+F1134+F1135+F1136+F1137+F1138+F1139+F1140+F1141+F1142+F1144+F1145+F1147+F1148+F1149+F1150+F1151+F1152+F1153+F1154+F1155+F1158)/2</f>
        <v>84</v>
      </c>
      <c r="G1159" s="397">
        <f>(G1122+G1123+G1124+G1125+G1126+G1143+G1127+G1131+G1130+G1128+G1129+G1132+G1133+G1134+G1135+G1136+G1137+G1138+G1139+G1140+G1141+G1142+G1144+G1145+G1147+G1148+G1149+G1150+G1151+G1152+G1153+G1154)/2</f>
        <v>49</v>
      </c>
      <c r="H1159" s="399">
        <f>(H1122+H1123+H1124+H1125+H1126+H1127+H1143+H1146+H1130+H1131+H1128+H1129+H1132+H1133+H1134+H1135+H1136+H1137+H1138+H1139+H1140+H1141+H1142+H1144+H1145+H1147+H1148+H1149+H1150+H1151+H1152+H1153+H1154+H1155+H1158)/2</f>
        <v>21</v>
      </c>
      <c r="I1159" s="398">
        <f>(I1122+I1123+I1124+I1125+I1126+I1156+I1157+I1127+I1143+I1130+I1146+I1131+I1128+I1129+I1132+I1133+I1134+I1135+I1136+I1137+I1138+I1139+I1140+I1141+I1142+I1144+I1145+I1147+I1148+I1149+I1150+I1151+I1152+I1153+I1154+I1155+I1158)/2</f>
        <v>44</v>
      </c>
      <c r="J1159" s="376">
        <f>(J1122+J1123+J1124+J1125+J1126+J1127+J1131+J1128+J1130+J1129+J1146+J1132+J1133+J1134+J1135+J1136+J1137+J1138+J1139+J1140+J1141+J1142+J1143+J1144+J1145+J1147+J1148+J1149+J1150+J1151+J1152+J1153+J1154)/2</f>
        <v>70</v>
      </c>
      <c r="K1159" s="397">
        <f>(K1122+K1123+K1124+K1125+K1126+K1127+K1131+K1128+K1129+K1132+K1133+K1134+K1135+K1136+K1137+K1138+K1139+K1140+K1141+K1142+K1144+K1145+K1147+K1148+K1149+K1150+K1151+K1152+K1153+K1154+K1143)</f>
        <v>0</v>
      </c>
      <c r="L1159" s="399">
        <f>SUM(L1122:L1158)</f>
        <v>0</v>
      </c>
      <c r="M1159" s="398">
        <f>(M1122+M1123+M1124+M1125+M1126+M1127+M1131+M1130+M1128+M1129+M1132+M1133+M1134+M1135+M1136+M1137+M1138+M1139+M1140+M1141+M1142+M1144+M1145+M1147+M1148+M1149+M1150+M1151+M1152+M1153+M1154)/2</f>
        <v>0</v>
      </c>
      <c r="N1159" s="376"/>
      <c r="O1159" s="41"/>
    </row>
    <row r="1160" spans="2:15" ht="17" thickBot="1" x14ac:dyDescent="0.25">
      <c r="C1160" s="825" t="s">
        <v>91</v>
      </c>
      <c r="D1160" s="826"/>
      <c r="E1160" s="381">
        <f>SUM(F1159:J1159)</f>
        <v>268</v>
      </c>
    </row>
    <row r="1161" spans="2:15" ht="16" thickBot="1" x14ac:dyDescent="0.25"/>
    <row r="1162" spans="2:15" ht="17" thickBot="1" x14ac:dyDescent="0.25">
      <c r="C1162" s="17"/>
      <c r="D1162" s="379" t="s">
        <v>83</v>
      </c>
      <c r="E1162" s="818" t="s">
        <v>63</v>
      </c>
      <c r="F1162" s="819"/>
      <c r="G1162" s="819"/>
      <c r="H1162" s="819"/>
      <c r="I1162" s="819"/>
      <c r="J1162" s="400" t="s">
        <v>76</v>
      </c>
      <c r="K1162" s="820">
        <v>45691</v>
      </c>
      <c r="L1162" s="821"/>
      <c r="M1162" s="821"/>
      <c r="N1162" s="821"/>
      <c r="O1162" s="822"/>
    </row>
    <row r="1163" spans="2:15" ht="16" thickBot="1" x14ac:dyDescent="0.25">
      <c r="B1163" s="175" t="s">
        <v>76</v>
      </c>
      <c r="C1163" s="175" t="s">
        <v>77</v>
      </c>
      <c r="D1163" s="823" t="s">
        <v>122</v>
      </c>
      <c r="E1163" s="824"/>
      <c r="F1163" s="175" t="s">
        <v>104</v>
      </c>
      <c r="G1163" s="395" t="s">
        <v>86</v>
      </c>
      <c r="H1163" s="175" t="s">
        <v>88</v>
      </c>
      <c r="I1163" s="395" t="s">
        <v>87</v>
      </c>
      <c r="J1163" s="401" t="s">
        <v>85</v>
      </c>
      <c r="K1163" s="395" t="s">
        <v>123</v>
      </c>
      <c r="L1163" s="175" t="s">
        <v>124</v>
      </c>
      <c r="M1163" s="395" t="s">
        <v>100</v>
      </c>
      <c r="N1163" s="175" t="s">
        <v>213</v>
      </c>
      <c r="O1163" s="404" t="s">
        <v>125</v>
      </c>
    </row>
    <row r="1164" spans="2:15" ht="16" thickBot="1" x14ac:dyDescent="0.25">
      <c r="B1164" s="176">
        <f>K1162</f>
        <v>45691</v>
      </c>
      <c r="C1164" s="374"/>
      <c r="D1164" s="375" t="s">
        <v>126</v>
      </c>
      <c r="E1164" s="387" t="s">
        <v>127</v>
      </c>
      <c r="F1164" s="331">
        <v>13</v>
      </c>
      <c r="G1164" s="237">
        <v>9</v>
      </c>
      <c r="H1164" s="331">
        <v>0</v>
      </c>
      <c r="I1164" s="237">
        <v>6</v>
      </c>
      <c r="J1164" s="331">
        <v>11</v>
      </c>
      <c r="K1164" s="231"/>
      <c r="L1164" s="125"/>
      <c r="M1164" s="231"/>
      <c r="N1164" s="125"/>
      <c r="O1164" s="326"/>
    </row>
    <row r="1165" spans="2:15" ht="16" x14ac:dyDescent="0.2">
      <c r="C1165" s="118">
        <v>1</v>
      </c>
      <c r="D1165" s="383">
        <v>0.28819444444444448</v>
      </c>
      <c r="E1165" s="388">
        <v>0.30902777777777779</v>
      </c>
      <c r="F1165" s="393"/>
      <c r="G1165" s="396">
        <v>28</v>
      </c>
      <c r="H1165" s="393"/>
      <c r="I1165" s="396"/>
      <c r="J1165" s="393"/>
      <c r="K1165" s="396"/>
      <c r="L1165" s="393"/>
      <c r="M1165" s="396"/>
      <c r="N1165" s="393"/>
      <c r="O1165" s="190"/>
    </row>
    <row r="1166" spans="2:15" ht="16" x14ac:dyDescent="0.2">
      <c r="C1166" s="119">
        <v>2</v>
      </c>
      <c r="D1166" s="383">
        <v>0.30902777777777779</v>
      </c>
      <c r="E1166" s="389">
        <v>0.3298611111111111</v>
      </c>
      <c r="F1166" s="385"/>
      <c r="G1166" s="391">
        <v>28</v>
      </c>
      <c r="H1166" s="385"/>
      <c r="I1166" s="391"/>
      <c r="J1166" s="385"/>
      <c r="K1166" s="391"/>
      <c r="L1166" s="385"/>
      <c r="M1166" s="391"/>
      <c r="N1166" s="385"/>
      <c r="O1166" s="190"/>
    </row>
    <row r="1167" spans="2:15" ht="16" x14ac:dyDescent="0.2">
      <c r="C1167" s="119">
        <v>3</v>
      </c>
      <c r="D1167" s="383">
        <v>0.3298611111111111</v>
      </c>
      <c r="E1167" s="389">
        <v>0.35069444444444442</v>
      </c>
      <c r="F1167" s="385">
        <v>28</v>
      </c>
      <c r="G1167" s="391"/>
      <c r="H1167" s="385"/>
      <c r="I1167" s="391"/>
      <c r="J1167" s="385"/>
      <c r="K1167" s="391"/>
      <c r="L1167" s="384"/>
      <c r="M1167" s="391"/>
      <c r="N1167" s="385"/>
      <c r="O1167" s="190"/>
    </row>
    <row r="1168" spans="2:15" ht="16" x14ac:dyDescent="0.2">
      <c r="C1168" s="119">
        <v>4</v>
      </c>
      <c r="D1168" s="383">
        <v>0.3576388888888889</v>
      </c>
      <c r="E1168" s="389">
        <v>0.37847222222222227</v>
      </c>
      <c r="F1168" s="385">
        <v>28</v>
      </c>
      <c r="G1168" s="391"/>
      <c r="H1168" s="316"/>
      <c r="I1168" s="391"/>
      <c r="J1168" s="385"/>
      <c r="K1168" s="391"/>
      <c r="L1168" s="402"/>
      <c r="M1168" s="391"/>
      <c r="N1168" s="385"/>
      <c r="O1168" s="190"/>
    </row>
    <row r="1169" spans="3:15" ht="16" x14ac:dyDescent="0.2">
      <c r="C1169" s="119">
        <v>5</v>
      </c>
      <c r="D1169" s="383">
        <v>0.37847222222222227</v>
      </c>
      <c r="E1169" s="389">
        <v>0.39930555555555558</v>
      </c>
      <c r="F1169" s="385">
        <v>28</v>
      </c>
      <c r="G1169" s="391"/>
      <c r="H1169" s="316"/>
      <c r="I1169" s="391"/>
      <c r="J1169" s="385"/>
      <c r="K1169" s="391"/>
      <c r="L1169" s="393"/>
      <c r="M1169" s="391"/>
      <c r="N1169" s="385"/>
      <c r="O1169" s="190"/>
    </row>
    <row r="1170" spans="3:15" ht="16" x14ac:dyDescent="0.2">
      <c r="C1170" s="119">
        <v>6</v>
      </c>
      <c r="D1170" s="383">
        <v>0.39930555555555558</v>
      </c>
      <c r="E1170" s="389">
        <v>0.4201388888888889</v>
      </c>
      <c r="F1170" s="385">
        <v>28</v>
      </c>
      <c r="G1170" s="391"/>
      <c r="H1170" s="316"/>
      <c r="I1170" s="391"/>
      <c r="J1170" s="385"/>
      <c r="K1170" s="391"/>
      <c r="L1170" s="393"/>
      <c r="M1170" s="391"/>
      <c r="N1170" s="385"/>
      <c r="O1170" s="190"/>
    </row>
    <row r="1171" spans="3:15" ht="16" x14ac:dyDescent="0.2">
      <c r="C1171" s="119">
        <v>7</v>
      </c>
      <c r="D1171" s="383">
        <v>0.4236111111111111</v>
      </c>
      <c r="E1171" s="389">
        <v>0.44444444444444442</v>
      </c>
      <c r="F1171" s="385"/>
      <c r="G1171" s="391">
        <v>28</v>
      </c>
      <c r="H1171" s="316"/>
      <c r="I1171" s="391"/>
      <c r="J1171" s="385"/>
      <c r="K1171" s="391"/>
      <c r="L1171" s="393"/>
      <c r="M1171" s="391"/>
      <c r="N1171" s="385"/>
      <c r="O1171" s="190"/>
    </row>
    <row r="1172" spans="3:15" ht="16" x14ac:dyDescent="0.2">
      <c r="C1172" s="119">
        <v>8</v>
      </c>
      <c r="D1172" s="383">
        <v>0.44444444444444442</v>
      </c>
      <c r="E1172" s="389">
        <v>0.46527777777777773</v>
      </c>
      <c r="F1172" s="385"/>
      <c r="G1172" s="391">
        <v>28</v>
      </c>
      <c r="H1172" s="316"/>
      <c r="I1172" s="391"/>
      <c r="J1172" s="385"/>
      <c r="K1172" s="391"/>
      <c r="L1172" s="385"/>
      <c r="M1172" s="391"/>
      <c r="N1172" s="385"/>
      <c r="O1172" s="190"/>
    </row>
    <row r="1173" spans="3:15" ht="16" x14ac:dyDescent="0.2">
      <c r="C1173" s="119">
        <v>9</v>
      </c>
      <c r="D1173" s="383">
        <v>0.45833333333333331</v>
      </c>
      <c r="E1173" s="389">
        <v>0.47916666666666669</v>
      </c>
      <c r="F1173" s="385"/>
      <c r="G1173" s="391">
        <v>14</v>
      </c>
      <c r="H1173" s="316"/>
      <c r="I1173" s="391"/>
      <c r="J1173" s="385"/>
      <c r="K1173" s="391"/>
      <c r="L1173" s="385"/>
      <c r="M1173" s="391"/>
      <c r="N1173" s="385"/>
      <c r="O1173" s="190"/>
    </row>
    <row r="1174" spans="3:15" ht="16" x14ac:dyDescent="0.2">
      <c r="C1174" s="119">
        <v>10</v>
      </c>
      <c r="D1174" s="383">
        <v>0.47222222222222227</v>
      </c>
      <c r="E1174" s="389">
        <v>0.49305555555555558</v>
      </c>
      <c r="F1174" s="385">
        <v>14</v>
      </c>
      <c r="G1174" s="391"/>
      <c r="H1174" s="316"/>
      <c r="I1174" s="391"/>
      <c r="J1174" s="385"/>
      <c r="K1174" s="391"/>
      <c r="L1174" s="385"/>
      <c r="M1174" s="391"/>
      <c r="N1174" s="385"/>
      <c r="O1174" s="190"/>
    </row>
    <row r="1175" spans="3:15" ht="16" x14ac:dyDescent="0.2">
      <c r="C1175" s="119">
        <v>11</v>
      </c>
      <c r="D1175" s="383">
        <v>0.5</v>
      </c>
      <c r="E1175" s="389">
        <v>0.52083333333333337</v>
      </c>
      <c r="F1175" s="385"/>
      <c r="G1175" s="391"/>
      <c r="H1175" s="316"/>
      <c r="I1175" s="391">
        <v>44</v>
      </c>
      <c r="J1175" s="28"/>
      <c r="K1175" s="391"/>
      <c r="L1175" s="385"/>
      <c r="M1175" s="391"/>
      <c r="N1175" s="385"/>
      <c r="O1175" s="190"/>
    </row>
    <row r="1176" spans="3:15" ht="16" x14ac:dyDescent="0.2">
      <c r="C1176" s="193">
        <v>12</v>
      </c>
      <c r="D1176" s="383">
        <v>0.53472222222222221</v>
      </c>
      <c r="E1176" s="389">
        <v>0.55555555555555558</v>
      </c>
      <c r="F1176" s="385">
        <v>28</v>
      </c>
      <c r="G1176" s="391"/>
      <c r="H1176" s="316"/>
      <c r="I1176" s="391"/>
      <c r="J1176" s="385"/>
      <c r="K1176" s="391"/>
      <c r="L1176" s="385"/>
      <c r="M1176" s="391"/>
      <c r="N1176" s="385"/>
      <c r="O1176" s="190"/>
    </row>
    <row r="1177" spans="3:15" ht="16" x14ac:dyDescent="0.2">
      <c r="C1177" s="119">
        <v>13</v>
      </c>
      <c r="D1177" s="383">
        <v>0.55902777777777779</v>
      </c>
      <c r="E1177" s="389">
        <v>0.57986111111111105</v>
      </c>
      <c r="F1177" s="385"/>
      <c r="G1177" s="391"/>
      <c r="H1177" s="316"/>
      <c r="I1177" s="391">
        <v>44</v>
      </c>
      <c r="J1177" s="385"/>
      <c r="K1177" s="391"/>
      <c r="L1177" s="385"/>
      <c r="M1177" s="391"/>
      <c r="N1177" s="385"/>
      <c r="O1177" s="190"/>
    </row>
    <row r="1178" spans="3:15" ht="16" x14ac:dyDescent="0.2">
      <c r="C1178" s="119">
        <v>14</v>
      </c>
      <c r="D1178" s="383">
        <v>0.59027777777777779</v>
      </c>
      <c r="E1178" s="389">
        <v>0.61111111111111105</v>
      </c>
      <c r="F1178" s="385">
        <v>28</v>
      </c>
      <c r="G1178" s="391"/>
      <c r="H1178" s="316"/>
      <c r="I1178" s="391"/>
      <c r="J1178" s="385"/>
      <c r="K1178" s="391"/>
      <c r="L1178" s="385"/>
      <c r="M1178" s="391"/>
      <c r="N1178" s="385"/>
      <c r="O1178" s="190"/>
    </row>
    <row r="1179" spans="3:15" ht="16" x14ac:dyDescent="0.2">
      <c r="C1179" s="119">
        <v>15</v>
      </c>
      <c r="D1179" s="383">
        <v>0.625</v>
      </c>
      <c r="E1179" s="389">
        <v>0.64583333333333337</v>
      </c>
      <c r="F1179" s="385"/>
      <c r="G1179" s="391"/>
      <c r="H1179" s="316"/>
      <c r="I1179" s="391">
        <v>44</v>
      </c>
      <c r="J1179" s="385"/>
      <c r="K1179" s="391"/>
      <c r="L1179" s="385"/>
      <c r="M1179" s="391"/>
      <c r="N1179" s="385"/>
      <c r="O1179" s="190"/>
    </row>
    <row r="1180" spans="3:15" ht="16" x14ac:dyDescent="0.2">
      <c r="C1180" s="119">
        <v>16</v>
      </c>
      <c r="D1180" s="383">
        <v>0.64930555555555558</v>
      </c>
      <c r="E1180" s="389">
        <v>0.67013888888888884</v>
      </c>
      <c r="F1180" s="385"/>
      <c r="G1180" s="391"/>
      <c r="H1180" s="316"/>
      <c r="I1180" s="391"/>
      <c r="J1180" s="385">
        <v>36</v>
      </c>
      <c r="K1180" s="391"/>
      <c r="L1180" s="385"/>
      <c r="M1180" s="391"/>
      <c r="N1180" s="385"/>
      <c r="O1180" s="190"/>
    </row>
    <row r="1181" spans="3:15" ht="16" x14ac:dyDescent="0.2">
      <c r="C1181" s="119">
        <v>17</v>
      </c>
      <c r="D1181" s="383">
        <v>0.68055555555555547</v>
      </c>
      <c r="E1181" s="389">
        <v>0.70138888888888884</v>
      </c>
      <c r="F1181" s="384"/>
      <c r="G1181" s="33"/>
      <c r="H1181" s="316"/>
      <c r="I1181" s="390"/>
      <c r="J1181" s="385">
        <v>36</v>
      </c>
      <c r="K1181" s="391"/>
      <c r="L1181" s="385"/>
      <c r="M1181" s="391"/>
      <c r="N1181" s="385"/>
      <c r="O1181" s="190"/>
    </row>
    <row r="1182" spans="3:15" ht="16" x14ac:dyDescent="0.2">
      <c r="C1182" s="119">
        <v>18</v>
      </c>
      <c r="D1182" s="383">
        <v>0.71875</v>
      </c>
      <c r="E1182" s="389">
        <v>0.73958333333333337</v>
      </c>
      <c r="F1182" s="394"/>
      <c r="G1182" s="229"/>
      <c r="H1182" s="394"/>
      <c r="I1182" s="391"/>
      <c r="J1182" s="385">
        <v>36</v>
      </c>
      <c r="K1182" s="391"/>
      <c r="L1182" s="385"/>
      <c r="M1182" s="391"/>
      <c r="N1182" s="385"/>
      <c r="O1182" s="190"/>
    </row>
    <row r="1183" spans="3:15" ht="16" x14ac:dyDescent="0.2">
      <c r="C1183" s="119">
        <v>19</v>
      </c>
      <c r="D1183" s="383">
        <v>0.74305555555555547</v>
      </c>
      <c r="E1183" s="389">
        <v>0.76388888888888884</v>
      </c>
      <c r="F1183" s="385"/>
      <c r="G1183" s="391"/>
      <c r="H1183" s="385"/>
      <c r="I1183" s="391"/>
      <c r="J1183" s="385">
        <v>36</v>
      </c>
      <c r="K1183" s="391"/>
      <c r="L1183" s="403"/>
      <c r="M1183" s="391"/>
      <c r="N1183" s="385"/>
      <c r="O1183" s="190"/>
    </row>
    <row r="1184" spans="3:15" ht="16" x14ac:dyDescent="0.2">
      <c r="C1184" s="119">
        <v>20</v>
      </c>
      <c r="D1184" s="383">
        <v>0.77777777777777779</v>
      </c>
      <c r="E1184" s="389">
        <v>0.79861111111111116</v>
      </c>
      <c r="F1184" s="385"/>
      <c r="G1184" s="391"/>
      <c r="H1184" s="385"/>
      <c r="I1184" s="391"/>
      <c r="J1184" s="385">
        <v>32</v>
      </c>
      <c r="K1184" s="391"/>
      <c r="L1184" s="403"/>
      <c r="M1184" s="391"/>
      <c r="N1184" s="385"/>
      <c r="O1184" s="190"/>
    </row>
    <row r="1185" spans="2:15" ht="16" x14ac:dyDescent="0.2">
      <c r="C1185" s="193">
        <v>21</v>
      </c>
      <c r="D1185" s="25">
        <v>0.79861111111111116</v>
      </c>
      <c r="E1185" s="389">
        <v>0.81944444444444453</v>
      </c>
      <c r="F1185" s="385"/>
      <c r="G1185" s="391"/>
      <c r="H1185" s="385"/>
      <c r="I1185" s="391"/>
      <c r="J1185" s="385">
        <v>14</v>
      </c>
      <c r="K1185" s="391"/>
      <c r="L1185" s="385"/>
      <c r="M1185" s="391"/>
      <c r="N1185" s="385"/>
      <c r="O1185" s="190"/>
    </row>
    <row r="1186" spans="2:15" ht="16" x14ac:dyDescent="0.2">
      <c r="C1186" s="193">
        <v>22</v>
      </c>
      <c r="D1186" s="701"/>
      <c r="E1186" s="389"/>
      <c r="F1186" s="385"/>
      <c r="G1186" s="391"/>
      <c r="H1186" s="385"/>
      <c r="I1186" s="391"/>
      <c r="J1186" s="385" t="s">
        <v>667</v>
      </c>
      <c r="K1186" s="391"/>
      <c r="L1186" s="385"/>
      <c r="M1186" s="391"/>
      <c r="N1186" s="385"/>
      <c r="O1186" s="190"/>
    </row>
    <row r="1187" spans="2:15" ht="16" x14ac:dyDescent="0.2">
      <c r="C1187" s="119">
        <v>23</v>
      </c>
      <c r="D1187" s="383"/>
      <c r="E1187" s="389"/>
      <c r="F1187" s="385"/>
      <c r="G1187" s="391"/>
      <c r="H1187" s="385"/>
      <c r="I1187" s="391"/>
      <c r="J1187" s="385"/>
      <c r="K1187" s="391"/>
      <c r="L1187" s="385"/>
      <c r="M1187" s="391"/>
      <c r="N1187" s="385"/>
      <c r="O1187" s="190"/>
    </row>
    <row r="1188" spans="2:15" ht="16" x14ac:dyDescent="0.2">
      <c r="C1188" s="119">
        <v>24</v>
      </c>
      <c r="D1188" s="383"/>
      <c r="E1188" s="389"/>
      <c r="F1188" s="385"/>
      <c r="G1188" s="391"/>
      <c r="H1188" s="385"/>
      <c r="I1188" s="391"/>
      <c r="J1188" s="385"/>
      <c r="K1188" s="391"/>
      <c r="L1188" s="385"/>
      <c r="M1188" s="391"/>
      <c r="N1188" s="385"/>
      <c r="O1188" s="190"/>
    </row>
    <row r="1189" spans="2:15" ht="16" x14ac:dyDescent="0.2">
      <c r="C1189" s="119">
        <v>25</v>
      </c>
      <c r="D1189" s="383"/>
      <c r="E1189" s="389"/>
      <c r="F1189" s="385"/>
      <c r="G1189" s="391"/>
      <c r="H1189" s="385"/>
      <c r="I1189" s="391"/>
      <c r="J1189" s="385"/>
      <c r="K1189" s="391"/>
      <c r="L1189" s="385"/>
      <c r="M1189" s="391"/>
      <c r="N1189" s="385"/>
      <c r="O1189" s="190"/>
    </row>
    <row r="1190" spans="2:15" ht="16" x14ac:dyDescent="0.2">
      <c r="C1190" s="119">
        <v>26</v>
      </c>
      <c r="D1190" s="383"/>
      <c r="E1190" s="389"/>
      <c r="F1190" s="385"/>
      <c r="G1190" s="391"/>
      <c r="H1190" s="385"/>
      <c r="I1190" s="391"/>
      <c r="J1190" s="385"/>
      <c r="K1190" s="391"/>
      <c r="L1190" s="385"/>
      <c r="M1190" s="391"/>
      <c r="N1190" s="385"/>
      <c r="O1190" s="190"/>
    </row>
    <row r="1191" spans="2:15" ht="16" x14ac:dyDescent="0.2">
      <c r="C1191" s="119">
        <v>27</v>
      </c>
      <c r="D1191" s="383"/>
      <c r="E1191" s="389"/>
      <c r="F1191" s="385"/>
      <c r="G1191" s="391"/>
      <c r="H1191" s="385"/>
      <c r="I1191" s="391"/>
      <c r="J1191" s="385"/>
      <c r="K1191" s="391"/>
      <c r="L1191" s="385"/>
      <c r="M1191" s="391"/>
      <c r="N1191" s="385"/>
      <c r="O1191" s="190"/>
    </row>
    <row r="1192" spans="2:15" ht="16" x14ac:dyDescent="0.2">
      <c r="C1192" s="119">
        <v>28</v>
      </c>
      <c r="D1192" s="383"/>
      <c r="E1192" s="389"/>
      <c r="F1192" s="385"/>
      <c r="G1192" s="391"/>
      <c r="H1192" s="385"/>
      <c r="I1192" s="391"/>
      <c r="J1192" s="385"/>
      <c r="K1192" s="391"/>
      <c r="L1192" s="385"/>
      <c r="M1192" s="391"/>
      <c r="N1192" s="385"/>
      <c r="O1192" s="190"/>
    </row>
    <row r="1193" spans="2:15" ht="16" x14ac:dyDescent="0.2">
      <c r="C1193" s="119">
        <v>29</v>
      </c>
      <c r="D1193" s="383"/>
      <c r="E1193" s="389"/>
      <c r="F1193" s="385"/>
      <c r="G1193" s="391"/>
      <c r="H1193" s="385"/>
      <c r="I1193" s="391"/>
      <c r="J1193" s="385"/>
      <c r="K1193" s="391"/>
      <c r="L1193" s="385"/>
      <c r="M1193" s="391"/>
      <c r="N1193" s="385"/>
      <c r="O1193" s="190"/>
    </row>
    <row r="1194" spans="2:15" ht="16" x14ac:dyDescent="0.2">
      <c r="C1194" s="119">
        <v>30</v>
      </c>
      <c r="D1194" s="383"/>
      <c r="E1194" s="389"/>
      <c r="F1194" s="385"/>
      <c r="G1194" s="391"/>
      <c r="H1194" s="385"/>
      <c r="I1194" s="391"/>
      <c r="J1194" s="385"/>
      <c r="K1194" s="391"/>
      <c r="L1194" s="385"/>
      <c r="M1194" s="391"/>
      <c r="N1194" s="385"/>
      <c r="O1194" s="190"/>
    </row>
    <row r="1195" spans="2:15" ht="16" x14ac:dyDescent="0.2">
      <c r="C1195" s="120">
        <v>31</v>
      </c>
      <c r="D1195" s="383"/>
      <c r="E1195" s="389"/>
      <c r="F1195" s="384"/>
      <c r="G1195" s="390"/>
      <c r="H1195" s="384"/>
      <c r="I1195" s="390"/>
      <c r="J1195" s="384"/>
      <c r="K1195" s="390"/>
      <c r="L1195" s="384"/>
      <c r="M1195" s="390"/>
      <c r="N1195" s="384"/>
      <c r="O1195" s="190"/>
    </row>
    <row r="1196" spans="2:15" ht="16" x14ac:dyDescent="0.2">
      <c r="B1196" s="256"/>
      <c r="C1196" s="377">
        <v>32</v>
      </c>
      <c r="D1196" s="384"/>
      <c r="E1196" s="390"/>
      <c r="F1196" s="384"/>
      <c r="G1196" s="390"/>
      <c r="H1196" s="384"/>
      <c r="I1196" s="390"/>
      <c r="J1196" s="384"/>
      <c r="K1196" s="390"/>
      <c r="L1196" s="384"/>
      <c r="M1196" s="390"/>
      <c r="N1196" s="384"/>
      <c r="O1196" s="190"/>
    </row>
    <row r="1197" spans="2:15" ht="16" x14ac:dyDescent="0.2">
      <c r="B1197" s="256"/>
      <c r="C1197" s="119">
        <v>33</v>
      </c>
      <c r="D1197" s="385"/>
      <c r="E1197" s="391"/>
      <c r="F1197" s="385"/>
      <c r="G1197" s="391"/>
      <c r="H1197" s="385"/>
      <c r="I1197" s="391"/>
      <c r="J1197" s="385"/>
      <c r="K1197" s="391"/>
      <c r="L1197" s="385"/>
      <c r="M1197" s="391"/>
      <c r="N1197" s="385"/>
      <c r="O1197" s="190"/>
    </row>
    <row r="1198" spans="2:15" ht="16" x14ac:dyDescent="0.2">
      <c r="B1198" s="256"/>
      <c r="C1198" s="119">
        <v>34</v>
      </c>
      <c r="D1198" s="385"/>
      <c r="E1198" s="391"/>
      <c r="F1198" s="385"/>
      <c r="G1198" s="391"/>
      <c r="H1198" s="385"/>
      <c r="I1198" s="391"/>
      <c r="J1198" s="385"/>
      <c r="K1198" s="391"/>
      <c r="L1198" s="385"/>
      <c r="M1198" s="391"/>
      <c r="N1198" s="385"/>
      <c r="O1198" s="190"/>
    </row>
    <row r="1199" spans="2:15" ht="16" x14ac:dyDescent="0.2">
      <c r="B1199" s="256"/>
      <c r="C1199" s="119">
        <v>35</v>
      </c>
      <c r="D1199" s="385"/>
      <c r="E1199" s="391"/>
      <c r="F1199" s="385"/>
      <c r="G1199" s="391"/>
      <c r="H1199" s="385"/>
      <c r="I1199" s="391"/>
      <c r="J1199" s="385"/>
      <c r="K1199" s="391"/>
      <c r="L1199" s="385"/>
      <c r="M1199" s="391"/>
      <c r="N1199" s="385"/>
      <c r="O1199" s="190"/>
    </row>
    <row r="1200" spans="2:15" ht="16" x14ac:dyDescent="0.2">
      <c r="B1200" s="256"/>
      <c r="C1200" s="119">
        <v>36</v>
      </c>
      <c r="D1200" s="385"/>
      <c r="E1200" s="391"/>
      <c r="F1200" s="385"/>
      <c r="G1200" s="391"/>
      <c r="H1200" s="385"/>
      <c r="I1200" s="391"/>
      <c r="J1200" s="385"/>
      <c r="K1200" s="391"/>
      <c r="L1200" s="385"/>
      <c r="M1200" s="391"/>
      <c r="N1200" s="385"/>
      <c r="O1200" s="190"/>
    </row>
    <row r="1201" spans="2:15" ht="17" thickBot="1" x14ac:dyDescent="0.25">
      <c r="B1201" s="256"/>
      <c r="C1201" s="378">
        <v>37</v>
      </c>
      <c r="D1201" s="386"/>
      <c r="E1201" s="392"/>
      <c r="F1201" s="386"/>
      <c r="G1201" s="392"/>
      <c r="H1201" s="386"/>
      <c r="I1201" s="392"/>
      <c r="J1201" s="386"/>
      <c r="K1201" s="392"/>
      <c r="L1201" s="386"/>
      <c r="M1201" s="392"/>
      <c r="N1201" s="386"/>
      <c r="O1201" s="190"/>
    </row>
    <row r="1202" spans="2:15" ht="17" thickBot="1" x14ac:dyDescent="0.25">
      <c r="C1202" s="825" t="s">
        <v>19</v>
      </c>
      <c r="D1202" s="826"/>
      <c r="E1202" s="380"/>
      <c r="F1202" s="376">
        <f>(F1165+F1166+F1167+F1168+F1169+F1170+F1186+F1173+F1174+F1171+F1172+F1175+F1176+F1177+F1178+F1179+F1180+F1181+F1182+F1183+F1184+F1185+F1187+F1188+F1190+F1191+F1192+F1193+F1194+F1195+F1196+F1197+F1198+F1201)/2</f>
        <v>91</v>
      </c>
      <c r="G1202" s="397">
        <f>(G1165+G1166+G1167+G1168+G1169+G1186+G1170+G1174+G1173+G1171+G1172+G1175+G1176+G1177+G1178+G1179+G1180+G1181+G1182+G1183+G1184+G1185+G1187+G1188+G1190+G1191+G1192+G1193+G1194+G1195+G1196+G1197)/2</f>
        <v>63</v>
      </c>
      <c r="H1202" s="399">
        <f>(H1165+H1166+H1167+H1168+H1169+H1170+H1186+H1189+H1173+H1174+H1171+H1172+H1175+H1176+H1177+H1178+H1179+H1180+H1181+H1182+H1183+H1184+H1185+H1187+H1188+H1190+H1191+H1192+H1193+H1194+H1195+H1196+H1197+H1198+H1201)/2</f>
        <v>0</v>
      </c>
      <c r="I1202" s="398">
        <f>(I1165+I1166+I1167+I1168+I1169+I1199+I1200+I1170+I1186+I1173+I1189+I1174+I1171+I1172+I1175+I1176+I1177+I1178+I1179+I1180+I1181+I1182+I1183+I1184+I1185+I1187+I1188+I1190+I1191+I1192+I1193+I1194+I1195+I1196+I1197+I1198+I1201)/2</f>
        <v>66</v>
      </c>
      <c r="J1202" s="376" t="e">
        <f>(J1165+J1166+J1167+J1168+J1169+J1170+J1174+J1171+J1173+J1172+J1189+J1175+J1176+J1177+J1178+J1179+J1180+J1181+J1182+J1183+J1184+J1185+J1186+J1187+J1188+J1190+J1191+J1192+J1193+J1194+J1195+J1196+J1197)/2</f>
        <v>#VALUE!</v>
      </c>
      <c r="K1202" s="397">
        <f>(K1165+K1166+K1167+K1168+K1169+K1170+K1174+K1171+K1172+K1175+K1176+K1177+K1178+K1179+K1180+K1181+K1182+K1183+K1184+K1185+K1187+K1188+K1190+K1191+K1192+K1193+K1194+K1195+K1196+K1197+K1186)</f>
        <v>0</v>
      </c>
      <c r="L1202" s="399">
        <f>SUM(L1165:L1201)</f>
        <v>0</v>
      </c>
      <c r="M1202" s="398">
        <f>(M1165+M1166+M1167+M1168+M1169+M1170+M1174+M1173+M1171+M1172+M1175+M1176+M1177+M1178+M1179+M1180+M1181+M1182+M1183+M1184+M1185+M1187+M1188+M1190+M1191+M1192+M1193+M1194+M1195+M1196+M1197)/2</f>
        <v>0</v>
      </c>
      <c r="N1202" s="376"/>
      <c r="O1202" s="41"/>
    </row>
    <row r="1203" spans="2:15" ht="17" thickBot="1" x14ac:dyDescent="0.25">
      <c r="C1203" s="825" t="s">
        <v>91</v>
      </c>
      <c r="D1203" s="826"/>
      <c r="E1203" s="381" t="e">
        <f>SUM(F1202:J1202)</f>
        <v>#VALUE!</v>
      </c>
    </row>
    <row r="1204" spans="2:15" ht="16" thickBot="1" x14ac:dyDescent="0.25"/>
    <row r="1205" spans="2:15" ht="17" thickBot="1" x14ac:dyDescent="0.25">
      <c r="C1205" s="17"/>
      <c r="D1205" s="379" t="s">
        <v>83</v>
      </c>
      <c r="E1205" s="818" t="s">
        <v>64</v>
      </c>
      <c r="F1205" s="819"/>
      <c r="G1205" s="819"/>
      <c r="H1205" s="819"/>
      <c r="I1205" s="819"/>
      <c r="J1205" s="400" t="s">
        <v>76</v>
      </c>
      <c r="K1205" s="820">
        <v>45692</v>
      </c>
      <c r="L1205" s="821"/>
      <c r="M1205" s="821"/>
      <c r="N1205" s="821"/>
      <c r="O1205" s="822"/>
    </row>
    <row r="1206" spans="2:15" ht="16" thickBot="1" x14ac:dyDescent="0.25">
      <c r="B1206" s="175" t="s">
        <v>76</v>
      </c>
      <c r="C1206" s="175" t="s">
        <v>77</v>
      </c>
      <c r="D1206" s="823" t="s">
        <v>122</v>
      </c>
      <c r="E1206" s="824"/>
      <c r="F1206" s="175" t="s">
        <v>104</v>
      </c>
      <c r="G1206" s="395" t="s">
        <v>86</v>
      </c>
      <c r="H1206" s="175" t="s">
        <v>88</v>
      </c>
      <c r="I1206" s="395" t="s">
        <v>87</v>
      </c>
      <c r="J1206" s="401" t="s">
        <v>85</v>
      </c>
      <c r="K1206" s="395" t="s">
        <v>123</v>
      </c>
      <c r="L1206" s="175" t="s">
        <v>124</v>
      </c>
      <c r="M1206" s="395" t="s">
        <v>100</v>
      </c>
      <c r="N1206" s="175" t="s">
        <v>213</v>
      </c>
      <c r="O1206" s="404" t="s">
        <v>125</v>
      </c>
    </row>
    <row r="1207" spans="2:15" ht="16" thickBot="1" x14ac:dyDescent="0.25">
      <c r="B1207" s="176">
        <f>K1205</f>
        <v>45692</v>
      </c>
      <c r="C1207" s="374"/>
      <c r="D1207" s="375" t="s">
        <v>126</v>
      </c>
      <c r="E1207" s="387" t="s">
        <v>127</v>
      </c>
      <c r="F1207" s="331">
        <v>15</v>
      </c>
      <c r="G1207" s="237">
        <v>9</v>
      </c>
      <c r="H1207" s="331">
        <v>3</v>
      </c>
      <c r="I1207" s="237">
        <v>6</v>
      </c>
      <c r="J1207" s="331">
        <v>10</v>
      </c>
      <c r="K1207" s="231"/>
      <c r="L1207" s="125"/>
      <c r="M1207" s="231"/>
      <c r="N1207" s="125"/>
      <c r="O1207" s="326"/>
    </row>
    <row r="1208" spans="2:15" ht="16" x14ac:dyDescent="0.2">
      <c r="C1208" s="118">
        <v>1</v>
      </c>
      <c r="D1208" s="382">
        <v>0.39930555555555558</v>
      </c>
      <c r="E1208" s="388">
        <v>0.4201388888888889</v>
      </c>
      <c r="F1208" s="393"/>
      <c r="G1208" s="396">
        <v>26</v>
      </c>
      <c r="H1208" s="393"/>
      <c r="I1208" s="396"/>
      <c r="J1208" s="393"/>
      <c r="K1208" s="396"/>
      <c r="L1208" s="393"/>
      <c r="M1208" s="396"/>
      <c r="N1208" s="393"/>
      <c r="O1208" s="190"/>
    </row>
    <row r="1209" spans="2:15" ht="16" x14ac:dyDescent="0.2">
      <c r="C1209" s="119">
        <v>2</v>
      </c>
      <c r="D1209" s="383">
        <v>0.4201388888888889</v>
      </c>
      <c r="E1209" s="389">
        <v>0.44097222222222227</v>
      </c>
      <c r="F1209" s="385"/>
      <c r="G1209" s="391">
        <v>28</v>
      </c>
      <c r="H1209" s="385"/>
      <c r="I1209" s="391"/>
      <c r="J1209" s="385"/>
      <c r="K1209" s="391"/>
      <c r="L1209" s="385"/>
      <c r="M1209" s="391"/>
      <c r="N1209" s="385"/>
      <c r="O1209" s="190"/>
    </row>
    <row r="1210" spans="2:15" ht="16" x14ac:dyDescent="0.2">
      <c r="C1210" s="119">
        <v>3</v>
      </c>
      <c r="D1210" s="383">
        <v>0.44097222222222227</v>
      </c>
      <c r="E1210" s="389">
        <v>0.46180555555555558</v>
      </c>
      <c r="F1210" s="385"/>
      <c r="G1210" s="391">
        <v>28</v>
      </c>
      <c r="H1210" s="385"/>
      <c r="I1210" s="391"/>
      <c r="J1210" s="385"/>
      <c r="K1210" s="391"/>
      <c r="L1210" s="384"/>
      <c r="M1210" s="391"/>
      <c r="N1210" s="385"/>
      <c r="O1210" s="190"/>
    </row>
    <row r="1211" spans="2:15" ht="16" x14ac:dyDescent="0.2">
      <c r="C1211" s="119">
        <v>4</v>
      </c>
      <c r="D1211" s="383">
        <v>0.46180555555555558</v>
      </c>
      <c r="E1211" s="389">
        <v>0.4826388888888889</v>
      </c>
      <c r="F1211" s="385"/>
      <c r="G1211" s="391">
        <v>28</v>
      </c>
      <c r="H1211" s="316"/>
      <c r="I1211" s="391"/>
      <c r="J1211" s="385"/>
      <c r="K1211" s="391"/>
      <c r="L1211" s="402"/>
      <c r="M1211" s="391"/>
      <c r="N1211" s="385"/>
      <c r="O1211" s="190"/>
    </row>
    <row r="1212" spans="2:15" ht="16" x14ac:dyDescent="0.2">
      <c r="C1212" s="119">
        <v>5</v>
      </c>
      <c r="D1212" s="383">
        <v>0.4826388888888889</v>
      </c>
      <c r="E1212" s="389">
        <v>0.50347222222222221</v>
      </c>
      <c r="F1212" s="385"/>
      <c r="G1212" s="391"/>
      <c r="H1212" s="316">
        <v>28</v>
      </c>
      <c r="I1212" s="391"/>
      <c r="J1212" s="385"/>
      <c r="K1212" s="391"/>
      <c r="L1212" s="393"/>
      <c r="M1212" s="391"/>
      <c r="N1212" s="385"/>
      <c r="O1212" s="190"/>
    </row>
    <row r="1213" spans="2:15" ht="16" x14ac:dyDescent="0.2">
      <c r="C1213" s="119">
        <v>6</v>
      </c>
      <c r="D1213" s="383">
        <v>0.47222222222222227</v>
      </c>
      <c r="E1213" s="389">
        <v>0.49305555555555558</v>
      </c>
      <c r="F1213" s="385"/>
      <c r="G1213" s="391"/>
      <c r="H1213" s="316">
        <v>14</v>
      </c>
      <c r="I1213" s="391"/>
      <c r="J1213" s="385"/>
      <c r="K1213" s="391"/>
      <c r="L1213" s="393"/>
      <c r="M1213" s="391"/>
      <c r="N1213" s="385"/>
      <c r="O1213" s="190"/>
    </row>
    <row r="1214" spans="2:15" ht="16" x14ac:dyDescent="0.2">
      <c r="C1214" s="119">
        <v>7</v>
      </c>
      <c r="D1214" s="383">
        <v>0.47916666666666669</v>
      </c>
      <c r="E1214" s="389">
        <v>0.5</v>
      </c>
      <c r="F1214" s="385"/>
      <c r="G1214" s="391">
        <v>14</v>
      </c>
      <c r="H1214" s="316"/>
      <c r="I1214" s="391"/>
      <c r="J1214" s="385"/>
      <c r="K1214" s="391"/>
      <c r="L1214" s="393"/>
      <c r="M1214" s="391"/>
      <c r="N1214" s="385"/>
      <c r="O1214" s="190"/>
    </row>
    <row r="1215" spans="2:15" ht="16" x14ac:dyDescent="0.2">
      <c r="C1215" s="119">
        <v>8</v>
      </c>
      <c r="D1215" s="383">
        <v>0.50694444444444442</v>
      </c>
      <c r="E1215" s="389">
        <v>0.52777777777777779</v>
      </c>
      <c r="F1215" s="385">
        <v>28</v>
      </c>
      <c r="G1215" s="391"/>
      <c r="H1215" s="316"/>
      <c r="I1215" s="391"/>
      <c r="J1215" s="385"/>
      <c r="K1215" s="391"/>
      <c r="L1215" s="385"/>
      <c r="M1215" s="391"/>
      <c r="N1215" s="385"/>
      <c r="O1215" s="190"/>
    </row>
    <row r="1216" spans="2:15" ht="16" x14ac:dyDescent="0.2">
      <c r="C1216" s="119">
        <v>9</v>
      </c>
      <c r="D1216" s="383">
        <v>0.52777777777777779</v>
      </c>
      <c r="E1216" s="389">
        <v>0.54861111111111105</v>
      </c>
      <c r="F1216" s="385">
        <v>28</v>
      </c>
      <c r="G1216" s="391"/>
      <c r="H1216" s="316"/>
      <c r="I1216" s="391"/>
      <c r="J1216" s="385"/>
      <c r="K1216" s="391"/>
      <c r="L1216" s="385"/>
      <c r="M1216" s="391"/>
      <c r="N1216" s="385"/>
      <c r="O1216" s="190"/>
    </row>
    <row r="1217" spans="3:15" ht="16" x14ac:dyDescent="0.2">
      <c r="C1217" s="119">
        <v>10</v>
      </c>
      <c r="D1217" s="383">
        <v>0.54861111111111105</v>
      </c>
      <c r="E1217" s="389">
        <v>0.56944444444444442</v>
      </c>
      <c r="F1217" s="385">
        <v>28</v>
      </c>
      <c r="G1217" s="391"/>
      <c r="H1217" s="316"/>
      <c r="I1217" s="391"/>
      <c r="J1217" s="385"/>
      <c r="K1217" s="391"/>
      <c r="L1217" s="385"/>
      <c r="M1217" s="391"/>
      <c r="N1217" s="385"/>
      <c r="O1217" s="190"/>
    </row>
    <row r="1218" spans="3:15" ht="16" x14ac:dyDescent="0.2">
      <c r="C1218" s="119">
        <v>11</v>
      </c>
      <c r="D1218" s="383">
        <v>0.56944444444444442</v>
      </c>
      <c r="E1218" s="389">
        <v>0.59027777777777779</v>
      </c>
      <c r="F1218" s="385">
        <v>28</v>
      </c>
      <c r="G1218" s="391"/>
      <c r="H1218" s="316"/>
      <c r="I1218" s="391"/>
      <c r="J1218" s="28"/>
      <c r="K1218" s="391"/>
      <c r="L1218" s="385"/>
      <c r="M1218" s="391"/>
      <c r="N1218" s="385"/>
      <c r="O1218" s="190"/>
    </row>
    <row r="1219" spans="3:15" ht="16" x14ac:dyDescent="0.2">
      <c r="C1219" s="193">
        <v>12</v>
      </c>
      <c r="D1219" s="383">
        <v>0.59027777777777779</v>
      </c>
      <c r="E1219" s="389">
        <v>0.61111111111111105</v>
      </c>
      <c r="F1219" s="385">
        <v>28</v>
      </c>
      <c r="G1219" s="391"/>
      <c r="H1219" s="316"/>
      <c r="I1219" s="391"/>
      <c r="J1219" s="385"/>
      <c r="K1219" s="391"/>
      <c r="L1219" s="385"/>
      <c r="M1219" s="391"/>
      <c r="N1219" s="385"/>
      <c r="O1219" s="190"/>
    </row>
    <row r="1220" spans="3:15" ht="16" x14ac:dyDescent="0.2">
      <c r="C1220" s="119">
        <v>13</v>
      </c>
      <c r="D1220" s="383">
        <v>0.61111111111111105</v>
      </c>
      <c r="E1220" s="389">
        <v>0.63194444444444442</v>
      </c>
      <c r="F1220" s="385">
        <v>28</v>
      </c>
      <c r="G1220" s="391"/>
      <c r="H1220" s="316"/>
      <c r="I1220" s="391"/>
      <c r="J1220" s="385"/>
      <c r="K1220" s="391"/>
      <c r="L1220" s="385"/>
      <c r="M1220" s="391"/>
      <c r="N1220" s="385"/>
      <c r="O1220" s="190"/>
    </row>
    <row r="1221" spans="3:15" ht="16" x14ac:dyDescent="0.2">
      <c r="C1221" s="119">
        <v>14</v>
      </c>
      <c r="D1221" s="383">
        <v>0.63194444444444442</v>
      </c>
      <c r="E1221" s="389">
        <v>0.65277777777777779</v>
      </c>
      <c r="F1221" s="385">
        <v>28</v>
      </c>
      <c r="G1221" s="391"/>
      <c r="H1221" s="316"/>
      <c r="I1221" s="391"/>
      <c r="J1221" s="385"/>
      <c r="K1221" s="391"/>
      <c r="L1221" s="385"/>
      <c r="M1221" s="391"/>
      <c r="N1221" s="385"/>
      <c r="O1221" s="190"/>
    </row>
    <row r="1222" spans="3:15" ht="16" x14ac:dyDescent="0.2">
      <c r="C1222" s="119">
        <v>15</v>
      </c>
      <c r="D1222" s="383">
        <v>0.63888888888888895</v>
      </c>
      <c r="E1222" s="389">
        <v>0.65972222222222221</v>
      </c>
      <c r="F1222" s="385">
        <v>14</v>
      </c>
      <c r="G1222" s="391"/>
      <c r="H1222" s="316"/>
      <c r="I1222" s="391"/>
      <c r="J1222" s="385"/>
      <c r="K1222" s="391"/>
      <c r="L1222" s="385"/>
      <c r="M1222" s="391"/>
      <c r="N1222" s="385"/>
      <c r="O1222" s="190"/>
    </row>
    <row r="1223" spans="3:15" ht="16" x14ac:dyDescent="0.2">
      <c r="C1223" s="119">
        <v>16</v>
      </c>
      <c r="D1223" s="383">
        <v>0.66666666666666663</v>
      </c>
      <c r="E1223" s="389">
        <v>0.6875</v>
      </c>
      <c r="F1223" s="385"/>
      <c r="G1223" s="391"/>
      <c r="H1223" s="316"/>
      <c r="I1223" s="391"/>
      <c r="J1223" s="385">
        <v>36</v>
      </c>
      <c r="K1223" s="391"/>
      <c r="L1223" s="385"/>
      <c r="M1223" s="391"/>
      <c r="N1223" s="385"/>
      <c r="O1223" s="190"/>
    </row>
    <row r="1224" spans="3:15" ht="16" x14ac:dyDescent="0.2">
      <c r="C1224" s="119">
        <v>17</v>
      </c>
      <c r="D1224" s="383">
        <v>0.6875</v>
      </c>
      <c r="E1224" s="389">
        <v>0.70833333333333337</v>
      </c>
      <c r="F1224" s="384"/>
      <c r="G1224" s="33"/>
      <c r="H1224" s="316"/>
      <c r="I1224" s="390"/>
      <c r="J1224" s="385">
        <v>36</v>
      </c>
      <c r="K1224" s="391"/>
      <c r="L1224" s="385"/>
      <c r="M1224" s="391"/>
      <c r="N1224" s="385"/>
      <c r="O1224" s="190"/>
    </row>
    <row r="1225" spans="3:15" ht="16" x14ac:dyDescent="0.2">
      <c r="C1225" s="119">
        <v>18</v>
      </c>
      <c r="D1225" s="383">
        <v>0.70833333333333337</v>
      </c>
      <c r="E1225" s="389">
        <v>0.72916666666666663</v>
      </c>
      <c r="F1225" s="394"/>
      <c r="G1225" s="229"/>
      <c r="H1225" s="394"/>
      <c r="I1225" s="391"/>
      <c r="J1225" s="385">
        <v>36</v>
      </c>
      <c r="K1225" s="391"/>
      <c r="L1225" s="385"/>
      <c r="M1225" s="391"/>
      <c r="N1225" s="385"/>
      <c r="O1225" s="190"/>
    </row>
    <row r="1226" spans="3:15" ht="16" x14ac:dyDescent="0.2">
      <c r="C1226" s="119">
        <v>19</v>
      </c>
      <c r="D1226" s="383">
        <v>0.72916666666666663</v>
      </c>
      <c r="E1226" s="389">
        <v>0.75</v>
      </c>
      <c r="F1226" s="385"/>
      <c r="G1226" s="391"/>
      <c r="H1226" s="385"/>
      <c r="I1226" s="391"/>
      <c r="J1226" s="385">
        <v>36</v>
      </c>
      <c r="K1226" s="391"/>
      <c r="L1226" s="403"/>
      <c r="M1226" s="391"/>
      <c r="N1226" s="385"/>
      <c r="O1226" s="190"/>
    </row>
    <row r="1227" spans="3:15" ht="16" x14ac:dyDescent="0.2">
      <c r="C1227" s="119">
        <v>20</v>
      </c>
      <c r="D1227" s="383">
        <v>0.75</v>
      </c>
      <c r="E1227" s="389">
        <v>0.77083333333333337</v>
      </c>
      <c r="F1227" s="385"/>
      <c r="G1227" s="391"/>
      <c r="H1227" s="385"/>
      <c r="I1227" s="391"/>
      <c r="J1227" s="385">
        <v>36</v>
      </c>
      <c r="K1227" s="391"/>
      <c r="L1227" s="403"/>
      <c r="M1227" s="391"/>
      <c r="N1227" s="385"/>
      <c r="O1227" s="190"/>
    </row>
    <row r="1228" spans="3:15" ht="16" x14ac:dyDescent="0.2">
      <c r="C1228" s="119">
        <v>21</v>
      </c>
      <c r="D1228" s="383">
        <v>0.77430555555555547</v>
      </c>
      <c r="E1228" s="389">
        <v>0.79513888888888884</v>
      </c>
      <c r="F1228" s="385"/>
      <c r="G1228" s="391"/>
      <c r="H1228" s="385"/>
      <c r="I1228" s="391">
        <v>44</v>
      </c>
      <c r="J1228" s="385"/>
      <c r="K1228" s="391"/>
      <c r="L1228" s="385"/>
      <c r="M1228" s="391"/>
      <c r="N1228" s="385"/>
      <c r="O1228" s="190"/>
    </row>
    <row r="1229" spans="3:15" ht="16" x14ac:dyDescent="0.2">
      <c r="C1229" s="119">
        <v>22</v>
      </c>
      <c r="D1229" s="383">
        <v>0.79513888888888884</v>
      </c>
      <c r="E1229" s="389">
        <v>0.81597222222222221</v>
      </c>
      <c r="F1229" s="385"/>
      <c r="G1229" s="391"/>
      <c r="H1229" s="385"/>
      <c r="I1229" s="391">
        <v>44</v>
      </c>
      <c r="J1229" s="385"/>
      <c r="K1229" s="391"/>
      <c r="L1229" s="385"/>
      <c r="M1229" s="391"/>
      <c r="N1229" s="385"/>
      <c r="O1229" s="190"/>
    </row>
    <row r="1230" spans="3:15" ht="16" x14ac:dyDescent="0.2">
      <c r="C1230" s="119">
        <v>23</v>
      </c>
      <c r="D1230" s="383">
        <v>0.81597222222222221</v>
      </c>
      <c r="E1230" s="389">
        <v>0.83680555555555547</v>
      </c>
      <c r="F1230" s="385"/>
      <c r="G1230" s="391"/>
      <c r="H1230" s="385"/>
      <c r="I1230" s="391">
        <v>44</v>
      </c>
      <c r="J1230" s="385"/>
      <c r="K1230" s="391"/>
      <c r="L1230" s="385"/>
      <c r="M1230" s="391"/>
      <c r="N1230" s="385"/>
      <c r="O1230" s="190"/>
    </row>
    <row r="1231" spans="3:15" ht="16" x14ac:dyDescent="0.2">
      <c r="C1231" s="119">
        <v>24</v>
      </c>
      <c r="D1231" s="383"/>
      <c r="E1231" s="389"/>
      <c r="F1231" s="385"/>
      <c r="G1231" s="391"/>
      <c r="H1231" s="385"/>
      <c r="I1231" s="391"/>
      <c r="J1231" s="385"/>
      <c r="K1231" s="391"/>
      <c r="L1231" s="385"/>
      <c r="M1231" s="391"/>
      <c r="N1231" s="385"/>
      <c r="O1231" s="190"/>
    </row>
    <row r="1232" spans="3:15" ht="16" x14ac:dyDescent="0.2">
      <c r="C1232" s="119">
        <v>25</v>
      </c>
      <c r="D1232" s="383"/>
      <c r="E1232" s="389"/>
      <c r="F1232" s="385"/>
      <c r="G1232" s="391"/>
      <c r="H1232" s="385"/>
      <c r="I1232" s="391"/>
      <c r="J1232" s="385"/>
      <c r="K1232" s="391"/>
      <c r="L1232" s="385"/>
      <c r="M1232" s="391"/>
      <c r="N1232" s="385"/>
      <c r="O1232" s="190"/>
    </row>
    <row r="1233" spans="2:15" ht="16" x14ac:dyDescent="0.2">
      <c r="C1233" s="119">
        <v>26</v>
      </c>
      <c r="D1233" s="383"/>
      <c r="E1233" s="389"/>
      <c r="F1233" s="385"/>
      <c r="G1233" s="391"/>
      <c r="H1233" s="385"/>
      <c r="I1233" s="391"/>
      <c r="J1233" s="385"/>
      <c r="K1233" s="391"/>
      <c r="L1233" s="385"/>
      <c r="M1233" s="391"/>
      <c r="N1233" s="385"/>
      <c r="O1233" s="190"/>
    </row>
    <row r="1234" spans="2:15" ht="16" x14ac:dyDescent="0.2">
      <c r="C1234" s="119">
        <v>27</v>
      </c>
      <c r="D1234" s="383"/>
      <c r="E1234" s="389"/>
      <c r="F1234" s="385"/>
      <c r="G1234" s="391"/>
      <c r="H1234" s="385"/>
      <c r="I1234" s="391"/>
      <c r="J1234" s="385"/>
      <c r="K1234" s="391"/>
      <c r="L1234" s="385"/>
      <c r="M1234" s="391"/>
      <c r="N1234" s="385"/>
      <c r="O1234" s="190"/>
    </row>
    <row r="1235" spans="2:15" ht="16" x14ac:dyDescent="0.2">
      <c r="C1235" s="119">
        <v>28</v>
      </c>
      <c r="D1235" s="383"/>
      <c r="E1235" s="389"/>
      <c r="F1235" s="385"/>
      <c r="G1235" s="391"/>
      <c r="H1235" s="385"/>
      <c r="I1235" s="391"/>
      <c r="J1235" s="385"/>
      <c r="K1235" s="391"/>
      <c r="L1235" s="385"/>
      <c r="M1235" s="391"/>
      <c r="N1235" s="385"/>
      <c r="O1235" s="190"/>
    </row>
    <row r="1236" spans="2:15" ht="16" x14ac:dyDescent="0.2">
      <c r="C1236" s="119">
        <v>29</v>
      </c>
      <c r="D1236" s="383"/>
      <c r="E1236" s="389"/>
      <c r="F1236" s="385"/>
      <c r="G1236" s="391"/>
      <c r="H1236" s="385"/>
      <c r="I1236" s="391"/>
      <c r="J1236" s="385"/>
      <c r="K1236" s="391"/>
      <c r="L1236" s="385"/>
      <c r="M1236" s="391"/>
      <c r="N1236" s="385"/>
      <c r="O1236" s="190"/>
    </row>
    <row r="1237" spans="2:15" ht="16" x14ac:dyDescent="0.2">
      <c r="C1237" s="119">
        <v>30</v>
      </c>
      <c r="D1237" s="383"/>
      <c r="E1237" s="389"/>
      <c r="F1237" s="385"/>
      <c r="G1237" s="391"/>
      <c r="H1237" s="385"/>
      <c r="I1237" s="391"/>
      <c r="J1237" s="385"/>
      <c r="K1237" s="391"/>
      <c r="L1237" s="385"/>
      <c r="M1237" s="391"/>
      <c r="N1237" s="385"/>
      <c r="O1237" s="190"/>
    </row>
    <row r="1238" spans="2:15" ht="16" x14ac:dyDescent="0.2">
      <c r="C1238" s="120">
        <v>31</v>
      </c>
      <c r="D1238" s="383"/>
      <c r="E1238" s="389"/>
      <c r="F1238" s="384"/>
      <c r="G1238" s="390"/>
      <c r="H1238" s="384"/>
      <c r="I1238" s="390"/>
      <c r="J1238" s="384"/>
      <c r="K1238" s="390"/>
      <c r="L1238" s="384"/>
      <c r="M1238" s="390"/>
      <c r="N1238" s="384"/>
      <c r="O1238" s="190"/>
    </row>
    <row r="1239" spans="2:15" ht="16" x14ac:dyDescent="0.2">
      <c r="B1239" s="256"/>
      <c r="C1239" s="377">
        <v>32</v>
      </c>
      <c r="D1239" s="384"/>
      <c r="E1239" s="390"/>
      <c r="F1239" s="384"/>
      <c r="G1239" s="390"/>
      <c r="H1239" s="384"/>
      <c r="I1239" s="390"/>
      <c r="J1239" s="384"/>
      <c r="K1239" s="390"/>
      <c r="L1239" s="384"/>
      <c r="M1239" s="390"/>
      <c r="N1239" s="384"/>
      <c r="O1239" s="190"/>
    </row>
    <row r="1240" spans="2:15" ht="16" x14ac:dyDescent="0.2">
      <c r="B1240" s="256"/>
      <c r="C1240" s="119">
        <v>33</v>
      </c>
      <c r="D1240" s="385"/>
      <c r="E1240" s="391"/>
      <c r="F1240" s="385"/>
      <c r="G1240" s="391"/>
      <c r="H1240" s="385"/>
      <c r="I1240" s="391"/>
      <c r="J1240" s="385"/>
      <c r="K1240" s="391"/>
      <c r="L1240" s="385"/>
      <c r="M1240" s="391"/>
      <c r="N1240" s="385"/>
      <c r="O1240" s="190"/>
    </row>
    <row r="1241" spans="2:15" ht="16" x14ac:dyDescent="0.2">
      <c r="B1241" s="256"/>
      <c r="C1241" s="119">
        <v>34</v>
      </c>
      <c r="D1241" s="385"/>
      <c r="E1241" s="391"/>
      <c r="F1241" s="385"/>
      <c r="G1241" s="391"/>
      <c r="H1241" s="385"/>
      <c r="I1241" s="391"/>
      <c r="J1241" s="385"/>
      <c r="K1241" s="391"/>
      <c r="L1241" s="385"/>
      <c r="M1241" s="391"/>
      <c r="N1241" s="385"/>
      <c r="O1241" s="190"/>
    </row>
    <row r="1242" spans="2:15" ht="16" x14ac:dyDescent="0.2">
      <c r="B1242" s="256"/>
      <c r="C1242" s="119">
        <v>35</v>
      </c>
      <c r="D1242" s="385"/>
      <c r="E1242" s="391"/>
      <c r="F1242" s="385"/>
      <c r="G1242" s="391"/>
      <c r="H1242" s="385"/>
      <c r="I1242" s="391"/>
      <c r="J1242" s="385"/>
      <c r="K1242" s="391"/>
      <c r="L1242" s="385"/>
      <c r="M1242" s="391"/>
      <c r="N1242" s="385"/>
      <c r="O1242" s="190"/>
    </row>
    <row r="1243" spans="2:15" ht="16" x14ac:dyDescent="0.2">
      <c r="B1243" s="256"/>
      <c r="C1243" s="119">
        <v>36</v>
      </c>
      <c r="D1243" s="385"/>
      <c r="E1243" s="391"/>
      <c r="F1243" s="385"/>
      <c r="G1243" s="391"/>
      <c r="H1243" s="385"/>
      <c r="I1243" s="391"/>
      <c r="J1243" s="385"/>
      <c r="K1243" s="391"/>
      <c r="L1243" s="385"/>
      <c r="M1243" s="391"/>
      <c r="N1243" s="385"/>
      <c r="O1243" s="190"/>
    </row>
    <row r="1244" spans="2:15" ht="17" thickBot="1" x14ac:dyDescent="0.25">
      <c r="B1244" s="256"/>
      <c r="C1244" s="378">
        <v>37</v>
      </c>
      <c r="D1244" s="386"/>
      <c r="E1244" s="392"/>
      <c r="F1244" s="386"/>
      <c r="G1244" s="392"/>
      <c r="H1244" s="386"/>
      <c r="I1244" s="392"/>
      <c r="J1244" s="386"/>
      <c r="K1244" s="392"/>
      <c r="L1244" s="386"/>
      <c r="M1244" s="392"/>
      <c r="N1244" s="386"/>
      <c r="O1244" s="190"/>
    </row>
    <row r="1245" spans="2:15" ht="17" thickBot="1" x14ac:dyDescent="0.25">
      <c r="C1245" s="825" t="s">
        <v>19</v>
      </c>
      <c r="D1245" s="826"/>
      <c r="E1245" s="380"/>
      <c r="F1245" s="376">
        <f>(F1208+F1209+F1210+F1211+F1212+F1213+F1229+F1216+F1217+F1214+F1215+F1218+F1219+F1220+F1221+F1222+F1223+F1224+F1225+F1226+F1227+F1228+F1230+F1231+F1233+F1234+F1235+F1236+F1237+F1238+F1239+F1240+F1241+F1244)/2</f>
        <v>105</v>
      </c>
      <c r="G1245" s="397">
        <f>(G1208+G1209+G1210+G1211+G1212+G1229+G1213+G1217+G1216+G1214+G1215+G1218+G1219+G1220+G1221+G1222+G1223+G1224+G1225+G1226+G1227+G1228+G1230+G1231+G1233+G1234+G1235+G1236+G1237+G1238+G1239+G1240)/2</f>
        <v>62</v>
      </c>
      <c r="H1245" s="399">
        <f>(H1208+H1209+H1210+H1211+H1212+H1213+H1229+H1232+H1216+H1217+H1214+H1215+H1218+H1219+H1220+H1221+H1222+H1223+H1224+H1225+H1226+H1227+H1228+H1230+H1231+H1233+H1234+H1235+H1236+H1237+H1238+H1239+H1240+H1241+H1244)/2</f>
        <v>21</v>
      </c>
      <c r="I1245" s="398">
        <f>(I1208+I1209+I1210+I1211+I1212+I1242+I1243+I1213+I1229+I1216+I1232+I1217+I1214+I1215+I1218+I1219+I1220+I1221+I1222+I1223+I1224+I1225+I1226+I1227+I1228+I1230+I1231+I1233+I1234+I1235+I1236+I1237+I1238+I1239+I1240+I1241+I1244)/2</f>
        <v>66</v>
      </c>
      <c r="J1245" s="376">
        <f>(J1208+J1209+J1210+J1211+J1212+J1213+J1217+J1214+J1216+J1215+J1232+J1218+J1219+J1220+J1221+J1222+J1223+J1224+J1225+J1226+J1227+J1228+J1229+J1230+J1231+J1233+J1234+J1235+J1236+J1237+J1238+J1239+J1240)/2</f>
        <v>90</v>
      </c>
      <c r="K1245" s="397">
        <f>(K1208+K1209+K1210+K1211+K1212+K1213+K1217+K1214+K1215+K1218+K1219+K1220+K1221+K1222+K1223+K1224+K1225+K1226+K1227+K1228+K1230+K1231+K1233+K1234+K1235+K1236+K1237+K1238+K1239+K1240+K1229)</f>
        <v>0</v>
      </c>
      <c r="L1245" s="399">
        <f>SUM(L1208:L1244)</f>
        <v>0</v>
      </c>
      <c r="M1245" s="398">
        <f>(M1208+M1209+M1210+M1211+M1212+M1213+M1217+M1216+M1214+M1215+M1218+M1219+M1220+M1221+M1222+M1223+M1224+M1225+M1226+M1227+M1228+M1230+M1231+M1233+M1234+M1235+M1236+M1237+M1238+M1239+M1240)/2</f>
        <v>0</v>
      </c>
      <c r="N1245" s="376"/>
      <c r="O1245" s="41"/>
    </row>
    <row r="1246" spans="2:15" ht="17" thickBot="1" x14ac:dyDescent="0.25">
      <c r="C1246" s="825" t="s">
        <v>91</v>
      </c>
      <c r="D1246" s="826"/>
      <c r="E1246" s="381">
        <f>SUM(F1245:J1245)</f>
        <v>344</v>
      </c>
    </row>
    <row r="1247" spans="2:15" ht="16" thickBot="1" x14ac:dyDescent="0.25"/>
    <row r="1248" spans="2:15" ht="17" thickBot="1" x14ac:dyDescent="0.25">
      <c r="C1248" s="17"/>
      <c r="D1248" s="379" t="s">
        <v>83</v>
      </c>
      <c r="E1248" s="818" t="s">
        <v>66</v>
      </c>
      <c r="F1248" s="819"/>
      <c r="G1248" s="819"/>
      <c r="H1248" s="819"/>
      <c r="I1248" s="819"/>
      <c r="J1248" s="400" t="s">
        <v>76</v>
      </c>
      <c r="K1248" s="820">
        <v>45694</v>
      </c>
      <c r="L1248" s="821"/>
      <c r="M1248" s="821"/>
      <c r="N1248" s="821"/>
      <c r="O1248" s="822"/>
    </row>
    <row r="1249" spans="2:15" ht="16" thickBot="1" x14ac:dyDescent="0.25">
      <c r="B1249" s="175" t="s">
        <v>76</v>
      </c>
      <c r="C1249" s="175" t="s">
        <v>77</v>
      </c>
      <c r="D1249" s="823" t="s">
        <v>122</v>
      </c>
      <c r="E1249" s="824"/>
      <c r="F1249" s="175" t="s">
        <v>104</v>
      </c>
      <c r="G1249" s="395" t="s">
        <v>86</v>
      </c>
      <c r="H1249" s="175" t="s">
        <v>88</v>
      </c>
      <c r="I1249" s="395" t="s">
        <v>87</v>
      </c>
      <c r="J1249" s="401" t="s">
        <v>85</v>
      </c>
      <c r="K1249" s="395" t="s">
        <v>123</v>
      </c>
      <c r="L1249" s="175" t="s">
        <v>124</v>
      </c>
      <c r="M1249" s="395" t="s">
        <v>100</v>
      </c>
      <c r="N1249" s="175" t="s">
        <v>213</v>
      </c>
      <c r="O1249" s="404" t="s">
        <v>125</v>
      </c>
    </row>
    <row r="1250" spans="2:15" ht="16" thickBot="1" x14ac:dyDescent="0.25">
      <c r="B1250" s="176">
        <f>K1248</f>
        <v>45694</v>
      </c>
      <c r="C1250" s="374"/>
      <c r="D1250" s="375" t="s">
        <v>126</v>
      </c>
      <c r="E1250" s="387" t="s">
        <v>127</v>
      </c>
      <c r="F1250" s="331">
        <v>13</v>
      </c>
      <c r="G1250" s="237">
        <v>7</v>
      </c>
      <c r="H1250" s="331">
        <v>3</v>
      </c>
      <c r="I1250" s="237">
        <v>5</v>
      </c>
      <c r="J1250" s="331">
        <v>8</v>
      </c>
      <c r="K1250" s="231"/>
      <c r="L1250" s="125"/>
      <c r="M1250" s="231"/>
      <c r="N1250" s="125"/>
      <c r="O1250" s="326"/>
    </row>
    <row r="1251" spans="2:15" ht="16" x14ac:dyDescent="0.2">
      <c r="C1251" s="118">
        <v>1</v>
      </c>
      <c r="D1251" s="382">
        <v>0.41666666666666669</v>
      </c>
      <c r="E1251" s="388">
        <v>0.4375</v>
      </c>
      <c r="F1251" s="393"/>
      <c r="G1251" s="396">
        <v>28</v>
      </c>
      <c r="H1251" s="393"/>
      <c r="I1251" s="396"/>
      <c r="J1251" s="393"/>
      <c r="K1251" s="396"/>
      <c r="L1251" s="393"/>
      <c r="M1251" s="396"/>
      <c r="N1251" s="393"/>
      <c r="O1251" s="190"/>
    </row>
    <row r="1252" spans="2:15" ht="16" x14ac:dyDescent="0.2">
      <c r="C1252" s="119">
        <v>2</v>
      </c>
      <c r="D1252" s="383">
        <v>0.46180555555555558</v>
      </c>
      <c r="E1252" s="389">
        <v>0.4826388888888889</v>
      </c>
      <c r="F1252" s="385"/>
      <c r="G1252" s="391">
        <v>28</v>
      </c>
      <c r="H1252" s="385"/>
      <c r="I1252" s="391"/>
      <c r="J1252" s="385"/>
      <c r="K1252" s="391"/>
      <c r="L1252" s="385"/>
      <c r="M1252" s="391"/>
      <c r="N1252" s="385"/>
      <c r="O1252" s="190"/>
    </row>
    <row r="1253" spans="2:15" ht="16" x14ac:dyDescent="0.2">
      <c r="C1253" s="119">
        <v>3</v>
      </c>
      <c r="D1253" s="383">
        <v>0.4826388888888889</v>
      </c>
      <c r="E1253" s="389">
        <v>0.50347222222222221</v>
      </c>
      <c r="F1253" s="385"/>
      <c r="G1253" s="391">
        <v>28</v>
      </c>
      <c r="H1253" s="385"/>
      <c r="I1253" s="391"/>
      <c r="J1253" s="385"/>
      <c r="K1253" s="391"/>
      <c r="L1253" s="384"/>
      <c r="M1253" s="391"/>
      <c r="N1253" s="385"/>
      <c r="O1253" s="190"/>
    </row>
    <row r="1254" spans="2:15" ht="16" x14ac:dyDescent="0.2">
      <c r="C1254" s="119">
        <v>4</v>
      </c>
      <c r="D1254" s="383">
        <v>0.50347222222222221</v>
      </c>
      <c r="E1254" s="389">
        <v>0.52430555555555558</v>
      </c>
      <c r="F1254" s="385"/>
      <c r="G1254" s="391"/>
      <c r="H1254" s="316">
        <v>28</v>
      </c>
      <c r="I1254" s="391"/>
      <c r="J1254" s="385"/>
      <c r="K1254" s="391"/>
      <c r="L1254" s="402"/>
      <c r="M1254" s="391"/>
      <c r="N1254" s="385"/>
      <c r="O1254" s="190"/>
    </row>
    <row r="1255" spans="2:15" ht="16" x14ac:dyDescent="0.2">
      <c r="C1255" s="119">
        <v>5</v>
      </c>
      <c r="D1255" s="383">
        <v>0.50694444444444442</v>
      </c>
      <c r="E1255" s="389">
        <v>0.52777777777777779</v>
      </c>
      <c r="F1255" s="385"/>
      <c r="G1255" s="391"/>
      <c r="H1255" s="316">
        <v>14</v>
      </c>
      <c r="I1255" s="391"/>
      <c r="J1255" s="385"/>
      <c r="K1255" s="391"/>
      <c r="L1255" s="393"/>
      <c r="M1255" s="391"/>
      <c r="N1255" s="385"/>
      <c r="O1255" s="190"/>
    </row>
    <row r="1256" spans="2:15" ht="16" x14ac:dyDescent="0.2">
      <c r="C1256" s="119">
        <v>6</v>
      </c>
      <c r="D1256" s="383">
        <v>0.52777777777777779</v>
      </c>
      <c r="E1256" s="389">
        <v>0.54861111111111105</v>
      </c>
      <c r="F1256" s="385"/>
      <c r="G1256" s="391">
        <v>11</v>
      </c>
      <c r="H1256" s="316"/>
      <c r="I1256" s="391"/>
      <c r="J1256" s="385"/>
      <c r="K1256" s="391">
        <v>1</v>
      </c>
      <c r="L1256" s="393"/>
      <c r="M1256" s="391"/>
      <c r="N1256" s="385"/>
      <c r="O1256" s="190"/>
    </row>
    <row r="1257" spans="2:15" ht="16" x14ac:dyDescent="0.2">
      <c r="C1257" s="119">
        <v>7</v>
      </c>
      <c r="D1257" s="383">
        <v>0.52777777777777779</v>
      </c>
      <c r="E1257" s="389">
        <v>0.54861111111111105</v>
      </c>
      <c r="F1257" s="385">
        <v>28</v>
      </c>
      <c r="G1257" s="391"/>
      <c r="H1257" s="316"/>
      <c r="I1257" s="391"/>
      <c r="J1257" s="385"/>
      <c r="K1257" s="391"/>
      <c r="L1257" s="393"/>
      <c r="M1257" s="391"/>
      <c r="N1257" s="385"/>
      <c r="O1257" s="190"/>
    </row>
    <row r="1258" spans="2:15" ht="16" x14ac:dyDescent="0.2">
      <c r="C1258" s="119">
        <v>8</v>
      </c>
      <c r="D1258" s="383">
        <v>0.54861111111111105</v>
      </c>
      <c r="E1258" s="389">
        <v>0.56944444444444442</v>
      </c>
      <c r="F1258" s="385">
        <v>28</v>
      </c>
      <c r="G1258" s="391"/>
      <c r="H1258" s="316"/>
      <c r="I1258" s="391"/>
      <c r="J1258" s="385"/>
      <c r="K1258" s="391"/>
      <c r="L1258" s="385"/>
      <c r="M1258" s="391"/>
      <c r="N1258" s="385"/>
      <c r="O1258" s="190"/>
    </row>
    <row r="1259" spans="2:15" ht="16" x14ac:dyDescent="0.2">
      <c r="C1259" s="119">
        <v>9</v>
      </c>
      <c r="D1259" s="383">
        <v>0.56944444444444442</v>
      </c>
      <c r="E1259" s="389">
        <v>0.59027777777777779</v>
      </c>
      <c r="F1259" s="385">
        <v>28</v>
      </c>
      <c r="G1259" s="391"/>
      <c r="H1259" s="316"/>
      <c r="I1259" s="391"/>
      <c r="J1259" s="385"/>
      <c r="K1259" s="391"/>
      <c r="L1259" s="385"/>
      <c r="M1259" s="391"/>
      <c r="N1259" s="385"/>
      <c r="O1259" s="190"/>
    </row>
    <row r="1260" spans="2:15" ht="16" x14ac:dyDescent="0.2">
      <c r="C1260" s="119">
        <v>10</v>
      </c>
      <c r="D1260" s="383">
        <v>0.59027777777777779</v>
      </c>
      <c r="E1260" s="389">
        <v>0.61111111111111105</v>
      </c>
      <c r="F1260" s="385">
        <v>28</v>
      </c>
      <c r="G1260" s="391"/>
      <c r="H1260" s="316"/>
      <c r="I1260" s="391"/>
      <c r="J1260" s="385"/>
      <c r="K1260" s="391"/>
      <c r="L1260" s="385"/>
      <c r="M1260" s="391"/>
      <c r="N1260" s="385"/>
      <c r="O1260" s="190"/>
    </row>
    <row r="1261" spans="2:15" ht="16" x14ac:dyDescent="0.2">
      <c r="C1261" s="119">
        <v>11</v>
      </c>
      <c r="D1261" s="383">
        <v>0.61111111111111105</v>
      </c>
      <c r="E1261" s="389">
        <v>0.63194444444444442</v>
      </c>
      <c r="F1261" s="385">
        <v>28</v>
      </c>
      <c r="G1261" s="391"/>
      <c r="H1261" s="316"/>
      <c r="I1261" s="391"/>
      <c r="J1261" s="28"/>
      <c r="K1261" s="391"/>
      <c r="L1261" s="385"/>
      <c r="M1261" s="391"/>
      <c r="N1261" s="385"/>
      <c r="O1261" s="190"/>
    </row>
    <row r="1262" spans="2:15" ht="16" x14ac:dyDescent="0.2">
      <c r="C1262" s="193">
        <v>12</v>
      </c>
      <c r="D1262" s="383">
        <v>0.63194444444444442</v>
      </c>
      <c r="E1262" s="389">
        <v>0.65277777777777779</v>
      </c>
      <c r="F1262" s="385">
        <v>28</v>
      </c>
      <c r="G1262" s="391"/>
      <c r="H1262" s="316"/>
      <c r="I1262" s="391"/>
      <c r="J1262" s="385"/>
      <c r="K1262" s="391"/>
      <c r="L1262" s="385"/>
      <c r="M1262" s="391"/>
      <c r="N1262" s="385"/>
      <c r="O1262" s="190"/>
    </row>
    <row r="1263" spans="2:15" ht="16" x14ac:dyDescent="0.2">
      <c r="C1263" s="119">
        <v>13</v>
      </c>
      <c r="D1263" s="383">
        <v>0.63541666666666663</v>
      </c>
      <c r="E1263" s="389">
        <v>0.65625</v>
      </c>
      <c r="F1263" s="385">
        <v>14</v>
      </c>
      <c r="G1263" s="391"/>
      <c r="H1263" s="316"/>
      <c r="I1263" s="391"/>
      <c r="J1263" s="385"/>
      <c r="K1263" s="391"/>
      <c r="L1263" s="385"/>
      <c r="M1263" s="391"/>
      <c r="N1263" s="385"/>
      <c r="O1263" s="190"/>
    </row>
    <row r="1264" spans="2:15" ht="16" x14ac:dyDescent="0.2">
      <c r="C1264" s="119">
        <v>14</v>
      </c>
      <c r="D1264" s="383">
        <v>0.65277777777777779</v>
      </c>
      <c r="E1264" s="389">
        <v>0.67361111111111116</v>
      </c>
      <c r="F1264" s="385"/>
      <c r="G1264" s="391"/>
      <c r="H1264" s="316"/>
      <c r="I1264" s="391"/>
      <c r="J1264" s="385">
        <v>36</v>
      </c>
      <c r="K1264" s="391"/>
      <c r="L1264" s="385"/>
      <c r="M1264" s="391"/>
      <c r="N1264" s="385"/>
      <c r="O1264" s="190"/>
    </row>
    <row r="1265" spans="3:15" ht="16" x14ac:dyDescent="0.2">
      <c r="C1265" s="119">
        <v>15</v>
      </c>
      <c r="D1265" s="383">
        <v>0.67361111111111116</v>
      </c>
      <c r="E1265" s="389">
        <v>0.69444444444444453</v>
      </c>
      <c r="F1265" s="385"/>
      <c r="G1265" s="391"/>
      <c r="H1265" s="316"/>
      <c r="I1265" s="391"/>
      <c r="J1265" s="385">
        <v>36</v>
      </c>
      <c r="K1265" s="391"/>
      <c r="L1265" s="385"/>
      <c r="M1265" s="391"/>
      <c r="N1265" s="385"/>
      <c r="O1265" s="190"/>
    </row>
    <row r="1266" spans="3:15" ht="16" x14ac:dyDescent="0.2">
      <c r="C1266" s="119">
        <v>16</v>
      </c>
      <c r="D1266" s="383">
        <v>0.69444444444444453</v>
      </c>
      <c r="E1266" s="389">
        <v>0.71527777777777779</v>
      </c>
      <c r="F1266" s="385"/>
      <c r="G1266" s="391"/>
      <c r="H1266" s="316"/>
      <c r="I1266" s="391"/>
      <c r="J1266" s="385">
        <v>32</v>
      </c>
      <c r="K1266" s="391"/>
      <c r="L1266" s="385"/>
      <c r="M1266" s="391"/>
      <c r="N1266" s="385"/>
      <c r="O1266" s="190"/>
    </row>
    <row r="1267" spans="3:15" ht="16" x14ac:dyDescent="0.2">
      <c r="C1267" s="119">
        <v>17</v>
      </c>
      <c r="D1267" s="383">
        <v>0.71527777777777779</v>
      </c>
      <c r="E1267" s="389">
        <v>0.73611111111111116</v>
      </c>
      <c r="F1267" s="384"/>
      <c r="G1267" s="33"/>
      <c r="H1267" s="316"/>
      <c r="I1267" s="390"/>
      <c r="J1267" s="385">
        <v>34</v>
      </c>
      <c r="K1267" s="391"/>
      <c r="L1267" s="385"/>
      <c r="M1267" s="391"/>
      <c r="N1267" s="385"/>
      <c r="O1267" s="190"/>
    </row>
    <row r="1268" spans="3:15" ht="16" x14ac:dyDescent="0.2">
      <c r="C1268" s="119">
        <v>18</v>
      </c>
      <c r="D1268" s="383">
        <v>0.73958333333333337</v>
      </c>
      <c r="E1268" s="389">
        <v>0.76041666666666663</v>
      </c>
      <c r="F1268" s="394"/>
      <c r="G1268" s="229"/>
      <c r="H1268" s="394"/>
      <c r="I1268" s="391">
        <v>44</v>
      </c>
      <c r="J1268" s="385"/>
      <c r="K1268" s="391"/>
      <c r="L1268" s="385"/>
      <c r="M1268" s="391"/>
      <c r="N1268" s="385"/>
      <c r="O1268" s="190"/>
    </row>
    <row r="1269" spans="3:15" ht="16" x14ac:dyDescent="0.2">
      <c r="C1269" s="119">
        <v>19</v>
      </c>
      <c r="D1269" s="383">
        <v>0.76388888888888884</v>
      </c>
      <c r="E1269" s="389">
        <v>0.78472222222222221</v>
      </c>
      <c r="F1269" s="385"/>
      <c r="G1269" s="391"/>
      <c r="H1269" s="385"/>
      <c r="I1269" s="391">
        <v>44</v>
      </c>
      <c r="J1269" s="385"/>
      <c r="K1269" s="391"/>
      <c r="L1269" s="403"/>
      <c r="M1269" s="391"/>
      <c r="N1269" s="385"/>
      <c r="O1269" s="190"/>
    </row>
    <row r="1270" spans="3:15" ht="16" x14ac:dyDescent="0.2">
      <c r="C1270" s="119">
        <v>20</v>
      </c>
      <c r="D1270" s="383">
        <v>0.79166666666666663</v>
      </c>
      <c r="E1270" s="389">
        <v>0.8125</v>
      </c>
      <c r="F1270" s="385"/>
      <c r="G1270" s="391"/>
      <c r="H1270" s="385"/>
      <c r="I1270" s="391">
        <v>22</v>
      </c>
      <c r="J1270" s="385"/>
      <c r="K1270" s="391"/>
      <c r="L1270" s="403"/>
      <c r="M1270" s="391"/>
      <c r="N1270" s="385"/>
      <c r="O1270" s="190"/>
    </row>
    <row r="1271" spans="3:15" ht="16" x14ac:dyDescent="0.2">
      <c r="C1271" s="119">
        <v>21</v>
      </c>
      <c r="D1271" s="383"/>
      <c r="E1271" s="389"/>
      <c r="F1271" s="385"/>
      <c r="G1271" s="391"/>
      <c r="H1271" s="385"/>
      <c r="I1271" s="391"/>
      <c r="J1271" s="385"/>
      <c r="K1271" s="391"/>
      <c r="L1271" s="385"/>
      <c r="M1271" s="391"/>
      <c r="N1271" s="385"/>
      <c r="O1271" s="190"/>
    </row>
    <row r="1272" spans="3:15" ht="16" x14ac:dyDescent="0.2">
      <c r="C1272" s="119">
        <v>22</v>
      </c>
      <c r="D1272" s="383"/>
      <c r="E1272" s="389"/>
      <c r="F1272" s="385"/>
      <c r="G1272" s="391"/>
      <c r="H1272" s="385"/>
      <c r="I1272" s="391"/>
      <c r="J1272" s="385"/>
      <c r="K1272" s="391"/>
      <c r="L1272" s="385"/>
      <c r="M1272" s="391"/>
      <c r="N1272" s="385"/>
      <c r="O1272" s="190"/>
    </row>
    <row r="1273" spans="3:15" ht="16" x14ac:dyDescent="0.2">
      <c r="C1273" s="119">
        <v>23</v>
      </c>
      <c r="D1273" s="383"/>
      <c r="E1273" s="389"/>
      <c r="F1273" s="385"/>
      <c r="G1273" s="391"/>
      <c r="H1273" s="385"/>
      <c r="I1273" s="391"/>
      <c r="J1273" s="385"/>
      <c r="K1273" s="391"/>
      <c r="L1273" s="385"/>
      <c r="M1273" s="391"/>
      <c r="N1273" s="385"/>
      <c r="O1273" s="190"/>
    </row>
    <row r="1274" spans="3:15" ht="16" x14ac:dyDescent="0.2">
      <c r="C1274" s="119">
        <v>24</v>
      </c>
      <c r="D1274" s="383"/>
      <c r="E1274" s="389"/>
      <c r="F1274" s="385"/>
      <c r="G1274" s="391"/>
      <c r="H1274" s="385"/>
      <c r="I1274" s="391"/>
      <c r="J1274" s="385"/>
      <c r="K1274" s="391"/>
      <c r="L1274" s="385"/>
      <c r="M1274" s="391"/>
      <c r="N1274" s="385"/>
      <c r="O1274" s="190"/>
    </row>
    <row r="1275" spans="3:15" ht="16" x14ac:dyDescent="0.2">
      <c r="C1275" s="119">
        <v>25</v>
      </c>
      <c r="D1275" s="383"/>
      <c r="E1275" s="389"/>
      <c r="F1275" s="385"/>
      <c r="G1275" s="391"/>
      <c r="H1275" s="385"/>
      <c r="I1275" s="391"/>
      <c r="J1275" s="385"/>
      <c r="K1275" s="391"/>
      <c r="L1275" s="385"/>
      <c r="M1275" s="391"/>
      <c r="N1275" s="385"/>
      <c r="O1275" s="190"/>
    </row>
    <row r="1276" spans="3:15" ht="16" x14ac:dyDescent="0.2">
      <c r="C1276" s="119">
        <v>26</v>
      </c>
      <c r="D1276" s="383"/>
      <c r="E1276" s="389"/>
      <c r="F1276" s="385"/>
      <c r="G1276" s="391"/>
      <c r="H1276" s="385"/>
      <c r="I1276" s="391"/>
      <c r="J1276" s="385"/>
      <c r="K1276" s="391"/>
      <c r="L1276" s="385"/>
      <c r="M1276" s="391"/>
      <c r="N1276" s="385"/>
      <c r="O1276" s="190"/>
    </row>
    <row r="1277" spans="3:15" ht="16" x14ac:dyDescent="0.2">
      <c r="C1277" s="119">
        <v>27</v>
      </c>
      <c r="D1277" s="383"/>
      <c r="E1277" s="389"/>
      <c r="F1277" s="385"/>
      <c r="G1277" s="391"/>
      <c r="H1277" s="385"/>
      <c r="I1277" s="391"/>
      <c r="J1277" s="385"/>
      <c r="K1277" s="391"/>
      <c r="L1277" s="385"/>
      <c r="M1277" s="391"/>
      <c r="N1277" s="385"/>
      <c r="O1277" s="190"/>
    </row>
    <row r="1278" spans="3:15" ht="16" x14ac:dyDescent="0.2">
      <c r="C1278" s="119">
        <v>28</v>
      </c>
      <c r="D1278" s="383"/>
      <c r="E1278" s="389"/>
      <c r="F1278" s="385"/>
      <c r="G1278" s="391"/>
      <c r="H1278" s="385"/>
      <c r="I1278" s="391"/>
      <c r="J1278" s="385"/>
      <c r="K1278" s="391"/>
      <c r="L1278" s="385"/>
      <c r="M1278" s="391"/>
      <c r="N1278" s="385"/>
      <c r="O1278" s="190"/>
    </row>
    <row r="1279" spans="3:15" ht="16" x14ac:dyDescent="0.2">
      <c r="C1279" s="119">
        <v>29</v>
      </c>
      <c r="D1279" s="383"/>
      <c r="E1279" s="389"/>
      <c r="F1279" s="385"/>
      <c r="G1279" s="391"/>
      <c r="H1279" s="385"/>
      <c r="I1279" s="391"/>
      <c r="J1279" s="385"/>
      <c r="K1279" s="391"/>
      <c r="L1279" s="385"/>
      <c r="M1279" s="391"/>
      <c r="N1279" s="385"/>
      <c r="O1279" s="190"/>
    </row>
    <row r="1280" spans="3:15" ht="16" x14ac:dyDescent="0.2">
      <c r="C1280" s="119">
        <v>30</v>
      </c>
      <c r="D1280" s="383"/>
      <c r="E1280" s="389"/>
      <c r="F1280" s="385"/>
      <c r="G1280" s="391"/>
      <c r="H1280" s="385"/>
      <c r="I1280" s="391"/>
      <c r="J1280" s="385"/>
      <c r="K1280" s="391"/>
      <c r="L1280" s="385"/>
      <c r="M1280" s="391"/>
      <c r="N1280" s="385"/>
      <c r="O1280" s="190"/>
    </row>
    <row r="1281" spans="2:15" ht="16" x14ac:dyDescent="0.2">
      <c r="C1281" s="120">
        <v>31</v>
      </c>
      <c r="D1281" s="383"/>
      <c r="E1281" s="389"/>
      <c r="F1281" s="384"/>
      <c r="G1281" s="390"/>
      <c r="H1281" s="384"/>
      <c r="I1281" s="390"/>
      <c r="J1281" s="384"/>
      <c r="K1281" s="390"/>
      <c r="L1281" s="384"/>
      <c r="M1281" s="390"/>
      <c r="N1281" s="384"/>
      <c r="O1281" s="190"/>
    </row>
    <row r="1282" spans="2:15" ht="16" x14ac:dyDescent="0.2">
      <c r="B1282" s="256"/>
      <c r="C1282" s="377">
        <v>32</v>
      </c>
      <c r="D1282" s="384"/>
      <c r="E1282" s="390"/>
      <c r="F1282" s="384"/>
      <c r="G1282" s="390"/>
      <c r="H1282" s="384"/>
      <c r="I1282" s="390"/>
      <c r="J1282" s="384"/>
      <c r="K1282" s="390"/>
      <c r="L1282" s="384"/>
      <c r="M1282" s="390"/>
      <c r="N1282" s="384"/>
      <c r="O1282" s="190"/>
    </row>
    <row r="1283" spans="2:15" ht="16" x14ac:dyDescent="0.2">
      <c r="B1283" s="256"/>
      <c r="C1283" s="119">
        <v>33</v>
      </c>
      <c r="D1283" s="385"/>
      <c r="E1283" s="391"/>
      <c r="F1283" s="385"/>
      <c r="G1283" s="391"/>
      <c r="H1283" s="385"/>
      <c r="I1283" s="391"/>
      <c r="J1283" s="385"/>
      <c r="K1283" s="391"/>
      <c r="L1283" s="385"/>
      <c r="M1283" s="391"/>
      <c r="N1283" s="385"/>
      <c r="O1283" s="190"/>
    </row>
    <row r="1284" spans="2:15" ht="16" x14ac:dyDescent="0.2">
      <c r="B1284" s="256"/>
      <c r="C1284" s="119">
        <v>34</v>
      </c>
      <c r="D1284" s="385"/>
      <c r="E1284" s="391"/>
      <c r="F1284" s="385"/>
      <c r="G1284" s="391"/>
      <c r="H1284" s="385"/>
      <c r="I1284" s="391"/>
      <c r="J1284" s="385"/>
      <c r="K1284" s="391"/>
      <c r="L1284" s="385"/>
      <c r="M1284" s="391"/>
      <c r="N1284" s="385"/>
      <c r="O1284" s="190"/>
    </row>
    <row r="1285" spans="2:15" ht="16" x14ac:dyDescent="0.2">
      <c r="B1285" s="256"/>
      <c r="C1285" s="119">
        <v>35</v>
      </c>
      <c r="D1285" s="385"/>
      <c r="E1285" s="391"/>
      <c r="F1285" s="385"/>
      <c r="G1285" s="391"/>
      <c r="H1285" s="385"/>
      <c r="I1285" s="391"/>
      <c r="J1285" s="385"/>
      <c r="K1285" s="391"/>
      <c r="L1285" s="385"/>
      <c r="M1285" s="391"/>
      <c r="N1285" s="385"/>
      <c r="O1285" s="190"/>
    </row>
    <row r="1286" spans="2:15" ht="16" x14ac:dyDescent="0.2">
      <c r="B1286" s="256"/>
      <c r="C1286" s="119">
        <v>36</v>
      </c>
      <c r="D1286" s="385"/>
      <c r="E1286" s="391"/>
      <c r="F1286" s="385"/>
      <c r="G1286" s="391"/>
      <c r="H1286" s="385"/>
      <c r="I1286" s="391"/>
      <c r="J1286" s="385"/>
      <c r="K1286" s="391"/>
      <c r="L1286" s="385"/>
      <c r="M1286" s="391"/>
      <c r="N1286" s="385"/>
      <c r="O1286" s="190"/>
    </row>
    <row r="1287" spans="2:15" ht="17" thickBot="1" x14ac:dyDescent="0.25">
      <c r="B1287" s="256"/>
      <c r="C1287" s="378">
        <v>37</v>
      </c>
      <c r="D1287" s="386"/>
      <c r="E1287" s="392"/>
      <c r="F1287" s="386"/>
      <c r="G1287" s="392"/>
      <c r="H1287" s="386"/>
      <c r="I1287" s="392"/>
      <c r="J1287" s="386"/>
      <c r="K1287" s="392"/>
      <c r="L1287" s="386"/>
      <c r="M1287" s="392"/>
      <c r="N1287" s="386"/>
      <c r="O1287" s="190"/>
    </row>
    <row r="1288" spans="2:15" ht="17" thickBot="1" x14ac:dyDescent="0.25">
      <c r="C1288" s="825" t="s">
        <v>19</v>
      </c>
      <c r="D1288" s="826"/>
      <c r="E1288" s="380"/>
      <c r="F1288" s="376">
        <f>(F1251+F1252+F1253+F1254+F1255+F1256+F1272+F1259+F1260+F1257+F1258+F1261+F1262+F1263+F1264+F1265+F1266+F1267+F1268+F1269+F1270+F1271+F1273+F1274+F1276+F1277+F1278+F1279+F1280+F1281+F1282+F1283+F1284+F1287)/2</f>
        <v>91</v>
      </c>
      <c r="G1288" s="397">
        <f>(G1251+G1252+G1253+G1254+G1255+G1272+G1256+G1260+G1259+G1257+G1258+G1261+G1262+G1263+G1264+G1265+G1266+G1267+G1268+G1269+G1270+G1271+G1273+G1274+G1276+G1277+G1278+G1279+G1280+G1281+G1282+G1283)/2</f>
        <v>47.5</v>
      </c>
      <c r="H1288" s="399">
        <f>(H1251+H1252+H1253+H1254+H1255+H1256+H1272+H1275+H1259+H1260+H1257+H1258+H1261+H1262+H1263+H1264+H1265+H1266+H1267+H1268+H1269+H1270+H1271+H1273+H1274+H1276+H1277+H1278+H1279+H1280+H1281+H1282+H1283+H1284+H1287)/2</f>
        <v>21</v>
      </c>
      <c r="I1288" s="398">
        <f>(I1251+I1252+I1253+I1254+I1255+I1285+I1286+I1256+I1272+I1259+I1275+I1260+I1257+I1258+I1261+I1262+I1263+I1264+I1265+I1266+I1267+I1268+I1269+I1270+I1271+I1273+I1274+I1276+I1277+I1278+I1279+I1280+I1281+I1282+I1283+I1284+I1287)/2</f>
        <v>55</v>
      </c>
      <c r="J1288" s="376">
        <f>(J1251+J1252+J1253+J1254+J1255+J1256+J1260+J1257+J1259+J1258+J1275+J1261+J1262+J1263+J1264+J1265+J1266+J1267+J1268+J1269+J1270+J1271+J1272+J1273+J1274+J1276+J1277+J1278+J1279+J1280+J1281+J1282+J1283)/2</f>
        <v>69</v>
      </c>
      <c r="K1288" s="397">
        <f>(K1251+K1252+K1253+K1254+K1255+K1256+K1260+K1257+K1258+K1261+K1262+K1263+K1264+K1265+K1266+K1267+K1268+K1269+K1270+K1271+K1273+K1274+K1276+K1277+K1278+K1279+K1280+K1281+K1282+K1283+K1272)</f>
        <v>1</v>
      </c>
      <c r="L1288" s="399">
        <f>SUM(L1251:L1287)</f>
        <v>0</v>
      </c>
      <c r="M1288" s="398">
        <f>(M1251+M1252+M1253+M1254+M1255+M1256+M1260+M1259+M1257+M1258+M1261+M1262+M1263+M1264+M1265+M1266+M1267+M1268+M1269+M1270+M1271+M1273+M1274+M1276+M1277+M1278+M1279+M1280+M1281+M1282+M1283)/2</f>
        <v>0</v>
      </c>
      <c r="N1288" s="376"/>
      <c r="O1288" s="41"/>
    </row>
    <row r="1289" spans="2:15" ht="17" thickBot="1" x14ac:dyDescent="0.25">
      <c r="C1289" s="825" t="s">
        <v>91</v>
      </c>
      <c r="D1289" s="826"/>
      <c r="E1289" s="381">
        <f>SUM(F1288:J1288)</f>
        <v>283.5</v>
      </c>
    </row>
    <row r="1290" spans="2:15" ht="16" thickBot="1" x14ac:dyDescent="0.25"/>
    <row r="1291" spans="2:15" ht="17" thickBot="1" x14ac:dyDescent="0.25">
      <c r="C1291" s="17"/>
      <c r="D1291" s="379" t="s">
        <v>83</v>
      </c>
      <c r="E1291" s="818" t="s">
        <v>69</v>
      </c>
      <c r="F1291" s="819"/>
      <c r="G1291" s="819"/>
      <c r="H1291" s="819"/>
      <c r="I1291" s="819"/>
      <c r="J1291" s="400" t="s">
        <v>76</v>
      </c>
      <c r="K1291" s="820">
        <v>45697</v>
      </c>
      <c r="L1291" s="821"/>
      <c r="M1291" s="821"/>
      <c r="N1291" s="821"/>
      <c r="O1291" s="822"/>
    </row>
    <row r="1292" spans="2:15" ht="16" thickBot="1" x14ac:dyDescent="0.25">
      <c r="B1292" s="175" t="s">
        <v>76</v>
      </c>
      <c r="C1292" s="175" t="s">
        <v>77</v>
      </c>
      <c r="D1292" s="823" t="s">
        <v>122</v>
      </c>
      <c r="E1292" s="824"/>
      <c r="F1292" s="175" t="s">
        <v>104</v>
      </c>
      <c r="G1292" s="395" t="s">
        <v>86</v>
      </c>
      <c r="H1292" s="175" t="s">
        <v>88</v>
      </c>
      <c r="I1292" s="395" t="s">
        <v>87</v>
      </c>
      <c r="J1292" s="401" t="s">
        <v>85</v>
      </c>
      <c r="K1292" s="395" t="s">
        <v>123</v>
      </c>
      <c r="L1292" s="175" t="s">
        <v>124</v>
      </c>
      <c r="M1292" s="395" t="s">
        <v>100</v>
      </c>
      <c r="N1292" s="175" t="s">
        <v>213</v>
      </c>
      <c r="O1292" s="404" t="s">
        <v>125</v>
      </c>
    </row>
    <row r="1293" spans="2:15" ht="16" thickBot="1" x14ac:dyDescent="0.25">
      <c r="B1293" s="176">
        <f>K1291</f>
        <v>45697</v>
      </c>
      <c r="C1293" s="374"/>
      <c r="D1293" s="375" t="s">
        <v>126</v>
      </c>
      <c r="E1293" s="387" t="s">
        <v>127</v>
      </c>
      <c r="F1293" s="331">
        <v>12</v>
      </c>
      <c r="G1293" s="237">
        <v>8</v>
      </c>
      <c r="H1293" s="331">
        <v>4</v>
      </c>
      <c r="I1293" s="237">
        <v>5</v>
      </c>
      <c r="J1293" s="331">
        <v>11</v>
      </c>
      <c r="K1293" s="231"/>
      <c r="L1293" s="125"/>
      <c r="M1293" s="231"/>
      <c r="N1293" s="125"/>
      <c r="O1293" s="326"/>
    </row>
    <row r="1294" spans="2:15" ht="16" x14ac:dyDescent="0.2">
      <c r="C1294" s="118">
        <v>1</v>
      </c>
      <c r="D1294" s="382">
        <v>0.375</v>
      </c>
      <c r="E1294" s="388">
        <v>0.39583333333333331</v>
      </c>
      <c r="F1294" s="393"/>
      <c r="G1294" s="396">
        <v>28</v>
      </c>
      <c r="H1294" s="393"/>
      <c r="I1294" s="396"/>
      <c r="J1294" s="393"/>
      <c r="K1294" s="396"/>
      <c r="L1294" s="393"/>
      <c r="M1294" s="396"/>
      <c r="N1294" s="393"/>
      <c r="O1294" s="190"/>
    </row>
    <row r="1295" spans="2:15" ht="16" x14ac:dyDescent="0.2">
      <c r="C1295" s="119">
        <v>2</v>
      </c>
      <c r="D1295" s="383">
        <v>0.39930555555555558</v>
      </c>
      <c r="E1295" s="389">
        <v>0.4201388888888889</v>
      </c>
      <c r="F1295" s="385"/>
      <c r="G1295" s="391">
        <v>28</v>
      </c>
      <c r="H1295" s="385"/>
      <c r="I1295" s="391"/>
      <c r="J1295" s="385"/>
      <c r="K1295" s="391"/>
      <c r="L1295" s="385"/>
      <c r="M1295" s="391"/>
      <c r="N1295" s="385"/>
      <c r="O1295" s="190"/>
    </row>
    <row r="1296" spans="2:15" ht="16" x14ac:dyDescent="0.2">
      <c r="C1296" s="119">
        <v>3</v>
      </c>
      <c r="D1296" s="383">
        <v>0.4201388888888889</v>
      </c>
      <c r="E1296" s="389">
        <v>0.44097222222222227</v>
      </c>
      <c r="F1296" s="385">
        <v>28</v>
      </c>
      <c r="G1296" s="391"/>
      <c r="H1296" s="385"/>
      <c r="I1296" s="391"/>
      <c r="J1296" s="385"/>
      <c r="K1296" s="391"/>
      <c r="L1296" s="384"/>
      <c r="M1296" s="391"/>
      <c r="N1296" s="385"/>
      <c r="O1296" s="190"/>
    </row>
    <row r="1297" spans="3:15" ht="16" x14ac:dyDescent="0.2">
      <c r="C1297" s="119">
        <v>4</v>
      </c>
      <c r="D1297" s="383">
        <v>0.44097222222222227</v>
      </c>
      <c r="E1297" s="389">
        <v>0.46180555555555558</v>
      </c>
      <c r="F1297" s="385">
        <v>28</v>
      </c>
      <c r="G1297" s="391"/>
      <c r="H1297" s="316"/>
      <c r="I1297" s="391"/>
      <c r="J1297" s="385"/>
      <c r="K1297" s="391"/>
      <c r="L1297" s="402"/>
      <c r="M1297" s="391"/>
      <c r="N1297" s="385"/>
      <c r="O1297" s="190"/>
    </row>
    <row r="1298" spans="3:15" ht="16" x14ac:dyDescent="0.2">
      <c r="C1298" s="119">
        <v>5</v>
      </c>
      <c r="D1298" s="383">
        <v>0.46180555555555558</v>
      </c>
      <c r="E1298" s="389">
        <v>0.4826388888888889</v>
      </c>
      <c r="F1298" s="385"/>
      <c r="G1298" s="391">
        <v>28</v>
      </c>
      <c r="H1298" s="316"/>
      <c r="I1298" s="391"/>
      <c r="J1298" s="385"/>
      <c r="K1298" s="391"/>
      <c r="L1298" s="393"/>
      <c r="M1298" s="391"/>
      <c r="N1298" s="385"/>
      <c r="O1298" s="190"/>
    </row>
    <row r="1299" spans="3:15" ht="16" x14ac:dyDescent="0.2">
      <c r="C1299" s="119">
        <v>6</v>
      </c>
      <c r="D1299" s="383">
        <v>0.4826388888888889</v>
      </c>
      <c r="E1299" s="389">
        <v>0.50347222222222221</v>
      </c>
      <c r="F1299" s="385"/>
      <c r="G1299" s="391">
        <v>28</v>
      </c>
      <c r="H1299" s="316"/>
      <c r="I1299" s="391"/>
      <c r="J1299" s="385"/>
      <c r="K1299" s="391"/>
      <c r="L1299" s="393"/>
      <c r="M1299" s="391"/>
      <c r="N1299" s="385"/>
      <c r="O1299" s="190"/>
    </row>
    <row r="1300" spans="3:15" ht="16" x14ac:dyDescent="0.2">
      <c r="C1300" s="119">
        <v>7</v>
      </c>
      <c r="D1300" s="383">
        <v>0.52430555555555558</v>
      </c>
      <c r="E1300" s="389">
        <v>0.54513888888888895</v>
      </c>
      <c r="F1300" s="385"/>
      <c r="G1300" s="391"/>
      <c r="H1300" s="316">
        <v>28</v>
      </c>
      <c r="I1300" s="391"/>
      <c r="J1300" s="385"/>
      <c r="K1300" s="391"/>
      <c r="L1300" s="393"/>
      <c r="M1300" s="391"/>
      <c r="N1300" s="385"/>
      <c r="O1300" s="190"/>
    </row>
    <row r="1301" spans="3:15" ht="16" x14ac:dyDescent="0.2">
      <c r="C1301" s="119">
        <v>8</v>
      </c>
      <c r="D1301" s="383">
        <v>0.54513888888888895</v>
      </c>
      <c r="E1301" s="389">
        <v>0.56597222222222221</v>
      </c>
      <c r="F1301" s="385"/>
      <c r="G1301" s="391"/>
      <c r="H1301" s="316">
        <v>28</v>
      </c>
      <c r="I1301" s="391"/>
      <c r="J1301" s="385"/>
      <c r="K1301" s="391"/>
      <c r="L1301" s="385"/>
      <c r="M1301" s="391"/>
      <c r="N1301" s="385"/>
      <c r="O1301" s="190"/>
    </row>
    <row r="1302" spans="3:15" ht="16" x14ac:dyDescent="0.2">
      <c r="C1302" s="119">
        <v>9</v>
      </c>
      <c r="D1302" s="383">
        <v>0.56597222222222221</v>
      </c>
      <c r="E1302" s="389">
        <v>0.58680555555555558</v>
      </c>
      <c r="F1302" s="385">
        <v>28</v>
      </c>
      <c r="G1302" s="391"/>
      <c r="H1302" s="316"/>
      <c r="I1302" s="391"/>
      <c r="J1302" s="385"/>
      <c r="K1302" s="391"/>
      <c r="L1302" s="385"/>
      <c r="M1302" s="391"/>
      <c r="N1302" s="385"/>
      <c r="O1302" s="190"/>
    </row>
    <row r="1303" spans="3:15" ht="16" x14ac:dyDescent="0.2">
      <c r="C1303" s="119">
        <v>10</v>
      </c>
      <c r="D1303" s="383">
        <v>0.58680555555555558</v>
      </c>
      <c r="E1303" s="389">
        <v>0.60763888888888895</v>
      </c>
      <c r="F1303" s="385">
        <v>28</v>
      </c>
      <c r="G1303" s="391"/>
      <c r="H1303" s="316"/>
      <c r="I1303" s="391"/>
      <c r="J1303" s="385"/>
      <c r="K1303" s="391"/>
      <c r="L1303" s="385"/>
      <c r="M1303" s="391"/>
      <c r="N1303" s="385"/>
      <c r="O1303" s="190"/>
    </row>
    <row r="1304" spans="3:15" ht="16" x14ac:dyDescent="0.2">
      <c r="C1304" s="119">
        <v>11</v>
      </c>
      <c r="D1304" s="383">
        <v>0.60763888888888895</v>
      </c>
      <c r="E1304" s="389">
        <v>0.62847222222222221</v>
      </c>
      <c r="F1304" s="385">
        <v>28</v>
      </c>
      <c r="G1304" s="391"/>
      <c r="H1304" s="316"/>
      <c r="I1304" s="391"/>
      <c r="J1304" s="28"/>
      <c r="K1304" s="391"/>
      <c r="L1304" s="385"/>
      <c r="M1304" s="391"/>
      <c r="N1304" s="385"/>
      <c r="O1304" s="190"/>
    </row>
    <row r="1305" spans="3:15" ht="16" x14ac:dyDescent="0.2">
      <c r="C1305" s="193">
        <v>12</v>
      </c>
      <c r="D1305" s="383">
        <v>0.62847222222222221</v>
      </c>
      <c r="E1305" s="389">
        <v>0.64930555555555558</v>
      </c>
      <c r="F1305" s="385">
        <v>28</v>
      </c>
      <c r="G1305" s="391"/>
      <c r="H1305" s="316"/>
      <c r="I1305" s="391"/>
      <c r="J1305" s="385"/>
      <c r="K1305" s="391"/>
      <c r="L1305" s="385"/>
      <c r="M1305" s="391"/>
      <c r="N1305" s="385"/>
      <c r="O1305" s="190"/>
    </row>
    <row r="1306" spans="3:15" ht="16" x14ac:dyDescent="0.2">
      <c r="C1306" s="119">
        <v>13</v>
      </c>
      <c r="D1306" s="383">
        <v>0.62847222222222221</v>
      </c>
      <c r="E1306" s="389">
        <v>0.64930555555555558</v>
      </c>
      <c r="F1306" s="385"/>
      <c r="G1306" s="391"/>
      <c r="H1306" s="316"/>
      <c r="I1306" s="391"/>
      <c r="J1306" s="385">
        <v>30</v>
      </c>
      <c r="K1306" s="391"/>
      <c r="L1306" s="385"/>
      <c r="M1306" s="391"/>
      <c r="N1306" s="385"/>
      <c r="O1306" s="190"/>
    </row>
    <row r="1307" spans="3:15" ht="16" x14ac:dyDescent="0.2">
      <c r="C1307" s="119">
        <v>14</v>
      </c>
      <c r="D1307" s="383">
        <v>0.64930555555555558</v>
      </c>
      <c r="E1307" s="389">
        <v>0.67013888888888884</v>
      </c>
      <c r="F1307" s="385"/>
      <c r="G1307" s="391"/>
      <c r="H1307" s="316"/>
      <c r="I1307" s="391"/>
      <c r="J1307" s="385">
        <v>33</v>
      </c>
      <c r="K1307" s="391"/>
      <c r="L1307" s="385"/>
      <c r="M1307" s="391"/>
      <c r="N1307" s="385"/>
      <c r="O1307" s="190"/>
    </row>
    <row r="1308" spans="3:15" ht="16" x14ac:dyDescent="0.2">
      <c r="C1308" s="119">
        <v>15</v>
      </c>
      <c r="D1308" s="383">
        <v>0.67708333333333337</v>
      </c>
      <c r="E1308" s="389">
        <v>0.69791666666666663</v>
      </c>
      <c r="F1308" s="385"/>
      <c r="G1308" s="391"/>
      <c r="H1308" s="316"/>
      <c r="I1308" s="391"/>
      <c r="J1308" s="385">
        <v>34</v>
      </c>
      <c r="K1308" s="391"/>
      <c r="L1308" s="385"/>
      <c r="M1308" s="391"/>
      <c r="N1308" s="385"/>
      <c r="O1308" s="190"/>
    </row>
    <row r="1309" spans="3:15" ht="16" x14ac:dyDescent="0.2">
      <c r="C1309" s="119">
        <v>16</v>
      </c>
      <c r="D1309" s="383">
        <v>0.69791666666666663</v>
      </c>
      <c r="E1309" s="389">
        <v>0.71875</v>
      </c>
      <c r="F1309" s="385"/>
      <c r="G1309" s="391"/>
      <c r="H1309" s="316"/>
      <c r="I1309" s="391"/>
      <c r="J1309" s="385">
        <v>36</v>
      </c>
      <c r="K1309" s="391"/>
      <c r="L1309" s="385"/>
      <c r="M1309" s="391"/>
      <c r="N1309" s="385"/>
      <c r="O1309" s="190"/>
    </row>
    <row r="1310" spans="3:15" ht="16" x14ac:dyDescent="0.2">
      <c r="C1310" s="119">
        <v>17</v>
      </c>
      <c r="D1310" s="383">
        <v>0.71875</v>
      </c>
      <c r="E1310" s="389">
        <v>0.73958333333333337</v>
      </c>
      <c r="F1310" s="384"/>
      <c r="G1310" s="33"/>
      <c r="H1310" s="316"/>
      <c r="I1310" s="390"/>
      <c r="J1310" s="385">
        <v>36</v>
      </c>
      <c r="K1310" s="391"/>
      <c r="L1310" s="385"/>
      <c r="M1310" s="391"/>
      <c r="N1310" s="385"/>
      <c r="O1310" s="190"/>
    </row>
    <row r="1311" spans="3:15" ht="16" x14ac:dyDescent="0.2">
      <c r="C1311" s="119">
        <v>18</v>
      </c>
      <c r="D1311" s="383">
        <v>0.73958333333333337</v>
      </c>
      <c r="E1311" s="389">
        <v>0.76041666666666663</v>
      </c>
      <c r="F1311" s="394"/>
      <c r="G1311" s="229"/>
      <c r="H1311" s="394"/>
      <c r="I1311" s="391"/>
      <c r="J1311" s="385">
        <v>18</v>
      </c>
      <c r="K1311" s="391"/>
      <c r="L1311" s="385"/>
      <c r="M1311" s="391"/>
      <c r="N1311" s="385"/>
      <c r="O1311" s="190"/>
    </row>
    <row r="1312" spans="3:15" ht="16" x14ac:dyDescent="0.2">
      <c r="C1312" s="119">
        <v>19</v>
      </c>
      <c r="D1312" s="383">
        <v>0.73958333333333337</v>
      </c>
      <c r="E1312" s="389">
        <v>0.76041666666666663</v>
      </c>
      <c r="F1312" s="385"/>
      <c r="G1312" s="391"/>
      <c r="H1312" s="385"/>
      <c r="I1312" s="391">
        <v>22</v>
      </c>
      <c r="J1312" s="385"/>
      <c r="K1312" s="391"/>
      <c r="L1312" s="403"/>
      <c r="M1312" s="391"/>
      <c r="N1312" s="385"/>
      <c r="O1312" s="190"/>
    </row>
    <row r="1313" spans="2:15" ht="16" x14ac:dyDescent="0.2">
      <c r="C1313" s="119">
        <v>20</v>
      </c>
      <c r="D1313" s="383">
        <v>0.76041666666666663</v>
      </c>
      <c r="E1313" s="389">
        <v>0.78125</v>
      </c>
      <c r="F1313" s="385"/>
      <c r="G1313" s="391"/>
      <c r="H1313" s="385"/>
      <c r="I1313" s="391">
        <v>44</v>
      </c>
      <c r="J1313" s="385"/>
      <c r="K1313" s="391"/>
      <c r="L1313" s="403"/>
      <c r="M1313" s="391"/>
      <c r="N1313" s="385"/>
      <c r="O1313" s="190"/>
    </row>
    <row r="1314" spans="2:15" ht="16" x14ac:dyDescent="0.2">
      <c r="C1314" s="119">
        <v>21</v>
      </c>
      <c r="D1314" s="383">
        <v>0.78472222222222221</v>
      </c>
      <c r="E1314" s="389">
        <v>0.80555555555555547</v>
      </c>
      <c r="F1314" s="385"/>
      <c r="G1314" s="391"/>
      <c r="H1314" s="385"/>
      <c r="I1314" s="391">
        <v>44</v>
      </c>
      <c r="J1314" s="385"/>
      <c r="K1314" s="391"/>
      <c r="L1314" s="385"/>
      <c r="M1314" s="391"/>
      <c r="N1314" s="385"/>
      <c r="O1314" s="190"/>
    </row>
    <row r="1315" spans="2:15" ht="16" x14ac:dyDescent="0.2">
      <c r="C1315" s="119">
        <v>22</v>
      </c>
      <c r="D1315" s="383"/>
      <c r="E1315" s="389"/>
      <c r="F1315" s="385"/>
      <c r="G1315" s="391"/>
      <c r="H1315" s="385"/>
      <c r="I1315" s="391"/>
      <c r="J1315" s="385"/>
      <c r="K1315" s="391"/>
      <c r="L1315" s="385"/>
      <c r="M1315" s="391"/>
      <c r="N1315" s="385"/>
      <c r="O1315" s="190"/>
    </row>
    <row r="1316" spans="2:15" ht="16" x14ac:dyDescent="0.2">
      <c r="C1316" s="119">
        <v>23</v>
      </c>
      <c r="D1316" s="383"/>
      <c r="E1316" s="389"/>
      <c r="F1316" s="385"/>
      <c r="G1316" s="391"/>
      <c r="H1316" s="385"/>
      <c r="I1316" s="391"/>
      <c r="J1316" s="385"/>
      <c r="K1316" s="391"/>
      <c r="L1316" s="385"/>
      <c r="M1316" s="391"/>
      <c r="N1316" s="385"/>
      <c r="O1316" s="190"/>
    </row>
    <row r="1317" spans="2:15" ht="16" x14ac:dyDescent="0.2">
      <c r="C1317" s="119">
        <v>24</v>
      </c>
      <c r="D1317" s="383"/>
      <c r="E1317" s="389"/>
      <c r="F1317" s="385"/>
      <c r="G1317" s="391"/>
      <c r="H1317" s="385"/>
      <c r="I1317" s="391"/>
      <c r="J1317" s="385"/>
      <c r="K1317" s="391"/>
      <c r="L1317" s="385"/>
      <c r="M1317" s="391"/>
      <c r="N1317" s="385"/>
      <c r="O1317" s="190"/>
    </row>
    <row r="1318" spans="2:15" ht="16" x14ac:dyDescent="0.2">
      <c r="C1318" s="119">
        <v>25</v>
      </c>
      <c r="D1318" s="383"/>
      <c r="E1318" s="389"/>
      <c r="F1318" s="385"/>
      <c r="G1318" s="391"/>
      <c r="H1318" s="385"/>
      <c r="I1318" s="391"/>
      <c r="J1318" s="385"/>
      <c r="K1318" s="391"/>
      <c r="L1318" s="385"/>
      <c r="M1318" s="391"/>
      <c r="N1318" s="385"/>
      <c r="O1318" s="190"/>
    </row>
    <row r="1319" spans="2:15" ht="16" x14ac:dyDescent="0.2">
      <c r="C1319" s="119">
        <v>26</v>
      </c>
      <c r="D1319" s="383"/>
      <c r="E1319" s="389"/>
      <c r="F1319" s="385"/>
      <c r="G1319" s="391"/>
      <c r="H1319" s="385"/>
      <c r="I1319" s="391"/>
      <c r="J1319" s="385"/>
      <c r="K1319" s="391"/>
      <c r="L1319" s="385"/>
      <c r="M1319" s="391"/>
      <c r="N1319" s="385"/>
      <c r="O1319" s="190"/>
    </row>
    <row r="1320" spans="2:15" ht="16" x14ac:dyDescent="0.2">
      <c r="C1320" s="119">
        <v>27</v>
      </c>
      <c r="D1320" s="383"/>
      <c r="E1320" s="389"/>
      <c r="F1320" s="385"/>
      <c r="G1320" s="391"/>
      <c r="H1320" s="385"/>
      <c r="I1320" s="391"/>
      <c r="J1320" s="385"/>
      <c r="K1320" s="391"/>
      <c r="L1320" s="385"/>
      <c r="M1320" s="391"/>
      <c r="N1320" s="385"/>
      <c r="O1320" s="190"/>
    </row>
    <row r="1321" spans="2:15" ht="16" x14ac:dyDescent="0.2">
      <c r="C1321" s="119">
        <v>28</v>
      </c>
      <c r="D1321" s="383"/>
      <c r="E1321" s="389"/>
      <c r="F1321" s="385"/>
      <c r="G1321" s="391"/>
      <c r="H1321" s="385"/>
      <c r="I1321" s="391"/>
      <c r="J1321" s="385"/>
      <c r="K1321" s="391"/>
      <c r="L1321" s="385"/>
      <c r="M1321" s="391"/>
      <c r="N1321" s="385"/>
      <c r="O1321" s="190"/>
    </row>
    <row r="1322" spans="2:15" ht="16" x14ac:dyDescent="0.2">
      <c r="C1322" s="119">
        <v>29</v>
      </c>
      <c r="D1322" s="383"/>
      <c r="E1322" s="389"/>
      <c r="F1322" s="385"/>
      <c r="G1322" s="391"/>
      <c r="H1322" s="385"/>
      <c r="I1322" s="391"/>
      <c r="J1322" s="385"/>
      <c r="K1322" s="391"/>
      <c r="L1322" s="385"/>
      <c r="M1322" s="391"/>
      <c r="N1322" s="385"/>
      <c r="O1322" s="190"/>
    </row>
    <row r="1323" spans="2:15" ht="16" x14ac:dyDescent="0.2">
      <c r="C1323" s="119">
        <v>30</v>
      </c>
      <c r="D1323" s="383"/>
      <c r="E1323" s="389"/>
      <c r="F1323" s="385"/>
      <c r="G1323" s="391"/>
      <c r="H1323" s="385"/>
      <c r="I1323" s="391"/>
      <c r="J1323" s="385"/>
      <c r="K1323" s="391"/>
      <c r="L1323" s="385"/>
      <c r="M1323" s="391"/>
      <c r="N1323" s="385"/>
      <c r="O1323" s="190"/>
    </row>
    <row r="1324" spans="2:15" ht="16" x14ac:dyDescent="0.2">
      <c r="C1324" s="120">
        <v>31</v>
      </c>
      <c r="D1324" s="383"/>
      <c r="E1324" s="389"/>
      <c r="F1324" s="384"/>
      <c r="G1324" s="390"/>
      <c r="H1324" s="384"/>
      <c r="I1324" s="390"/>
      <c r="J1324" s="384"/>
      <c r="K1324" s="390"/>
      <c r="L1324" s="384"/>
      <c r="M1324" s="390"/>
      <c r="N1324" s="384"/>
      <c r="O1324" s="190"/>
    </row>
    <row r="1325" spans="2:15" ht="16" x14ac:dyDescent="0.2">
      <c r="B1325" s="256"/>
      <c r="C1325" s="377">
        <v>32</v>
      </c>
      <c r="D1325" s="384"/>
      <c r="E1325" s="390"/>
      <c r="F1325" s="384"/>
      <c r="G1325" s="390"/>
      <c r="H1325" s="384"/>
      <c r="I1325" s="390"/>
      <c r="J1325" s="384"/>
      <c r="K1325" s="390"/>
      <c r="L1325" s="384"/>
      <c r="M1325" s="390"/>
      <c r="N1325" s="384"/>
      <c r="O1325" s="190"/>
    </row>
    <row r="1326" spans="2:15" ht="16" x14ac:dyDescent="0.2">
      <c r="B1326" s="256"/>
      <c r="C1326" s="119">
        <v>33</v>
      </c>
      <c r="D1326" s="385"/>
      <c r="E1326" s="391"/>
      <c r="F1326" s="385"/>
      <c r="G1326" s="391"/>
      <c r="H1326" s="385"/>
      <c r="I1326" s="391"/>
      <c r="J1326" s="385"/>
      <c r="K1326" s="391"/>
      <c r="L1326" s="385"/>
      <c r="M1326" s="391"/>
      <c r="N1326" s="385"/>
      <c r="O1326" s="190"/>
    </row>
    <row r="1327" spans="2:15" ht="16" x14ac:dyDescent="0.2">
      <c r="B1327" s="256"/>
      <c r="C1327" s="119">
        <v>34</v>
      </c>
      <c r="D1327" s="385"/>
      <c r="E1327" s="391"/>
      <c r="F1327" s="385"/>
      <c r="G1327" s="391"/>
      <c r="H1327" s="385"/>
      <c r="I1327" s="391"/>
      <c r="J1327" s="385"/>
      <c r="K1327" s="391"/>
      <c r="L1327" s="385"/>
      <c r="M1327" s="391"/>
      <c r="N1327" s="385"/>
      <c r="O1327" s="190"/>
    </row>
    <row r="1328" spans="2:15" ht="16" x14ac:dyDescent="0.2">
      <c r="B1328" s="256"/>
      <c r="C1328" s="119">
        <v>35</v>
      </c>
      <c r="D1328" s="385"/>
      <c r="E1328" s="391"/>
      <c r="F1328" s="385"/>
      <c r="G1328" s="391"/>
      <c r="H1328" s="385"/>
      <c r="I1328" s="391"/>
      <c r="J1328" s="385"/>
      <c r="K1328" s="391"/>
      <c r="L1328" s="385"/>
      <c r="M1328" s="391"/>
      <c r="N1328" s="385"/>
      <c r="O1328" s="190"/>
    </row>
    <row r="1329" spans="2:15" ht="16" x14ac:dyDescent="0.2">
      <c r="B1329" s="256"/>
      <c r="C1329" s="119">
        <v>36</v>
      </c>
      <c r="D1329" s="385"/>
      <c r="E1329" s="391"/>
      <c r="F1329" s="385"/>
      <c r="G1329" s="391"/>
      <c r="H1329" s="385"/>
      <c r="I1329" s="391"/>
      <c r="J1329" s="385"/>
      <c r="K1329" s="391"/>
      <c r="L1329" s="385"/>
      <c r="M1329" s="391"/>
      <c r="N1329" s="385"/>
      <c r="O1329" s="190"/>
    </row>
    <row r="1330" spans="2:15" ht="17" thickBot="1" x14ac:dyDescent="0.25">
      <c r="B1330" s="256"/>
      <c r="C1330" s="378">
        <v>37</v>
      </c>
      <c r="D1330" s="386"/>
      <c r="E1330" s="392"/>
      <c r="F1330" s="386"/>
      <c r="G1330" s="392"/>
      <c r="H1330" s="386"/>
      <c r="I1330" s="392"/>
      <c r="J1330" s="386"/>
      <c r="K1330" s="392"/>
      <c r="L1330" s="386"/>
      <c r="M1330" s="392"/>
      <c r="N1330" s="386"/>
      <c r="O1330" s="190"/>
    </row>
    <row r="1331" spans="2:15" ht="17" thickBot="1" x14ac:dyDescent="0.25">
      <c r="C1331" s="825" t="s">
        <v>19</v>
      </c>
      <c r="D1331" s="826"/>
      <c r="E1331" s="380"/>
      <c r="F1331" s="376">
        <f>(F1294+F1295+F1296+F1297+F1298+F1299+F1315+F1302+F1303+F1300+F1301+F1304+F1305+F1306+F1307+F1308+F1309+F1310+F1311+F1312+F1313+F1314+F1316+F1317+F1319+F1320+F1321+F1322+F1323+F1324+F1325+F1326+F1327+F1330)/2</f>
        <v>84</v>
      </c>
      <c r="G1331" s="397">
        <f>(G1294+G1295+G1296+G1297+G1298+G1315+G1299+G1303+G1302+G1300+G1301+G1304+G1305+G1306+G1307+G1308+G1309+G1310+G1311+G1312+G1313+G1314+G1316+G1317+G1319+G1320+G1321+G1322+G1323+G1324+G1325+G1326)/2</f>
        <v>56</v>
      </c>
      <c r="H1331" s="399">
        <f>(H1294+H1295+H1296+H1297+H1298+H1299+H1315+H1318+H1302+H1303+H1300+H1301+H1304+H1305+H1306+H1307+H1308+H1309+H1310+H1311+H1312+H1313+H1314+H1316+H1317+H1319+H1320+H1321+H1322+H1323+H1324+H1325+H1326+H1327+H1330)/2</f>
        <v>28</v>
      </c>
      <c r="I1331" s="398">
        <f>(I1294+I1295+I1296+I1297+I1298+I1328+I1329+I1299+I1315+I1302+I1318+I1303+I1300+I1301+I1304+I1305+I1306+I1307+I1308+I1309+I1310+I1311+I1312+I1313+I1314+I1316+I1317+I1319+I1320+I1321+I1322+I1323+I1324+I1325+I1326+I1327+I1330)/2</f>
        <v>55</v>
      </c>
      <c r="J1331" s="376">
        <f>(J1294+J1295+J1296+J1297+J1298+J1299+J1303+J1300+J1302+J1301+J1318+J1304+J1305+J1306+J1307+J1308+J1309+J1310+J1311+J1312+J1313+J1314+J1315+J1316+J1317+J1319+J1320+J1321+J1322+J1323+J1324+J1325+J1326)/2</f>
        <v>93.5</v>
      </c>
      <c r="K1331" s="397">
        <f>(K1294+K1295+K1296+K1297+K1298+K1299+K1303+K1300+K1301+K1304+K1305+K1306+K1307+K1308+K1309+K1310+K1311+K1312+K1313+K1314+K1316+K1317+K1319+K1320+K1321+K1322+K1323+K1324+K1325+K1326+K1315)</f>
        <v>0</v>
      </c>
      <c r="L1331" s="399">
        <f>SUM(L1294:L1330)</f>
        <v>0</v>
      </c>
      <c r="M1331" s="398">
        <f>(M1294+M1295+M1296+M1297+M1298+M1299+M1303+M1302+M1300+M1301+M1304+M1305+M1306+M1307+M1308+M1309+M1310+M1311+M1312+M1313+M1314+M1316+M1317+M1319+M1320+M1321+M1322+M1323+M1324+M1325+M1326)/2</f>
        <v>0</v>
      </c>
      <c r="N1331" s="376"/>
      <c r="O1331" s="41"/>
    </row>
    <row r="1332" spans="2:15" ht="17" thickBot="1" x14ac:dyDescent="0.25">
      <c r="C1332" s="825" t="s">
        <v>91</v>
      </c>
      <c r="D1332" s="826"/>
      <c r="E1332" s="381">
        <f>SUM(F1331:J1331)</f>
        <v>316.5</v>
      </c>
    </row>
    <row r="1333" spans="2:15" ht="16" thickBot="1" x14ac:dyDescent="0.25"/>
    <row r="1334" spans="2:15" ht="17" thickBot="1" x14ac:dyDescent="0.25">
      <c r="C1334" s="17"/>
      <c r="D1334" s="379" t="s">
        <v>83</v>
      </c>
      <c r="E1334" s="818" t="s">
        <v>63</v>
      </c>
      <c r="F1334" s="819"/>
      <c r="G1334" s="819"/>
      <c r="H1334" s="819"/>
      <c r="I1334" s="819"/>
      <c r="J1334" s="400" t="s">
        <v>76</v>
      </c>
      <c r="K1334" s="820">
        <v>45698</v>
      </c>
      <c r="L1334" s="821"/>
      <c r="M1334" s="821"/>
      <c r="N1334" s="821"/>
      <c r="O1334" s="822"/>
    </row>
    <row r="1335" spans="2:15" ht="16" thickBot="1" x14ac:dyDescent="0.25">
      <c r="B1335" s="175" t="s">
        <v>76</v>
      </c>
      <c r="C1335" s="175" t="s">
        <v>77</v>
      </c>
      <c r="D1335" s="823" t="s">
        <v>122</v>
      </c>
      <c r="E1335" s="824"/>
      <c r="F1335" s="175" t="s">
        <v>104</v>
      </c>
      <c r="G1335" s="395" t="s">
        <v>86</v>
      </c>
      <c r="H1335" s="175" t="s">
        <v>88</v>
      </c>
      <c r="I1335" s="395" t="s">
        <v>87</v>
      </c>
      <c r="J1335" s="401" t="s">
        <v>85</v>
      </c>
      <c r="K1335" s="395" t="s">
        <v>123</v>
      </c>
      <c r="L1335" s="175" t="s">
        <v>124</v>
      </c>
      <c r="M1335" s="395" t="s">
        <v>100</v>
      </c>
      <c r="N1335" s="175" t="s">
        <v>213</v>
      </c>
      <c r="O1335" s="404" t="s">
        <v>125</v>
      </c>
    </row>
    <row r="1336" spans="2:15" ht="16" thickBot="1" x14ac:dyDescent="0.25">
      <c r="B1336" s="176">
        <f>K1334</f>
        <v>45698</v>
      </c>
      <c r="C1336" s="374"/>
      <c r="D1336" s="375" t="s">
        <v>126</v>
      </c>
      <c r="E1336" s="387" t="s">
        <v>127</v>
      </c>
      <c r="F1336" s="331">
        <v>13</v>
      </c>
      <c r="G1336" s="237">
        <v>9</v>
      </c>
      <c r="H1336" s="331">
        <v>0</v>
      </c>
      <c r="I1336" s="237">
        <v>6</v>
      </c>
      <c r="J1336" s="331">
        <v>11</v>
      </c>
      <c r="K1336" s="231"/>
      <c r="L1336" s="125"/>
      <c r="M1336" s="231"/>
      <c r="N1336" s="125"/>
      <c r="O1336" s="326"/>
    </row>
    <row r="1337" spans="2:15" ht="16" x14ac:dyDescent="0.2">
      <c r="C1337" s="118">
        <v>1</v>
      </c>
      <c r="D1337" s="382">
        <v>0.3923611111111111</v>
      </c>
      <c r="E1337" s="388">
        <v>0.41319444444444442</v>
      </c>
      <c r="F1337" s="393">
        <v>28</v>
      </c>
      <c r="G1337" s="396"/>
      <c r="H1337" s="393"/>
      <c r="I1337" s="396"/>
      <c r="J1337" s="393"/>
      <c r="K1337" s="396"/>
      <c r="L1337" s="393"/>
      <c r="M1337" s="396"/>
      <c r="N1337" s="393"/>
      <c r="O1337" s="190"/>
    </row>
    <row r="1338" spans="2:15" ht="16" x14ac:dyDescent="0.2">
      <c r="C1338" s="119">
        <v>2</v>
      </c>
      <c r="D1338" s="383">
        <v>0.41666666666666669</v>
      </c>
      <c r="E1338" s="389">
        <v>0.4375</v>
      </c>
      <c r="F1338" s="385">
        <v>28</v>
      </c>
      <c r="G1338" s="391"/>
      <c r="H1338" s="385"/>
      <c r="I1338" s="391"/>
      <c r="J1338" s="385"/>
      <c r="K1338" s="391"/>
      <c r="L1338" s="385"/>
      <c r="M1338" s="391"/>
      <c r="N1338" s="385"/>
      <c r="O1338" s="190"/>
    </row>
    <row r="1339" spans="2:15" ht="16" x14ac:dyDescent="0.2">
      <c r="C1339" s="119">
        <v>3</v>
      </c>
      <c r="D1339" s="383">
        <v>0.4375</v>
      </c>
      <c r="E1339" s="389">
        <v>0.45833333333333331</v>
      </c>
      <c r="F1339" s="385">
        <v>28</v>
      </c>
      <c r="G1339" s="391"/>
      <c r="H1339" s="385"/>
      <c r="I1339" s="391"/>
      <c r="J1339" s="385"/>
      <c r="K1339" s="391"/>
      <c r="L1339" s="384"/>
      <c r="M1339" s="391"/>
      <c r="N1339" s="385"/>
      <c r="O1339" s="190"/>
    </row>
    <row r="1340" spans="2:15" ht="16" x14ac:dyDescent="0.2">
      <c r="C1340" s="119">
        <v>4</v>
      </c>
      <c r="D1340" s="383">
        <v>0.45833333333333331</v>
      </c>
      <c r="E1340" s="389">
        <v>0.47916666666666669</v>
      </c>
      <c r="F1340" s="385">
        <v>28</v>
      </c>
      <c r="G1340" s="391"/>
      <c r="H1340" s="316"/>
      <c r="I1340" s="391"/>
      <c r="J1340" s="385"/>
      <c r="K1340" s="391"/>
      <c r="L1340" s="402"/>
      <c r="M1340" s="391"/>
      <c r="N1340" s="385"/>
      <c r="O1340" s="190"/>
    </row>
    <row r="1341" spans="2:15" ht="16" x14ac:dyDescent="0.2">
      <c r="C1341" s="119">
        <v>5</v>
      </c>
      <c r="D1341" s="383">
        <v>0.47916666666666669</v>
      </c>
      <c r="E1341" s="389">
        <v>0.5</v>
      </c>
      <c r="F1341" s="385">
        <v>28</v>
      </c>
      <c r="G1341" s="391"/>
      <c r="H1341" s="316"/>
      <c r="I1341" s="391"/>
      <c r="J1341" s="385"/>
      <c r="K1341" s="391"/>
      <c r="L1341" s="393"/>
      <c r="M1341" s="391"/>
      <c r="N1341" s="385"/>
      <c r="O1341" s="190"/>
    </row>
    <row r="1342" spans="2:15" ht="16" x14ac:dyDescent="0.2">
      <c r="C1342" s="119">
        <v>6</v>
      </c>
      <c r="D1342" s="383">
        <v>0.5</v>
      </c>
      <c r="E1342" s="389">
        <v>0.52083333333333337</v>
      </c>
      <c r="F1342" s="385">
        <v>28</v>
      </c>
      <c r="G1342" s="391"/>
      <c r="H1342" s="316"/>
      <c r="I1342" s="391"/>
      <c r="J1342" s="385"/>
      <c r="K1342" s="391"/>
      <c r="L1342" s="393"/>
      <c r="M1342" s="391"/>
      <c r="N1342" s="385"/>
      <c r="O1342" s="190"/>
    </row>
    <row r="1343" spans="2:15" ht="16" x14ac:dyDescent="0.2">
      <c r="C1343" s="119">
        <v>7</v>
      </c>
      <c r="D1343" s="383">
        <v>0.50694444444444442</v>
      </c>
      <c r="E1343" s="389">
        <v>0.52777777777777779</v>
      </c>
      <c r="F1343" s="385">
        <v>14</v>
      </c>
      <c r="G1343" s="391"/>
      <c r="H1343" s="316"/>
      <c r="I1343" s="391"/>
      <c r="J1343" s="385"/>
      <c r="K1343" s="391"/>
      <c r="L1343" s="393"/>
      <c r="M1343" s="391"/>
      <c r="N1343" s="385"/>
      <c r="O1343" s="190"/>
    </row>
    <row r="1344" spans="2:15" ht="16" x14ac:dyDescent="0.2">
      <c r="C1344" s="119">
        <v>8</v>
      </c>
      <c r="D1344" s="383">
        <v>0.51041666666666663</v>
      </c>
      <c r="E1344" s="389">
        <v>0.53125</v>
      </c>
      <c r="F1344" s="385"/>
      <c r="G1344" s="391"/>
      <c r="H1344" s="316"/>
      <c r="I1344" s="391"/>
      <c r="J1344" s="385">
        <v>36</v>
      </c>
      <c r="K1344" s="391"/>
      <c r="L1344" s="385"/>
      <c r="M1344" s="391"/>
      <c r="N1344" s="385"/>
      <c r="O1344" s="190"/>
    </row>
    <row r="1345" spans="3:15" ht="16" x14ac:dyDescent="0.2">
      <c r="C1345" s="119">
        <v>9</v>
      </c>
      <c r="D1345" s="383">
        <v>0.53125</v>
      </c>
      <c r="E1345" s="389">
        <v>0.55208333333333337</v>
      </c>
      <c r="F1345" s="385"/>
      <c r="G1345" s="391"/>
      <c r="H1345" s="316"/>
      <c r="I1345" s="391"/>
      <c r="J1345" s="385">
        <v>32</v>
      </c>
      <c r="K1345" s="391"/>
      <c r="L1345" s="385"/>
      <c r="M1345" s="391"/>
      <c r="N1345" s="385"/>
      <c r="O1345" s="190"/>
    </row>
    <row r="1346" spans="3:15" ht="16" x14ac:dyDescent="0.2">
      <c r="C1346" s="119">
        <v>10</v>
      </c>
      <c r="D1346" s="383">
        <v>0.55208333333333337</v>
      </c>
      <c r="E1346" s="389">
        <v>0.57291666666666663</v>
      </c>
      <c r="F1346" s="385"/>
      <c r="G1346" s="391"/>
      <c r="H1346" s="316"/>
      <c r="I1346" s="391"/>
      <c r="J1346" s="385">
        <v>36</v>
      </c>
      <c r="K1346" s="391"/>
      <c r="L1346" s="385"/>
      <c r="M1346" s="391"/>
      <c r="N1346" s="385"/>
      <c r="O1346" s="190"/>
    </row>
    <row r="1347" spans="3:15" ht="16" x14ac:dyDescent="0.2">
      <c r="C1347" s="119">
        <v>11</v>
      </c>
      <c r="D1347" s="383">
        <v>0.57291666666666663</v>
      </c>
      <c r="E1347" s="389">
        <v>0.59375</v>
      </c>
      <c r="F1347" s="385"/>
      <c r="G1347" s="391"/>
      <c r="H1347" s="316"/>
      <c r="I1347" s="391"/>
      <c r="J1347" s="28">
        <v>36</v>
      </c>
      <c r="K1347" s="391"/>
      <c r="L1347" s="385"/>
      <c r="M1347" s="391"/>
      <c r="N1347" s="385"/>
      <c r="O1347" s="190"/>
    </row>
    <row r="1348" spans="3:15" ht="16" x14ac:dyDescent="0.2">
      <c r="C1348" s="193">
        <v>12</v>
      </c>
      <c r="D1348" s="383">
        <v>0.59375</v>
      </c>
      <c r="E1348" s="389">
        <v>0.61458333333333337</v>
      </c>
      <c r="F1348" s="385"/>
      <c r="G1348" s="391"/>
      <c r="H1348" s="316"/>
      <c r="I1348" s="391"/>
      <c r="J1348" s="385">
        <v>36</v>
      </c>
      <c r="K1348" s="391"/>
      <c r="L1348" s="385"/>
      <c r="M1348" s="391"/>
      <c r="N1348" s="385"/>
      <c r="O1348" s="190"/>
    </row>
    <row r="1349" spans="3:15" ht="16" x14ac:dyDescent="0.2">
      <c r="C1349" s="119">
        <v>13</v>
      </c>
      <c r="D1349" s="383">
        <v>0.61458333333333337</v>
      </c>
      <c r="E1349" s="389">
        <v>0.63541666666666663</v>
      </c>
      <c r="F1349" s="385"/>
      <c r="G1349" s="391"/>
      <c r="H1349" s="316"/>
      <c r="I1349" s="391"/>
      <c r="J1349" s="385">
        <v>18</v>
      </c>
      <c r="K1349" s="391"/>
      <c r="L1349" s="385"/>
      <c r="M1349" s="391"/>
      <c r="N1349" s="385"/>
      <c r="O1349" s="190"/>
    </row>
    <row r="1350" spans="3:15" ht="16" x14ac:dyDescent="0.2">
      <c r="C1350" s="119">
        <v>14</v>
      </c>
      <c r="D1350" s="383">
        <v>0.61458333333333337</v>
      </c>
      <c r="E1350" s="389">
        <v>0.63541666666666663</v>
      </c>
      <c r="F1350" s="385"/>
      <c r="G1350" s="391">
        <v>14</v>
      </c>
      <c r="H1350" s="316"/>
      <c r="I1350" s="391"/>
      <c r="J1350" s="385"/>
      <c r="K1350" s="391"/>
      <c r="L1350" s="385"/>
      <c r="M1350" s="391"/>
      <c r="N1350" s="385"/>
      <c r="O1350" s="190"/>
    </row>
    <row r="1351" spans="3:15" ht="16" x14ac:dyDescent="0.2">
      <c r="C1351" s="119">
        <v>15</v>
      </c>
      <c r="D1351" s="383">
        <v>0.65625</v>
      </c>
      <c r="E1351" s="389">
        <v>0.67708333333333337</v>
      </c>
      <c r="F1351" s="385"/>
      <c r="G1351" s="391"/>
      <c r="H1351" s="316"/>
      <c r="I1351" s="391">
        <v>44</v>
      </c>
      <c r="J1351" s="385"/>
      <c r="K1351" s="391"/>
      <c r="L1351" s="385"/>
      <c r="M1351" s="391"/>
      <c r="N1351" s="385"/>
      <c r="O1351" s="190"/>
    </row>
    <row r="1352" spans="3:15" ht="16" x14ac:dyDescent="0.2">
      <c r="C1352" s="119">
        <v>16</v>
      </c>
      <c r="D1352" s="383">
        <v>0.67708333333333337</v>
      </c>
      <c r="E1352" s="389">
        <v>0.69791666666666663</v>
      </c>
      <c r="F1352" s="385"/>
      <c r="G1352" s="391"/>
      <c r="H1352" s="316"/>
      <c r="I1352" s="391">
        <v>44</v>
      </c>
      <c r="J1352" s="385"/>
      <c r="K1352" s="391"/>
      <c r="L1352" s="385"/>
      <c r="M1352" s="391"/>
      <c r="N1352" s="385"/>
      <c r="O1352" s="190"/>
    </row>
    <row r="1353" spans="3:15" ht="16" x14ac:dyDescent="0.2">
      <c r="C1353" s="119">
        <v>17</v>
      </c>
      <c r="D1353" s="383">
        <v>0.69791666666666663</v>
      </c>
      <c r="E1353" s="389">
        <v>0.71875</v>
      </c>
      <c r="F1353" s="384"/>
      <c r="G1353" s="33"/>
      <c r="H1353" s="316"/>
      <c r="I1353" s="390">
        <v>44</v>
      </c>
      <c r="J1353" s="385"/>
      <c r="K1353" s="391"/>
      <c r="L1353" s="385"/>
      <c r="M1353" s="391"/>
      <c r="N1353" s="385"/>
      <c r="O1353" s="190"/>
    </row>
    <row r="1354" spans="3:15" ht="16" x14ac:dyDescent="0.2">
      <c r="C1354" s="119">
        <v>18</v>
      </c>
      <c r="D1354" s="383">
        <v>0.72222222222222221</v>
      </c>
      <c r="E1354" s="389">
        <v>0.74305555555555547</v>
      </c>
      <c r="F1354" s="394"/>
      <c r="G1354" s="229">
        <v>28</v>
      </c>
      <c r="H1354" s="394"/>
      <c r="I1354" s="391"/>
      <c r="J1354" s="385"/>
      <c r="K1354" s="391"/>
      <c r="L1354" s="385"/>
      <c r="M1354" s="391"/>
      <c r="N1354" s="385"/>
      <c r="O1354" s="190"/>
    </row>
    <row r="1355" spans="3:15" ht="16" x14ac:dyDescent="0.2">
      <c r="C1355" s="119">
        <v>19</v>
      </c>
      <c r="D1355" s="383">
        <v>0.74305555555555547</v>
      </c>
      <c r="E1355" s="389">
        <v>0.76388888888888884</v>
      </c>
      <c r="F1355" s="385"/>
      <c r="G1355" s="391">
        <v>28</v>
      </c>
      <c r="H1355" s="385"/>
      <c r="I1355" s="391"/>
      <c r="J1355" s="385"/>
      <c r="K1355" s="391"/>
      <c r="L1355" s="403"/>
      <c r="M1355" s="391"/>
      <c r="N1355" s="385"/>
      <c r="O1355" s="190"/>
    </row>
    <row r="1356" spans="3:15" ht="16" x14ac:dyDescent="0.2">
      <c r="C1356" s="119">
        <v>20</v>
      </c>
      <c r="D1356" s="383">
        <v>0.76388888888888884</v>
      </c>
      <c r="E1356" s="389">
        <v>0.78472222222222221</v>
      </c>
      <c r="F1356" s="385"/>
      <c r="G1356" s="391">
        <v>28</v>
      </c>
      <c r="H1356" s="385"/>
      <c r="I1356" s="391"/>
      <c r="J1356" s="385"/>
      <c r="K1356" s="391"/>
      <c r="L1356" s="403"/>
      <c r="M1356" s="391"/>
      <c r="N1356" s="385"/>
      <c r="O1356" s="190"/>
    </row>
    <row r="1357" spans="3:15" ht="16" x14ac:dyDescent="0.2">
      <c r="C1357" s="119">
        <v>21</v>
      </c>
      <c r="D1357" s="383">
        <v>0.78472222222222221</v>
      </c>
      <c r="E1357" s="389">
        <v>0.80555555555555547</v>
      </c>
      <c r="F1357" s="385"/>
      <c r="G1357" s="391">
        <v>28</v>
      </c>
      <c r="H1357" s="385"/>
      <c r="I1357" s="391"/>
      <c r="J1357" s="385"/>
      <c r="K1357" s="391"/>
      <c r="L1357" s="385"/>
      <c r="M1357" s="391"/>
      <c r="N1357" s="385"/>
      <c r="O1357" s="190"/>
    </row>
    <row r="1358" spans="3:15" ht="16" x14ac:dyDescent="0.2">
      <c r="C1358" s="119">
        <v>22</v>
      </c>
      <c r="D1358" s="383"/>
      <c r="E1358" s="389"/>
      <c r="F1358" s="385"/>
      <c r="G1358" s="391"/>
      <c r="H1358" s="385"/>
      <c r="I1358" s="391"/>
      <c r="J1358" s="385"/>
      <c r="K1358" s="391"/>
      <c r="L1358" s="385"/>
      <c r="M1358" s="391"/>
      <c r="N1358" s="385"/>
      <c r="O1358" s="190"/>
    </row>
    <row r="1359" spans="3:15" ht="16" x14ac:dyDescent="0.2">
      <c r="C1359" s="119">
        <v>23</v>
      </c>
      <c r="D1359" s="383"/>
      <c r="E1359" s="389"/>
      <c r="F1359" s="385"/>
      <c r="G1359" s="391"/>
      <c r="H1359" s="385"/>
      <c r="I1359" s="391"/>
      <c r="J1359" s="385"/>
      <c r="K1359" s="391"/>
      <c r="L1359" s="385"/>
      <c r="M1359" s="391"/>
      <c r="N1359" s="385"/>
      <c r="O1359" s="190"/>
    </row>
    <row r="1360" spans="3:15" ht="16" x14ac:dyDescent="0.2">
      <c r="C1360" s="119">
        <v>24</v>
      </c>
      <c r="D1360" s="383"/>
      <c r="E1360" s="389"/>
      <c r="F1360" s="385"/>
      <c r="G1360" s="391"/>
      <c r="H1360" s="385"/>
      <c r="I1360" s="391"/>
      <c r="J1360" s="385"/>
      <c r="K1360" s="391"/>
      <c r="L1360" s="385"/>
      <c r="M1360" s="391"/>
      <c r="N1360" s="385"/>
      <c r="O1360" s="190"/>
    </row>
    <row r="1361" spans="2:15" ht="16" x14ac:dyDescent="0.2">
      <c r="C1361" s="119">
        <v>25</v>
      </c>
      <c r="D1361" s="383"/>
      <c r="E1361" s="389"/>
      <c r="F1361" s="385"/>
      <c r="G1361" s="391"/>
      <c r="H1361" s="385"/>
      <c r="I1361" s="391"/>
      <c r="J1361" s="385"/>
      <c r="K1361" s="391"/>
      <c r="L1361" s="385"/>
      <c r="M1361" s="391"/>
      <c r="N1361" s="385"/>
      <c r="O1361" s="190"/>
    </row>
    <row r="1362" spans="2:15" ht="16" x14ac:dyDescent="0.2">
      <c r="C1362" s="119">
        <v>26</v>
      </c>
      <c r="D1362" s="383"/>
      <c r="E1362" s="389"/>
      <c r="F1362" s="385"/>
      <c r="G1362" s="391"/>
      <c r="H1362" s="385"/>
      <c r="I1362" s="391"/>
      <c r="J1362" s="385"/>
      <c r="K1362" s="391"/>
      <c r="L1362" s="385"/>
      <c r="M1362" s="391"/>
      <c r="N1362" s="385"/>
      <c r="O1362" s="190"/>
    </row>
    <row r="1363" spans="2:15" ht="16" x14ac:dyDescent="0.2">
      <c r="C1363" s="119">
        <v>27</v>
      </c>
      <c r="D1363" s="383"/>
      <c r="E1363" s="389"/>
      <c r="F1363" s="385"/>
      <c r="G1363" s="391"/>
      <c r="H1363" s="385"/>
      <c r="I1363" s="391"/>
      <c r="J1363" s="385"/>
      <c r="K1363" s="391"/>
      <c r="L1363" s="385"/>
      <c r="M1363" s="391"/>
      <c r="N1363" s="385"/>
      <c r="O1363" s="190"/>
    </row>
    <row r="1364" spans="2:15" ht="16" x14ac:dyDescent="0.2">
      <c r="C1364" s="119">
        <v>28</v>
      </c>
      <c r="D1364" s="383"/>
      <c r="E1364" s="389"/>
      <c r="F1364" s="385"/>
      <c r="G1364" s="391"/>
      <c r="H1364" s="385"/>
      <c r="I1364" s="391"/>
      <c r="J1364" s="385"/>
      <c r="K1364" s="391"/>
      <c r="L1364" s="385"/>
      <c r="M1364" s="391"/>
      <c r="N1364" s="385"/>
      <c r="O1364" s="190"/>
    </row>
    <row r="1365" spans="2:15" ht="16" x14ac:dyDescent="0.2">
      <c r="C1365" s="119">
        <v>29</v>
      </c>
      <c r="D1365" s="383"/>
      <c r="E1365" s="389"/>
      <c r="F1365" s="385"/>
      <c r="G1365" s="391"/>
      <c r="H1365" s="385"/>
      <c r="I1365" s="391"/>
      <c r="J1365" s="385"/>
      <c r="K1365" s="391"/>
      <c r="L1365" s="385"/>
      <c r="M1365" s="391"/>
      <c r="N1365" s="385"/>
      <c r="O1365" s="190"/>
    </row>
    <row r="1366" spans="2:15" ht="16" x14ac:dyDescent="0.2">
      <c r="C1366" s="119">
        <v>30</v>
      </c>
      <c r="D1366" s="383"/>
      <c r="E1366" s="389"/>
      <c r="F1366" s="385"/>
      <c r="G1366" s="391"/>
      <c r="H1366" s="385"/>
      <c r="I1366" s="391"/>
      <c r="J1366" s="385"/>
      <c r="K1366" s="391"/>
      <c r="L1366" s="385"/>
      <c r="M1366" s="391"/>
      <c r="N1366" s="385"/>
      <c r="O1366" s="190"/>
    </row>
    <row r="1367" spans="2:15" ht="16" x14ac:dyDescent="0.2">
      <c r="C1367" s="120">
        <v>31</v>
      </c>
      <c r="D1367" s="383"/>
      <c r="E1367" s="389"/>
      <c r="F1367" s="384"/>
      <c r="G1367" s="390"/>
      <c r="H1367" s="384"/>
      <c r="I1367" s="390"/>
      <c r="J1367" s="384"/>
      <c r="K1367" s="390"/>
      <c r="L1367" s="384"/>
      <c r="M1367" s="390"/>
      <c r="N1367" s="384"/>
      <c r="O1367" s="190"/>
    </row>
    <row r="1368" spans="2:15" ht="16" x14ac:dyDescent="0.2">
      <c r="B1368" s="256"/>
      <c r="C1368" s="377">
        <v>32</v>
      </c>
      <c r="D1368" s="384"/>
      <c r="E1368" s="390"/>
      <c r="F1368" s="384"/>
      <c r="G1368" s="390"/>
      <c r="H1368" s="384"/>
      <c r="I1368" s="390"/>
      <c r="J1368" s="384"/>
      <c r="K1368" s="390"/>
      <c r="L1368" s="384"/>
      <c r="M1368" s="390"/>
      <c r="N1368" s="384"/>
      <c r="O1368" s="190"/>
    </row>
    <row r="1369" spans="2:15" ht="16" x14ac:dyDescent="0.2">
      <c r="B1369" s="256"/>
      <c r="C1369" s="119">
        <v>33</v>
      </c>
      <c r="D1369" s="385"/>
      <c r="E1369" s="391"/>
      <c r="F1369" s="385"/>
      <c r="G1369" s="391"/>
      <c r="H1369" s="385"/>
      <c r="I1369" s="391"/>
      <c r="J1369" s="385"/>
      <c r="K1369" s="391"/>
      <c r="L1369" s="385"/>
      <c r="M1369" s="391"/>
      <c r="N1369" s="385"/>
      <c r="O1369" s="190"/>
    </row>
    <row r="1370" spans="2:15" ht="16" x14ac:dyDescent="0.2">
      <c r="B1370" s="256"/>
      <c r="C1370" s="119">
        <v>34</v>
      </c>
      <c r="D1370" s="385"/>
      <c r="E1370" s="391"/>
      <c r="F1370" s="385"/>
      <c r="G1370" s="391"/>
      <c r="H1370" s="385"/>
      <c r="I1370" s="391"/>
      <c r="J1370" s="385"/>
      <c r="K1370" s="391"/>
      <c r="L1370" s="385"/>
      <c r="M1370" s="391"/>
      <c r="N1370" s="385"/>
      <c r="O1370" s="190"/>
    </row>
    <row r="1371" spans="2:15" ht="16" x14ac:dyDescent="0.2">
      <c r="B1371" s="256"/>
      <c r="C1371" s="119">
        <v>35</v>
      </c>
      <c r="D1371" s="385"/>
      <c r="E1371" s="391"/>
      <c r="F1371" s="385"/>
      <c r="G1371" s="391"/>
      <c r="H1371" s="385"/>
      <c r="I1371" s="391"/>
      <c r="J1371" s="385"/>
      <c r="K1371" s="391"/>
      <c r="L1371" s="385"/>
      <c r="M1371" s="391"/>
      <c r="N1371" s="385"/>
      <c r="O1371" s="190"/>
    </row>
    <row r="1372" spans="2:15" ht="16" x14ac:dyDescent="0.2">
      <c r="B1372" s="256"/>
      <c r="C1372" s="119">
        <v>36</v>
      </c>
      <c r="D1372" s="385"/>
      <c r="E1372" s="391"/>
      <c r="F1372" s="385"/>
      <c r="G1372" s="391"/>
      <c r="H1372" s="385"/>
      <c r="I1372" s="391"/>
      <c r="J1372" s="385"/>
      <c r="K1372" s="391"/>
      <c r="L1372" s="385"/>
      <c r="M1372" s="391"/>
      <c r="N1372" s="385"/>
      <c r="O1372" s="190"/>
    </row>
    <row r="1373" spans="2:15" ht="17" thickBot="1" x14ac:dyDescent="0.25">
      <c r="B1373" s="256"/>
      <c r="C1373" s="378">
        <v>37</v>
      </c>
      <c r="D1373" s="386"/>
      <c r="E1373" s="392"/>
      <c r="F1373" s="386"/>
      <c r="G1373" s="392"/>
      <c r="H1373" s="386"/>
      <c r="I1373" s="392"/>
      <c r="J1373" s="386"/>
      <c r="K1373" s="392"/>
      <c r="L1373" s="386"/>
      <c r="M1373" s="392"/>
      <c r="N1373" s="386"/>
      <c r="O1373" s="190"/>
    </row>
    <row r="1374" spans="2:15" ht="17" thickBot="1" x14ac:dyDescent="0.25">
      <c r="C1374" s="825" t="s">
        <v>19</v>
      </c>
      <c r="D1374" s="826"/>
      <c r="E1374" s="380"/>
      <c r="F1374" s="376">
        <f>(F1337+F1338+F1339+F1340+F1341+F1342+F1358+F1345+F1346+F1343+F1344+F1347+F1348+F1349+F1350+F1351+F1352+F1353+F1354+F1355+F1356+F1357+F1359+F1360+F1362+F1363+F1364+F1365+F1366+F1367+F1368+F1369+F1370+F1373)/2</f>
        <v>91</v>
      </c>
      <c r="G1374" s="397">
        <f>(G1337+G1338+G1339+G1340+G1341+G1358+G1342+G1346+G1345+G1343+G1344+G1347+G1348+G1349+G1350+G1351+G1352+G1353+G1354+G1355+G1356+G1357+G1359+G1360+G1362+G1363+G1364+G1365+G1366+G1367+G1368+G1369)/2</f>
        <v>63</v>
      </c>
      <c r="H1374" s="399">
        <f>(H1337+H1338+H1339+H1340+H1341+H1342+H1358+H1361+H1345+H1346+H1343+H1344+H1347+H1348+H1349+H1350+H1351+H1352+H1353+H1354+H1355+H1356+H1357+H1359+H1360+H1362+H1363+H1364+H1365+H1366+H1367+H1368+H1369+H1370+H1373)/2</f>
        <v>0</v>
      </c>
      <c r="I1374" s="398">
        <f>(I1337+I1338+I1339+I1340+I1341+I1371+I1372+I1342+I1358+I1345+I1361+I1346+I1343+I1344+I1347+I1348+I1349+I1350+I1351+I1352+I1353+I1354+I1355+I1356+I1357+I1359+I1360+I1362+I1363+I1364+I1365+I1366+I1367+I1368+I1369+I1370+I1373)/2</f>
        <v>66</v>
      </c>
      <c r="J1374" s="376">
        <f>(J1337+J1338+J1339+J1340+J1341+J1342+J1346+J1343+J1345+J1344+J1361+J1347+J1348+J1349+J1350+J1351+J1352+J1353+J1354+J1355+J1356+J1357+J1358+J1359+J1360+J1362+J1363+J1364+J1365+J1366+J1367+J1368+J1369)/2</f>
        <v>97</v>
      </c>
      <c r="K1374" s="397">
        <f>(K1337+K1338+K1339+K1340+K1341+K1342+K1346+K1343+K1344+K1347+K1348+K1349+K1350+K1351+K1352+K1353+K1354+K1355+K1356+K1357+K1359+K1360+K1362+K1363+K1364+K1365+K1366+K1367+K1368+K1369+K1358)</f>
        <v>0</v>
      </c>
      <c r="L1374" s="399">
        <f>SUM(L1337:L1373)</f>
        <v>0</v>
      </c>
      <c r="M1374" s="398">
        <f>(M1337+M1338+M1339+M1340+M1341+M1342+M1346+M1345+M1343+M1344+M1347+M1348+M1349+M1350+M1351+M1352+M1353+M1354+M1355+M1356+M1357+M1359+M1360+M1362+M1363+M1364+M1365+M1366+M1367+M1368+M1369)/2</f>
        <v>0</v>
      </c>
      <c r="N1374" s="376"/>
      <c r="O1374" s="41"/>
    </row>
    <row r="1375" spans="2:15" ht="17" thickBot="1" x14ac:dyDescent="0.25">
      <c r="C1375" s="825" t="s">
        <v>91</v>
      </c>
      <c r="D1375" s="826"/>
      <c r="E1375" s="381">
        <f>SUM(F1374:J1374)</f>
        <v>317</v>
      </c>
    </row>
    <row r="1376" spans="2:15" ht="16" thickBot="1" x14ac:dyDescent="0.25"/>
    <row r="1377" spans="2:15" ht="17" thickBot="1" x14ac:dyDescent="0.25">
      <c r="C1377" s="17"/>
      <c r="D1377" s="379" t="s">
        <v>83</v>
      </c>
      <c r="E1377" s="818" t="s">
        <v>64</v>
      </c>
      <c r="F1377" s="819"/>
      <c r="G1377" s="819"/>
      <c r="H1377" s="819"/>
      <c r="I1377" s="819"/>
      <c r="J1377" s="400" t="s">
        <v>76</v>
      </c>
      <c r="K1377" s="820">
        <v>45699</v>
      </c>
      <c r="L1377" s="821"/>
      <c r="M1377" s="821"/>
      <c r="N1377" s="821"/>
      <c r="O1377" s="822"/>
    </row>
    <row r="1378" spans="2:15" ht="16" thickBot="1" x14ac:dyDescent="0.25">
      <c r="B1378" s="175" t="s">
        <v>76</v>
      </c>
      <c r="C1378" s="175" t="s">
        <v>77</v>
      </c>
      <c r="D1378" s="823" t="s">
        <v>122</v>
      </c>
      <c r="E1378" s="824"/>
      <c r="F1378" s="175" t="s">
        <v>104</v>
      </c>
      <c r="G1378" s="395" t="s">
        <v>86</v>
      </c>
      <c r="H1378" s="175" t="s">
        <v>88</v>
      </c>
      <c r="I1378" s="395" t="s">
        <v>87</v>
      </c>
      <c r="J1378" s="401" t="s">
        <v>85</v>
      </c>
      <c r="K1378" s="395" t="s">
        <v>123</v>
      </c>
      <c r="L1378" s="175" t="s">
        <v>124</v>
      </c>
      <c r="M1378" s="395" t="s">
        <v>100</v>
      </c>
      <c r="N1378" s="175" t="s">
        <v>213</v>
      </c>
      <c r="O1378" s="404" t="s">
        <v>125</v>
      </c>
    </row>
    <row r="1379" spans="2:15" ht="16" thickBot="1" x14ac:dyDescent="0.25">
      <c r="B1379" s="176">
        <f>K1377</f>
        <v>45699</v>
      </c>
      <c r="C1379" s="374"/>
      <c r="D1379" s="375" t="s">
        <v>126</v>
      </c>
      <c r="E1379" s="387" t="s">
        <v>127</v>
      </c>
      <c r="F1379" s="331">
        <v>12</v>
      </c>
      <c r="G1379" s="237">
        <v>8</v>
      </c>
      <c r="H1379" s="331">
        <v>4</v>
      </c>
      <c r="I1379" s="237">
        <v>6</v>
      </c>
      <c r="J1379" s="331">
        <v>9</v>
      </c>
      <c r="K1379" s="231"/>
      <c r="L1379" s="125"/>
      <c r="M1379" s="231"/>
      <c r="N1379" s="125"/>
      <c r="O1379" s="326"/>
    </row>
    <row r="1380" spans="2:15" ht="16" x14ac:dyDescent="0.2">
      <c r="C1380" s="118">
        <v>1</v>
      </c>
      <c r="D1380" s="382">
        <v>0.30902777777777779</v>
      </c>
      <c r="E1380" s="388">
        <v>0.3298611111111111</v>
      </c>
      <c r="F1380" s="393">
        <v>28</v>
      </c>
      <c r="G1380" s="396"/>
      <c r="H1380" s="393"/>
      <c r="I1380" s="396"/>
      <c r="J1380" s="393"/>
      <c r="K1380" s="396"/>
      <c r="L1380" s="393"/>
      <c r="M1380" s="396"/>
      <c r="N1380" s="393"/>
      <c r="O1380" s="190"/>
    </row>
    <row r="1381" spans="2:15" ht="16" x14ac:dyDescent="0.2">
      <c r="C1381" s="119">
        <v>2</v>
      </c>
      <c r="D1381" s="383">
        <v>0.3263888888888889</v>
      </c>
      <c r="E1381" s="389">
        <v>0.34722222222222227</v>
      </c>
      <c r="F1381" s="385">
        <v>28</v>
      </c>
      <c r="G1381" s="391"/>
      <c r="H1381" s="385"/>
      <c r="I1381" s="391"/>
      <c r="J1381" s="385"/>
      <c r="K1381" s="391"/>
      <c r="L1381" s="385"/>
      <c r="M1381" s="391"/>
      <c r="N1381" s="385"/>
      <c r="O1381" s="190"/>
    </row>
    <row r="1382" spans="2:15" ht="16" x14ac:dyDescent="0.2">
      <c r="C1382" s="119">
        <v>3</v>
      </c>
      <c r="D1382" s="383">
        <v>0.35069444444444442</v>
      </c>
      <c r="E1382" s="389">
        <v>0.37152777777777773</v>
      </c>
      <c r="F1382" s="385">
        <v>28</v>
      </c>
      <c r="G1382" s="391"/>
      <c r="H1382" s="385"/>
      <c r="I1382" s="391"/>
      <c r="J1382" s="385"/>
      <c r="K1382" s="391"/>
      <c r="L1382" s="384"/>
      <c r="M1382" s="391"/>
      <c r="N1382" s="385"/>
      <c r="O1382" s="190"/>
    </row>
    <row r="1383" spans="2:15" ht="16" x14ac:dyDescent="0.2">
      <c r="C1383" s="119">
        <v>4</v>
      </c>
      <c r="D1383" s="383">
        <v>0.33680555555555558</v>
      </c>
      <c r="E1383" s="389">
        <v>0.3576388888888889</v>
      </c>
      <c r="F1383" s="385">
        <v>28</v>
      </c>
      <c r="G1383" s="391"/>
      <c r="H1383" s="316"/>
      <c r="I1383" s="391"/>
      <c r="J1383" s="385"/>
      <c r="K1383" s="391"/>
      <c r="L1383" s="402"/>
      <c r="M1383" s="391"/>
      <c r="N1383" s="385"/>
      <c r="O1383" s="190"/>
    </row>
    <row r="1384" spans="2:15" ht="16" x14ac:dyDescent="0.2">
      <c r="C1384" s="119">
        <v>5</v>
      </c>
      <c r="D1384" s="383">
        <v>0.39583333333333331</v>
      </c>
      <c r="E1384" s="389">
        <v>0.41666666666666669</v>
      </c>
      <c r="F1384" s="385">
        <v>28</v>
      </c>
      <c r="G1384" s="391"/>
      <c r="H1384" s="316"/>
      <c r="I1384" s="391"/>
      <c r="J1384" s="385"/>
      <c r="K1384" s="391"/>
      <c r="L1384" s="393"/>
      <c r="M1384" s="391"/>
      <c r="N1384" s="385"/>
      <c r="O1384" s="190"/>
    </row>
    <row r="1385" spans="2:15" ht="16" x14ac:dyDescent="0.2">
      <c r="C1385" s="119">
        <v>6</v>
      </c>
      <c r="D1385" s="383">
        <v>0.4201388888888889</v>
      </c>
      <c r="E1385" s="389">
        <v>0.44097222222222227</v>
      </c>
      <c r="F1385" s="385"/>
      <c r="G1385" s="391"/>
      <c r="H1385" s="316"/>
      <c r="I1385" s="391"/>
      <c r="J1385" s="385">
        <v>18</v>
      </c>
      <c r="K1385" s="391"/>
      <c r="L1385" s="393"/>
      <c r="M1385" s="391"/>
      <c r="N1385" s="385"/>
      <c r="O1385" s="190"/>
    </row>
    <row r="1386" spans="2:15" ht="16" x14ac:dyDescent="0.2">
      <c r="C1386" s="119">
        <v>7</v>
      </c>
      <c r="D1386" s="383">
        <v>0.48958333333333331</v>
      </c>
      <c r="E1386" s="389">
        <v>0.51041666666666663</v>
      </c>
      <c r="F1386" s="385"/>
      <c r="G1386" s="391"/>
      <c r="H1386" s="316"/>
      <c r="I1386" s="391">
        <v>44</v>
      </c>
      <c r="J1386" s="385"/>
      <c r="K1386" s="391"/>
      <c r="L1386" s="393"/>
      <c r="M1386" s="391"/>
      <c r="N1386" s="385"/>
      <c r="O1386" s="190"/>
    </row>
    <row r="1387" spans="2:15" ht="16" x14ac:dyDescent="0.2">
      <c r="C1387" s="119">
        <v>8</v>
      </c>
      <c r="D1387" s="383">
        <v>0.52083333333333337</v>
      </c>
      <c r="E1387" s="389">
        <v>0.54166666666666663</v>
      </c>
      <c r="F1387" s="385"/>
      <c r="G1387" s="391">
        <v>28</v>
      </c>
      <c r="H1387" s="316"/>
      <c r="I1387" s="391"/>
      <c r="J1387" s="385"/>
      <c r="K1387" s="391"/>
      <c r="L1387" s="385"/>
      <c r="M1387" s="391"/>
      <c r="N1387" s="385"/>
      <c r="O1387" s="190"/>
    </row>
    <row r="1388" spans="2:15" ht="16" x14ac:dyDescent="0.2">
      <c r="C1388" s="119">
        <v>9</v>
      </c>
      <c r="D1388" s="383">
        <v>0.54861111111111105</v>
      </c>
      <c r="E1388" s="389">
        <v>0.56944444444444442</v>
      </c>
      <c r="F1388" s="385"/>
      <c r="G1388" s="391"/>
      <c r="H1388" s="316"/>
      <c r="I1388" s="391">
        <v>44</v>
      </c>
      <c r="J1388" s="385"/>
      <c r="K1388" s="391"/>
      <c r="L1388" s="385"/>
      <c r="M1388" s="391"/>
      <c r="N1388" s="385"/>
      <c r="O1388" s="190"/>
    </row>
    <row r="1389" spans="2:15" ht="16" x14ac:dyDescent="0.2">
      <c r="C1389" s="119">
        <v>10</v>
      </c>
      <c r="D1389" s="383">
        <v>0.58333333333333337</v>
      </c>
      <c r="E1389" s="389">
        <v>0.60416666666666663</v>
      </c>
      <c r="F1389" s="385"/>
      <c r="G1389" s="391">
        <v>28</v>
      </c>
      <c r="H1389" s="316"/>
      <c r="I1389" s="391"/>
      <c r="J1389" s="385"/>
      <c r="K1389" s="391"/>
      <c r="L1389" s="385"/>
      <c r="M1389" s="391"/>
      <c r="N1389" s="385"/>
      <c r="O1389" s="190"/>
    </row>
    <row r="1390" spans="2:15" ht="16" x14ac:dyDescent="0.2">
      <c r="C1390" s="119">
        <v>11</v>
      </c>
      <c r="D1390" s="383">
        <v>0.625</v>
      </c>
      <c r="E1390" s="389">
        <v>0.64583333333333337</v>
      </c>
      <c r="F1390" s="385"/>
      <c r="G1390" s="391"/>
      <c r="H1390" s="316"/>
      <c r="I1390" s="391">
        <v>44</v>
      </c>
      <c r="J1390" s="28"/>
      <c r="K1390" s="391"/>
      <c r="L1390" s="385"/>
      <c r="M1390" s="391"/>
      <c r="N1390" s="385"/>
      <c r="O1390" s="190"/>
    </row>
    <row r="1391" spans="2:15" ht="16" x14ac:dyDescent="0.2">
      <c r="C1391" s="193">
        <v>12</v>
      </c>
      <c r="D1391" s="383">
        <v>0.64583333333333337</v>
      </c>
      <c r="E1391" s="389">
        <v>0.66666666666666663</v>
      </c>
      <c r="F1391" s="385"/>
      <c r="G1391" s="391">
        <v>28</v>
      </c>
      <c r="H1391" s="316"/>
      <c r="I1391" s="391"/>
      <c r="J1391" s="385"/>
      <c r="K1391" s="391"/>
      <c r="L1391" s="385"/>
      <c r="M1391" s="391"/>
      <c r="N1391" s="385"/>
      <c r="O1391" s="190"/>
    </row>
    <row r="1392" spans="2:15" ht="16" x14ac:dyDescent="0.2">
      <c r="C1392" s="119">
        <v>13</v>
      </c>
      <c r="D1392" s="383">
        <v>0.67361111111111116</v>
      </c>
      <c r="E1392" s="389">
        <v>0.69444444444444453</v>
      </c>
      <c r="F1392" s="385"/>
      <c r="G1392" s="391"/>
      <c r="H1392" s="316"/>
      <c r="I1392" s="391"/>
      <c r="J1392" s="385">
        <v>36</v>
      </c>
      <c r="K1392" s="391"/>
      <c r="L1392" s="385"/>
      <c r="M1392" s="391"/>
      <c r="N1392" s="385"/>
      <c r="O1392" s="190"/>
    </row>
    <row r="1393" spans="3:15" ht="16" x14ac:dyDescent="0.2">
      <c r="C1393" s="119">
        <v>14</v>
      </c>
      <c r="D1393" s="383">
        <v>0.70138888888888884</v>
      </c>
      <c r="E1393" s="389">
        <v>0.72222222222222221</v>
      </c>
      <c r="F1393" s="385"/>
      <c r="G1393" s="391">
        <v>28</v>
      </c>
      <c r="H1393" s="316"/>
      <c r="I1393" s="391"/>
      <c r="J1393" s="385"/>
      <c r="K1393" s="391"/>
      <c r="L1393" s="385"/>
      <c r="M1393" s="391"/>
      <c r="N1393" s="385"/>
      <c r="O1393" s="190"/>
    </row>
    <row r="1394" spans="3:15" ht="16" x14ac:dyDescent="0.2">
      <c r="C1394" s="119">
        <v>15</v>
      </c>
      <c r="D1394" s="383">
        <v>0.72916666666666663</v>
      </c>
      <c r="E1394" s="389">
        <v>0.75</v>
      </c>
      <c r="F1394" s="385"/>
      <c r="G1394" s="391"/>
      <c r="H1394" s="316"/>
      <c r="I1394" s="391"/>
      <c r="J1394" s="385">
        <v>36</v>
      </c>
      <c r="K1394" s="391"/>
      <c r="L1394" s="385"/>
      <c r="M1394" s="391"/>
      <c r="N1394" s="385"/>
      <c r="O1394" s="190"/>
    </row>
    <row r="1395" spans="3:15" ht="16" x14ac:dyDescent="0.2">
      <c r="C1395" s="119">
        <v>16</v>
      </c>
      <c r="D1395" s="383">
        <v>0.75694444444444453</v>
      </c>
      <c r="E1395" s="389">
        <v>0.77777777777777779</v>
      </c>
      <c r="F1395" s="385"/>
      <c r="G1395" s="391"/>
      <c r="H1395" s="316">
        <v>28</v>
      </c>
      <c r="I1395" s="391"/>
      <c r="J1395" s="385"/>
      <c r="K1395" s="391"/>
      <c r="L1395" s="385"/>
      <c r="M1395" s="391"/>
      <c r="N1395" s="385"/>
      <c r="O1395" s="190"/>
    </row>
    <row r="1396" spans="3:15" ht="16" x14ac:dyDescent="0.2">
      <c r="C1396" s="119">
        <v>17</v>
      </c>
      <c r="D1396" s="383">
        <v>0.78125</v>
      </c>
      <c r="E1396" s="389">
        <v>0.80208333333333337</v>
      </c>
      <c r="F1396" s="384"/>
      <c r="G1396" s="33"/>
      <c r="H1396" s="316"/>
      <c r="I1396" s="390"/>
      <c r="J1396" s="385">
        <v>36</v>
      </c>
      <c r="K1396" s="391"/>
      <c r="L1396" s="385"/>
      <c r="M1396" s="391"/>
      <c r="N1396" s="385"/>
      <c r="O1396" s="190"/>
    </row>
    <row r="1397" spans="3:15" ht="16" x14ac:dyDescent="0.2">
      <c r="C1397" s="119">
        <v>18</v>
      </c>
      <c r="D1397" s="383">
        <v>0.80555555555555547</v>
      </c>
      <c r="E1397" s="389">
        <v>0.82638888888888884</v>
      </c>
      <c r="F1397" s="394"/>
      <c r="G1397" s="229"/>
      <c r="H1397" s="394">
        <v>28</v>
      </c>
      <c r="I1397" s="391"/>
      <c r="J1397" s="385"/>
      <c r="K1397" s="391"/>
      <c r="L1397" s="385"/>
      <c r="M1397" s="391"/>
      <c r="N1397" s="385"/>
      <c r="O1397" s="190"/>
    </row>
    <row r="1398" spans="3:15" ht="16" x14ac:dyDescent="0.2">
      <c r="C1398" s="119">
        <v>19</v>
      </c>
      <c r="D1398" s="383">
        <v>0.84027777777777779</v>
      </c>
      <c r="E1398" s="389">
        <v>0.86111111111111116</v>
      </c>
      <c r="F1398" s="385"/>
      <c r="G1398" s="391"/>
      <c r="H1398" s="385"/>
      <c r="I1398" s="391"/>
      <c r="J1398" s="385">
        <v>32</v>
      </c>
      <c r="K1398" s="391"/>
      <c r="L1398" s="403"/>
      <c r="M1398" s="391"/>
      <c r="N1398" s="385"/>
      <c r="O1398" s="190"/>
    </row>
    <row r="1399" spans="3:15" ht="16" x14ac:dyDescent="0.2">
      <c r="C1399" s="119">
        <v>20</v>
      </c>
      <c r="D1399" s="383">
        <v>0.86458333333333337</v>
      </c>
      <c r="E1399" s="389">
        <v>0.88541666666666663</v>
      </c>
      <c r="F1399" s="385">
        <v>28</v>
      </c>
      <c r="G1399" s="391"/>
      <c r="H1399" s="385"/>
      <c r="I1399" s="391"/>
      <c r="J1399" s="385"/>
      <c r="K1399" s="391"/>
      <c r="L1399" s="403"/>
      <c r="M1399" s="391"/>
      <c r="N1399" s="385"/>
      <c r="O1399" s="190"/>
    </row>
    <row r="1400" spans="3:15" ht="16" x14ac:dyDescent="0.2">
      <c r="C1400" s="119">
        <v>21</v>
      </c>
      <c r="D1400" s="383"/>
      <c r="E1400" s="389"/>
      <c r="F1400" s="385"/>
      <c r="G1400" s="391"/>
      <c r="H1400" s="385"/>
      <c r="I1400" s="391"/>
      <c r="J1400" s="385"/>
      <c r="K1400" s="391"/>
      <c r="L1400" s="385"/>
      <c r="M1400" s="391"/>
      <c r="N1400" s="385"/>
      <c r="O1400" s="190"/>
    </row>
    <row r="1401" spans="3:15" ht="16" x14ac:dyDescent="0.2">
      <c r="C1401" s="119">
        <v>22</v>
      </c>
      <c r="D1401" s="383"/>
      <c r="E1401" s="389"/>
      <c r="F1401" s="385"/>
      <c r="G1401" s="391"/>
      <c r="H1401" s="385"/>
      <c r="I1401" s="391"/>
      <c r="J1401" s="385"/>
      <c r="K1401" s="391"/>
      <c r="L1401" s="385"/>
      <c r="M1401" s="391"/>
      <c r="N1401" s="385"/>
      <c r="O1401" s="190"/>
    </row>
    <row r="1402" spans="3:15" ht="16" x14ac:dyDescent="0.2">
      <c r="C1402" s="119">
        <v>23</v>
      </c>
      <c r="D1402" s="383"/>
      <c r="E1402" s="389"/>
      <c r="F1402" s="385"/>
      <c r="G1402" s="391"/>
      <c r="H1402" s="385"/>
      <c r="I1402" s="391"/>
      <c r="J1402" s="385"/>
      <c r="K1402" s="391"/>
      <c r="L1402" s="385"/>
      <c r="M1402" s="391"/>
      <c r="N1402" s="385"/>
      <c r="O1402" s="190"/>
    </row>
    <row r="1403" spans="3:15" ht="16" x14ac:dyDescent="0.2">
      <c r="C1403" s="119">
        <v>24</v>
      </c>
      <c r="D1403" s="383"/>
      <c r="E1403" s="389"/>
      <c r="F1403" s="385"/>
      <c r="G1403" s="391"/>
      <c r="H1403" s="385"/>
      <c r="I1403" s="391"/>
      <c r="J1403" s="385"/>
      <c r="K1403" s="391"/>
      <c r="L1403" s="385"/>
      <c r="M1403" s="391"/>
      <c r="N1403" s="385"/>
      <c r="O1403" s="190"/>
    </row>
    <row r="1404" spans="3:15" ht="16" x14ac:dyDescent="0.2">
      <c r="C1404" s="119">
        <v>25</v>
      </c>
      <c r="D1404" s="383"/>
      <c r="E1404" s="389"/>
      <c r="F1404" s="385"/>
      <c r="G1404" s="391"/>
      <c r="H1404" s="385"/>
      <c r="I1404" s="391"/>
      <c r="J1404" s="385"/>
      <c r="K1404" s="391"/>
      <c r="L1404" s="385"/>
      <c r="M1404" s="391"/>
      <c r="N1404" s="385"/>
      <c r="O1404" s="190"/>
    </row>
    <row r="1405" spans="3:15" ht="16" x14ac:dyDescent="0.2">
      <c r="C1405" s="119">
        <v>26</v>
      </c>
      <c r="D1405" s="383"/>
      <c r="E1405" s="389"/>
      <c r="F1405" s="385"/>
      <c r="G1405" s="391"/>
      <c r="H1405" s="385"/>
      <c r="I1405" s="391"/>
      <c r="J1405" s="385"/>
      <c r="K1405" s="391"/>
      <c r="L1405" s="385"/>
      <c r="M1405" s="391"/>
      <c r="N1405" s="385"/>
      <c r="O1405" s="190"/>
    </row>
    <row r="1406" spans="3:15" ht="16" x14ac:dyDescent="0.2">
      <c r="C1406" s="119">
        <v>27</v>
      </c>
      <c r="D1406" s="383"/>
      <c r="E1406" s="389"/>
      <c r="F1406" s="385"/>
      <c r="G1406" s="391"/>
      <c r="H1406" s="385"/>
      <c r="I1406" s="391"/>
      <c r="J1406" s="385"/>
      <c r="K1406" s="391"/>
      <c r="L1406" s="385"/>
      <c r="M1406" s="391"/>
      <c r="N1406" s="385"/>
      <c r="O1406" s="190"/>
    </row>
    <row r="1407" spans="3:15" ht="16" x14ac:dyDescent="0.2">
      <c r="C1407" s="119">
        <v>28</v>
      </c>
      <c r="D1407" s="383"/>
      <c r="E1407" s="389"/>
      <c r="F1407" s="385"/>
      <c r="G1407" s="391"/>
      <c r="H1407" s="385"/>
      <c r="I1407" s="391"/>
      <c r="J1407" s="385"/>
      <c r="K1407" s="391"/>
      <c r="L1407" s="385"/>
      <c r="M1407" s="391"/>
      <c r="N1407" s="385"/>
      <c r="O1407" s="190"/>
    </row>
    <row r="1408" spans="3:15" ht="16" x14ac:dyDescent="0.2">
      <c r="C1408" s="119">
        <v>29</v>
      </c>
      <c r="D1408" s="383"/>
      <c r="E1408" s="389"/>
      <c r="F1408" s="385"/>
      <c r="G1408" s="391"/>
      <c r="H1408" s="385"/>
      <c r="I1408" s="391"/>
      <c r="J1408" s="385"/>
      <c r="K1408" s="391"/>
      <c r="L1408" s="385"/>
      <c r="M1408" s="391"/>
      <c r="N1408" s="385"/>
      <c r="O1408" s="190"/>
    </row>
    <row r="1409" spans="2:15" ht="16" x14ac:dyDescent="0.2">
      <c r="C1409" s="119">
        <v>30</v>
      </c>
      <c r="D1409" s="383"/>
      <c r="E1409" s="389"/>
      <c r="F1409" s="385"/>
      <c r="G1409" s="391"/>
      <c r="H1409" s="385"/>
      <c r="I1409" s="391"/>
      <c r="J1409" s="385"/>
      <c r="K1409" s="391"/>
      <c r="L1409" s="385"/>
      <c r="M1409" s="391"/>
      <c r="N1409" s="385"/>
      <c r="O1409" s="190"/>
    </row>
    <row r="1410" spans="2:15" ht="16" x14ac:dyDescent="0.2">
      <c r="C1410" s="120">
        <v>31</v>
      </c>
      <c r="D1410" s="383"/>
      <c r="E1410" s="389"/>
      <c r="F1410" s="384"/>
      <c r="G1410" s="390"/>
      <c r="H1410" s="384"/>
      <c r="I1410" s="390"/>
      <c r="J1410" s="384"/>
      <c r="K1410" s="390"/>
      <c r="L1410" s="384"/>
      <c r="M1410" s="390"/>
      <c r="N1410" s="384"/>
      <c r="O1410" s="190"/>
    </row>
    <row r="1411" spans="2:15" ht="16" x14ac:dyDescent="0.2">
      <c r="B1411" s="256"/>
      <c r="C1411" s="377">
        <v>32</v>
      </c>
      <c r="D1411" s="384"/>
      <c r="E1411" s="390"/>
      <c r="F1411" s="384"/>
      <c r="G1411" s="390"/>
      <c r="H1411" s="384"/>
      <c r="I1411" s="390"/>
      <c r="J1411" s="384"/>
      <c r="K1411" s="390"/>
      <c r="L1411" s="384"/>
      <c r="M1411" s="390"/>
      <c r="N1411" s="384"/>
      <c r="O1411" s="190"/>
    </row>
    <row r="1412" spans="2:15" ht="16" x14ac:dyDescent="0.2">
      <c r="B1412" s="256"/>
      <c r="C1412" s="119">
        <v>33</v>
      </c>
      <c r="D1412" s="385"/>
      <c r="E1412" s="391"/>
      <c r="F1412" s="385"/>
      <c r="G1412" s="391"/>
      <c r="H1412" s="385"/>
      <c r="I1412" s="391"/>
      <c r="J1412" s="385"/>
      <c r="K1412" s="391"/>
      <c r="L1412" s="385"/>
      <c r="M1412" s="391"/>
      <c r="N1412" s="385"/>
      <c r="O1412" s="190"/>
    </row>
    <row r="1413" spans="2:15" ht="16" x14ac:dyDescent="0.2">
      <c r="B1413" s="256"/>
      <c r="C1413" s="119">
        <v>34</v>
      </c>
      <c r="D1413" s="385"/>
      <c r="E1413" s="391"/>
      <c r="F1413" s="385"/>
      <c r="G1413" s="391"/>
      <c r="H1413" s="385"/>
      <c r="I1413" s="391"/>
      <c r="J1413" s="385"/>
      <c r="K1413" s="391"/>
      <c r="L1413" s="385"/>
      <c r="M1413" s="391"/>
      <c r="N1413" s="385"/>
      <c r="O1413" s="190"/>
    </row>
    <row r="1414" spans="2:15" ht="16" x14ac:dyDescent="0.2">
      <c r="B1414" s="256"/>
      <c r="C1414" s="119">
        <v>35</v>
      </c>
      <c r="D1414" s="385"/>
      <c r="E1414" s="391"/>
      <c r="F1414" s="385"/>
      <c r="G1414" s="391"/>
      <c r="H1414" s="385"/>
      <c r="I1414" s="391"/>
      <c r="J1414" s="385"/>
      <c r="K1414" s="391"/>
      <c r="L1414" s="385"/>
      <c r="M1414" s="391"/>
      <c r="N1414" s="385"/>
      <c r="O1414" s="190"/>
    </row>
    <row r="1415" spans="2:15" ht="16" x14ac:dyDescent="0.2">
      <c r="B1415" s="256"/>
      <c r="C1415" s="119">
        <v>36</v>
      </c>
      <c r="D1415" s="385"/>
      <c r="E1415" s="391"/>
      <c r="F1415" s="385"/>
      <c r="G1415" s="391"/>
      <c r="H1415" s="385"/>
      <c r="I1415" s="391"/>
      <c r="J1415" s="385"/>
      <c r="K1415" s="391"/>
      <c r="L1415" s="385"/>
      <c r="M1415" s="391"/>
      <c r="N1415" s="385"/>
      <c r="O1415" s="190"/>
    </row>
    <row r="1416" spans="2:15" ht="17" thickBot="1" x14ac:dyDescent="0.25">
      <c r="B1416" s="256"/>
      <c r="C1416" s="378">
        <v>37</v>
      </c>
      <c r="D1416" s="386"/>
      <c r="E1416" s="392"/>
      <c r="F1416" s="386"/>
      <c r="G1416" s="392"/>
      <c r="H1416" s="386"/>
      <c r="I1416" s="392"/>
      <c r="J1416" s="386"/>
      <c r="K1416" s="392"/>
      <c r="L1416" s="386"/>
      <c r="M1416" s="392"/>
      <c r="N1416" s="386"/>
      <c r="O1416" s="190"/>
    </row>
    <row r="1417" spans="2:15" ht="17" thickBot="1" x14ac:dyDescent="0.25">
      <c r="C1417" s="825" t="s">
        <v>19</v>
      </c>
      <c r="D1417" s="826"/>
      <c r="E1417" s="380"/>
      <c r="F1417" s="376">
        <f>(F1380+F1381+F1382+F1383+F1384+F1385+F1401+F1388+F1389+F1386+F1387+F1390+F1391+F1392+F1393+F1394+F1395+F1396+F1397+F1398+F1399+F1400+F1402+F1403+F1405+F1406+F1407+F1408+F1409+F1410+F1411+F1412+F1413+F1416)/2</f>
        <v>84</v>
      </c>
      <c r="G1417" s="397">
        <f>(G1380+G1381+G1382+G1383+G1384+G1401+G1385+G1389+G1388+G1386+G1387+G1390+G1391+G1392+G1393+G1394+G1395+G1396+G1397+G1398+G1399+G1400+G1402+G1403+G1405+G1406+G1407+G1408+G1409+G1410+G1411+G1412)/2</f>
        <v>56</v>
      </c>
      <c r="H1417" s="399">
        <f>(H1380+H1381+H1382+H1383+H1384+H1385+H1401+H1404+H1388+H1389+H1386+H1387+H1390+H1391+H1392+H1393+H1394+H1395+H1396+H1397+H1398+H1399+H1400+H1402+H1403+H1405+H1406+H1407+H1408+H1409+H1410+H1411+H1412+H1413+H1416)/2</f>
        <v>28</v>
      </c>
      <c r="I1417" s="398">
        <f>(I1380+I1381+I1382+I1383+I1384+I1414+I1415+I1385+I1401+I1388+I1404+I1389+I1386+I1387+I1390+I1391+I1392+I1393+I1394+I1395+I1396+I1397+I1398+I1399+I1400+I1402+I1403+I1405+I1406+I1407+I1408+I1409+I1410+I1411+I1412+I1413+I1416)/2</f>
        <v>66</v>
      </c>
      <c r="J1417" s="376">
        <f>(J1380+J1381+J1382+J1383+J1384+J1385+J1389+J1386+J1388+J1387+J1404+J1390+J1391+J1392+J1393+J1394+J1395+J1396+J1397+J1398+J1399+J1400+J1401+J1402+J1403+J1405+J1406+J1407+J1408+J1409+J1410+J1411+J1412)/2</f>
        <v>79</v>
      </c>
      <c r="K1417" s="397">
        <f>(K1380+K1381+K1382+K1383+K1384+K1385+K1389+K1386+K1387+K1390+K1391+K1392+K1393+K1394+K1395+K1396+K1397+K1398+K1399+K1400+K1402+K1403+K1405+K1406+K1407+K1408+K1409+K1410+K1411+K1412+K1401)</f>
        <v>0</v>
      </c>
      <c r="L1417" s="399">
        <f>SUM(L1380:L1416)</f>
        <v>0</v>
      </c>
      <c r="M1417" s="398">
        <f>(M1380+M1381+M1382+M1383+M1384+M1385+M1389+M1388+M1386+M1387+M1390+M1391+M1392+M1393+M1394+M1395+M1396+M1397+M1398+M1399+M1400+M1402+M1403+M1405+M1406+M1407+M1408+M1409+M1410+M1411+M1412)/2</f>
        <v>0</v>
      </c>
      <c r="N1417" s="376"/>
      <c r="O1417" s="41"/>
    </row>
    <row r="1418" spans="2:15" ht="17" thickBot="1" x14ac:dyDescent="0.25">
      <c r="C1418" s="825" t="s">
        <v>91</v>
      </c>
      <c r="D1418" s="826"/>
      <c r="E1418" s="381">
        <f>SUM(F1417:J1417)</f>
        <v>313</v>
      </c>
    </row>
    <row r="1419" spans="2:15" ht="16" thickBot="1" x14ac:dyDescent="0.25"/>
    <row r="1420" spans="2:15" ht="17" thickBot="1" x14ac:dyDescent="0.25">
      <c r="C1420" s="17"/>
      <c r="D1420" s="379" t="s">
        <v>83</v>
      </c>
      <c r="E1420" s="818" t="s">
        <v>66</v>
      </c>
      <c r="F1420" s="819"/>
      <c r="G1420" s="819"/>
      <c r="H1420" s="819"/>
      <c r="I1420" s="819"/>
      <c r="J1420" s="400" t="s">
        <v>76</v>
      </c>
      <c r="K1420" s="820">
        <v>45701</v>
      </c>
      <c r="L1420" s="821"/>
      <c r="M1420" s="821"/>
      <c r="N1420" s="821"/>
      <c r="O1420" s="822"/>
    </row>
    <row r="1421" spans="2:15" ht="16" thickBot="1" x14ac:dyDescent="0.25">
      <c r="B1421" s="175" t="s">
        <v>76</v>
      </c>
      <c r="C1421" s="175" t="s">
        <v>77</v>
      </c>
      <c r="D1421" s="823" t="s">
        <v>122</v>
      </c>
      <c r="E1421" s="824"/>
      <c r="F1421" s="175" t="s">
        <v>104</v>
      </c>
      <c r="G1421" s="395" t="s">
        <v>86</v>
      </c>
      <c r="H1421" s="175" t="s">
        <v>88</v>
      </c>
      <c r="I1421" s="395" t="s">
        <v>87</v>
      </c>
      <c r="J1421" s="401" t="s">
        <v>85</v>
      </c>
      <c r="K1421" s="395" t="s">
        <v>123</v>
      </c>
      <c r="L1421" s="175" t="s">
        <v>124</v>
      </c>
      <c r="M1421" s="395" t="s">
        <v>100</v>
      </c>
      <c r="N1421" s="175" t="s">
        <v>213</v>
      </c>
      <c r="O1421" s="404" t="s">
        <v>125</v>
      </c>
    </row>
    <row r="1422" spans="2:15" ht="16" thickBot="1" x14ac:dyDescent="0.25">
      <c r="B1422" s="176">
        <f>K1420</f>
        <v>45701</v>
      </c>
      <c r="C1422" s="374"/>
      <c r="D1422" s="375" t="s">
        <v>126</v>
      </c>
      <c r="E1422" s="387" t="s">
        <v>127</v>
      </c>
      <c r="F1422" s="331">
        <v>12</v>
      </c>
      <c r="G1422" s="237">
        <v>8</v>
      </c>
      <c r="H1422" s="331">
        <v>3</v>
      </c>
      <c r="I1422" s="237">
        <v>4</v>
      </c>
      <c r="J1422" s="331">
        <v>9</v>
      </c>
      <c r="K1422" s="231"/>
      <c r="L1422" s="125"/>
      <c r="M1422" s="231"/>
      <c r="N1422" s="125"/>
      <c r="O1422" s="326"/>
    </row>
    <row r="1423" spans="2:15" ht="16" x14ac:dyDescent="0.2">
      <c r="C1423" s="118">
        <v>1</v>
      </c>
      <c r="D1423" s="382">
        <v>0.31597222222222221</v>
      </c>
      <c r="E1423" s="388">
        <v>0.33680555555555558</v>
      </c>
      <c r="F1423" s="393"/>
      <c r="G1423" s="396">
        <v>28</v>
      </c>
      <c r="H1423" s="393"/>
      <c r="I1423" s="396"/>
      <c r="J1423" s="393"/>
      <c r="K1423" s="396"/>
      <c r="L1423" s="393"/>
      <c r="M1423" s="396"/>
      <c r="N1423" s="393"/>
      <c r="O1423" s="190"/>
    </row>
    <row r="1424" spans="2:15" ht="16" x14ac:dyDescent="0.2">
      <c r="C1424" s="119">
        <v>2</v>
      </c>
      <c r="D1424" s="383">
        <v>0.33680555555555558</v>
      </c>
      <c r="E1424" s="389">
        <v>0.3576388888888889</v>
      </c>
      <c r="F1424" s="385"/>
      <c r="G1424" s="391">
        <v>28</v>
      </c>
      <c r="H1424" s="385"/>
      <c r="I1424" s="391"/>
      <c r="J1424" s="385"/>
      <c r="K1424" s="391"/>
      <c r="L1424" s="385"/>
      <c r="M1424" s="391"/>
      <c r="N1424" s="385"/>
      <c r="O1424" s="190"/>
    </row>
    <row r="1425" spans="3:15" ht="16" x14ac:dyDescent="0.2">
      <c r="C1425" s="119">
        <v>3</v>
      </c>
      <c r="D1425" s="383">
        <v>0.36458333333333331</v>
      </c>
      <c r="E1425" s="389">
        <v>0.38541666666666669</v>
      </c>
      <c r="F1425" s="385"/>
      <c r="G1425" s="391">
        <v>28</v>
      </c>
      <c r="H1425" s="385"/>
      <c r="I1425" s="391"/>
      <c r="J1425" s="385"/>
      <c r="K1425" s="391"/>
      <c r="L1425" s="384"/>
      <c r="M1425" s="391"/>
      <c r="N1425" s="385"/>
      <c r="O1425" s="190"/>
    </row>
    <row r="1426" spans="3:15" ht="16" x14ac:dyDescent="0.2">
      <c r="C1426" s="119">
        <v>4</v>
      </c>
      <c r="D1426" s="383">
        <v>0.38541666666666669</v>
      </c>
      <c r="E1426" s="389">
        <v>0.40625</v>
      </c>
      <c r="F1426" s="385"/>
      <c r="G1426" s="391"/>
      <c r="H1426" s="316">
        <v>28</v>
      </c>
      <c r="I1426" s="391"/>
      <c r="J1426" s="385"/>
      <c r="K1426" s="391"/>
      <c r="L1426" s="402"/>
      <c r="M1426" s="391"/>
      <c r="N1426" s="385"/>
      <c r="O1426" s="190"/>
    </row>
    <row r="1427" spans="3:15" ht="16" x14ac:dyDescent="0.2">
      <c r="C1427" s="119">
        <v>5</v>
      </c>
      <c r="D1427" s="383">
        <v>0.40972222222222227</v>
      </c>
      <c r="E1427" s="389">
        <v>0.43055555555555558</v>
      </c>
      <c r="F1427" s="385"/>
      <c r="G1427" s="391">
        <v>10</v>
      </c>
      <c r="H1427" s="316"/>
      <c r="I1427" s="391"/>
      <c r="J1427" s="385"/>
      <c r="K1427" s="391"/>
      <c r="L1427" s="393"/>
      <c r="M1427" s="391"/>
      <c r="N1427" s="385"/>
      <c r="O1427" s="190"/>
    </row>
    <row r="1428" spans="3:15" ht="16" x14ac:dyDescent="0.2">
      <c r="C1428" s="119">
        <v>6</v>
      </c>
      <c r="D1428" s="383">
        <v>0.41319444444444442</v>
      </c>
      <c r="E1428" s="389">
        <v>0.43402777777777773</v>
      </c>
      <c r="F1428" s="385"/>
      <c r="G1428" s="391"/>
      <c r="H1428" s="316">
        <v>14</v>
      </c>
      <c r="I1428" s="391"/>
      <c r="J1428" s="385"/>
      <c r="K1428" s="391"/>
      <c r="L1428" s="393"/>
      <c r="M1428" s="391"/>
      <c r="N1428" s="385"/>
      <c r="O1428" s="190"/>
    </row>
    <row r="1429" spans="3:15" ht="16" x14ac:dyDescent="0.2">
      <c r="C1429" s="119">
        <v>7</v>
      </c>
      <c r="D1429" s="383">
        <v>0.44097222222222227</v>
      </c>
      <c r="E1429" s="389">
        <v>0.46180555555555558</v>
      </c>
      <c r="F1429" s="385">
        <v>28</v>
      </c>
      <c r="G1429" s="391"/>
      <c r="H1429" s="316"/>
      <c r="I1429" s="391"/>
      <c r="J1429" s="385"/>
      <c r="K1429" s="391"/>
      <c r="L1429" s="393"/>
      <c r="M1429" s="391"/>
      <c r="N1429" s="385"/>
      <c r="O1429" s="190"/>
    </row>
    <row r="1430" spans="3:15" ht="16" x14ac:dyDescent="0.2">
      <c r="C1430" s="119">
        <v>8</v>
      </c>
      <c r="D1430" s="383">
        <v>0.46527777777777773</v>
      </c>
      <c r="E1430" s="389">
        <v>0.4861111111111111</v>
      </c>
      <c r="F1430" s="385">
        <v>28</v>
      </c>
      <c r="G1430" s="391"/>
      <c r="H1430" s="316"/>
      <c r="I1430" s="391"/>
      <c r="J1430" s="385"/>
      <c r="K1430" s="391"/>
      <c r="L1430" s="385"/>
      <c r="M1430" s="391"/>
      <c r="N1430" s="385"/>
      <c r="O1430" s="190"/>
    </row>
    <row r="1431" spans="3:15" ht="16" x14ac:dyDescent="0.2">
      <c r="C1431" s="119">
        <v>9</v>
      </c>
      <c r="D1431" s="383">
        <v>0.5</v>
      </c>
      <c r="E1431" s="389">
        <v>0.52083333333333337</v>
      </c>
      <c r="F1431" s="385"/>
      <c r="G1431" s="391"/>
      <c r="H1431" s="316"/>
      <c r="I1431" s="391">
        <v>44</v>
      </c>
      <c r="J1431" s="385"/>
      <c r="K1431" s="391"/>
      <c r="L1431" s="385"/>
      <c r="M1431" s="391"/>
      <c r="N1431" s="385"/>
      <c r="O1431" s="190"/>
    </row>
    <row r="1432" spans="3:15" ht="16" x14ac:dyDescent="0.2">
      <c r="C1432" s="119">
        <v>10</v>
      </c>
      <c r="D1432" s="383">
        <v>0.54513888888888895</v>
      </c>
      <c r="E1432" s="389">
        <v>0.56597222222222221</v>
      </c>
      <c r="F1432" s="385">
        <v>28</v>
      </c>
      <c r="G1432" s="391"/>
      <c r="H1432" s="316"/>
      <c r="I1432" s="391"/>
      <c r="J1432" s="385"/>
      <c r="K1432" s="391"/>
      <c r="L1432" s="385"/>
      <c r="M1432" s="391"/>
      <c r="N1432" s="385"/>
      <c r="O1432" s="190"/>
    </row>
    <row r="1433" spans="3:15" ht="16" x14ac:dyDescent="0.2">
      <c r="C1433" s="119">
        <v>11</v>
      </c>
      <c r="D1433" s="383">
        <v>0.57638888888888895</v>
      </c>
      <c r="E1433" s="389">
        <v>0.59722222222222221</v>
      </c>
      <c r="F1433" s="385"/>
      <c r="G1433" s="391"/>
      <c r="H1433" s="316"/>
      <c r="I1433" s="391">
        <v>44</v>
      </c>
      <c r="J1433" s="28"/>
      <c r="K1433" s="391"/>
      <c r="L1433" s="385"/>
      <c r="M1433" s="391"/>
      <c r="N1433" s="385"/>
      <c r="O1433" s="190"/>
    </row>
    <row r="1434" spans="3:15" ht="16" x14ac:dyDescent="0.2">
      <c r="C1434" s="193">
        <v>12</v>
      </c>
      <c r="D1434" s="383">
        <v>0.61111111111111105</v>
      </c>
      <c r="E1434" s="389">
        <v>0.63194444444444442</v>
      </c>
      <c r="F1434" s="385">
        <v>28</v>
      </c>
      <c r="G1434" s="391"/>
      <c r="H1434" s="316"/>
      <c r="I1434" s="391"/>
      <c r="J1434" s="385"/>
      <c r="K1434" s="391"/>
      <c r="L1434" s="385"/>
      <c r="M1434" s="391"/>
      <c r="N1434" s="385"/>
      <c r="O1434" s="190"/>
    </row>
    <row r="1435" spans="3:15" ht="16" x14ac:dyDescent="0.2">
      <c r="C1435" s="119">
        <v>13</v>
      </c>
      <c r="D1435" s="383">
        <v>0.64236111111111105</v>
      </c>
      <c r="E1435" s="389">
        <v>0.66319444444444442</v>
      </c>
      <c r="F1435" s="385"/>
      <c r="G1435" s="391"/>
      <c r="H1435" s="316"/>
      <c r="I1435" s="391"/>
      <c r="J1435" s="385">
        <v>36</v>
      </c>
      <c r="K1435" s="391"/>
      <c r="L1435" s="385"/>
      <c r="M1435" s="391"/>
      <c r="N1435" s="385"/>
      <c r="O1435" s="190"/>
    </row>
    <row r="1436" spans="3:15" ht="16" x14ac:dyDescent="0.2">
      <c r="C1436" s="119">
        <v>14</v>
      </c>
      <c r="D1436" s="383">
        <v>0.66319444444444442</v>
      </c>
      <c r="E1436" s="389">
        <v>0.68402777777777779</v>
      </c>
      <c r="F1436" s="385">
        <v>28</v>
      </c>
      <c r="G1436" s="391"/>
      <c r="H1436" s="316"/>
      <c r="I1436" s="391"/>
      <c r="J1436" s="385"/>
      <c r="K1436" s="391"/>
      <c r="L1436" s="385"/>
      <c r="M1436" s="391"/>
      <c r="N1436" s="385"/>
      <c r="O1436" s="190"/>
    </row>
    <row r="1437" spans="3:15" ht="16" x14ac:dyDescent="0.2">
      <c r="C1437" s="119">
        <v>15</v>
      </c>
      <c r="D1437" s="383">
        <v>0.69444444444444453</v>
      </c>
      <c r="E1437" s="389">
        <v>0.71527777777777779</v>
      </c>
      <c r="F1437" s="385"/>
      <c r="G1437" s="391"/>
      <c r="H1437" s="316"/>
      <c r="I1437" s="391"/>
      <c r="J1437" s="385">
        <v>36</v>
      </c>
      <c r="K1437" s="391"/>
      <c r="L1437" s="385"/>
      <c r="M1437" s="391"/>
      <c r="N1437" s="385"/>
      <c r="O1437" s="190"/>
    </row>
    <row r="1438" spans="3:15" ht="16" x14ac:dyDescent="0.2">
      <c r="C1438" s="119">
        <v>16</v>
      </c>
      <c r="D1438" s="383">
        <v>0.72222222222222221</v>
      </c>
      <c r="E1438" s="389">
        <v>0.74305555555555547</v>
      </c>
      <c r="F1438" s="385">
        <v>28</v>
      </c>
      <c r="G1438" s="391"/>
      <c r="H1438" s="316"/>
      <c r="I1438" s="391"/>
      <c r="J1438" s="385"/>
      <c r="K1438" s="391"/>
      <c r="L1438" s="385"/>
      <c r="M1438" s="391"/>
      <c r="N1438" s="385"/>
      <c r="O1438" s="190"/>
    </row>
    <row r="1439" spans="3:15" ht="16" x14ac:dyDescent="0.2">
      <c r="C1439" s="119">
        <v>17</v>
      </c>
      <c r="D1439" s="383">
        <v>0.74652777777777779</v>
      </c>
      <c r="E1439" s="389">
        <v>0.76736111111111116</v>
      </c>
      <c r="F1439" s="384"/>
      <c r="G1439" s="33"/>
      <c r="H1439" s="316"/>
      <c r="I1439" s="390"/>
      <c r="J1439" s="385">
        <v>36</v>
      </c>
      <c r="K1439" s="391"/>
      <c r="L1439" s="385"/>
      <c r="M1439" s="391"/>
      <c r="N1439" s="385"/>
      <c r="O1439" s="190"/>
    </row>
    <row r="1440" spans="3:15" ht="16" x14ac:dyDescent="0.2">
      <c r="C1440" s="119">
        <v>18</v>
      </c>
      <c r="D1440" s="383">
        <v>0.77083333333333337</v>
      </c>
      <c r="E1440" s="389">
        <v>0.79166666666666663</v>
      </c>
      <c r="F1440" s="394"/>
      <c r="G1440" s="229"/>
      <c r="H1440" s="394"/>
      <c r="I1440" s="391"/>
      <c r="J1440" s="385">
        <v>36</v>
      </c>
      <c r="K1440" s="391"/>
      <c r="L1440" s="385"/>
      <c r="M1440" s="391"/>
      <c r="N1440" s="385"/>
      <c r="O1440" s="190"/>
    </row>
    <row r="1441" spans="2:15" ht="16" x14ac:dyDescent="0.2">
      <c r="C1441" s="119">
        <v>19</v>
      </c>
      <c r="D1441" s="383">
        <v>0.79861111111111116</v>
      </c>
      <c r="E1441" s="389">
        <v>0.81944444444444453</v>
      </c>
      <c r="F1441" s="385"/>
      <c r="G1441" s="391"/>
      <c r="H1441" s="385"/>
      <c r="I1441" s="391"/>
      <c r="J1441" s="385">
        <v>16</v>
      </c>
      <c r="K1441" s="391"/>
      <c r="L1441" s="403"/>
      <c r="M1441" s="391"/>
      <c r="N1441" s="385"/>
      <c r="O1441" s="190"/>
    </row>
    <row r="1442" spans="2:15" ht="16" x14ac:dyDescent="0.2">
      <c r="C1442" s="119">
        <v>20</v>
      </c>
      <c r="D1442" s="383">
        <v>0.81944444444444453</v>
      </c>
      <c r="E1442" s="389">
        <v>0.84027777777777779</v>
      </c>
      <c r="F1442" s="385"/>
      <c r="G1442" s="391">
        <v>12</v>
      </c>
      <c r="H1442" s="385"/>
      <c r="I1442" s="391"/>
      <c r="J1442" s="385"/>
      <c r="K1442" s="391"/>
      <c r="L1442" s="403"/>
      <c r="M1442" s="391"/>
      <c r="N1442" s="385"/>
      <c r="O1442" s="190"/>
    </row>
    <row r="1443" spans="2:15" ht="16" x14ac:dyDescent="0.2">
      <c r="C1443" s="119">
        <v>21</v>
      </c>
      <c r="D1443" s="383"/>
      <c r="E1443" s="389"/>
      <c r="F1443" s="385"/>
      <c r="G1443" s="391"/>
      <c r="H1443" s="385"/>
      <c r="I1443" s="391"/>
      <c r="J1443" s="385"/>
      <c r="K1443" s="391"/>
      <c r="L1443" s="385"/>
      <c r="M1443" s="391"/>
      <c r="N1443" s="385"/>
      <c r="O1443" s="190"/>
    </row>
    <row r="1444" spans="2:15" ht="16" x14ac:dyDescent="0.2">
      <c r="C1444" s="119">
        <v>22</v>
      </c>
      <c r="D1444" s="383"/>
      <c r="E1444" s="389"/>
      <c r="F1444" s="385"/>
      <c r="G1444" s="391"/>
      <c r="H1444" s="385"/>
      <c r="I1444" s="391"/>
      <c r="J1444" s="385"/>
      <c r="K1444" s="391"/>
      <c r="L1444" s="385"/>
      <c r="M1444" s="391"/>
      <c r="N1444" s="385"/>
      <c r="O1444" s="190"/>
    </row>
    <row r="1445" spans="2:15" ht="16" x14ac:dyDescent="0.2">
      <c r="C1445" s="119">
        <v>23</v>
      </c>
      <c r="D1445" s="383"/>
      <c r="E1445" s="389"/>
      <c r="F1445" s="385"/>
      <c r="G1445" s="391"/>
      <c r="H1445" s="385"/>
      <c r="I1445" s="391"/>
      <c r="J1445" s="385"/>
      <c r="K1445" s="391"/>
      <c r="L1445" s="385"/>
      <c r="M1445" s="391"/>
      <c r="N1445" s="385"/>
      <c r="O1445" s="190"/>
    </row>
    <row r="1446" spans="2:15" ht="16" x14ac:dyDescent="0.2">
      <c r="C1446" s="119">
        <v>24</v>
      </c>
      <c r="D1446" s="383"/>
      <c r="E1446" s="389"/>
      <c r="F1446" s="385"/>
      <c r="G1446" s="391"/>
      <c r="H1446" s="385"/>
      <c r="I1446" s="391"/>
      <c r="J1446" s="385"/>
      <c r="K1446" s="391"/>
      <c r="L1446" s="385"/>
      <c r="M1446" s="391"/>
      <c r="N1446" s="385"/>
      <c r="O1446" s="190"/>
    </row>
    <row r="1447" spans="2:15" ht="16" x14ac:dyDescent="0.2">
      <c r="C1447" s="119">
        <v>25</v>
      </c>
      <c r="D1447" s="383"/>
      <c r="E1447" s="389"/>
      <c r="F1447" s="385"/>
      <c r="G1447" s="391"/>
      <c r="H1447" s="385"/>
      <c r="I1447" s="391"/>
      <c r="J1447" s="385"/>
      <c r="K1447" s="391"/>
      <c r="L1447" s="385"/>
      <c r="M1447" s="391"/>
      <c r="N1447" s="385"/>
      <c r="O1447" s="190"/>
    </row>
    <row r="1448" spans="2:15" ht="16" x14ac:dyDescent="0.2">
      <c r="C1448" s="119">
        <v>26</v>
      </c>
      <c r="D1448" s="383"/>
      <c r="E1448" s="389"/>
      <c r="F1448" s="385"/>
      <c r="G1448" s="391"/>
      <c r="H1448" s="385"/>
      <c r="I1448" s="391"/>
      <c r="J1448" s="385"/>
      <c r="K1448" s="391"/>
      <c r="L1448" s="385"/>
      <c r="M1448" s="391"/>
      <c r="N1448" s="385"/>
      <c r="O1448" s="190"/>
    </row>
    <row r="1449" spans="2:15" ht="16" x14ac:dyDescent="0.2">
      <c r="C1449" s="119">
        <v>27</v>
      </c>
      <c r="D1449" s="383"/>
      <c r="E1449" s="389"/>
      <c r="F1449" s="385"/>
      <c r="G1449" s="391"/>
      <c r="H1449" s="385"/>
      <c r="I1449" s="391"/>
      <c r="J1449" s="385"/>
      <c r="K1449" s="391"/>
      <c r="L1449" s="385"/>
      <c r="M1449" s="391"/>
      <c r="N1449" s="385"/>
      <c r="O1449" s="190"/>
    </row>
    <row r="1450" spans="2:15" ht="16" x14ac:dyDescent="0.2">
      <c r="C1450" s="119">
        <v>28</v>
      </c>
      <c r="D1450" s="383"/>
      <c r="E1450" s="389"/>
      <c r="F1450" s="385"/>
      <c r="G1450" s="391"/>
      <c r="H1450" s="385"/>
      <c r="I1450" s="391"/>
      <c r="J1450" s="385"/>
      <c r="K1450" s="391"/>
      <c r="L1450" s="385"/>
      <c r="M1450" s="391"/>
      <c r="N1450" s="385"/>
      <c r="O1450" s="190"/>
    </row>
    <row r="1451" spans="2:15" ht="16" x14ac:dyDescent="0.2">
      <c r="C1451" s="119">
        <v>29</v>
      </c>
      <c r="D1451" s="383"/>
      <c r="E1451" s="389"/>
      <c r="F1451" s="385"/>
      <c r="G1451" s="391"/>
      <c r="H1451" s="385"/>
      <c r="I1451" s="391"/>
      <c r="J1451" s="385"/>
      <c r="K1451" s="391"/>
      <c r="L1451" s="385"/>
      <c r="M1451" s="391"/>
      <c r="N1451" s="385"/>
      <c r="O1451" s="190"/>
    </row>
    <row r="1452" spans="2:15" ht="16" x14ac:dyDescent="0.2">
      <c r="C1452" s="119">
        <v>30</v>
      </c>
      <c r="D1452" s="383"/>
      <c r="E1452" s="389"/>
      <c r="F1452" s="385"/>
      <c r="G1452" s="391"/>
      <c r="H1452" s="385"/>
      <c r="I1452" s="391"/>
      <c r="J1452" s="385"/>
      <c r="K1452" s="391"/>
      <c r="L1452" s="385"/>
      <c r="M1452" s="391"/>
      <c r="N1452" s="385"/>
      <c r="O1452" s="190"/>
    </row>
    <row r="1453" spans="2:15" ht="16" x14ac:dyDescent="0.2">
      <c r="C1453" s="120">
        <v>31</v>
      </c>
      <c r="D1453" s="383"/>
      <c r="E1453" s="389"/>
      <c r="F1453" s="384"/>
      <c r="G1453" s="390"/>
      <c r="H1453" s="384"/>
      <c r="I1453" s="390"/>
      <c r="J1453" s="384"/>
      <c r="K1453" s="390"/>
      <c r="L1453" s="384"/>
      <c r="M1453" s="390"/>
      <c r="N1453" s="384"/>
      <c r="O1453" s="190"/>
    </row>
    <row r="1454" spans="2:15" ht="16" x14ac:dyDescent="0.2">
      <c r="B1454" s="256"/>
      <c r="C1454" s="377">
        <v>32</v>
      </c>
      <c r="D1454" s="384"/>
      <c r="E1454" s="390"/>
      <c r="F1454" s="384"/>
      <c r="G1454" s="390"/>
      <c r="H1454" s="384"/>
      <c r="I1454" s="390"/>
      <c r="J1454" s="384"/>
      <c r="K1454" s="390"/>
      <c r="L1454" s="384"/>
      <c r="M1454" s="390"/>
      <c r="N1454" s="384"/>
      <c r="O1454" s="190"/>
    </row>
    <row r="1455" spans="2:15" ht="16" x14ac:dyDescent="0.2">
      <c r="B1455" s="256"/>
      <c r="C1455" s="119">
        <v>33</v>
      </c>
      <c r="D1455" s="385"/>
      <c r="E1455" s="391"/>
      <c r="F1455" s="385"/>
      <c r="G1455" s="391"/>
      <c r="H1455" s="385"/>
      <c r="I1455" s="391"/>
      <c r="J1455" s="385"/>
      <c r="K1455" s="391"/>
      <c r="L1455" s="385"/>
      <c r="M1455" s="391"/>
      <c r="N1455" s="385"/>
      <c r="O1455" s="190"/>
    </row>
    <row r="1456" spans="2:15" ht="16" x14ac:dyDescent="0.2">
      <c r="B1456" s="256"/>
      <c r="C1456" s="119">
        <v>34</v>
      </c>
      <c r="D1456" s="385"/>
      <c r="E1456" s="391"/>
      <c r="F1456" s="385"/>
      <c r="G1456" s="391"/>
      <c r="H1456" s="385"/>
      <c r="I1456" s="391"/>
      <c r="J1456" s="385"/>
      <c r="K1456" s="391"/>
      <c r="L1456" s="385"/>
      <c r="M1456" s="391"/>
      <c r="N1456" s="385"/>
      <c r="O1456" s="190"/>
    </row>
    <row r="1457" spans="2:15" ht="16" x14ac:dyDescent="0.2">
      <c r="B1457" s="256"/>
      <c r="C1457" s="119">
        <v>35</v>
      </c>
      <c r="D1457" s="385"/>
      <c r="E1457" s="391"/>
      <c r="F1457" s="385"/>
      <c r="G1457" s="391"/>
      <c r="H1457" s="385"/>
      <c r="I1457" s="391"/>
      <c r="J1457" s="385"/>
      <c r="K1457" s="391"/>
      <c r="L1457" s="385"/>
      <c r="M1457" s="391"/>
      <c r="N1457" s="385"/>
      <c r="O1457" s="190"/>
    </row>
    <row r="1458" spans="2:15" ht="16" x14ac:dyDescent="0.2">
      <c r="B1458" s="256"/>
      <c r="C1458" s="119">
        <v>36</v>
      </c>
      <c r="D1458" s="385"/>
      <c r="E1458" s="391"/>
      <c r="F1458" s="385"/>
      <c r="G1458" s="391"/>
      <c r="H1458" s="385"/>
      <c r="I1458" s="391"/>
      <c r="J1458" s="385"/>
      <c r="K1458" s="391"/>
      <c r="L1458" s="385"/>
      <c r="M1458" s="391"/>
      <c r="N1458" s="385"/>
      <c r="O1458" s="190"/>
    </row>
    <row r="1459" spans="2:15" ht="17" thickBot="1" x14ac:dyDescent="0.25">
      <c r="B1459" s="256"/>
      <c r="C1459" s="378">
        <v>37</v>
      </c>
      <c r="D1459" s="386"/>
      <c r="E1459" s="392"/>
      <c r="F1459" s="386"/>
      <c r="G1459" s="392"/>
      <c r="H1459" s="386"/>
      <c r="I1459" s="392"/>
      <c r="J1459" s="386"/>
      <c r="K1459" s="392"/>
      <c r="L1459" s="386"/>
      <c r="M1459" s="392"/>
      <c r="N1459" s="386"/>
      <c r="O1459" s="190"/>
    </row>
    <row r="1460" spans="2:15" ht="17" thickBot="1" x14ac:dyDescent="0.25">
      <c r="C1460" s="825" t="s">
        <v>19</v>
      </c>
      <c r="D1460" s="826"/>
      <c r="E1460" s="380"/>
      <c r="F1460" s="376">
        <f>(F1423+F1424+F1425+F1426+F1427+F1428+F1444+F1431+F1432+F1429+F1430+F1433+F1434+F1435+F1436+F1437+F1438+F1439+F1440+F1441+F1442+F1443+F1445+F1446+F1448+F1449+F1450+F1451+F1452+F1453+F1454+F1455+F1456+F1459)/2</f>
        <v>84</v>
      </c>
      <c r="G1460" s="397">
        <f>(G1423+G1424+G1425+G1426+G1427+G1444+G1428+G1432+G1431+G1429+G1430+G1433+G1434+G1435+G1436+G1437+G1438+G1439+G1440+G1441+G1442+G1443+G1445+G1446+G1448+G1449+G1450+G1451+G1452+G1453+G1454+G1455)/2</f>
        <v>53</v>
      </c>
      <c r="H1460" s="399">
        <f>(H1423+H1424+H1425+H1426+H1427+H1428+H1444+H1447+H1431+H1432+H1429+H1430+H1433+H1434+H1435+H1436+H1437+H1438+H1439+H1440+H1441+H1442+H1443+H1445+H1446+H1448+H1449+H1450+H1451+H1452+H1453+H1454+H1455+H1456+H1459)/2</f>
        <v>21</v>
      </c>
      <c r="I1460" s="398">
        <f>(I1423+I1424+I1425+I1426+I1427+I1457+I1458+I1428+I1444+I1431+I1447+I1432+I1429+I1430+I1433+I1434+I1435+I1436+I1437+I1438+I1439+I1440+I1441+I1442+I1443+I1445+I1446+I1448+I1449+I1450+I1451+I1452+I1453+I1454+I1455+I1456+I1459)/2</f>
        <v>44</v>
      </c>
      <c r="J1460" s="376">
        <f>(J1423+J1424+J1425+J1426+J1427+J1428+J1432+J1429+J1431+J1430+J1447+J1433+J1434+J1435+J1436+J1437+J1438+J1439+J1440+J1441+J1442+J1443+J1444+J1445+J1446+J1448+J1449+J1450+J1451+J1452+J1453+J1454+J1455)/2</f>
        <v>80</v>
      </c>
      <c r="K1460" s="397">
        <f>(K1423+K1424+K1425+K1426+K1427+K1428+K1432+K1429+K1430+K1433+K1434+K1435+K1436+K1437+K1438+K1439+K1440+K1441+K1442+K1443+K1445+K1446+K1448+K1449+K1450+K1451+K1452+K1453+K1454+K1455+K1444)</f>
        <v>0</v>
      </c>
      <c r="L1460" s="399">
        <f>SUM(L1423:L1459)</f>
        <v>0</v>
      </c>
      <c r="M1460" s="398">
        <f>(M1423+M1424+M1425+M1426+M1427+M1428+M1432+M1431+M1429+M1430+M1433+M1434+M1435+M1436+M1437+M1438+M1439+M1440+M1441+M1442+M1443+M1445+M1446+M1448+M1449+M1450+M1451+M1452+M1453+M1454+M1455)/2</f>
        <v>0</v>
      </c>
      <c r="N1460" s="376"/>
      <c r="O1460" s="41"/>
    </row>
    <row r="1461" spans="2:15" ht="17" thickBot="1" x14ac:dyDescent="0.25">
      <c r="C1461" s="825" t="s">
        <v>91</v>
      </c>
      <c r="D1461" s="826"/>
      <c r="E1461" s="381">
        <f>SUM(F1460:J1460)</f>
        <v>282</v>
      </c>
    </row>
    <row r="1462" spans="2:15" ht="16" thickBot="1" x14ac:dyDescent="0.25"/>
    <row r="1463" spans="2:15" ht="17" thickBot="1" x14ac:dyDescent="0.25">
      <c r="C1463" s="17"/>
      <c r="D1463" s="379" t="s">
        <v>83</v>
      </c>
      <c r="E1463" s="818" t="s">
        <v>67</v>
      </c>
      <c r="F1463" s="819"/>
      <c r="G1463" s="819"/>
      <c r="H1463" s="819"/>
      <c r="I1463" s="819"/>
      <c r="J1463" s="400" t="s">
        <v>76</v>
      </c>
      <c r="K1463" s="820">
        <v>45702</v>
      </c>
      <c r="L1463" s="821"/>
      <c r="M1463" s="821"/>
      <c r="N1463" s="821"/>
      <c r="O1463" s="822"/>
    </row>
    <row r="1464" spans="2:15" ht="16" thickBot="1" x14ac:dyDescent="0.25">
      <c r="B1464" s="175" t="s">
        <v>76</v>
      </c>
      <c r="C1464" s="175" t="s">
        <v>77</v>
      </c>
      <c r="D1464" s="823" t="s">
        <v>122</v>
      </c>
      <c r="E1464" s="824"/>
      <c r="F1464" s="175" t="s">
        <v>104</v>
      </c>
      <c r="G1464" s="395" t="s">
        <v>86</v>
      </c>
      <c r="H1464" s="175" t="s">
        <v>88</v>
      </c>
      <c r="I1464" s="395" t="s">
        <v>87</v>
      </c>
      <c r="J1464" s="401" t="s">
        <v>85</v>
      </c>
      <c r="K1464" s="395" t="s">
        <v>123</v>
      </c>
      <c r="L1464" s="175" t="s">
        <v>124</v>
      </c>
      <c r="M1464" s="395" t="s">
        <v>100</v>
      </c>
      <c r="N1464" s="175" t="s">
        <v>213</v>
      </c>
      <c r="O1464" s="404" t="s">
        <v>125</v>
      </c>
    </row>
    <row r="1465" spans="2:15" ht="16" thickBot="1" x14ac:dyDescent="0.25">
      <c r="B1465" s="176">
        <f>K1463</f>
        <v>45702</v>
      </c>
      <c r="C1465" s="374"/>
      <c r="D1465" s="375" t="s">
        <v>126</v>
      </c>
      <c r="E1465" s="387" t="s">
        <v>127</v>
      </c>
      <c r="F1465" s="331">
        <v>10</v>
      </c>
      <c r="G1465" s="237">
        <v>3</v>
      </c>
      <c r="H1465" s="331">
        <v>1</v>
      </c>
      <c r="I1465" s="237">
        <v>2</v>
      </c>
      <c r="J1465" s="331">
        <v>0</v>
      </c>
      <c r="K1465" s="231"/>
      <c r="L1465" s="125"/>
      <c r="M1465" s="231"/>
      <c r="N1465" s="125"/>
      <c r="O1465" s="326"/>
    </row>
    <row r="1466" spans="2:15" ht="16" x14ac:dyDescent="0.2">
      <c r="C1466" s="118">
        <v>1</v>
      </c>
      <c r="D1466" s="382">
        <v>0.77777777777777779</v>
      </c>
      <c r="E1466" s="388">
        <v>0.79861111111111116</v>
      </c>
      <c r="F1466" s="393"/>
      <c r="G1466" s="396">
        <v>28</v>
      </c>
      <c r="H1466" s="393"/>
      <c r="I1466" s="396"/>
      <c r="J1466" s="393"/>
      <c r="K1466" s="396"/>
      <c r="L1466" s="393"/>
      <c r="M1466" s="396"/>
      <c r="N1466" s="393"/>
      <c r="O1466" s="190"/>
    </row>
    <row r="1467" spans="2:15" ht="16" x14ac:dyDescent="0.2">
      <c r="C1467" s="119">
        <v>2</v>
      </c>
      <c r="D1467" s="383">
        <v>0.80555555555555547</v>
      </c>
      <c r="E1467" s="389">
        <v>0.82638888888888884</v>
      </c>
      <c r="F1467" s="385">
        <v>28</v>
      </c>
      <c r="G1467" s="391"/>
      <c r="H1467" s="385"/>
      <c r="I1467" s="391"/>
      <c r="J1467" s="385"/>
      <c r="K1467" s="391"/>
      <c r="L1467" s="385"/>
      <c r="M1467" s="391"/>
      <c r="N1467" s="385"/>
      <c r="O1467" s="190"/>
    </row>
    <row r="1468" spans="2:15" ht="16" x14ac:dyDescent="0.2">
      <c r="C1468" s="119">
        <v>3</v>
      </c>
      <c r="D1468" s="383">
        <v>0.84027777777777779</v>
      </c>
      <c r="E1468" s="389">
        <v>0.86111111111111116</v>
      </c>
      <c r="F1468" s="385">
        <v>28</v>
      </c>
      <c r="G1468" s="391"/>
      <c r="H1468" s="385"/>
      <c r="I1468" s="391"/>
      <c r="J1468" s="385"/>
      <c r="K1468" s="391"/>
      <c r="L1468" s="384"/>
      <c r="M1468" s="391"/>
      <c r="N1468" s="385"/>
      <c r="O1468" s="190"/>
    </row>
    <row r="1469" spans="2:15" ht="16" x14ac:dyDescent="0.2">
      <c r="C1469" s="119">
        <v>4</v>
      </c>
      <c r="D1469" s="383">
        <v>0.86458333333333337</v>
      </c>
      <c r="E1469" s="389">
        <v>0.88541666666666663</v>
      </c>
      <c r="F1469" s="385">
        <v>28</v>
      </c>
      <c r="G1469" s="391"/>
      <c r="H1469" s="316"/>
      <c r="I1469" s="391"/>
      <c r="J1469" s="385"/>
      <c r="K1469" s="391"/>
      <c r="L1469" s="402"/>
      <c r="M1469" s="391"/>
      <c r="N1469" s="385"/>
      <c r="O1469" s="190"/>
    </row>
    <row r="1470" spans="2:15" ht="16" x14ac:dyDescent="0.2">
      <c r="C1470" s="119">
        <v>5</v>
      </c>
      <c r="D1470" s="383">
        <v>0.88888888888888884</v>
      </c>
      <c r="E1470" s="389">
        <v>0.90972222222222221</v>
      </c>
      <c r="F1470" s="385">
        <v>28</v>
      </c>
      <c r="G1470" s="391"/>
      <c r="H1470" s="316"/>
      <c r="I1470" s="391"/>
      <c r="J1470" s="385"/>
      <c r="K1470" s="391"/>
      <c r="L1470" s="393"/>
      <c r="M1470" s="391"/>
      <c r="N1470" s="385"/>
      <c r="O1470" s="190"/>
    </row>
    <row r="1471" spans="2:15" ht="16" x14ac:dyDescent="0.2">
      <c r="C1471" s="119">
        <v>6</v>
      </c>
      <c r="D1471" s="383">
        <v>0.92361111111111116</v>
      </c>
      <c r="E1471" s="389">
        <v>0.94444444444444453</v>
      </c>
      <c r="F1471" s="385">
        <v>28</v>
      </c>
      <c r="G1471" s="391"/>
      <c r="H1471" s="316"/>
      <c r="I1471" s="391"/>
      <c r="J1471" s="385"/>
      <c r="K1471" s="391"/>
      <c r="L1471" s="393"/>
      <c r="M1471" s="391"/>
      <c r="N1471" s="385"/>
      <c r="O1471" s="190"/>
    </row>
    <row r="1472" spans="2:15" ht="16" x14ac:dyDescent="0.2">
      <c r="C1472" s="119">
        <v>7</v>
      </c>
      <c r="D1472" s="383">
        <v>0.95833333333333337</v>
      </c>
      <c r="E1472" s="389">
        <v>0.97916666666666663</v>
      </c>
      <c r="F1472" s="385"/>
      <c r="G1472" s="391"/>
      <c r="H1472" s="316"/>
      <c r="I1472" s="391">
        <v>44</v>
      </c>
      <c r="J1472" s="385"/>
      <c r="K1472" s="391"/>
      <c r="L1472" s="393"/>
      <c r="M1472" s="391"/>
      <c r="N1472" s="385"/>
      <c r="O1472" s="190"/>
    </row>
    <row r="1473" spans="3:15" ht="16" x14ac:dyDescent="0.2">
      <c r="C1473" s="119">
        <v>8</v>
      </c>
      <c r="D1473" s="383">
        <v>0</v>
      </c>
      <c r="E1473" s="389">
        <v>2.0833333333333332E-2</v>
      </c>
      <c r="F1473" s="385"/>
      <c r="G1473" s="391">
        <v>14</v>
      </c>
      <c r="H1473" s="316"/>
      <c r="I1473" s="391"/>
      <c r="J1473" s="385"/>
      <c r="K1473" s="391"/>
      <c r="L1473" s="385"/>
      <c r="M1473" s="391"/>
      <c r="N1473" s="385"/>
      <c r="O1473" s="190"/>
    </row>
    <row r="1474" spans="3:15" ht="16" x14ac:dyDescent="0.2">
      <c r="C1474" s="119">
        <v>9</v>
      </c>
      <c r="D1474" s="383">
        <v>0</v>
      </c>
      <c r="E1474" s="389">
        <v>2.0833333333333332E-2</v>
      </c>
      <c r="F1474" s="385">
        <v>14</v>
      </c>
      <c r="G1474" s="391"/>
      <c r="H1474" s="316"/>
      <c r="I1474" s="391"/>
      <c r="J1474" s="385"/>
      <c r="K1474" s="391"/>
      <c r="L1474" s="385"/>
      <c r="M1474" s="391"/>
      <c r="N1474" s="385"/>
      <c r="O1474" s="190"/>
    </row>
    <row r="1475" spans="3:15" ht="16" x14ac:dyDescent="0.2">
      <c r="C1475" s="119">
        <v>10</v>
      </c>
      <c r="D1475" s="383"/>
      <c r="E1475" s="389"/>
      <c r="F1475" s="385"/>
      <c r="G1475" s="391"/>
      <c r="H1475" s="316"/>
      <c r="I1475" s="391"/>
      <c r="J1475" s="385"/>
      <c r="K1475" s="391"/>
      <c r="L1475" s="385"/>
      <c r="M1475" s="391"/>
      <c r="N1475" s="385"/>
      <c r="O1475" s="190"/>
    </row>
    <row r="1476" spans="3:15" ht="16" x14ac:dyDescent="0.2">
      <c r="C1476" s="119">
        <v>11</v>
      </c>
      <c r="D1476" s="383"/>
      <c r="E1476" s="389"/>
      <c r="F1476" s="385"/>
      <c r="G1476" s="391"/>
      <c r="H1476" s="316"/>
      <c r="I1476" s="391"/>
      <c r="J1476" s="28"/>
      <c r="K1476" s="391"/>
      <c r="L1476" s="385"/>
      <c r="M1476" s="391"/>
      <c r="N1476" s="385"/>
      <c r="O1476" s="190"/>
    </row>
    <row r="1477" spans="3:15" ht="16" x14ac:dyDescent="0.2">
      <c r="C1477" s="193">
        <v>12</v>
      </c>
      <c r="D1477" s="383"/>
      <c r="E1477" s="389"/>
      <c r="F1477" s="385"/>
      <c r="G1477" s="391"/>
      <c r="H1477" s="316"/>
      <c r="I1477" s="391"/>
      <c r="J1477" s="385"/>
      <c r="K1477" s="391"/>
      <c r="L1477" s="385"/>
      <c r="M1477" s="391"/>
      <c r="N1477" s="385"/>
      <c r="O1477" s="190"/>
    </row>
    <row r="1478" spans="3:15" ht="16" x14ac:dyDescent="0.2">
      <c r="C1478" s="119">
        <v>13</v>
      </c>
      <c r="D1478" s="383"/>
      <c r="E1478" s="389"/>
      <c r="F1478" s="385"/>
      <c r="G1478" s="391"/>
      <c r="H1478" s="316"/>
      <c r="I1478" s="391"/>
      <c r="J1478" s="385"/>
      <c r="K1478" s="391"/>
      <c r="L1478" s="385"/>
      <c r="M1478" s="391"/>
      <c r="N1478" s="385"/>
      <c r="O1478" s="190"/>
    </row>
    <row r="1479" spans="3:15" ht="16" x14ac:dyDescent="0.2">
      <c r="C1479" s="119">
        <v>14</v>
      </c>
      <c r="D1479" s="383"/>
      <c r="E1479" s="389"/>
      <c r="F1479" s="385"/>
      <c r="G1479" s="391"/>
      <c r="H1479" s="316"/>
      <c r="I1479" s="391"/>
      <c r="J1479" s="385"/>
      <c r="K1479" s="391"/>
      <c r="L1479" s="385"/>
      <c r="M1479" s="391"/>
      <c r="N1479" s="385"/>
      <c r="O1479" s="190"/>
    </row>
    <row r="1480" spans="3:15" ht="16" x14ac:dyDescent="0.2">
      <c r="C1480" s="119">
        <v>15</v>
      </c>
      <c r="D1480" s="383"/>
      <c r="E1480" s="389"/>
      <c r="F1480" s="385"/>
      <c r="G1480" s="391"/>
      <c r="H1480" s="316"/>
      <c r="I1480" s="391"/>
      <c r="J1480" s="385"/>
      <c r="K1480" s="391"/>
      <c r="L1480" s="385"/>
      <c r="M1480" s="391"/>
      <c r="N1480" s="385"/>
      <c r="O1480" s="190"/>
    </row>
    <row r="1481" spans="3:15" ht="16" x14ac:dyDescent="0.2">
      <c r="C1481" s="119">
        <v>16</v>
      </c>
      <c r="D1481" s="383"/>
      <c r="E1481" s="389"/>
      <c r="F1481" s="385"/>
      <c r="G1481" s="391"/>
      <c r="H1481" s="316"/>
      <c r="I1481" s="391"/>
      <c r="J1481" s="385"/>
      <c r="K1481" s="391"/>
      <c r="L1481" s="385"/>
      <c r="M1481" s="391"/>
      <c r="N1481" s="385"/>
      <c r="O1481" s="190"/>
    </row>
    <row r="1482" spans="3:15" ht="16" x14ac:dyDescent="0.2">
      <c r="C1482" s="119">
        <v>17</v>
      </c>
      <c r="D1482" s="383"/>
      <c r="E1482" s="389"/>
      <c r="F1482" s="384"/>
      <c r="G1482" s="33"/>
      <c r="H1482" s="316"/>
      <c r="I1482" s="390"/>
      <c r="J1482" s="385"/>
      <c r="K1482" s="391"/>
      <c r="L1482" s="385"/>
      <c r="M1482" s="391"/>
      <c r="N1482" s="385"/>
      <c r="O1482" s="190"/>
    </row>
    <row r="1483" spans="3:15" ht="16" x14ac:dyDescent="0.2">
      <c r="C1483" s="119">
        <v>18</v>
      </c>
      <c r="D1483" s="383"/>
      <c r="E1483" s="389"/>
      <c r="F1483" s="394"/>
      <c r="G1483" s="229"/>
      <c r="H1483" s="394"/>
      <c r="I1483" s="391"/>
      <c r="J1483" s="385"/>
      <c r="K1483" s="391"/>
      <c r="L1483" s="385"/>
      <c r="M1483" s="391"/>
      <c r="N1483" s="385"/>
      <c r="O1483" s="190"/>
    </row>
    <row r="1484" spans="3:15" ht="16" x14ac:dyDescent="0.2">
      <c r="C1484" s="119">
        <v>19</v>
      </c>
      <c r="D1484" s="383"/>
      <c r="E1484" s="389"/>
      <c r="F1484" s="385"/>
      <c r="G1484" s="391"/>
      <c r="H1484" s="385"/>
      <c r="I1484" s="391"/>
      <c r="J1484" s="385"/>
      <c r="K1484" s="391"/>
      <c r="L1484" s="403"/>
      <c r="M1484" s="391"/>
      <c r="N1484" s="385"/>
      <c r="O1484" s="190"/>
    </row>
    <row r="1485" spans="3:15" ht="16" x14ac:dyDescent="0.2">
      <c r="C1485" s="119">
        <v>20</v>
      </c>
      <c r="D1485" s="383"/>
      <c r="E1485" s="389"/>
      <c r="F1485" s="385"/>
      <c r="G1485" s="391"/>
      <c r="H1485" s="385"/>
      <c r="I1485" s="391"/>
      <c r="J1485" s="385"/>
      <c r="K1485" s="391"/>
      <c r="L1485" s="403"/>
      <c r="M1485" s="391"/>
      <c r="N1485" s="385"/>
      <c r="O1485" s="190"/>
    </row>
    <row r="1486" spans="3:15" ht="16" x14ac:dyDescent="0.2">
      <c r="C1486" s="119">
        <v>21</v>
      </c>
      <c r="D1486" s="383"/>
      <c r="E1486" s="389"/>
      <c r="F1486" s="385"/>
      <c r="G1486" s="391"/>
      <c r="H1486" s="385"/>
      <c r="I1486" s="391"/>
      <c r="J1486" s="385"/>
      <c r="K1486" s="391"/>
      <c r="L1486" s="385"/>
      <c r="M1486" s="391"/>
      <c r="N1486" s="385"/>
      <c r="O1486" s="190"/>
    </row>
    <row r="1487" spans="3:15" ht="16" x14ac:dyDescent="0.2">
      <c r="C1487" s="119">
        <v>22</v>
      </c>
      <c r="D1487" s="383"/>
      <c r="E1487" s="389"/>
      <c r="F1487" s="385"/>
      <c r="G1487" s="391"/>
      <c r="H1487" s="385"/>
      <c r="I1487" s="391"/>
      <c r="J1487" s="385"/>
      <c r="K1487" s="391"/>
      <c r="L1487" s="385"/>
      <c r="M1487" s="391"/>
      <c r="N1487" s="385"/>
      <c r="O1487" s="190"/>
    </row>
    <row r="1488" spans="3:15" ht="16" x14ac:dyDescent="0.2">
      <c r="C1488" s="119">
        <v>23</v>
      </c>
      <c r="D1488" s="383"/>
      <c r="E1488" s="389"/>
      <c r="F1488" s="385"/>
      <c r="G1488" s="391"/>
      <c r="H1488" s="385"/>
      <c r="I1488" s="391"/>
      <c r="J1488" s="385"/>
      <c r="K1488" s="391"/>
      <c r="L1488" s="385"/>
      <c r="M1488" s="391"/>
      <c r="N1488" s="385"/>
      <c r="O1488" s="190"/>
    </row>
    <row r="1489" spans="2:15" ht="16" x14ac:dyDescent="0.2">
      <c r="C1489" s="119">
        <v>24</v>
      </c>
      <c r="D1489" s="383"/>
      <c r="E1489" s="389"/>
      <c r="F1489" s="385"/>
      <c r="G1489" s="391"/>
      <c r="H1489" s="385"/>
      <c r="I1489" s="391"/>
      <c r="J1489" s="385"/>
      <c r="K1489" s="391"/>
      <c r="L1489" s="385"/>
      <c r="M1489" s="391"/>
      <c r="N1489" s="385"/>
      <c r="O1489" s="190"/>
    </row>
    <row r="1490" spans="2:15" ht="16" x14ac:dyDescent="0.2">
      <c r="C1490" s="119">
        <v>25</v>
      </c>
      <c r="D1490" s="383"/>
      <c r="E1490" s="389"/>
      <c r="F1490" s="385"/>
      <c r="G1490" s="391"/>
      <c r="H1490" s="385"/>
      <c r="I1490" s="391"/>
      <c r="J1490" s="385"/>
      <c r="K1490" s="391"/>
      <c r="L1490" s="385"/>
      <c r="M1490" s="391"/>
      <c r="N1490" s="385"/>
      <c r="O1490" s="190"/>
    </row>
    <row r="1491" spans="2:15" ht="16" x14ac:dyDescent="0.2">
      <c r="C1491" s="119">
        <v>26</v>
      </c>
      <c r="D1491" s="383"/>
      <c r="E1491" s="389"/>
      <c r="F1491" s="385"/>
      <c r="G1491" s="391"/>
      <c r="H1491" s="385"/>
      <c r="I1491" s="391"/>
      <c r="J1491" s="385"/>
      <c r="K1491" s="391"/>
      <c r="L1491" s="385"/>
      <c r="M1491" s="391"/>
      <c r="N1491" s="385"/>
      <c r="O1491" s="190"/>
    </row>
    <row r="1492" spans="2:15" ht="16" x14ac:dyDescent="0.2">
      <c r="C1492" s="119">
        <v>27</v>
      </c>
      <c r="D1492" s="383"/>
      <c r="E1492" s="389"/>
      <c r="F1492" s="385"/>
      <c r="G1492" s="391"/>
      <c r="H1492" s="385"/>
      <c r="I1492" s="391"/>
      <c r="J1492" s="385"/>
      <c r="K1492" s="391"/>
      <c r="L1492" s="385"/>
      <c r="M1492" s="391"/>
      <c r="N1492" s="385"/>
      <c r="O1492" s="190"/>
    </row>
    <row r="1493" spans="2:15" ht="16" x14ac:dyDescent="0.2">
      <c r="C1493" s="119">
        <v>28</v>
      </c>
      <c r="D1493" s="383"/>
      <c r="E1493" s="389"/>
      <c r="F1493" s="385"/>
      <c r="G1493" s="391"/>
      <c r="H1493" s="385"/>
      <c r="I1493" s="391"/>
      <c r="J1493" s="385"/>
      <c r="K1493" s="391"/>
      <c r="L1493" s="385"/>
      <c r="M1493" s="391"/>
      <c r="N1493" s="385"/>
      <c r="O1493" s="190"/>
    </row>
    <row r="1494" spans="2:15" ht="16" x14ac:dyDescent="0.2">
      <c r="C1494" s="119">
        <v>29</v>
      </c>
      <c r="D1494" s="383"/>
      <c r="E1494" s="389"/>
      <c r="F1494" s="385"/>
      <c r="G1494" s="391"/>
      <c r="H1494" s="385"/>
      <c r="I1494" s="391"/>
      <c r="J1494" s="385"/>
      <c r="K1494" s="391"/>
      <c r="L1494" s="385"/>
      <c r="M1494" s="391"/>
      <c r="N1494" s="385"/>
      <c r="O1494" s="190"/>
    </row>
    <row r="1495" spans="2:15" ht="16" x14ac:dyDescent="0.2">
      <c r="C1495" s="119">
        <v>30</v>
      </c>
      <c r="D1495" s="383"/>
      <c r="E1495" s="389"/>
      <c r="F1495" s="385"/>
      <c r="G1495" s="391"/>
      <c r="H1495" s="385"/>
      <c r="I1495" s="391"/>
      <c r="J1495" s="385"/>
      <c r="K1495" s="391"/>
      <c r="L1495" s="385"/>
      <c r="M1495" s="391"/>
      <c r="N1495" s="385"/>
      <c r="O1495" s="190"/>
    </row>
    <row r="1496" spans="2:15" ht="16" x14ac:dyDescent="0.2">
      <c r="C1496" s="120">
        <v>31</v>
      </c>
      <c r="D1496" s="383"/>
      <c r="E1496" s="389"/>
      <c r="F1496" s="384"/>
      <c r="G1496" s="390"/>
      <c r="H1496" s="384"/>
      <c r="I1496" s="390"/>
      <c r="J1496" s="384"/>
      <c r="K1496" s="390"/>
      <c r="L1496" s="384"/>
      <c r="M1496" s="390"/>
      <c r="N1496" s="384"/>
      <c r="O1496" s="190"/>
    </row>
    <row r="1497" spans="2:15" ht="16" x14ac:dyDescent="0.2">
      <c r="B1497" s="256"/>
      <c r="C1497" s="377">
        <v>32</v>
      </c>
      <c r="D1497" s="384"/>
      <c r="E1497" s="390"/>
      <c r="F1497" s="384"/>
      <c r="G1497" s="390"/>
      <c r="H1497" s="384"/>
      <c r="I1497" s="390"/>
      <c r="J1497" s="384"/>
      <c r="K1497" s="390"/>
      <c r="L1497" s="384"/>
      <c r="M1497" s="390"/>
      <c r="N1497" s="384"/>
      <c r="O1497" s="190"/>
    </row>
    <row r="1498" spans="2:15" ht="16" x14ac:dyDescent="0.2">
      <c r="B1498" s="256"/>
      <c r="C1498" s="119">
        <v>33</v>
      </c>
      <c r="D1498" s="385"/>
      <c r="E1498" s="391"/>
      <c r="F1498" s="385"/>
      <c r="G1498" s="391"/>
      <c r="H1498" s="385"/>
      <c r="I1498" s="391"/>
      <c r="J1498" s="385"/>
      <c r="K1498" s="391"/>
      <c r="L1498" s="385"/>
      <c r="M1498" s="391"/>
      <c r="N1498" s="385"/>
      <c r="O1498" s="190"/>
    </row>
    <row r="1499" spans="2:15" ht="16" x14ac:dyDescent="0.2">
      <c r="B1499" s="256"/>
      <c r="C1499" s="119">
        <v>34</v>
      </c>
      <c r="D1499" s="385"/>
      <c r="E1499" s="391"/>
      <c r="F1499" s="385"/>
      <c r="G1499" s="391"/>
      <c r="H1499" s="385"/>
      <c r="I1499" s="391"/>
      <c r="J1499" s="385"/>
      <c r="K1499" s="391"/>
      <c r="L1499" s="385"/>
      <c r="M1499" s="391"/>
      <c r="N1499" s="385"/>
      <c r="O1499" s="190"/>
    </row>
    <row r="1500" spans="2:15" ht="16" x14ac:dyDescent="0.2">
      <c r="B1500" s="256"/>
      <c r="C1500" s="119">
        <v>35</v>
      </c>
      <c r="D1500" s="385"/>
      <c r="E1500" s="391"/>
      <c r="F1500" s="385"/>
      <c r="G1500" s="391"/>
      <c r="H1500" s="385"/>
      <c r="I1500" s="391"/>
      <c r="J1500" s="385"/>
      <c r="K1500" s="391"/>
      <c r="L1500" s="385"/>
      <c r="M1500" s="391"/>
      <c r="N1500" s="385"/>
      <c r="O1500" s="190"/>
    </row>
    <row r="1501" spans="2:15" ht="16" x14ac:dyDescent="0.2">
      <c r="B1501" s="256"/>
      <c r="C1501" s="119">
        <v>36</v>
      </c>
      <c r="D1501" s="385"/>
      <c r="E1501" s="391"/>
      <c r="F1501" s="385"/>
      <c r="G1501" s="391"/>
      <c r="H1501" s="385"/>
      <c r="I1501" s="391"/>
      <c r="J1501" s="385"/>
      <c r="K1501" s="391"/>
      <c r="L1501" s="385"/>
      <c r="M1501" s="391"/>
      <c r="N1501" s="385"/>
      <c r="O1501" s="190"/>
    </row>
    <row r="1502" spans="2:15" ht="17" thickBot="1" x14ac:dyDescent="0.25">
      <c r="B1502" s="256"/>
      <c r="C1502" s="378">
        <v>37</v>
      </c>
      <c r="D1502" s="386"/>
      <c r="E1502" s="392"/>
      <c r="F1502" s="386"/>
      <c r="G1502" s="392"/>
      <c r="H1502" s="386"/>
      <c r="I1502" s="392"/>
      <c r="J1502" s="386"/>
      <c r="K1502" s="392"/>
      <c r="L1502" s="386"/>
      <c r="M1502" s="392"/>
      <c r="N1502" s="386"/>
      <c r="O1502" s="190"/>
    </row>
    <row r="1503" spans="2:15" ht="17" thickBot="1" x14ac:dyDescent="0.25">
      <c r="C1503" s="825" t="s">
        <v>19</v>
      </c>
      <c r="D1503" s="826"/>
      <c r="E1503" s="380"/>
      <c r="F1503" s="376">
        <f>(F1466+F1467+F1468+F1469+F1470+F1471+F1487+F1474+F1475+F1472+F1473+F1476+F1477+F1478+F1479+F1480+F1481+F1482+F1483+F1484+F1485+F1486+F1488+F1489+F1491+F1492+F1493+F1494+F1495+F1496+F1497+F1498+F1499+F1502)/2</f>
        <v>77</v>
      </c>
      <c r="G1503" s="397">
        <f>(G1466+G1467+G1468+G1469+G1470+G1487+G1471+G1475+G1474+G1472+G1473+G1476+G1477+G1478+G1479+G1480+G1481+G1482+G1483+G1484+G1485+G1486+G1488+G1489+G1491+G1492+G1493+G1494+G1495+G1496+G1497+G1498)/2</f>
        <v>21</v>
      </c>
      <c r="H1503" s="399">
        <f>(H1466+H1467+H1468+H1469+H1470+H1471+H1487+H1490+H1474+H1475+H1472+H1473+H1476+H1477+H1478+H1479+H1480+H1481+H1482+H1483+H1484+H1485+H1486+H1488+H1489+H1491+H1492+H1493+H1494+H1495+H1496+H1497+H1498+H1499+H1502)/2</f>
        <v>0</v>
      </c>
      <c r="I1503" s="398">
        <f>(I1466+I1467+I1468+I1469+I1470+I1500+I1501+I1471+I1487+I1474+I1490+I1475+I1472+I1473+I1476+I1477+I1478+I1479+I1480+I1481+I1482+I1483+I1484+I1485+I1486+I1488+I1489+I1491+I1492+I1493+I1494+I1495+I1496+I1497+I1498+I1499+I1502)/2</f>
        <v>22</v>
      </c>
      <c r="J1503" s="376">
        <f>(J1466+J1467+J1468+J1469+J1470+J1471+J1475+J1472+J1474+J1473+J1490+J1476+J1477+J1478+J1479+J1480+J1481+J1482+J1483+J1484+J1485+J1486+J1487+J1488+J1489+J1491+J1492+J1493+J1494+J1495+J1496+J1497+J1498)/2</f>
        <v>0</v>
      </c>
      <c r="K1503" s="397">
        <f>(K1466+K1467+K1468+K1469+K1470+K1471+K1475+K1472+K1473+K1476+K1477+K1478+K1479+K1480+K1481+K1482+K1483+K1484+K1485+K1486+K1488+K1489+K1491+K1492+K1493+K1494+K1495+K1496+K1497+K1498+K1487)</f>
        <v>0</v>
      </c>
      <c r="L1503" s="399">
        <f>SUM(L1466:L1502)</f>
        <v>0</v>
      </c>
      <c r="M1503" s="398">
        <f>(M1466+M1467+M1468+M1469+M1470+M1471+M1475+M1474+M1472+M1473+M1476+M1477+M1478+M1479+M1480+M1481+M1482+M1483+M1484+M1485+M1486+M1488+M1489+M1491+M1492+M1493+M1494+M1495+M1496+M1497+M1498)/2</f>
        <v>0</v>
      </c>
      <c r="N1503" s="376"/>
      <c r="O1503" s="41"/>
    </row>
    <row r="1504" spans="2:15" ht="17" thickBot="1" x14ac:dyDescent="0.25">
      <c r="C1504" s="825" t="s">
        <v>91</v>
      </c>
      <c r="D1504" s="826"/>
      <c r="E1504" s="381">
        <f>SUM(F1503:J1503)</f>
        <v>120</v>
      </c>
    </row>
    <row r="1505" spans="2:15" ht="16" thickBot="1" x14ac:dyDescent="0.25"/>
    <row r="1506" spans="2:15" ht="17" thickBot="1" x14ac:dyDescent="0.25">
      <c r="C1506" s="17"/>
      <c r="D1506" s="379" t="s">
        <v>83</v>
      </c>
      <c r="E1506" s="818" t="s">
        <v>69</v>
      </c>
      <c r="F1506" s="819"/>
      <c r="G1506" s="819"/>
      <c r="H1506" s="819"/>
      <c r="I1506" s="819"/>
      <c r="J1506" s="400" t="s">
        <v>76</v>
      </c>
      <c r="K1506" s="820">
        <v>45704</v>
      </c>
      <c r="L1506" s="821"/>
      <c r="M1506" s="821"/>
      <c r="N1506" s="821"/>
      <c r="O1506" s="822"/>
    </row>
    <row r="1507" spans="2:15" ht="16" thickBot="1" x14ac:dyDescent="0.25">
      <c r="B1507" s="175" t="s">
        <v>76</v>
      </c>
      <c r="C1507" s="175" t="s">
        <v>77</v>
      </c>
      <c r="D1507" s="823" t="s">
        <v>122</v>
      </c>
      <c r="E1507" s="824"/>
      <c r="F1507" s="175" t="s">
        <v>104</v>
      </c>
      <c r="G1507" s="395" t="s">
        <v>86</v>
      </c>
      <c r="H1507" s="175" t="s">
        <v>88</v>
      </c>
      <c r="I1507" s="395" t="s">
        <v>87</v>
      </c>
      <c r="J1507" s="401" t="s">
        <v>85</v>
      </c>
      <c r="K1507" s="395" t="s">
        <v>123</v>
      </c>
      <c r="L1507" s="175" t="s">
        <v>124</v>
      </c>
      <c r="M1507" s="395" t="s">
        <v>100</v>
      </c>
      <c r="N1507" s="175" t="s">
        <v>213</v>
      </c>
      <c r="O1507" s="404" t="s">
        <v>125</v>
      </c>
    </row>
    <row r="1508" spans="2:15" ht="16" thickBot="1" x14ac:dyDescent="0.25">
      <c r="B1508" s="176">
        <f>K1506</f>
        <v>45704</v>
      </c>
      <c r="C1508" s="374"/>
      <c r="D1508" s="375" t="s">
        <v>126</v>
      </c>
      <c r="E1508" s="387" t="s">
        <v>127</v>
      </c>
      <c r="F1508" s="331">
        <v>12</v>
      </c>
      <c r="G1508" s="237">
        <v>7</v>
      </c>
      <c r="H1508" s="331">
        <v>4</v>
      </c>
      <c r="I1508" s="237">
        <v>4</v>
      </c>
      <c r="J1508" s="331">
        <v>9</v>
      </c>
      <c r="K1508" s="231"/>
      <c r="L1508" s="125"/>
      <c r="M1508" s="231"/>
      <c r="N1508" s="125"/>
      <c r="O1508" s="326"/>
    </row>
    <row r="1509" spans="2:15" ht="16" x14ac:dyDescent="0.2">
      <c r="C1509" s="118">
        <v>1</v>
      </c>
      <c r="D1509" s="382">
        <v>0.3125</v>
      </c>
      <c r="E1509" s="388">
        <v>0.33333333333333331</v>
      </c>
      <c r="F1509" s="393"/>
      <c r="G1509" s="396">
        <v>28</v>
      </c>
      <c r="H1509" s="393"/>
      <c r="I1509" s="396"/>
      <c r="J1509" s="393"/>
      <c r="K1509" s="396"/>
      <c r="L1509" s="393"/>
      <c r="M1509" s="396"/>
      <c r="N1509" s="393"/>
      <c r="O1509" s="190"/>
    </row>
    <row r="1510" spans="2:15" ht="16" x14ac:dyDescent="0.2">
      <c r="C1510" s="119">
        <v>2</v>
      </c>
      <c r="D1510" s="383">
        <v>0.34375</v>
      </c>
      <c r="E1510" s="389">
        <v>0.36458333333333331</v>
      </c>
      <c r="F1510" s="385"/>
      <c r="G1510" s="391">
        <v>28</v>
      </c>
      <c r="H1510" s="385"/>
      <c r="I1510" s="391"/>
      <c r="J1510" s="385"/>
      <c r="K1510" s="391"/>
      <c r="L1510" s="385"/>
      <c r="M1510" s="391"/>
      <c r="N1510" s="385"/>
      <c r="O1510" s="190"/>
    </row>
    <row r="1511" spans="2:15" ht="16" x14ac:dyDescent="0.2">
      <c r="C1511" s="119">
        <v>3</v>
      </c>
      <c r="D1511" s="383">
        <v>0.375</v>
      </c>
      <c r="E1511" s="389">
        <v>0.39583333333333331</v>
      </c>
      <c r="F1511" s="385"/>
      <c r="G1511" s="391">
        <v>28</v>
      </c>
      <c r="H1511" s="385"/>
      <c r="I1511" s="391"/>
      <c r="J1511" s="385"/>
      <c r="K1511" s="391"/>
      <c r="L1511" s="384"/>
      <c r="M1511" s="391"/>
      <c r="N1511" s="385"/>
      <c r="O1511" s="190"/>
    </row>
    <row r="1512" spans="2:15" ht="16" x14ac:dyDescent="0.2">
      <c r="C1512" s="119">
        <v>4</v>
      </c>
      <c r="D1512" s="383">
        <v>0.39930555555555558</v>
      </c>
      <c r="E1512" s="389">
        <v>0.4201388888888889</v>
      </c>
      <c r="F1512" s="385">
        <v>28</v>
      </c>
      <c r="G1512" s="391"/>
      <c r="H1512" s="316"/>
      <c r="I1512" s="391"/>
      <c r="J1512" s="385"/>
      <c r="K1512" s="391"/>
      <c r="L1512" s="402"/>
      <c r="M1512" s="391"/>
      <c r="N1512" s="385"/>
      <c r="O1512" s="190"/>
    </row>
    <row r="1513" spans="2:15" ht="16" x14ac:dyDescent="0.2">
      <c r="C1513" s="119">
        <v>5</v>
      </c>
      <c r="D1513" s="383">
        <v>0.42708333333333331</v>
      </c>
      <c r="E1513" s="389">
        <v>0.44791666666666669</v>
      </c>
      <c r="F1513" s="385">
        <v>28</v>
      </c>
      <c r="G1513" s="391"/>
      <c r="H1513" s="316"/>
      <c r="I1513" s="391"/>
      <c r="J1513" s="385"/>
      <c r="K1513" s="391"/>
      <c r="L1513" s="393"/>
      <c r="M1513" s="391"/>
      <c r="N1513" s="385"/>
      <c r="O1513" s="190"/>
    </row>
    <row r="1514" spans="2:15" ht="16" x14ac:dyDescent="0.2">
      <c r="C1514" s="119">
        <v>6</v>
      </c>
      <c r="D1514" s="383">
        <v>0.45833333333333331</v>
      </c>
      <c r="E1514" s="389">
        <v>0.47916666666666669</v>
      </c>
      <c r="F1514" s="385"/>
      <c r="G1514" s="391"/>
      <c r="H1514" s="316"/>
      <c r="I1514" s="391">
        <v>44</v>
      </c>
      <c r="J1514" s="385"/>
      <c r="K1514" s="391"/>
      <c r="L1514" s="393"/>
      <c r="M1514" s="391"/>
      <c r="N1514" s="385"/>
      <c r="O1514" s="190"/>
    </row>
    <row r="1515" spans="2:15" ht="16" x14ac:dyDescent="0.2">
      <c r="C1515" s="119">
        <v>7</v>
      </c>
      <c r="D1515" s="383">
        <v>0.5</v>
      </c>
      <c r="E1515" s="389">
        <v>0.52083333333333337</v>
      </c>
      <c r="F1515" s="385"/>
      <c r="G1515" s="391"/>
      <c r="H1515" s="316">
        <v>28</v>
      </c>
      <c r="I1515" s="391"/>
      <c r="J1515" s="385"/>
      <c r="K1515" s="391"/>
      <c r="L1515" s="393"/>
      <c r="M1515" s="391"/>
      <c r="N1515" s="385"/>
      <c r="O1515" s="190"/>
    </row>
    <row r="1516" spans="2:15" ht="16" x14ac:dyDescent="0.2">
      <c r="C1516" s="119">
        <v>8</v>
      </c>
      <c r="D1516" s="383">
        <v>0.52777777777777779</v>
      </c>
      <c r="E1516" s="389">
        <v>0.54861111111111105</v>
      </c>
      <c r="F1516" s="385"/>
      <c r="G1516" s="391"/>
      <c r="H1516" s="316">
        <v>28</v>
      </c>
      <c r="I1516" s="391"/>
      <c r="J1516" s="385"/>
      <c r="K1516" s="391"/>
      <c r="L1516" s="385"/>
      <c r="M1516" s="391"/>
      <c r="N1516" s="385"/>
      <c r="O1516" s="190"/>
    </row>
    <row r="1517" spans="2:15" ht="16" x14ac:dyDescent="0.2">
      <c r="C1517" s="119">
        <v>9</v>
      </c>
      <c r="D1517" s="383">
        <v>0.55555555555555558</v>
      </c>
      <c r="E1517" s="389">
        <v>0.57638888888888895</v>
      </c>
      <c r="F1517" s="385"/>
      <c r="G1517" s="391"/>
      <c r="H1517" s="316"/>
      <c r="I1517" s="391">
        <v>44</v>
      </c>
      <c r="J1517" s="385"/>
      <c r="K1517" s="391"/>
      <c r="L1517" s="385"/>
      <c r="M1517" s="391"/>
      <c r="N1517" s="385"/>
      <c r="O1517" s="190"/>
    </row>
    <row r="1518" spans="2:15" ht="16" x14ac:dyDescent="0.2">
      <c r="C1518" s="119">
        <v>10</v>
      </c>
      <c r="D1518" s="383">
        <v>0.62152777777777779</v>
      </c>
      <c r="E1518" s="389">
        <v>0.64236111111111105</v>
      </c>
      <c r="F1518" s="385"/>
      <c r="G1518" s="391"/>
      <c r="H1518" s="316"/>
      <c r="I1518" s="391"/>
      <c r="J1518" s="385">
        <v>36</v>
      </c>
      <c r="K1518" s="391"/>
      <c r="L1518" s="385"/>
      <c r="M1518" s="391"/>
      <c r="N1518" s="385"/>
      <c r="O1518" s="190"/>
    </row>
    <row r="1519" spans="2:15" ht="16" x14ac:dyDescent="0.2">
      <c r="C1519" s="119">
        <v>11</v>
      </c>
      <c r="D1519" s="383">
        <v>0.64583333333333337</v>
      </c>
      <c r="E1519" s="389">
        <v>0.66666666666666663</v>
      </c>
      <c r="F1519" s="385">
        <v>28</v>
      </c>
      <c r="G1519" s="391"/>
      <c r="H1519" s="316"/>
      <c r="I1519" s="391"/>
      <c r="J1519" s="28"/>
      <c r="K1519" s="391"/>
      <c r="L1519" s="385"/>
      <c r="M1519" s="391"/>
      <c r="N1519" s="385"/>
      <c r="O1519" s="190"/>
    </row>
    <row r="1520" spans="2:15" ht="16" x14ac:dyDescent="0.2">
      <c r="C1520" s="193">
        <v>12</v>
      </c>
      <c r="D1520" s="383">
        <v>0.68402777777777779</v>
      </c>
      <c r="E1520" s="389">
        <v>0.70486111111111116</v>
      </c>
      <c r="F1520" s="385"/>
      <c r="G1520" s="391"/>
      <c r="H1520" s="316"/>
      <c r="I1520" s="391"/>
      <c r="J1520" s="385">
        <v>36</v>
      </c>
      <c r="K1520" s="391"/>
      <c r="L1520" s="385"/>
      <c r="M1520" s="391"/>
      <c r="N1520" s="385"/>
      <c r="O1520" s="190"/>
    </row>
    <row r="1521" spans="3:15" ht="16" x14ac:dyDescent="0.2">
      <c r="C1521" s="119">
        <v>13</v>
      </c>
      <c r="D1521" s="383">
        <v>0.71875</v>
      </c>
      <c r="E1521" s="389">
        <v>0.73958333333333337</v>
      </c>
      <c r="F1521" s="385">
        <v>28</v>
      </c>
      <c r="G1521" s="391"/>
      <c r="H1521" s="316"/>
      <c r="I1521" s="391"/>
      <c r="J1521" s="385"/>
      <c r="K1521" s="391"/>
      <c r="L1521" s="385"/>
      <c r="M1521" s="391"/>
      <c r="N1521" s="385"/>
      <c r="O1521" s="190"/>
    </row>
    <row r="1522" spans="3:15" ht="16" x14ac:dyDescent="0.2">
      <c r="C1522" s="119">
        <v>14</v>
      </c>
      <c r="D1522" s="383">
        <v>0.74305555555555547</v>
      </c>
      <c r="E1522" s="389">
        <v>0.76388888888888884</v>
      </c>
      <c r="F1522" s="385"/>
      <c r="G1522" s="391"/>
      <c r="H1522" s="316"/>
      <c r="I1522" s="391"/>
      <c r="J1522" s="385">
        <v>36</v>
      </c>
      <c r="K1522" s="391"/>
      <c r="L1522" s="385"/>
      <c r="M1522" s="391"/>
      <c r="N1522" s="385"/>
      <c r="O1522" s="190"/>
    </row>
    <row r="1523" spans="3:15" ht="16" x14ac:dyDescent="0.2">
      <c r="C1523" s="119">
        <v>15</v>
      </c>
      <c r="D1523" s="383">
        <v>0.78125</v>
      </c>
      <c r="E1523" s="389">
        <v>0.80208333333333337</v>
      </c>
      <c r="F1523" s="385">
        <v>28</v>
      </c>
      <c r="G1523" s="391"/>
      <c r="H1523" s="316"/>
      <c r="I1523" s="391"/>
      <c r="J1523" s="385"/>
      <c r="K1523" s="391"/>
      <c r="L1523" s="385"/>
      <c r="M1523" s="391"/>
      <c r="N1523" s="385"/>
      <c r="O1523" s="190"/>
    </row>
    <row r="1524" spans="3:15" ht="16" x14ac:dyDescent="0.2">
      <c r="C1524" s="119">
        <v>16</v>
      </c>
      <c r="D1524" s="383">
        <v>0.81944444444444453</v>
      </c>
      <c r="E1524" s="389">
        <v>0.84027777777777779</v>
      </c>
      <c r="F1524" s="385"/>
      <c r="G1524" s="391"/>
      <c r="H1524" s="316"/>
      <c r="I1524" s="391"/>
      <c r="J1524" s="385">
        <v>32</v>
      </c>
      <c r="K1524" s="391"/>
      <c r="L1524" s="385"/>
      <c r="M1524" s="391"/>
      <c r="N1524" s="385"/>
      <c r="O1524" s="190"/>
    </row>
    <row r="1525" spans="3:15" ht="16" x14ac:dyDescent="0.2">
      <c r="C1525" s="119">
        <v>17</v>
      </c>
      <c r="D1525" s="383">
        <v>0.84722222222222221</v>
      </c>
      <c r="E1525" s="389">
        <v>0.86805555555555547</v>
      </c>
      <c r="F1525" s="384">
        <v>28</v>
      </c>
      <c r="G1525" s="33"/>
      <c r="H1525" s="316"/>
      <c r="I1525" s="390"/>
      <c r="J1525" s="385"/>
      <c r="K1525" s="391"/>
      <c r="L1525" s="385"/>
      <c r="M1525" s="391"/>
      <c r="N1525" s="385"/>
      <c r="O1525" s="190"/>
    </row>
    <row r="1526" spans="3:15" ht="16" x14ac:dyDescent="0.2">
      <c r="C1526" s="119">
        <v>18</v>
      </c>
      <c r="D1526" s="383">
        <v>0.88888888888888884</v>
      </c>
      <c r="E1526" s="389">
        <v>0.90972222222222221</v>
      </c>
      <c r="F1526" s="394"/>
      <c r="G1526" s="229"/>
      <c r="H1526" s="394"/>
      <c r="I1526" s="391"/>
      <c r="J1526" s="385">
        <v>18</v>
      </c>
      <c r="K1526" s="391"/>
      <c r="L1526" s="385"/>
      <c r="M1526" s="391"/>
      <c r="N1526" s="385"/>
      <c r="O1526" s="190"/>
    </row>
    <row r="1527" spans="3:15" ht="16" x14ac:dyDescent="0.2">
      <c r="C1527" s="119">
        <v>19</v>
      </c>
      <c r="D1527" s="383">
        <v>0.88888888888888884</v>
      </c>
      <c r="E1527" s="389">
        <v>0.90972222222222221</v>
      </c>
      <c r="F1527" s="385"/>
      <c r="G1527" s="391">
        <v>14</v>
      </c>
      <c r="H1527" s="385"/>
      <c r="I1527" s="391"/>
      <c r="J1527" s="385"/>
      <c r="K1527" s="391"/>
      <c r="L1527" s="403"/>
      <c r="M1527" s="391"/>
      <c r="N1527" s="385"/>
      <c r="O1527" s="190"/>
    </row>
    <row r="1528" spans="3:15" ht="16" x14ac:dyDescent="0.2">
      <c r="C1528" s="119">
        <v>20</v>
      </c>
      <c r="D1528" s="383"/>
      <c r="E1528" s="389"/>
      <c r="F1528" s="385"/>
      <c r="G1528" s="391"/>
      <c r="H1528" s="385"/>
      <c r="I1528" s="391"/>
      <c r="J1528" s="385"/>
      <c r="K1528" s="391"/>
      <c r="L1528" s="403"/>
      <c r="M1528" s="391"/>
      <c r="N1528" s="385"/>
      <c r="O1528" s="190"/>
    </row>
    <row r="1529" spans="3:15" ht="16" x14ac:dyDescent="0.2">
      <c r="C1529" s="119">
        <v>21</v>
      </c>
      <c r="D1529" s="383"/>
      <c r="E1529" s="389"/>
      <c r="F1529" s="385"/>
      <c r="G1529" s="391"/>
      <c r="H1529" s="385"/>
      <c r="I1529" s="391"/>
      <c r="J1529" s="385"/>
      <c r="K1529" s="391"/>
      <c r="L1529" s="385"/>
      <c r="M1529" s="391"/>
      <c r="N1529" s="385"/>
      <c r="O1529" s="190"/>
    </row>
    <row r="1530" spans="3:15" ht="16" x14ac:dyDescent="0.2">
      <c r="C1530" s="119">
        <v>22</v>
      </c>
      <c r="D1530" s="383"/>
      <c r="E1530" s="389"/>
      <c r="F1530" s="385"/>
      <c r="G1530" s="391"/>
      <c r="H1530" s="385"/>
      <c r="I1530" s="391"/>
      <c r="J1530" s="385"/>
      <c r="K1530" s="391"/>
      <c r="L1530" s="385"/>
      <c r="M1530" s="391"/>
      <c r="N1530" s="385"/>
      <c r="O1530" s="190"/>
    </row>
    <row r="1531" spans="3:15" ht="16" x14ac:dyDescent="0.2">
      <c r="C1531" s="119">
        <v>23</v>
      </c>
      <c r="D1531" s="383"/>
      <c r="E1531" s="389"/>
      <c r="F1531" s="385"/>
      <c r="G1531" s="391"/>
      <c r="H1531" s="385"/>
      <c r="I1531" s="391"/>
      <c r="J1531" s="385"/>
      <c r="K1531" s="391"/>
      <c r="L1531" s="385"/>
      <c r="M1531" s="391"/>
      <c r="N1531" s="385"/>
      <c r="O1531" s="190"/>
    </row>
    <row r="1532" spans="3:15" ht="16" x14ac:dyDescent="0.2">
      <c r="C1532" s="119">
        <v>24</v>
      </c>
      <c r="D1532" s="383"/>
      <c r="E1532" s="389"/>
      <c r="F1532" s="385"/>
      <c r="G1532" s="391"/>
      <c r="H1532" s="385"/>
      <c r="I1532" s="391"/>
      <c r="J1532" s="385"/>
      <c r="K1532" s="391"/>
      <c r="L1532" s="385"/>
      <c r="M1532" s="391"/>
      <c r="N1532" s="385"/>
      <c r="O1532" s="190"/>
    </row>
    <row r="1533" spans="3:15" ht="16" x14ac:dyDescent="0.2">
      <c r="C1533" s="119">
        <v>25</v>
      </c>
      <c r="D1533" s="383"/>
      <c r="E1533" s="389"/>
      <c r="F1533" s="385"/>
      <c r="G1533" s="391"/>
      <c r="H1533" s="385"/>
      <c r="I1533" s="391"/>
      <c r="J1533" s="385"/>
      <c r="K1533" s="391"/>
      <c r="L1533" s="385"/>
      <c r="M1533" s="391"/>
      <c r="N1533" s="385"/>
      <c r="O1533" s="190"/>
    </row>
    <row r="1534" spans="3:15" ht="16" x14ac:dyDescent="0.2">
      <c r="C1534" s="119">
        <v>26</v>
      </c>
      <c r="D1534" s="383"/>
      <c r="E1534" s="389"/>
      <c r="F1534" s="385"/>
      <c r="G1534" s="391"/>
      <c r="H1534" s="385"/>
      <c r="I1534" s="391"/>
      <c r="J1534" s="385"/>
      <c r="K1534" s="391"/>
      <c r="L1534" s="385"/>
      <c r="M1534" s="391"/>
      <c r="N1534" s="385"/>
      <c r="O1534" s="190"/>
    </row>
    <row r="1535" spans="3:15" ht="16" x14ac:dyDescent="0.2">
      <c r="C1535" s="119">
        <v>27</v>
      </c>
      <c r="D1535" s="383"/>
      <c r="E1535" s="389"/>
      <c r="F1535" s="385"/>
      <c r="G1535" s="391"/>
      <c r="H1535" s="385"/>
      <c r="I1535" s="391"/>
      <c r="J1535" s="385"/>
      <c r="K1535" s="391"/>
      <c r="L1535" s="385"/>
      <c r="M1535" s="391"/>
      <c r="N1535" s="385"/>
      <c r="O1535" s="190"/>
    </row>
    <row r="1536" spans="3:15" ht="16" x14ac:dyDescent="0.2">
      <c r="C1536" s="119">
        <v>28</v>
      </c>
      <c r="D1536" s="383"/>
      <c r="E1536" s="389"/>
      <c r="F1536" s="385"/>
      <c r="G1536" s="391"/>
      <c r="H1536" s="385"/>
      <c r="I1536" s="391"/>
      <c r="J1536" s="385"/>
      <c r="K1536" s="391"/>
      <c r="L1536" s="385"/>
      <c r="M1536" s="391"/>
      <c r="N1536" s="385"/>
      <c r="O1536" s="190"/>
    </row>
    <row r="1537" spans="2:15" ht="16" x14ac:dyDescent="0.2">
      <c r="C1537" s="119">
        <v>29</v>
      </c>
      <c r="D1537" s="383"/>
      <c r="E1537" s="389"/>
      <c r="F1537" s="385"/>
      <c r="G1537" s="391"/>
      <c r="H1537" s="385"/>
      <c r="I1537" s="391"/>
      <c r="J1537" s="385"/>
      <c r="K1537" s="391"/>
      <c r="L1537" s="385"/>
      <c r="M1537" s="391"/>
      <c r="N1537" s="385"/>
      <c r="O1537" s="190"/>
    </row>
    <row r="1538" spans="2:15" ht="16" x14ac:dyDescent="0.2">
      <c r="C1538" s="119">
        <v>30</v>
      </c>
      <c r="D1538" s="383"/>
      <c r="E1538" s="389"/>
      <c r="F1538" s="385"/>
      <c r="G1538" s="391"/>
      <c r="H1538" s="385"/>
      <c r="I1538" s="391"/>
      <c r="J1538" s="385"/>
      <c r="K1538" s="391"/>
      <c r="L1538" s="385"/>
      <c r="M1538" s="391"/>
      <c r="N1538" s="385"/>
      <c r="O1538" s="190"/>
    </row>
    <row r="1539" spans="2:15" ht="16" x14ac:dyDescent="0.2">
      <c r="C1539" s="120">
        <v>31</v>
      </c>
      <c r="D1539" s="383"/>
      <c r="E1539" s="389"/>
      <c r="F1539" s="384"/>
      <c r="G1539" s="390"/>
      <c r="H1539" s="384"/>
      <c r="I1539" s="390"/>
      <c r="J1539" s="384"/>
      <c r="K1539" s="390"/>
      <c r="L1539" s="384"/>
      <c r="M1539" s="390"/>
      <c r="N1539" s="384"/>
      <c r="O1539" s="190"/>
    </row>
    <row r="1540" spans="2:15" ht="16" x14ac:dyDescent="0.2">
      <c r="B1540" s="256"/>
      <c r="C1540" s="377">
        <v>32</v>
      </c>
      <c r="D1540" s="384"/>
      <c r="E1540" s="390"/>
      <c r="F1540" s="384"/>
      <c r="G1540" s="390"/>
      <c r="H1540" s="384"/>
      <c r="I1540" s="390"/>
      <c r="J1540" s="384"/>
      <c r="K1540" s="390"/>
      <c r="L1540" s="384"/>
      <c r="M1540" s="390"/>
      <c r="N1540" s="384"/>
      <c r="O1540" s="190"/>
    </row>
    <row r="1541" spans="2:15" ht="16" x14ac:dyDescent="0.2">
      <c r="B1541" s="256"/>
      <c r="C1541" s="119">
        <v>33</v>
      </c>
      <c r="D1541" s="385"/>
      <c r="E1541" s="391"/>
      <c r="F1541" s="385"/>
      <c r="G1541" s="391"/>
      <c r="H1541" s="385"/>
      <c r="I1541" s="391"/>
      <c r="J1541" s="385"/>
      <c r="K1541" s="391"/>
      <c r="L1541" s="385"/>
      <c r="M1541" s="391"/>
      <c r="N1541" s="385"/>
      <c r="O1541" s="190"/>
    </row>
    <row r="1542" spans="2:15" ht="16" x14ac:dyDescent="0.2">
      <c r="B1542" s="256"/>
      <c r="C1542" s="119">
        <v>34</v>
      </c>
      <c r="D1542" s="385"/>
      <c r="E1542" s="391"/>
      <c r="F1542" s="385"/>
      <c r="G1542" s="391"/>
      <c r="H1542" s="385"/>
      <c r="I1542" s="391"/>
      <c r="J1542" s="385"/>
      <c r="K1542" s="391"/>
      <c r="L1542" s="385"/>
      <c r="M1542" s="391"/>
      <c r="N1542" s="385"/>
      <c r="O1542" s="190"/>
    </row>
    <row r="1543" spans="2:15" ht="16" x14ac:dyDescent="0.2">
      <c r="B1543" s="256"/>
      <c r="C1543" s="119">
        <v>35</v>
      </c>
      <c r="D1543" s="385"/>
      <c r="E1543" s="391"/>
      <c r="F1543" s="385"/>
      <c r="G1543" s="391"/>
      <c r="H1543" s="385"/>
      <c r="I1543" s="391"/>
      <c r="J1543" s="385"/>
      <c r="K1543" s="391"/>
      <c r="L1543" s="385"/>
      <c r="M1543" s="391"/>
      <c r="N1543" s="385"/>
      <c r="O1543" s="190"/>
    </row>
    <row r="1544" spans="2:15" ht="16" x14ac:dyDescent="0.2">
      <c r="B1544" s="256"/>
      <c r="C1544" s="119">
        <v>36</v>
      </c>
      <c r="D1544" s="385"/>
      <c r="E1544" s="391"/>
      <c r="F1544" s="385"/>
      <c r="G1544" s="391"/>
      <c r="H1544" s="385"/>
      <c r="I1544" s="391"/>
      <c r="J1544" s="385"/>
      <c r="K1544" s="391"/>
      <c r="L1544" s="385"/>
      <c r="M1544" s="391"/>
      <c r="N1544" s="385"/>
      <c r="O1544" s="190"/>
    </row>
    <row r="1545" spans="2:15" ht="17" thickBot="1" x14ac:dyDescent="0.25">
      <c r="B1545" s="256"/>
      <c r="C1545" s="378">
        <v>37</v>
      </c>
      <c r="D1545" s="386"/>
      <c r="E1545" s="392"/>
      <c r="F1545" s="386"/>
      <c r="G1545" s="392"/>
      <c r="H1545" s="386"/>
      <c r="I1545" s="392"/>
      <c r="J1545" s="386"/>
      <c r="K1545" s="392"/>
      <c r="L1545" s="386"/>
      <c r="M1545" s="392"/>
      <c r="N1545" s="386"/>
      <c r="O1545" s="190"/>
    </row>
    <row r="1546" spans="2:15" ht="17" thickBot="1" x14ac:dyDescent="0.25">
      <c r="C1546" s="825" t="s">
        <v>19</v>
      </c>
      <c r="D1546" s="826"/>
      <c r="E1546" s="380"/>
      <c r="F1546" s="376">
        <f>(F1509+F1510+F1511+F1512+F1513+F1514+F1530+F1517+F1518+F1515+F1516+F1519+F1520+F1521+F1522+F1523+F1524+F1525+F1526+F1527+F1528+F1529+F1531+F1532+F1534+F1535+F1536+F1537+F1538+F1539+F1540+F1541+F1542+F1545)/2</f>
        <v>84</v>
      </c>
      <c r="G1546" s="397">
        <f>(G1509+G1510+G1511+G1512+G1513+G1530+G1514+G1518+G1517+G1515+G1516+G1519+G1520+G1521+G1522+G1523+G1524+G1525+G1526+G1527+G1528+G1529+G1531+G1532+G1534+G1535+G1536+G1537+G1538+G1539+G1540+G1541)/2</f>
        <v>49</v>
      </c>
      <c r="H1546" s="399">
        <f>(H1509+H1510+H1511+H1512+H1513+H1514+H1530+H1533+H1517+H1518+H1515+H1516+H1519+H1520+H1521+H1522+H1523+H1524+H1525+H1526+H1527+H1528+H1529+H1531+H1532+H1534+H1535+H1536+H1537+H1538+H1539+H1540+H1541+H1542+H1545)/2</f>
        <v>28</v>
      </c>
      <c r="I1546" s="398">
        <f>(I1509+I1510+I1511+I1512+I1513+I1543+I1544+I1514+I1530+I1517+I1533+I1518+I1515+I1516+I1519+I1520+I1521+I1522+I1523+I1524+I1525+I1526+I1527+I1528+I1529+I1531+I1532+I1534+I1535+I1536+I1537+I1538+I1539+I1540+I1541+I1542+I1545)/2</f>
        <v>44</v>
      </c>
      <c r="J1546" s="376">
        <f>(J1509+J1510+J1511+J1512+J1513+J1514+J1518+J1515+J1517+J1516+J1533+J1519+J1520+J1521+J1522+J1523+J1524+J1525+J1526+J1527+J1528+J1529+J1530+J1531+J1532+J1534+J1535+J1536+J1537+J1538+J1539+J1540+J1541)/2</f>
        <v>79</v>
      </c>
      <c r="K1546" s="397">
        <f>(K1509+K1510+K1511+K1512+K1513+K1514+K1518+K1515+K1516+K1519+K1520+K1521+K1522+K1523+K1524+K1525+K1526+K1527+K1528+K1529+K1531+K1532+K1534+K1535+K1536+K1537+K1538+K1539+K1540+K1541+K1530)</f>
        <v>0</v>
      </c>
      <c r="L1546" s="399">
        <f>SUM(L1509:L1545)</f>
        <v>0</v>
      </c>
      <c r="M1546" s="398">
        <f>(M1509+M1510+M1511+M1512+M1513+M1514+M1518+M1517+M1515+M1516+M1519+M1520+M1521+M1522+M1523+M1524+M1525+M1526+M1527+M1528+M1529+M1531+M1532+M1534+M1535+M1536+M1537+M1538+M1539+M1540+M1541)/2</f>
        <v>0</v>
      </c>
      <c r="N1546" s="376"/>
      <c r="O1546" s="41"/>
    </row>
    <row r="1547" spans="2:15" ht="17" thickBot="1" x14ac:dyDescent="0.25">
      <c r="C1547" s="825" t="s">
        <v>91</v>
      </c>
      <c r="D1547" s="826"/>
      <c r="E1547" s="381">
        <f>SUM(F1546:J1546)</f>
        <v>284</v>
      </c>
    </row>
    <row r="1548" spans="2:15" ht="16" thickBot="1" x14ac:dyDescent="0.25"/>
    <row r="1549" spans="2:15" ht="17" thickBot="1" x14ac:dyDescent="0.25">
      <c r="C1549" s="17"/>
      <c r="D1549" s="379" t="s">
        <v>83</v>
      </c>
      <c r="E1549" s="818" t="s">
        <v>63</v>
      </c>
      <c r="F1549" s="819"/>
      <c r="G1549" s="819"/>
      <c r="H1549" s="819"/>
      <c r="I1549" s="819"/>
      <c r="J1549" s="400" t="s">
        <v>76</v>
      </c>
      <c r="K1549" s="820">
        <v>45705</v>
      </c>
      <c r="L1549" s="821"/>
      <c r="M1549" s="821"/>
      <c r="N1549" s="821"/>
      <c r="O1549" s="822"/>
    </row>
    <row r="1550" spans="2:15" ht="16" thickBot="1" x14ac:dyDescent="0.25">
      <c r="B1550" s="175" t="s">
        <v>76</v>
      </c>
      <c r="C1550" s="175" t="s">
        <v>77</v>
      </c>
      <c r="D1550" s="823" t="s">
        <v>122</v>
      </c>
      <c r="E1550" s="824"/>
      <c r="F1550" s="175" t="s">
        <v>104</v>
      </c>
      <c r="G1550" s="395" t="s">
        <v>86</v>
      </c>
      <c r="H1550" s="175" t="s">
        <v>88</v>
      </c>
      <c r="I1550" s="395" t="s">
        <v>87</v>
      </c>
      <c r="J1550" s="401" t="s">
        <v>85</v>
      </c>
      <c r="K1550" s="395" t="s">
        <v>123</v>
      </c>
      <c r="L1550" s="175" t="s">
        <v>124</v>
      </c>
      <c r="M1550" s="395" t="s">
        <v>100</v>
      </c>
      <c r="N1550" s="175" t="s">
        <v>213</v>
      </c>
      <c r="O1550" s="404" t="s">
        <v>125</v>
      </c>
    </row>
    <row r="1551" spans="2:15" ht="16" thickBot="1" x14ac:dyDescent="0.25">
      <c r="B1551" s="176">
        <f>K1549</f>
        <v>45705</v>
      </c>
      <c r="C1551" s="374"/>
      <c r="D1551" s="375" t="s">
        <v>126</v>
      </c>
      <c r="E1551" s="387" t="s">
        <v>127</v>
      </c>
      <c r="F1551" s="331">
        <v>16</v>
      </c>
      <c r="G1551" s="237">
        <v>9</v>
      </c>
      <c r="H1551" s="331">
        <v>0</v>
      </c>
      <c r="I1551" s="237">
        <v>6</v>
      </c>
      <c r="J1551" s="331">
        <v>11</v>
      </c>
      <c r="K1551" s="231"/>
      <c r="L1551" s="125"/>
      <c r="M1551" s="231"/>
      <c r="N1551" s="125"/>
      <c r="O1551" s="326"/>
    </row>
    <row r="1552" spans="2:15" ht="16" x14ac:dyDescent="0.2">
      <c r="C1552" s="118">
        <v>1</v>
      </c>
      <c r="D1552" s="382">
        <v>0.3125</v>
      </c>
      <c r="E1552" s="388">
        <v>0.33333333333333331</v>
      </c>
      <c r="F1552" s="393"/>
      <c r="G1552" s="396">
        <v>28</v>
      </c>
      <c r="H1552" s="393"/>
      <c r="I1552" s="396"/>
      <c r="J1552" s="393"/>
      <c r="K1552" s="396"/>
      <c r="L1552" s="393"/>
      <c r="M1552" s="396"/>
      <c r="N1552" s="393"/>
      <c r="O1552" s="190"/>
    </row>
    <row r="1553" spans="3:15" ht="16" x14ac:dyDescent="0.2">
      <c r="C1553" s="119">
        <v>2</v>
      </c>
      <c r="D1553" s="383">
        <v>0.33680555555555558</v>
      </c>
      <c r="E1553" s="389">
        <v>0.3576388888888889</v>
      </c>
      <c r="F1553" s="385"/>
      <c r="G1553" s="391">
        <v>28</v>
      </c>
      <c r="H1553" s="385"/>
      <c r="I1553" s="391"/>
      <c r="J1553" s="385"/>
      <c r="K1553" s="391"/>
      <c r="L1553" s="385"/>
      <c r="M1553" s="391"/>
      <c r="N1553" s="385"/>
      <c r="O1553" s="190"/>
    </row>
    <row r="1554" spans="3:15" ht="16" x14ac:dyDescent="0.2">
      <c r="C1554" s="119">
        <v>3</v>
      </c>
      <c r="D1554" s="383">
        <v>0.36805555555555558</v>
      </c>
      <c r="E1554" s="389">
        <v>0.3888888888888889</v>
      </c>
      <c r="F1554" s="385"/>
      <c r="G1554" s="391">
        <v>28</v>
      </c>
      <c r="H1554" s="385"/>
      <c r="I1554" s="391"/>
      <c r="J1554" s="385"/>
      <c r="K1554" s="391"/>
      <c r="L1554" s="384"/>
      <c r="M1554" s="391"/>
      <c r="N1554" s="385"/>
      <c r="O1554" s="190"/>
    </row>
    <row r="1555" spans="3:15" ht="16" x14ac:dyDescent="0.2">
      <c r="C1555" s="119">
        <v>4</v>
      </c>
      <c r="D1555" s="383">
        <v>0.40277777777777773</v>
      </c>
      <c r="E1555" s="389">
        <v>0.4236111111111111</v>
      </c>
      <c r="F1555" s="385"/>
      <c r="G1555" s="391">
        <v>28</v>
      </c>
      <c r="H1555" s="316"/>
      <c r="I1555" s="391"/>
      <c r="J1555" s="385"/>
      <c r="K1555" s="391"/>
      <c r="L1555" s="402"/>
      <c r="M1555" s="391"/>
      <c r="N1555" s="385"/>
      <c r="O1555" s="190"/>
    </row>
    <row r="1556" spans="3:15" ht="16" x14ac:dyDescent="0.2">
      <c r="C1556" s="119">
        <v>5</v>
      </c>
      <c r="D1556" s="383">
        <v>0.43055555555555558</v>
      </c>
      <c r="E1556" s="389">
        <v>0.4513888888888889</v>
      </c>
      <c r="F1556" s="385"/>
      <c r="G1556" s="391">
        <v>10</v>
      </c>
      <c r="H1556" s="316"/>
      <c r="I1556" s="391"/>
      <c r="J1556" s="385"/>
      <c r="K1556" s="391"/>
      <c r="L1556" s="393"/>
      <c r="M1556" s="391"/>
      <c r="N1556" s="385"/>
      <c r="O1556" s="190"/>
    </row>
    <row r="1557" spans="3:15" ht="16" x14ac:dyDescent="0.2">
      <c r="C1557" s="119">
        <v>6</v>
      </c>
      <c r="D1557" s="383">
        <v>0.46527777777777773</v>
      </c>
      <c r="E1557" s="389">
        <v>0.4861111111111111</v>
      </c>
      <c r="F1557" s="385"/>
      <c r="G1557" s="391"/>
      <c r="H1557" s="316"/>
      <c r="I1557" s="391">
        <v>44</v>
      </c>
      <c r="J1557" s="385"/>
      <c r="K1557" s="391"/>
      <c r="L1557" s="393"/>
      <c r="M1557" s="391"/>
      <c r="N1557" s="385"/>
      <c r="O1557" s="190"/>
    </row>
    <row r="1558" spans="3:15" ht="16" x14ac:dyDescent="0.2">
      <c r="C1558" s="119">
        <v>7</v>
      </c>
      <c r="D1558" s="383">
        <v>0.5</v>
      </c>
      <c r="E1558" s="389">
        <v>0.52083333333333337</v>
      </c>
      <c r="F1558" s="385">
        <v>28</v>
      </c>
      <c r="G1558" s="391"/>
      <c r="H1558" s="316"/>
      <c r="I1558" s="391"/>
      <c r="J1558" s="385"/>
      <c r="K1558" s="391"/>
      <c r="L1558" s="393"/>
      <c r="M1558" s="391"/>
      <c r="N1558" s="385"/>
      <c r="O1558" s="190"/>
    </row>
    <row r="1559" spans="3:15" ht="16" x14ac:dyDescent="0.2">
      <c r="C1559" s="119">
        <v>8</v>
      </c>
      <c r="D1559" s="383">
        <v>0.53472222222222221</v>
      </c>
      <c r="E1559" s="389">
        <v>0.55555555555555558</v>
      </c>
      <c r="F1559" s="385"/>
      <c r="G1559" s="391"/>
      <c r="H1559" s="316"/>
      <c r="I1559" s="391">
        <v>44</v>
      </c>
      <c r="J1559" s="385"/>
      <c r="K1559" s="391"/>
      <c r="L1559" s="385"/>
      <c r="M1559" s="391"/>
      <c r="N1559" s="385"/>
      <c r="O1559" s="190"/>
    </row>
    <row r="1560" spans="3:15" ht="16" x14ac:dyDescent="0.2">
      <c r="C1560" s="119">
        <v>9</v>
      </c>
      <c r="D1560" s="383">
        <v>0.56597222222222221</v>
      </c>
      <c r="E1560" s="389">
        <v>0.58680555555555558</v>
      </c>
      <c r="F1560" s="385">
        <v>28</v>
      </c>
      <c r="G1560" s="391"/>
      <c r="H1560" s="316"/>
      <c r="I1560" s="391"/>
      <c r="J1560" s="385"/>
      <c r="K1560" s="391"/>
      <c r="L1560" s="385"/>
      <c r="M1560" s="391"/>
      <c r="N1560" s="385"/>
      <c r="O1560" s="190"/>
    </row>
    <row r="1561" spans="3:15" ht="16" x14ac:dyDescent="0.2">
      <c r="C1561" s="119">
        <v>10</v>
      </c>
      <c r="D1561" s="383">
        <v>0.59722222222222221</v>
      </c>
      <c r="E1561" s="389">
        <v>0.61805555555555558</v>
      </c>
      <c r="F1561" s="385"/>
      <c r="G1561" s="391"/>
      <c r="H1561" s="316"/>
      <c r="I1561" s="391">
        <v>44</v>
      </c>
      <c r="J1561" s="385"/>
      <c r="K1561" s="391"/>
      <c r="L1561" s="385"/>
      <c r="M1561" s="391"/>
      <c r="N1561" s="385"/>
      <c r="O1561" s="190"/>
    </row>
    <row r="1562" spans="3:15" ht="16" x14ac:dyDescent="0.2">
      <c r="C1562" s="119">
        <v>11</v>
      </c>
      <c r="D1562" s="383">
        <v>0.63541666666666663</v>
      </c>
      <c r="E1562" s="389">
        <v>0.65625</v>
      </c>
      <c r="F1562" s="385">
        <v>28</v>
      </c>
      <c r="G1562" s="391"/>
      <c r="H1562" s="316"/>
      <c r="I1562" s="391"/>
      <c r="J1562" s="28"/>
      <c r="K1562" s="391"/>
      <c r="L1562" s="385"/>
      <c r="M1562" s="391"/>
      <c r="N1562" s="385"/>
      <c r="O1562" s="190"/>
    </row>
    <row r="1563" spans="3:15" ht="16" x14ac:dyDescent="0.2">
      <c r="C1563" s="193">
        <v>12</v>
      </c>
      <c r="D1563" s="383">
        <v>0.66319444444444442</v>
      </c>
      <c r="E1563" s="389">
        <v>0.68402777777777779</v>
      </c>
      <c r="F1563" s="385"/>
      <c r="G1563" s="391"/>
      <c r="H1563" s="316"/>
      <c r="I1563" s="391"/>
      <c r="J1563" s="385">
        <v>36</v>
      </c>
      <c r="K1563" s="391"/>
      <c r="L1563" s="385"/>
      <c r="M1563" s="391"/>
      <c r="N1563" s="385"/>
      <c r="O1563" s="190"/>
    </row>
    <row r="1564" spans="3:15" ht="16" x14ac:dyDescent="0.2">
      <c r="C1564" s="119">
        <v>13</v>
      </c>
      <c r="D1564" s="383">
        <v>0.70138888888888884</v>
      </c>
      <c r="E1564" s="389">
        <v>0.72222222222222221</v>
      </c>
      <c r="F1564" s="385">
        <v>28</v>
      </c>
      <c r="G1564" s="391"/>
      <c r="H1564" s="316"/>
      <c r="I1564" s="391"/>
      <c r="J1564" s="385"/>
      <c r="K1564" s="391"/>
      <c r="L1564" s="385"/>
      <c r="M1564" s="391"/>
      <c r="N1564" s="385"/>
      <c r="O1564" s="190"/>
    </row>
    <row r="1565" spans="3:15" ht="16" x14ac:dyDescent="0.2">
      <c r="C1565" s="119">
        <v>14</v>
      </c>
      <c r="D1565" s="383">
        <v>0.73958333333333337</v>
      </c>
      <c r="E1565" s="389">
        <v>0.76041666666666663</v>
      </c>
      <c r="F1565" s="385"/>
      <c r="G1565" s="391"/>
      <c r="H1565" s="316"/>
      <c r="I1565" s="391"/>
      <c r="J1565" s="385">
        <v>36</v>
      </c>
      <c r="K1565" s="391"/>
      <c r="L1565" s="385"/>
      <c r="M1565" s="391"/>
      <c r="N1565" s="385"/>
      <c r="O1565" s="190"/>
    </row>
    <row r="1566" spans="3:15" ht="16" x14ac:dyDescent="0.2">
      <c r="C1566" s="119">
        <v>15</v>
      </c>
      <c r="D1566" s="383">
        <v>0.79861111111111116</v>
      </c>
      <c r="E1566" s="389">
        <v>0.81944444444444453</v>
      </c>
      <c r="F1566" s="385">
        <v>28</v>
      </c>
      <c r="G1566" s="391"/>
      <c r="H1566" s="316"/>
      <c r="I1566" s="391"/>
      <c r="J1566" s="385"/>
      <c r="K1566" s="391"/>
      <c r="L1566" s="385"/>
      <c r="M1566" s="391"/>
      <c r="N1566" s="385"/>
      <c r="O1566" s="190"/>
    </row>
    <row r="1567" spans="3:15" ht="16" x14ac:dyDescent="0.2">
      <c r="C1567" s="119">
        <v>16</v>
      </c>
      <c r="D1567" s="383">
        <v>0.84027777777777779</v>
      </c>
      <c r="E1567" s="389">
        <v>0.86111111111111116</v>
      </c>
      <c r="F1567" s="385"/>
      <c r="G1567" s="391"/>
      <c r="H1567" s="316"/>
      <c r="I1567" s="391"/>
      <c r="J1567" s="385">
        <v>36</v>
      </c>
      <c r="K1567" s="391"/>
      <c r="L1567" s="385"/>
      <c r="M1567" s="391"/>
      <c r="N1567" s="385"/>
      <c r="O1567" s="190"/>
    </row>
    <row r="1568" spans="3:15" ht="16" x14ac:dyDescent="0.2">
      <c r="C1568" s="119">
        <v>17</v>
      </c>
      <c r="D1568" s="383">
        <v>0.86805555555555547</v>
      </c>
      <c r="E1568" s="389">
        <v>0.88888888888888884</v>
      </c>
      <c r="F1568" s="384">
        <v>28</v>
      </c>
      <c r="G1568" s="33"/>
      <c r="H1568" s="316"/>
      <c r="I1568" s="390"/>
      <c r="J1568" s="385"/>
      <c r="K1568" s="391"/>
      <c r="L1568" s="385"/>
      <c r="M1568" s="391"/>
      <c r="N1568" s="385"/>
      <c r="O1568" s="190"/>
    </row>
    <row r="1569" spans="2:15" ht="16" x14ac:dyDescent="0.2">
      <c r="C1569" s="119">
        <v>18</v>
      </c>
      <c r="D1569" s="383">
        <v>0.90277777777777779</v>
      </c>
      <c r="E1569" s="389">
        <v>0.92361111111111116</v>
      </c>
      <c r="F1569" s="394"/>
      <c r="G1569" s="229"/>
      <c r="H1569" s="394"/>
      <c r="I1569" s="391"/>
      <c r="J1569" s="385">
        <v>36</v>
      </c>
      <c r="K1569" s="391"/>
      <c r="L1569" s="385"/>
      <c r="M1569" s="391"/>
      <c r="N1569" s="385"/>
      <c r="O1569" s="190"/>
    </row>
    <row r="1570" spans="2:15" ht="16" x14ac:dyDescent="0.2">
      <c r="C1570" s="119">
        <v>19</v>
      </c>
      <c r="D1570" s="383">
        <v>0.93055555555555547</v>
      </c>
      <c r="E1570" s="389">
        <v>0.95138888888888884</v>
      </c>
      <c r="F1570" s="385"/>
      <c r="G1570" s="391"/>
      <c r="H1570" s="385"/>
      <c r="I1570" s="391"/>
      <c r="J1570" s="385">
        <v>34</v>
      </c>
      <c r="K1570" s="391"/>
      <c r="L1570" s="403"/>
      <c r="M1570" s="391"/>
      <c r="N1570" s="385"/>
      <c r="O1570" s="190"/>
    </row>
    <row r="1571" spans="2:15" ht="16" x14ac:dyDescent="0.2">
      <c r="C1571" s="119">
        <v>20</v>
      </c>
      <c r="D1571" s="383">
        <v>1.0416666666666666E-2</v>
      </c>
      <c r="E1571" s="389">
        <v>3.125E-2</v>
      </c>
      <c r="F1571" s="385">
        <v>28</v>
      </c>
      <c r="G1571" s="391"/>
      <c r="H1571" s="385"/>
      <c r="I1571" s="391"/>
      <c r="J1571" s="385"/>
      <c r="K1571" s="391"/>
      <c r="L1571" s="403"/>
      <c r="M1571" s="391"/>
      <c r="N1571" s="385"/>
      <c r="O1571" s="190"/>
    </row>
    <row r="1572" spans="2:15" ht="16" x14ac:dyDescent="0.2">
      <c r="C1572" s="119">
        <v>21</v>
      </c>
      <c r="D1572" s="383">
        <v>3.4722222222222224E-2</v>
      </c>
      <c r="E1572" s="389">
        <v>5.5555555555555552E-2</v>
      </c>
      <c r="F1572" s="385">
        <v>28</v>
      </c>
      <c r="G1572" s="391"/>
      <c r="H1572" s="385"/>
      <c r="I1572" s="391"/>
      <c r="J1572" s="385"/>
      <c r="K1572" s="391"/>
      <c r="L1572" s="385"/>
      <c r="M1572" s="391"/>
      <c r="N1572" s="385"/>
      <c r="O1572" s="190"/>
    </row>
    <row r="1573" spans="2:15" ht="16" x14ac:dyDescent="0.2">
      <c r="C1573" s="119">
        <v>22</v>
      </c>
      <c r="D1573" s="383">
        <v>7.2916666666666671E-2</v>
      </c>
      <c r="E1573" s="389">
        <v>9.375E-2</v>
      </c>
      <c r="F1573" s="385"/>
      <c r="G1573" s="391"/>
      <c r="H1573" s="385"/>
      <c r="I1573" s="391"/>
      <c r="J1573" s="385">
        <v>14</v>
      </c>
      <c r="K1573" s="391"/>
      <c r="L1573" s="385"/>
      <c r="M1573" s="391"/>
      <c r="N1573" s="385"/>
      <c r="O1573" s="190"/>
    </row>
    <row r="1574" spans="2:15" ht="16" x14ac:dyDescent="0.2">
      <c r="C1574" s="119">
        <v>23</v>
      </c>
      <c r="D1574" s="383"/>
      <c r="E1574" s="389"/>
      <c r="F1574" s="385"/>
      <c r="G1574" s="391"/>
      <c r="H1574" s="385"/>
      <c r="I1574" s="391"/>
      <c r="J1574" s="385"/>
      <c r="K1574" s="391"/>
      <c r="L1574" s="385"/>
      <c r="M1574" s="391"/>
      <c r="N1574" s="385"/>
      <c r="O1574" s="190"/>
    </row>
    <row r="1575" spans="2:15" ht="16" x14ac:dyDescent="0.2">
      <c r="C1575" s="119">
        <v>24</v>
      </c>
      <c r="D1575" s="383"/>
      <c r="E1575" s="389"/>
      <c r="F1575" s="385"/>
      <c r="G1575" s="391"/>
      <c r="H1575" s="385"/>
      <c r="I1575" s="391"/>
      <c r="J1575" s="385"/>
      <c r="K1575" s="391"/>
      <c r="L1575" s="385"/>
      <c r="M1575" s="391"/>
      <c r="N1575" s="385"/>
      <c r="O1575" s="190"/>
    </row>
    <row r="1576" spans="2:15" ht="16" x14ac:dyDescent="0.2">
      <c r="C1576" s="119">
        <v>25</v>
      </c>
      <c r="D1576" s="383"/>
      <c r="E1576" s="389"/>
      <c r="F1576" s="385"/>
      <c r="G1576" s="391"/>
      <c r="H1576" s="385"/>
      <c r="I1576" s="391"/>
      <c r="J1576" s="385"/>
      <c r="K1576" s="391"/>
      <c r="L1576" s="385"/>
      <c r="M1576" s="391"/>
      <c r="N1576" s="385"/>
      <c r="O1576" s="190"/>
    </row>
    <row r="1577" spans="2:15" ht="16" x14ac:dyDescent="0.2">
      <c r="C1577" s="119">
        <v>26</v>
      </c>
      <c r="D1577" s="383"/>
      <c r="E1577" s="389"/>
      <c r="F1577" s="385"/>
      <c r="G1577" s="391"/>
      <c r="H1577" s="385"/>
      <c r="I1577" s="391"/>
      <c r="J1577" s="385"/>
      <c r="K1577" s="391"/>
      <c r="L1577" s="385"/>
      <c r="M1577" s="391"/>
      <c r="N1577" s="385"/>
      <c r="O1577" s="190"/>
    </row>
    <row r="1578" spans="2:15" ht="16" x14ac:dyDescent="0.2">
      <c r="C1578" s="119">
        <v>27</v>
      </c>
      <c r="D1578" s="383"/>
      <c r="E1578" s="389"/>
      <c r="F1578" s="385"/>
      <c r="G1578" s="391"/>
      <c r="H1578" s="385"/>
      <c r="I1578" s="391"/>
      <c r="J1578" s="385"/>
      <c r="K1578" s="391"/>
      <c r="L1578" s="385"/>
      <c r="M1578" s="391"/>
      <c r="N1578" s="385"/>
      <c r="O1578" s="190"/>
    </row>
    <row r="1579" spans="2:15" ht="16" x14ac:dyDescent="0.2">
      <c r="C1579" s="119">
        <v>28</v>
      </c>
      <c r="D1579" s="383"/>
      <c r="E1579" s="389"/>
      <c r="F1579" s="385"/>
      <c r="G1579" s="391"/>
      <c r="H1579" s="385"/>
      <c r="I1579" s="391"/>
      <c r="J1579" s="385"/>
      <c r="K1579" s="391"/>
      <c r="L1579" s="385"/>
      <c r="M1579" s="391"/>
      <c r="N1579" s="385"/>
      <c r="O1579" s="190"/>
    </row>
    <row r="1580" spans="2:15" ht="16" x14ac:dyDescent="0.2">
      <c r="C1580" s="119">
        <v>29</v>
      </c>
      <c r="D1580" s="383"/>
      <c r="E1580" s="389"/>
      <c r="F1580" s="385"/>
      <c r="G1580" s="391"/>
      <c r="H1580" s="385"/>
      <c r="I1580" s="391"/>
      <c r="J1580" s="385"/>
      <c r="K1580" s="391"/>
      <c r="L1580" s="385"/>
      <c r="M1580" s="391"/>
      <c r="N1580" s="385"/>
      <c r="O1580" s="190"/>
    </row>
    <row r="1581" spans="2:15" ht="16" x14ac:dyDescent="0.2">
      <c r="C1581" s="119">
        <v>30</v>
      </c>
      <c r="D1581" s="383"/>
      <c r="E1581" s="389"/>
      <c r="F1581" s="385"/>
      <c r="G1581" s="391"/>
      <c r="H1581" s="385"/>
      <c r="I1581" s="391"/>
      <c r="J1581" s="385"/>
      <c r="K1581" s="391"/>
      <c r="L1581" s="385"/>
      <c r="M1581" s="391"/>
      <c r="N1581" s="385"/>
      <c r="O1581" s="190"/>
    </row>
    <row r="1582" spans="2:15" ht="16" x14ac:dyDescent="0.2">
      <c r="C1582" s="120">
        <v>31</v>
      </c>
      <c r="D1582" s="383"/>
      <c r="E1582" s="389"/>
      <c r="F1582" s="384"/>
      <c r="G1582" s="390"/>
      <c r="H1582" s="384"/>
      <c r="I1582" s="390"/>
      <c r="J1582" s="384"/>
      <c r="K1582" s="390"/>
      <c r="L1582" s="384"/>
      <c r="M1582" s="390"/>
      <c r="N1582" s="384"/>
      <c r="O1582" s="190"/>
    </row>
    <row r="1583" spans="2:15" ht="16" x14ac:dyDescent="0.2">
      <c r="B1583" s="256"/>
      <c r="C1583" s="377">
        <v>32</v>
      </c>
      <c r="D1583" s="384"/>
      <c r="E1583" s="390"/>
      <c r="F1583" s="384"/>
      <c r="G1583" s="390"/>
      <c r="H1583" s="384"/>
      <c r="I1583" s="390"/>
      <c r="J1583" s="384"/>
      <c r="K1583" s="390"/>
      <c r="L1583" s="384"/>
      <c r="M1583" s="390"/>
      <c r="N1583" s="384"/>
      <c r="O1583" s="190"/>
    </row>
    <row r="1584" spans="2:15" ht="16" x14ac:dyDescent="0.2">
      <c r="B1584" s="256"/>
      <c r="C1584" s="119">
        <v>33</v>
      </c>
      <c r="D1584" s="385"/>
      <c r="E1584" s="391"/>
      <c r="F1584" s="385"/>
      <c r="G1584" s="391"/>
      <c r="H1584" s="385"/>
      <c r="I1584" s="391"/>
      <c r="J1584" s="385"/>
      <c r="K1584" s="391"/>
      <c r="L1584" s="385"/>
      <c r="M1584" s="391"/>
      <c r="N1584" s="385"/>
      <c r="O1584" s="190"/>
    </row>
    <row r="1585" spans="2:15" ht="16" x14ac:dyDescent="0.2">
      <c r="B1585" s="256"/>
      <c r="C1585" s="119">
        <v>34</v>
      </c>
      <c r="D1585" s="385"/>
      <c r="E1585" s="391"/>
      <c r="F1585" s="385"/>
      <c r="G1585" s="391"/>
      <c r="H1585" s="385"/>
      <c r="I1585" s="391"/>
      <c r="J1585" s="385"/>
      <c r="K1585" s="391"/>
      <c r="L1585" s="385"/>
      <c r="M1585" s="391"/>
      <c r="N1585" s="385"/>
      <c r="O1585" s="190"/>
    </row>
    <row r="1586" spans="2:15" ht="16" x14ac:dyDescent="0.2">
      <c r="B1586" s="256"/>
      <c r="C1586" s="119">
        <v>35</v>
      </c>
      <c r="D1586" s="385"/>
      <c r="E1586" s="391"/>
      <c r="F1586" s="385"/>
      <c r="G1586" s="391"/>
      <c r="H1586" s="385"/>
      <c r="I1586" s="391"/>
      <c r="J1586" s="385"/>
      <c r="K1586" s="391"/>
      <c r="L1586" s="385"/>
      <c r="M1586" s="391"/>
      <c r="N1586" s="385"/>
      <c r="O1586" s="190"/>
    </row>
    <row r="1587" spans="2:15" ht="16" x14ac:dyDescent="0.2">
      <c r="B1587" s="256"/>
      <c r="C1587" s="119">
        <v>36</v>
      </c>
      <c r="D1587" s="385"/>
      <c r="E1587" s="391"/>
      <c r="F1587" s="385"/>
      <c r="G1587" s="391"/>
      <c r="H1587" s="385"/>
      <c r="I1587" s="391"/>
      <c r="J1587" s="385"/>
      <c r="K1587" s="391"/>
      <c r="L1587" s="385"/>
      <c r="M1587" s="391"/>
      <c r="N1587" s="385"/>
      <c r="O1587" s="190"/>
    </row>
    <row r="1588" spans="2:15" ht="17" thickBot="1" x14ac:dyDescent="0.25">
      <c r="B1588" s="256"/>
      <c r="C1588" s="378">
        <v>37</v>
      </c>
      <c r="D1588" s="386"/>
      <c r="E1588" s="392"/>
      <c r="F1588" s="386"/>
      <c r="G1588" s="392"/>
      <c r="H1588" s="386"/>
      <c r="I1588" s="392"/>
      <c r="J1588" s="386"/>
      <c r="K1588" s="392"/>
      <c r="L1588" s="386"/>
      <c r="M1588" s="392"/>
      <c r="N1588" s="386"/>
      <c r="O1588" s="190"/>
    </row>
    <row r="1589" spans="2:15" ht="17" thickBot="1" x14ac:dyDescent="0.25">
      <c r="C1589" s="825" t="s">
        <v>19</v>
      </c>
      <c r="D1589" s="826"/>
      <c r="E1589" s="380"/>
      <c r="F1589" s="376">
        <f>(F1552+F1553+F1554+F1555+F1556+F1557+F1573+F1560+F1561+F1558+F1559+F1562+F1563+F1564+F1565+F1566+F1567+F1568+F1569+F1570+F1571+F1572+F1574+F1575+F1577+F1578+F1579+F1580+F1581+F1582+F1583+F1584+F1585+F1588)/2</f>
        <v>112</v>
      </c>
      <c r="G1589" s="397">
        <f>(G1552+G1553+G1554+G1555+G1556+G1573+G1557+G1561+G1560+G1558+G1559+G1562+G1563+G1564+G1565+G1566+G1567+G1568+G1569+G1570+G1571+G1572+G1574+G1575+G1577+G1578+G1579+G1580+G1581+G1582+G1583+G1584)/2</f>
        <v>61</v>
      </c>
      <c r="H1589" s="399">
        <f>(H1552+H1553+H1554+H1555+H1556+H1557+H1573+H1576+H1560+H1561+H1558+H1559+H1562+H1563+H1564+H1565+H1566+H1567+H1568+H1569+H1570+H1571+H1572+H1574+H1575+H1577+H1578+H1579+H1580+H1581+H1582+H1583+H1584+H1585+H1588)/2</f>
        <v>0</v>
      </c>
      <c r="I1589" s="398">
        <f>(I1552+I1553+I1554+I1555+I1556+I1586+I1587+I1557+I1573+I1560+I1576+I1561+I1558+I1559+I1562+I1563+I1564+I1565+I1566+I1567+I1568+I1569+I1570+I1571+I1572+I1574+I1575+I1577+I1578+I1579+I1580+I1581+I1582+I1583+I1584+I1585+I1588)/2</f>
        <v>66</v>
      </c>
      <c r="J1589" s="376">
        <f>(J1552+J1553+J1554+J1555+J1556+J1557+J1561+J1558+J1560+J1559+J1576+J1562+J1563+J1564+J1565+J1566+J1567+J1568+J1569+J1570+J1571+J1572+J1573+J1574+J1575+J1577+J1578+J1579+J1580+J1581+J1582+J1583+J1584)/2</f>
        <v>96</v>
      </c>
      <c r="K1589" s="397">
        <f>(K1552+K1553+K1554+K1555+K1556+K1557+K1561+K1558+K1559+K1562+K1563+K1564+K1565+K1566+K1567+K1568+K1569+K1570+K1571+K1572+K1574+K1575+K1577+K1578+K1579+K1580+K1581+K1582+K1583+K1584+K1573)</f>
        <v>0</v>
      </c>
      <c r="L1589" s="399">
        <f>SUM(L1552:L1588)</f>
        <v>0</v>
      </c>
      <c r="M1589" s="398">
        <f>(M1552+M1553+M1554+M1555+M1556+M1557+M1561+M1560+M1558+M1559+M1562+M1563+M1564+M1565+M1566+M1567+M1568+M1569+M1570+M1571+M1572+M1574+M1575+M1577+M1578+M1579+M1580+M1581+M1582+M1583+M1584)/2</f>
        <v>0</v>
      </c>
      <c r="N1589" s="376"/>
      <c r="O1589" s="41"/>
    </row>
    <row r="1590" spans="2:15" ht="17" thickBot="1" x14ac:dyDescent="0.25">
      <c r="C1590" s="825" t="s">
        <v>91</v>
      </c>
      <c r="D1590" s="826"/>
      <c r="E1590" s="381">
        <f>SUM(F1589:J1589)</f>
        <v>335</v>
      </c>
    </row>
    <row r="1591" spans="2:15" ht="16" thickBot="1" x14ac:dyDescent="0.25"/>
    <row r="1592" spans="2:15" ht="17" thickBot="1" x14ac:dyDescent="0.25">
      <c r="C1592" s="17"/>
      <c r="D1592" s="379" t="s">
        <v>83</v>
      </c>
      <c r="E1592" s="818" t="s">
        <v>65</v>
      </c>
      <c r="F1592" s="819"/>
      <c r="G1592" s="819"/>
      <c r="H1592" s="819"/>
      <c r="I1592" s="819"/>
      <c r="J1592" s="400" t="s">
        <v>76</v>
      </c>
      <c r="K1592" s="820">
        <v>45707</v>
      </c>
      <c r="L1592" s="821"/>
      <c r="M1592" s="821"/>
      <c r="N1592" s="821"/>
      <c r="O1592" s="822"/>
    </row>
    <row r="1593" spans="2:15" ht="16" thickBot="1" x14ac:dyDescent="0.25">
      <c r="B1593" s="175" t="s">
        <v>76</v>
      </c>
      <c r="C1593" s="175" t="s">
        <v>77</v>
      </c>
      <c r="D1593" s="823" t="s">
        <v>122</v>
      </c>
      <c r="E1593" s="824"/>
      <c r="F1593" s="175" t="s">
        <v>104</v>
      </c>
      <c r="G1593" s="395" t="s">
        <v>86</v>
      </c>
      <c r="H1593" s="175" t="s">
        <v>88</v>
      </c>
      <c r="I1593" s="395" t="s">
        <v>87</v>
      </c>
      <c r="J1593" s="401" t="s">
        <v>85</v>
      </c>
      <c r="K1593" s="395" t="s">
        <v>123</v>
      </c>
      <c r="L1593" s="175" t="s">
        <v>124</v>
      </c>
      <c r="M1593" s="395" t="s">
        <v>100</v>
      </c>
      <c r="N1593" s="175" t="s">
        <v>213</v>
      </c>
      <c r="O1593" s="404" t="s">
        <v>125</v>
      </c>
    </row>
    <row r="1594" spans="2:15" ht="16" thickBot="1" x14ac:dyDescent="0.25">
      <c r="B1594" s="176">
        <f>K1592</f>
        <v>45707</v>
      </c>
      <c r="C1594" s="374"/>
      <c r="D1594" s="375" t="s">
        <v>126</v>
      </c>
      <c r="E1594" s="387" t="s">
        <v>127</v>
      </c>
      <c r="F1594" s="331">
        <v>8</v>
      </c>
      <c r="G1594" s="237">
        <v>8</v>
      </c>
      <c r="H1594" s="331">
        <v>0</v>
      </c>
      <c r="I1594" s="237">
        <v>4</v>
      </c>
      <c r="J1594" s="331">
        <v>8</v>
      </c>
      <c r="K1594" s="231"/>
      <c r="L1594" s="125"/>
      <c r="M1594" s="231"/>
      <c r="N1594" s="125"/>
      <c r="O1594" s="326"/>
    </row>
    <row r="1595" spans="2:15" ht="16" x14ac:dyDescent="0.2">
      <c r="C1595" s="118">
        <v>1</v>
      </c>
      <c r="D1595" s="382">
        <v>0.42708333333333331</v>
      </c>
      <c r="E1595" s="388">
        <v>0.44791666666666669</v>
      </c>
      <c r="F1595" s="393"/>
      <c r="G1595" s="396">
        <v>28</v>
      </c>
      <c r="H1595" s="393"/>
      <c r="I1595" s="396"/>
      <c r="J1595" s="393"/>
      <c r="K1595" s="396"/>
      <c r="L1595" s="393"/>
      <c r="M1595" s="396"/>
      <c r="N1595" s="393"/>
      <c r="O1595" s="190"/>
    </row>
    <row r="1596" spans="2:15" ht="16" x14ac:dyDescent="0.2">
      <c r="C1596" s="119">
        <v>2</v>
      </c>
      <c r="D1596" s="383">
        <v>0.44791666666666669</v>
      </c>
      <c r="E1596" s="389">
        <v>0.46875</v>
      </c>
      <c r="F1596" s="385"/>
      <c r="G1596" s="391">
        <v>28</v>
      </c>
      <c r="H1596" s="385"/>
      <c r="I1596" s="391"/>
      <c r="J1596" s="385"/>
      <c r="K1596" s="391"/>
      <c r="L1596" s="385"/>
      <c r="M1596" s="391"/>
      <c r="N1596" s="385"/>
      <c r="O1596" s="190"/>
    </row>
    <row r="1597" spans="2:15" ht="16" x14ac:dyDescent="0.2">
      <c r="C1597" s="119">
        <v>3</v>
      </c>
      <c r="D1597" s="383">
        <v>0.46875</v>
      </c>
      <c r="E1597" s="389">
        <v>0.48958333333333331</v>
      </c>
      <c r="F1597" s="385"/>
      <c r="G1597" s="391">
        <v>28</v>
      </c>
      <c r="H1597" s="385"/>
      <c r="I1597" s="391"/>
      <c r="J1597" s="385"/>
      <c r="K1597" s="391"/>
      <c r="L1597" s="384"/>
      <c r="M1597" s="391"/>
      <c r="N1597" s="385"/>
      <c r="O1597" s="190"/>
    </row>
    <row r="1598" spans="2:15" ht="16" x14ac:dyDescent="0.2">
      <c r="C1598" s="119">
        <v>4</v>
      </c>
      <c r="D1598" s="383">
        <v>0.48958333333333331</v>
      </c>
      <c r="E1598" s="389">
        <v>0.51041666666666663</v>
      </c>
      <c r="F1598" s="385"/>
      <c r="G1598" s="391">
        <v>28</v>
      </c>
      <c r="H1598" s="316"/>
      <c r="I1598" s="391"/>
      <c r="J1598" s="385"/>
      <c r="K1598" s="391"/>
      <c r="L1598" s="402"/>
      <c r="M1598" s="391"/>
      <c r="N1598" s="385"/>
      <c r="O1598" s="190"/>
    </row>
    <row r="1599" spans="2:15" ht="16" x14ac:dyDescent="0.2">
      <c r="C1599" s="119">
        <v>5</v>
      </c>
      <c r="D1599" s="383">
        <v>0.51041666666666663</v>
      </c>
      <c r="E1599" s="389">
        <v>0.53125</v>
      </c>
      <c r="F1599" s="385">
        <v>28</v>
      </c>
      <c r="G1599" s="391"/>
      <c r="H1599" s="316"/>
      <c r="I1599" s="391"/>
      <c r="J1599" s="385"/>
      <c r="K1599" s="391"/>
      <c r="L1599" s="393"/>
      <c r="M1599" s="391"/>
      <c r="N1599" s="385"/>
      <c r="O1599" s="190"/>
    </row>
    <row r="1600" spans="2:15" ht="16" x14ac:dyDescent="0.2">
      <c r="C1600" s="119">
        <v>6</v>
      </c>
      <c r="D1600" s="383">
        <v>0.53125</v>
      </c>
      <c r="E1600" s="389">
        <v>0.55208333333333337</v>
      </c>
      <c r="F1600" s="385">
        <v>28</v>
      </c>
      <c r="G1600" s="391"/>
      <c r="H1600" s="316"/>
      <c r="I1600" s="391"/>
      <c r="J1600" s="385"/>
      <c r="K1600" s="391"/>
      <c r="L1600" s="393"/>
      <c r="M1600" s="391"/>
      <c r="N1600" s="385"/>
      <c r="O1600" s="190"/>
    </row>
    <row r="1601" spans="3:15" ht="16" x14ac:dyDescent="0.2">
      <c r="C1601" s="119">
        <v>7</v>
      </c>
      <c r="D1601" s="383">
        <v>0.55208333333333337</v>
      </c>
      <c r="E1601" s="389">
        <v>0.57291666666666663</v>
      </c>
      <c r="F1601" s="385">
        <v>28</v>
      </c>
      <c r="G1601" s="391"/>
      <c r="H1601" s="316"/>
      <c r="I1601" s="391"/>
      <c r="J1601" s="385"/>
      <c r="K1601" s="391"/>
      <c r="L1601" s="393"/>
      <c r="M1601" s="391"/>
      <c r="N1601" s="385"/>
      <c r="O1601" s="190"/>
    </row>
    <row r="1602" spans="3:15" ht="16" x14ac:dyDescent="0.2">
      <c r="C1602" s="119">
        <v>8</v>
      </c>
      <c r="D1602" s="383">
        <v>0.57291666666666663</v>
      </c>
      <c r="E1602" s="389">
        <v>0.59375</v>
      </c>
      <c r="F1602" s="385">
        <v>28</v>
      </c>
      <c r="G1602" s="391"/>
      <c r="H1602" s="316"/>
      <c r="I1602" s="391"/>
      <c r="J1602" s="385"/>
      <c r="K1602" s="391"/>
      <c r="L1602" s="385"/>
      <c r="M1602" s="391"/>
      <c r="N1602" s="385"/>
      <c r="O1602" s="190"/>
    </row>
    <row r="1603" spans="3:15" ht="16" x14ac:dyDescent="0.2">
      <c r="C1603" s="119">
        <v>9</v>
      </c>
      <c r="D1603" s="383">
        <v>0.59375</v>
      </c>
      <c r="E1603" s="389">
        <v>0.61458333333333337</v>
      </c>
      <c r="F1603" s="385"/>
      <c r="G1603" s="391"/>
      <c r="H1603" s="316"/>
      <c r="I1603" s="391"/>
      <c r="J1603" s="385">
        <v>36</v>
      </c>
      <c r="K1603" s="391"/>
      <c r="L1603" s="385"/>
      <c r="M1603" s="391"/>
      <c r="N1603" s="385"/>
      <c r="O1603" s="190"/>
    </row>
    <row r="1604" spans="3:15" ht="16" x14ac:dyDescent="0.2">
      <c r="C1604" s="119">
        <v>10</v>
      </c>
      <c r="D1604" s="383">
        <v>0.61458333333333337</v>
      </c>
      <c r="E1604" s="389">
        <v>0.63541666666666663</v>
      </c>
      <c r="F1604" s="385"/>
      <c r="G1604" s="391"/>
      <c r="H1604" s="316"/>
      <c r="I1604" s="391"/>
      <c r="J1604" s="385">
        <v>36</v>
      </c>
      <c r="K1604" s="391"/>
      <c r="L1604" s="385"/>
      <c r="M1604" s="391"/>
      <c r="N1604" s="385"/>
      <c r="O1604" s="190"/>
    </row>
    <row r="1605" spans="3:15" ht="16" x14ac:dyDescent="0.2">
      <c r="C1605" s="119">
        <v>11</v>
      </c>
      <c r="D1605" s="383">
        <v>0.63194444444444442</v>
      </c>
      <c r="E1605" s="389">
        <v>0.65277777777777779</v>
      </c>
      <c r="F1605" s="385"/>
      <c r="G1605" s="391"/>
      <c r="H1605" s="316"/>
      <c r="I1605" s="391"/>
      <c r="J1605" s="28">
        <v>36</v>
      </c>
      <c r="K1605" s="391"/>
      <c r="L1605" s="385"/>
      <c r="M1605" s="391"/>
      <c r="N1605" s="385"/>
      <c r="O1605" s="190"/>
    </row>
    <row r="1606" spans="3:15" ht="16" x14ac:dyDescent="0.2">
      <c r="C1606" s="193">
        <v>12</v>
      </c>
      <c r="D1606" s="383">
        <v>0.65277777777777779</v>
      </c>
      <c r="E1606" s="389">
        <v>0.67361111111111116</v>
      </c>
      <c r="F1606" s="385"/>
      <c r="G1606" s="391"/>
      <c r="H1606" s="316"/>
      <c r="I1606" s="391"/>
      <c r="J1606" s="385">
        <v>32</v>
      </c>
      <c r="K1606" s="391"/>
      <c r="L1606" s="385"/>
      <c r="M1606" s="391"/>
      <c r="N1606" s="385"/>
      <c r="O1606" s="190"/>
    </row>
    <row r="1607" spans="3:15" ht="16" x14ac:dyDescent="0.2">
      <c r="C1607" s="119">
        <v>13</v>
      </c>
      <c r="D1607" s="383">
        <v>0.67708333333333337</v>
      </c>
      <c r="E1607" s="389">
        <v>0.69791666666666663</v>
      </c>
      <c r="F1607" s="385"/>
      <c r="G1607" s="391"/>
      <c r="H1607" s="316"/>
      <c r="I1607" s="391">
        <v>44</v>
      </c>
      <c r="J1607" s="385"/>
      <c r="K1607" s="391"/>
      <c r="L1607" s="385"/>
      <c r="M1607" s="391"/>
      <c r="N1607" s="385"/>
      <c r="O1607" s="190"/>
    </row>
    <row r="1608" spans="3:15" ht="16" x14ac:dyDescent="0.2">
      <c r="C1608" s="119">
        <v>14</v>
      </c>
      <c r="D1608" s="383">
        <v>0.71527777777777779</v>
      </c>
      <c r="E1608" s="389">
        <v>0.73611111111111116</v>
      </c>
      <c r="F1608" s="385"/>
      <c r="G1608" s="391"/>
      <c r="H1608" s="316"/>
      <c r="I1608" s="391">
        <v>44</v>
      </c>
      <c r="J1608" s="385"/>
      <c r="K1608" s="391"/>
      <c r="L1608" s="385"/>
      <c r="M1608" s="391"/>
      <c r="N1608" s="385"/>
      <c r="O1608" s="190"/>
    </row>
    <row r="1609" spans="3:15" ht="16" x14ac:dyDescent="0.2">
      <c r="C1609" s="119">
        <v>15</v>
      </c>
      <c r="D1609" s="383"/>
      <c r="E1609" s="389"/>
      <c r="F1609" s="385"/>
      <c r="G1609" s="391"/>
      <c r="H1609" s="316"/>
      <c r="I1609" s="391"/>
      <c r="J1609" s="385"/>
      <c r="K1609" s="391"/>
      <c r="L1609" s="385"/>
      <c r="M1609" s="391"/>
      <c r="N1609" s="385"/>
      <c r="O1609" s="190"/>
    </row>
    <row r="1610" spans="3:15" ht="16" x14ac:dyDescent="0.2">
      <c r="C1610" s="119">
        <v>16</v>
      </c>
      <c r="D1610" s="383"/>
      <c r="E1610" s="389"/>
      <c r="F1610" s="385"/>
      <c r="G1610" s="391"/>
      <c r="H1610" s="316"/>
      <c r="I1610" s="391"/>
      <c r="J1610" s="385"/>
      <c r="K1610" s="391"/>
      <c r="L1610" s="385"/>
      <c r="M1610" s="391"/>
      <c r="N1610" s="385"/>
      <c r="O1610" s="190"/>
    </row>
    <row r="1611" spans="3:15" ht="16" x14ac:dyDescent="0.2">
      <c r="C1611" s="119">
        <v>17</v>
      </c>
      <c r="D1611" s="383"/>
      <c r="E1611" s="389"/>
      <c r="F1611" s="384"/>
      <c r="G1611" s="33"/>
      <c r="H1611" s="316"/>
      <c r="I1611" s="390"/>
      <c r="J1611" s="385"/>
      <c r="K1611" s="391"/>
      <c r="L1611" s="385"/>
      <c r="M1611" s="391"/>
      <c r="N1611" s="385"/>
      <c r="O1611" s="190"/>
    </row>
    <row r="1612" spans="3:15" ht="16" x14ac:dyDescent="0.2">
      <c r="C1612" s="119">
        <v>18</v>
      </c>
      <c r="D1612" s="383"/>
      <c r="E1612" s="389"/>
      <c r="F1612" s="394"/>
      <c r="G1612" s="229"/>
      <c r="H1612" s="394"/>
      <c r="I1612" s="391"/>
      <c r="J1612" s="385"/>
      <c r="K1612" s="391"/>
      <c r="L1612" s="385"/>
      <c r="M1612" s="391"/>
      <c r="N1612" s="385"/>
      <c r="O1612" s="190"/>
    </row>
    <row r="1613" spans="3:15" ht="16" x14ac:dyDescent="0.2">
      <c r="C1613" s="119">
        <v>19</v>
      </c>
      <c r="D1613" s="383"/>
      <c r="E1613" s="389"/>
      <c r="F1613" s="385"/>
      <c r="G1613" s="391"/>
      <c r="H1613" s="385"/>
      <c r="I1613" s="391"/>
      <c r="J1613" s="385"/>
      <c r="K1613" s="391"/>
      <c r="L1613" s="403"/>
      <c r="M1613" s="391"/>
      <c r="N1613" s="385"/>
      <c r="O1613" s="190"/>
    </row>
    <row r="1614" spans="3:15" ht="16" x14ac:dyDescent="0.2">
      <c r="C1614" s="119">
        <v>20</v>
      </c>
      <c r="D1614" s="383"/>
      <c r="E1614" s="389"/>
      <c r="F1614" s="385"/>
      <c r="G1614" s="391"/>
      <c r="H1614" s="385"/>
      <c r="I1614" s="391"/>
      <c r="J1614" s="385"/>
      <c r="K1614" s="391"/>
      <c r="L1614" s="403"/>
      <c r="M1614" s="391"/>
      <c r="N1614" s="385"/>
      <c r="O1614" s="190"/>
    </row>
    <row r="1615" spans="3:15" ht="16" x14ac:dyDescent="0.2">
      <c r="C1615" s="119">
        <v>21</v>
      </c>
      <c r="D1615" s="383"/>
      <c r="E1615" s="389"/>
      <c r="F1615" s="385"/>
      <c r="G1615" s="391"/>
      <c r="H1615" s="385"/>
      <c r="I1615" s="391"/>
      <c r="J1615" s="385"/>
      <c r="K1615" s="391"/>
      <c r="L1615" s="385"/>
      <c r="M1615" s="391"/>
      <c r="N1615" s="385"/>
      <c r="O1615" s="190"/>
    </row>
    <row r="1616" spans="3:15" ht="16" x14ac:dyDescent="0.2">
      <c r="C1616" s="119">
        <v>22</v>
      </c>
      <c r="D1616" s="383"/>
      <c r="E1616" s="389"/>
      <c r="F1616" s="385"/>
      <c r="G1616" s="391"/>
      <c r="H1616" s="385"/>
      <c r="I1616" s="391"/>
      <c r="J1616" s="385"/>
      <c r="K1616" s="391"/>
      <c r="L1616" s="385"/>
      <c r="M1616" s="391"/>
      <c r="N1616" s="385"/>
      <c r="O1616" s="190"/>
    </row>
    <row r="1617" spans="2:15" ht="16" x14ac:dyDescent="0.2">
      <c r="C1617" s="119">
        <v>23</v>
      </c>
      <c r="D1617" s="383"/>
      <c r="E1617" s="389"/>
      <c r="F1617" s="385"/>
      <c r="G1617" s="391"/>
      <c r="H1617" s="385"/>
      <c r="I1617" s="391"/>
      <c r="J1617" s="385"/>
      <c r="K1617" s="391"/>
      <c r="L1617" s="385"/>
      <c r="M1617" s="391"/>
      <c r="N1617" s="385"/>
      <c r="O1617" s="190"/>
    </row>
    <row r="1618" spans="2:15" ht="16" x14ac:dyDescent="0.2">
      <c r="C1618" s="119">
        <v>24</v>
      </c>
      <c r="D1618" s="383"/>
      <c r="E1618" s="389"/>
      <c r="F1618" s="385"/>
      <c r="G1618" s="391"/>
      <c r="H1618" s="385"/>
      <c r="I1618" s="391"/>
      <c r="J1618" s="385"/>
      <c r="K1618" s="391"/>
      <c r="L1618" s="385"/>
      <c r="M1618" s="391"/>
      <c r="N1618" s="385"/>
      <c r="O1618" s="190"/>
    </row>
    <row r="1619" spans="2:15" ht="16" x14ac:dyDescent="0.2">
      <c r="C1619" s="119">
        <v>25</v>
      </c>
      <c r="D1619" s="383"/>
      <c r="E1619" s="389"/>
      <c r="F1619" s="385"/>
      <c r="G1619" s="391"/>
      <c r="H1619" s="385"/>
      <c r="I1619" s="391"/>
      <c r="J1619" s="385"/>
      <c r="K1619" s="391"/>
      <c r="L1619" s="385"/>
      <c r="M1619" s="391"/>
      <c r="N1619" s="385"/>
      <c r="O1619" s="190"/>
    </row>
    <row r="1620" spans="2:15" ht="16" x14ac:dyDescent="0.2">
      <c r="C1620" s="119">
        <v>26</v>
      </c>
      <c r="D1620" s="383"/>
      <c r="E1620" s="389"/>
      <c r="F1620" s="385"/>
      <c r="G1620" s="391"/>
      <c r="H1620" s="385"/>
      <c r="I1620" s="391"/>
      <c r="J1620" s="385"/>
      <c r="K1620" s="391"/>
      <c r="L1620" s="385"/>
      <c r="M1620" s="391"/>
      <c r="N1620" s="385"/>
      <c r="O1620" s="190"/>
    </row>
    <row r="1621" spans="2:15" ht="16" x14ac:dyDescent="0.2">
      <c r="C1621" s="119">
        <v>27</v>
      </c>
      <c r="D1621" s="383"/>
      <c r="E1621" s="389"/>
      <c r="F1621" s="385"/>
      <c r="G1621" s="391"/>
      <c r="H1621" s="385"/>
      <c r="I1621" s="391"/>
      <c r="J1621" s="385"/>
      <c r="K1621" s="391"/>
      <c r="L1621" s="385"/>
      <c r="M1621" s="391"/>
      <c r="N1621" s="385"/>
      <c r="O1621" s="190"/>
    </row>
    <row r="1622" spans="2:15" ht="16" x14ac:dyDescent="0.2">
      <c r="C1622" s="119">
        <v>28</v>
      </c>
      <c r="D1622" s="383"/>
      <c r="E1622" s="389"/>
      <c r="F1622" s="385"/>
      <c r="G1622" s="391"/>
      <c r="H1622" s="385"/>
      <c r="I1622" s="391"/>
      <c r="J1622" s="385"/>
      <c r="K1622" s="391"/>
      <c r="L1622" s="385"/>
      <c r="M1622" s="391"/>
      <c r="N1622" s="385"/>
      <c r="O1622" s="190"/>
    </row>
    <row r="1623" spans="2:15" ht="16" x14ac:dyDescent="0.2">
      <c r="C1623" s="119">
        <v>29</v>
      </c>
      <c r="D1623" s="383"/>
      <c r="E1623" s="389"/>
      <c r="F1623" s="385"/>
      <c r="G1623" s="391"/>
      <c r="H1623" s="385"/>
      <c r="I1623" s="391"/>
      <c r="J1623" s="385"/>
      <c r="K1623" s="391"/>
      <c r="L1623" s="385"/>
      <c r="M1623" s="391"/>
      <c r="N1623" s="385"/>
      <c r="O1623" s="190"/>
    </row>
    <row r="1624" spans="2:15" ht="16" x14ac:dyDescent="0.2">
      <c r="C1624" s="119">
        <v>30</v>
      </c>
      <c r="D1624" s="383"/>
      <c r="E1624" s="389"/>
      <c r="F1624" s="385"/>
      <c r="G1624" s="391"/>
      <c r="H1624" s="385"/>
      <c r="I1624" s="391"/>
      <c r="J1624" s="385"/>
      <c r="K1624" s="391"/>
      <c r="L1624" s="385"/>
      <c r="M1624" s="391"/>
      <c r="N1624" s="385"/>
      <c r="O1624" s="190"/>
    </row>
    <row r="1625" spans="2:15" ht="16" x14ac:dyDescent="0.2">
      <c r="C1625" s="120">
        <v>31</v>
      </c>
      <c r="D1625" s="383"/>
      <c r="E1625" s="389"/>
      <c r="F1625" s="384"/>
      <c r="G1625" s="390"/>
      <c r="H1625" s="384"/>
      <c r="I1625" s="390"/>
      <c r="J1625" s="384"/>
      <c r="K1625" s="390"/>
      <c r="L1625" s="384"/>
      <c r="M1625" s="390"/>
      <c r="N1625" s="384"/>
      <c r="O1625" s="190"/>
    </row>
    <row r="1626" spans="2:15" ht="16" x14ac:dyDescent="0.2">
      <c r="B1626" s="256"/>
      <c r="C1626" s="377">
        <v>32</v>
      </c>
      <c r="D1626" s="384"/>
      <c r="E1626" s="390"/>
      <c r="F1626" s="384"/>
      <c r="G1626" s="390"/>
      <c r="H1626" s="384"/>
      <c r="I1626" s="390"/>
      <c r="J1626" s="384"/>
      <c r="K1626" s="390"/>
      <c r="L1626" s="384"/>
      <c r="M1626" s="390"/>
      <c r="N1626" s="384"/>
      <c r="O1626" s="190"/>
    </row>
    <row r="1627" spans="2:15" ht="16" x14ac:dyDescent="0.2">
      <c r="B1627" s="256"/>
      <c r="C1627" s="119">
        <v>33</v>
      </c>
      <c r="D1627" s="385"/>
      <c r="E1627" s="391"/>
      <c r="F1627" s="385"/>
      <c r="G1627" s="391"/>
      <c r="H1627" s="385"/>
      <c r="I1627" s="391"/>
      <c r="J1627" s="385"/>
      <c r="K1627" s="391"/>
      <c r="L1627" s="385"/>
      <c r="M1627" s="391"/>
      <c r="N1627" s="385"/>
      <c r="O1627" s="190"/>
    </row>
    <row r="1628" spans="2:15" ht="16" x14ac:dyDescent="0.2">
      <c r="B1628" s="256"/>
      <c r="C1628" s="119">
        <v>34</v>
      </c>
      <c r="D1628" s="385"/>
      <c r="E1628" s="391"/>
      <c r="F1628" s="385"/>
      <c r="G1628" s="391"/>
      <c r="H1628" s="385"/>
      <c r="I1628" s="391"/>
      <c r="J1628" s="385"/>
      <c r="K1628" s="391"/>
      <c r="L1628" s="385"/>
      <c r="M1628" s="391"/>
      <c r="N1628" s="385"/>
      <c r="O1628" s="190"/>
    </row>
    <row r="1629" spans="2:15" ht="16" x14ac:dyDescent="0.2">
      <c r="B1629" s="256"/>
      <c r="C1629" s="119">
        <v>35</v>
      </c>
      <c r="D1629" s="385"/>
      <c r="E1629" s="391"/>
      <c r="F1629" s="385"/>
      <c r="G1629" s="391"/>
      <c r="H1629" s="385"/>
      <c r="I1629" s="391"/>
      <c r="J1629" s="385"/>
      <c r="K1629" s="391"/>
      <c r="L1629" s="385"/>
      <c r="M1629" s="391"/>
      <c r="N1629" s="385"/>
      <c r="O1629" s="190"/>
    </row>
    <row r="1630" spans="2:15" ht="16" x14ac:dyDescent="0.2">
      <c r="B1630" s="256"/>
      <c r="C1630" s="119">
        <v>36</v>
      </c>
      <c r="D1630" s="385"/>
      <c r="E1630" s="391"/>
      <c r="F1630" s="385"/>
      <c r="G1630" s="391"/>
      <c r="H1630" s="385"/>
      <c r="I1630" s="391"/>
      <c r="J1630" s="385"/>
      <c r="K1630" s="391"/>
      <c r="L1630" s="385"/>
      <c r="M1630" s="391"/>
      <c r="N1630" s="385"/>
      <c r="O1630" s="190"/>
    </row>
    <row r="1631" spans="2:15" ht="17" thickBot="1" x14ac:dyDescent="0.25">
      <c r="B1631" s="256"/>
      <c r="C1631" s="378">
        <v>37</v>
      </c>
      <c r="D1631" s="386"/>
      <c r="E1631" s="392"/>
      <c r="F1631" s="386"/>
      <c r="G1631" s="392"/>
      <c r="H1631" s="386"/>
      <c r="I1631" s="392"/>
      <c r="J1631" s="386"/>
      <c r="K1631" s="392"/>
      <c r="L1631" s="386"/>
      <c r="M1631" s="392"/>
      <c r="N1631" s="386"/>
      <c r="O1631" s="190"/>
    </row>
    <row r="1632" spans="2:15" ht="17" thickBot="1" x14ac:dyDescent="0.25">
      <c r="C1632" s="825" t="s">
        <v>19</v>
      </c>
      <c r="D1632" s="826"/>
      <c r="E1632" s="380"/>
      <c r="F1632" s="376">
        <f>(F1595+F1596+F1597+F1598+F1599+F1600+F1616+F1603+F1604+F1601+F1602+F1605+F1606+F1607+F1608+F1609+F1610+F1611+F1612+F1613+F1614+F1615+F1617+F1618+F1620+F1621+F1622+F1623+F1624+F1625+F1626+F1627+F1628+F1631)/2</f>
        <v>56</v>
      </c>
      <c r="G1632" s="397">
        <f>(G1595+G1596+G1597+G1598+G1599+G1616+G1600+G1604+G1603+G1601+G1602+G1605+G1606+G1607+G1608+G1609+G1610+G1611+G1612+G1613+G1614+G1615+G1617+G1618+G1620+G1621+G1622+G1623+G1624+G1625+G1626+G1627)/2</f>
        <v>56</v>
      </c>
      <c r="H1632" s="399">
        <f>(H1595+H1596+H1597+H1598+H1599+H1600+H1616+H1619+H1603+H1604+H1601+H1602+H1605+H1606+H1607+H1608+H1609+H1610+H1611+H1612+H1613+H1614+H1615+H1617+H1618+H1620+H1621+H1622+H1623+H1624+H1625+H1626+H1627+H1628+H1631)/2</f>
        <v>0</v>
      </c>
      <c r="I1632" s="398">
        <f>(I1595+I1596+I1597+I1598+I1599+I1629+I1630+I1600+I1616+I1603+I1619+I1604+I1601+I1602+I1605+I1606+I1607+I1608+I1609+I1610+I1611+I1612+I1613+I1614+I1615+I1617+I1618+I1620+I1621+I1622+I1623+I1624+I1625+I1626+I1627+I1628+I1631)/2</f>
        <v>44</v>
      </c>
      <c r="J1632" s="376">
        <f>(J1595+J1596+J1597+J1598+J1599+J1600+J1604+J1601+J1603+J1602+J1619+J1605+J1606+J1607+J1608+J1609+J1610+J1611+J1612+J1613+J1614+J1615+J1616+J1617+J1618+J1620+J1621+J1622+J1623+J1624+J1625+J1626+J1627)/2</f>
        <v>70</v>
      </c>
      <c r="K1632" s="397">
        <f>(K1595+K1596+K1597+K1598+K1599+K1600+K1604+K1601+K1602+K1605+K1606+K1607+K1608+K1609+K1610+K1611+K1612+K1613+K1614+K1615+K1617+K1618+K1620+K1621+K1622+K1623+K1624+K1625+K1626+K1627+K1616)</f>
        <v>0</v>
      </c>
      <c r="L1632" s="399">
        <f>SUM(L1595:L1631)</f>
        <v>0</v>
      </c>
      <c r="M1632" s="398">
        <f>(M1595+M1596+M1597+M1598+M1599+M1600+M1604+M1603+M1601+M1602+M1605+M1606+M1607+M1608+M1609+M1610+M1611+M1612+M1613+M1614+M1615+M1617+M1618+M1620+M1621+M1622+M1623+M1624+M1625+M1626+M1627)/2</f>
        <v>0</v>
      </c>
      <c r="N1632" s="376"/>
      <c r="O1632" s="41"/>
    </row>
    <row r="1633" spans="2:15" ht="17" thickBot="1" x14ac:dyDescent="0.25">
      <c r="C1633" s="825" t="s">
        <v>91</v>
      </c>
      <c r="D1633" s="826"/>
      <c r="E1633" s="381">
        <f>SUM(F1632:J1632)</f>
        <v>226</v>
      </c>
    </row>
    <row r="1634" spans="2:15" ht="16" thickBot="1" x14ac:dyDescent="0.25"/>
    <row r="1635" spans="2:15" ht="17" thickBot="1" x14ac:dyDescent="0.25">
      <c r="C1635" s="17"/>
      <c r="D1635" s="379" t="s">
        <v>83</v>
      </c>
      <c r="E1635" s="818" t="s">
        <v>66</v>
      </c>
      <c r="F1635" s="819"/>
      <c r="G1635" s="819"/>
      <c r="H1635" s="819"/>
      <c r="I1635" s="819"/>
      <c r="J1635" s="400" t="s">
        <v>76</v>
      </c>
      <c r="K1635" s="820">
        <v>45708</v>
      </c>
      <c r="L1635" s="821"/>
      <c r="M1635" s="821"/>
      <c r="N1635" s="821"/>
      <c r="O1635" s="822"/>
    </row>
    <row r="1636" spans="2:15" ht="16" thickBot="1" x14ac:dyDescent="0.25">
      <c r="B1636" s="175" t="s">
        <v>76</v>
      </c>
      <c r="C1636" s="175" t="s">
        <v>77</v>
      </c>
      <c r="D1636" s="823" t="s">
        <v>122</v>
      </c>
      <c r="E1636" s="824"/>
      <c r="F1636" s="175" t="s">
        <v>104</v>
      </c>
      <c r="G1636" s="395" t="s">
        <v>86</v>
      </c>
      <c r="H1636" s="175" t="s">
        <v>88</v>
      </c>
      <c r="I1636" s="395" t="s">
        <v>87</v>
      </c>
      <c r="J1636" s="401" t="s">
        <v>85</v>
      </c>
      <c r="K1636" s="395" t="s">
        <v>123</v>
      </c>
      <c r="L1636" s="175" t="s">
        <v>124</v>
      </c>
      <c r="M1636" s="395" t="s">
        <v>100</v>
      </c>
      <c r="N1636" s="175" t="s">
        <v>213</v>
      </c>
      <c r="O1636" s="404" t="s">
        <v>125</v>
      </c>
    </row>
    <row r="1637" spans="2:15" ht="16" thickBot="1" x14ac:dyDescent="0.25">
      <c r="B1637" s="176">
        <f>K1635</f>
        <v>45708</v>
      </c>
      <c r="C1637" s="374"/>
      <c r="D1637" s="375" t="s">
        <v>126</v>
      </c>
      <c r="E1637" s="387" t="s">
        <v>127</v>
      </c>
      <c r="F1637" s="331">
        <v>10</v>
      </c>
      <c r="G1637" s="237">
        <v>6</v>
      </c>
      <c r="H1637" s="331">
        <v>2</v>
      </c>
      <c r="I1637" s="237">
        <v>4</v>
      </c>
      <c r="J1637" s="331">
        <v>7</v>
      </c>
      <c r="K1637" s="231"/>
      <c r="L1637" s="125"/>
      <c r="M1637" s="231"/>
      <c r="N1637" s="125"/>
      <c r="O1637" s="326"/>
    </row>
    <row r="1638" spans="2:15" ht="16" x14ac:dyDescent="0.2">
      <c r="C1638" s="118">
        <v>1</v>
      </c>
      <c r="D1638" s="382">
        <v>0.35069444444444442</v>
      </c>
      <c r="E1638" s="388">
        <v>0.37152777777777773</v>
      </c>
      <c r="F1638" s="393"/>
      <c r="G1638" s="396">
        <v>28</v>
      </c>
      <c r="H1638" s="393"/>
      <c r="I1638" s="396"/>
      <c r="J1638" s="393"/>
      <c r="K1638" s="396"/>
      <c r="L1638" s="393"/>
      <c r="M1638" s="396"/>
      <c r="N1638" s="393"/>
      <c r="O1638" s="190"/>
    </row>
    <row r="1639" spans="2:15" ht="16" x14ac:dyDescent="0.2">
      <c r="C1639" s="119">
        <v>2</v>
      </c>
      <c r="D1639" s="383">
        <v>0.37152777777777773</v>
      </c>
      <c r="E1639" s="389">
        <v>0.3923611111111111</v>
      </c>
      <c r="F1639" s="385"/>
      <c r="G1639" s="391">
        <v>28</v>
      </c>
      <c r="H1639" s="385"/>
      <c r="I1639" s="391"/>
      <c r="J1639" s="385"/>
      <c r="K1639" s="391"/>
      <c r="L1639" s="385"/>
      <c r="M1639" s="391"/>
      <c r="N1639" s="385"/>
      <c r="O1639" s="190"/>
    </row>
    <row r="1640" spans="2:15" ht="16" x14ac:dyDescent="0.2">
      <c r="C1640" s="119">
        <v>3</v>
      </c>
      <c r="D1640" s="383">
        <v>0.3888888888888889</v>
      </c>
      <c r="E1640" s="389">
        <v>0.40972222222222227</v>
      </c>
      <c r="F1640" s="385"/>
      <c r="G1640" s="391"/>
      <c r="H1640" s="385"/>
      <c r="I1640" s="391"/>
      <c r="J1640" s="385">
        <v>15</v>
      </c>
      <c r="K1640" s="391"/>
      <c r="L1640" s="384"/>
      <c r="M1640" s="391"/>
      <c r="N1640" s="385"/>
      <c r="O1640" s="190"/>
    </row>
    <row r="1641" spans="2:15" ht="16" x14ac:dyDescent="0.2">
      <c r="C1641" s="119">
        <v>4</v>
      </c>
      <c r="D1641" s="383">
        <v>0.44097222222222227</v>
      </c>
      <c r="E1641" s="389">
        <v>0.46180555555555558</v>
      </c>
      <c r="F1641" s="385"/>
      <c r="G1641" s="391">
        <v>25</v>
      </c>
      <c r="H1641" s="316"/>
      <c r="I1641" s="391"/>
      <c r="J1641" s="385"/>
      <c r="K1641" s="391">
        <v>1</v>
      </c>
      <c r="L1641" s="402"/>
      <c r="M1641" s="391"/>
      <c r="N1641" s="385"/>
      <c r="O1641" s="190"/>
    </row>
    <row r="1642" spans="2:15" ht="16" x14ac:dyDescent="0.2">
      <c r="C1642" s="119">
        <v>5</v>
      </c>
      <c r="D1642" s="383">
        <v>0.46180555555555558</v>
      </c>
      <c r="E1642" s="389">
        <v>0.4826388888888889</v>
      </c>
      <c r="F1642" s="385"/>
      <c r="G1642" s="391"/>
      <c r="H1642" s="316">
        <v>28</v>
      </c>
      <c r="I1642" s="391"/>
      <c r="J1642" s="385"/>
      <c r="K1642" s="391"/>
      <c r="L1642" s="393"/>
      <c r="M1642" s="391"/>
      <c r="N1642" s="385"/>
      <c r="O1642" s="190"/>
    </row>
    <row r="1643" spans="2:15" ht="16" x14ac:dyDescent="0.2">
      <c r="C1643" s="119">
        <v>6</v>
      </c>
      <c r="D1643" s="383">
        <v>0.4826388888888889</v>
      </c>
      <c r="E1643" s="389">
        <v>0.50347222222222221</v>
      </c>
      <c r="F1643" s="385">
        <v>28</v>
      </c>
      <c r="G1643" s="391"/>
      <c r="H1643" s="316"/>
      <c r="I1643" s="391"/>
      <c r="J1643" s="385"/>
      <c r="K1643" s="391"/>
      <c r="L1643" s="393"/>
      <c r="M1643" s="391"/>
      <c r="N1643" s="385"/>
      <c r="O1643" s="190"/>
    </row>
    <row r="1644" spans="2:15" ht="16" x14ac:dyDescent="0.2">
      <c r="C1644" s="119">
        <v>7</v>
      </c>
      <c r="D1644" s="383">
        <v>0.50347222222222221</v>
      </c>
      <c r="E1644" s="389">
        <v>0.52430555555555558</v>
      </c>
      <c r="F1644" s="385">
        <v>28</v>
      </c>
      <c r="G1644" s="391"/>
      <c r="H1644" s="316"/>
      <c r="I1644" s="391"/>
      <c r="J1644" s="385"/>
      <c r="K1644" s="391"/>
      <c r="L1644" s="393"/>
      <c r="M1644" s="391"/>
      <c r="N1644" s="385"/>
      <c r="O1644" s="190"/>
    </row>
    <row r="1645" spans="2:15" ht="16" x14ac:dyDescent="0.2">
      <c r="C1645" s="119">
        <v>8</v>
      </c>
      <c r="D1645" s="383">
        <v>0.52430555555555558</v>
      </c>
      <c r="E1645" s="389">
        <v>0.54513888888888895</v>
      </c>
      <c r="F1645" s="385">
        <v>28</v>
      </c>
      <c r="G1645" s="391"/>
      <c r="H1645" s="316"/>
      <c r="I1645" s="391"/>
      <c r="J1645" s="385"/>
      <c r="K1645" s="391"/>
      <c r="L1645" s="385"/>
      <c r="M1645" s="391"/>
      <c r="N1645" s="385"/>
      <c r="O1645" s="190"/>
    </row>
    <row r="1646" spans="2:15" ht="16" x14ac:dyDescent="0.2">
      <c r="C1646" s="119">
        <v>9</v>
      </c>
      <c r="D1646" s="383">
        <v>0.54513888888888895</v>
      </c>
      <c r="E1646" s="389">
        <v>0.56597222222222221</v>
      </c>
      <c r="F1646" s="385">
        <v>28</v>
      </c>
      <c r="G1646" s="391"/>
      <c r="H1646" s="316"/>
      <c r="I1646" s="391"/>
      <c r="J1646" s="385"/>
      <c r="K1646" s="391"/>
      <c r="L1646" s="385"/>
      <c r="M1646" s="391"/>
      <c r="N1646" s="385"/>
      <c r="O1646" s="190"/>
    </row>
    <row r="1647" spans="2:15" ht="16" x14ac:dyDescent="0.2">
      <c r="C1647" s="119">
        <v>10</v>
      </c>
      <c r="D1647" s="383">
        <v>0.56597222222222221</v>
      </c>
      <c r="E1647" s="389">
        <v>0.58680555555555558</v>
      </c>
      <c r="F1647" s="385">
        <v>28</v>
      </c>
      <c r="G1647" s="391"/>
      <c r="H1647" s="316"/>
      <c r="I1647" s="391"/>
      <c r="J1647" s="385"/>
      <c r="K1647" s="391"/>
      <c r="L1647" s="385"/>
      <c r="M1647" s="391"/>
      <c r="N1647" s="385"/>
      <c r="O1647" s="190"/>
    </row>
    <row r="1648" spans="2:15" ht="16" x14ac:dyDescent="0.2">
      <c r="C1648" s="119">
        <v>11</v>
      </c>
      <c r="D1648" s="383">
        <v>0.58333333333333337</v>
      </c>
      <c r="E1648" s="389">
        <v>0.60416666666666663</v>
      </c>
      <c r="F1648" s="385"/>
      <c r="G1648" s="391"/>
      <c r="H1648" s="316"/>
      <c r="I1648" s="391">
        <v>44</v>
      </c>
      <c r="J1648" s="28"/>
      <c r="K1648" s="391"/>
      <c r="L1648" s="385"/>
      <c r="M1648" s="391"/>
      <c r="N1648" s="385"/>
      <c r="O1648" s="190"/>
    </row>
    <row r="1649" spans="3:15" ht="16" x14ac:dyDescent="0.2">
      <c r="C1649" s="193">
        <v>12</v>
      </c>
      <c r="D1649" s="383">
        <v>0.60416666666666663</v>
      </c>
      <c r="E1649" s="389">
        <v>0.625</v>
      </c>
      <c r="F1649" s="385"/>
      <c r="G1649" s="391"/>
      <c r="H1649" s="316"/>
      <c r="I1649" s="391">
        <v>44</v>
      </c>
      <c r="J1649" s="385"/>
      <c r="K1649" s="391"/>
      <c r="L1649" s="385"/>
      <c r="M1649" s="391"/>
      <c r="N1649" s="385"/>
      <c r="O1649" s="190"/>
    </row>
    <row r="1650" spans="3:15" ht="16" x14ac:dyDescent="0.2">
      <c r="C1650" s="119">
        <v>13</v>
      </c>
      <c r="D1650" s="383">
        <v>0.625</v>
      </c>
      <c r="E1650" s="389">
        <v>0.64583333333333337</v>
      </c>
      <c r="F1650" s="385"/>
      <c r="G1650" s="391"/>
      <c r="H1650" s="316"/>
      <c r="I1650" s="391"/>
      <c r="J1650" s="385">
        <v>36</v>
      </c>
      <c r="K1650" s="391"/>
      <c r="L1650" s="385"/>
      <c r="M1650" s="391"/>
      <c r="N1650" s="385"/>
      <c r="O1650" s="190"/>
    </row>
    <row r="1651" spans="3:15" ht="16" x14ac:dyDescent="0.2">
      <c r="C1651" s="119">
        <v>14</v>
      </c>
      <c r="D1651" s="383">
        <v>0.64583333333333337</v>
      </c>
      <c r="E1651" s="389">
        <v>0.66666666666666663</v>
      </c>
      <c r="F1651" s="385"/>
      <c r="G1651" s="391"/>
      <c r="H1651" s="316"/>
      <c r="I1651" s="391"/>
      <c r="J1651" s="385">
        <v>36</v>
      </c>
      <c r="K1651" s="391"/>
      <c r="L1651" s="385"/>
      <c r="M1651" s="391"/>
      <c r="N1651" s="385"/>
      <c r="O1651" s="190"/>
    </row>
    <row r="1652" spans="3:15" ht="16" x14ac:dyDescent="0.2">
      <c r="C1652" s="119">
        <v>15</v>
      </c>
      <c r="D1652" s="383">
        <v>0.69444444444444453</v>
      </c>
      <c r="E1652" s="389">
        <v>0.71527777777777779</v>
      </c>
      <c r="F1652" s="385"/>
      <c r="G1652" s="391"/>
      <c r="H1652" s="316"/>
      <c r="I1652" s="391"/>
      <c r="J1652" s="385">
        <v>33</v>
      </c>
      <c r="K1652" s="391">
        <v>1</v>
      </c>
      <c r="L1652" s="385"/>
      <c r="M1652" s="391"/>
      <c r="N1652" s="385"/>
      <c r="O1652" s="190"/>
    </row>
    <row r="1653" spans="3:15" ht="16" x14ac:dyDescent="0.2">
      <c r="C1653" s="119">
        <v>16</v>
      </c>
      <c r="D1653" s="383"/>
      <c r="E1653" s="389"/>
      <c r="F1653" s="385"/>
      <c r="G1653" s="391"/>
      <c r="H1653" s="316"/>
      <c r="I1653" s="391"/>
      <c r="J1653" s="385"/>
      <c r="K1653" s="391"/>
      <c r="L1653" s="385"/>
      <c r="M1653" s="391"/>
      <c r="N1653" s="385"/>
      <c r="O1653" s="190"/>
    </row>
    <row r="1654" spans="3:15" ht="16" x14ac:dyDescent="0.2">
      <c r="C1654" s="119">
        <v>17</v>
      </c>
      <c r="D1654" s="383"/>
      <c r="E1654" s="389"/>
      <c r="F1654" s="384"/>
      <c r="G1654" s="33"/>
      <c r="H1654" s="316"/>
      <c r="I1654" s="390"/>
      <c r="J1654" s="385"/>
      <c r="K1654" s="391"/>
      <c r="L1654" s="385"/>
      <c r="M1654" s="391"/>
      <c r="N1654" s="385"/>
      <c r="O1654" s="190"/>
    </row>
    <row r="1655" spans="3:15" ht="16" x14ac:dyDescent="0.2">
      <c r="C1655" s="119">
        <v>18</v>
      </c>
      <c r="D1655" s="383"/>
      <c r="E1655" s="389"/>
      <c r="F1655" s="394"/>
      <c r="G1655" s="229"/>
      <c r="H1655" s="394"/>
      <c r="I1655" s="391"/>
      <c r="J1655" s="385"/>
      <c r="K1655" s="391"/>
      <c r="L1655" s="385"/>
      <c r="M1655" s="391"/>
      <c r="N1655" s="385"/>
      <c r="O1655" s="190"/>
    </row>
    <row r="1656" spans="3:15" ht="16" x14ac:dyDescent="0.2">
      <c r="C1656" s="119">
        <v>19</v>
      </c>
      <c r="D1656" s="383"/>
      <c r="E1656" s="389"/>
      <c r="F1656" s="385"/>
      <c r="G1656" s="391"/>
      <c r="H1656" s="385"/>
      <c r="I1656" s="391"/>
      <c r="J1656" s="385"/>
      <c r="K1656" s="391"/>
      <c r="L1656" s="403"/>
      <c r="M1656" s="391"/>
      <c r="N1656" s="385"/>
      <c r="O1656" s="190"/>
    </row>
    <row r="1657" spans="3:15" ht="16" x14ac:dyDescent="0.2">
      <c r="C1657" s="119">
        <v>20</v>
      </c>
      <c r="D1657" s="383"/>
      <c r="E1657" s="389"/>
      <c r="F1657" s="385"/>
      <c r="G1657" s="391"/>
      <c r="H1657" s="385"/>
      <c r="I1657" s="391"/>
      <c r="J1657" s="385"/>
      <c r="K1657" s="391"/>
      <c r="L1657" s="403"/>
      <c r="M1657" s="391"/>
      <c r="N1657" s="385"/>
      <c r="O1657" s="190"/>
    </row>
    <row r="1658" spans="3:15" ht="16" x14ac:dyDescent="0.2">
      <c r="C1658" s="119">
        <v>21</v>
      </c>
      <c r="D1658" s="383"/>
      <c r="E1658" s="389"/>
      <c r="F1658" s="385"/>
      <c r="G1658" s="391"/>
      <c r="H1658" s="385"/>
      <c r="I1658" s="391"/>
      <c r="J1658" s="385"/>
      <c r="K1658" s="391"/>
      <c r="L1658" s="385"/>
      <c r="M1658" s="391"/>
      <c r="N1658" s="385"/>
      <c r="O1658" s="190"/>
    </row>
    <row r="1659" spans="3:15" ht="16" x14ac:dyDescent="0.2">
      <c r="C1659" s="119">
        <v>22</v>
      </c>
      <c r="D1659" s="383"/>
      <c r="E1659" s="389"/>
      <c r="F1659" s="385"/>
      <c r="G1659" s="391"/>
      <c r="H1659" s="385"/>
      <c r="I1659" s="391"/>
      <c r="J1659" s="385"/>
      <c r="K1659" s="391"/>
      <c r="L1659" s="385"/>
      <c r="M1659" s="391"/>
      <c r="N1659" s="385"/>
      <c r="O1659" s="190"/>
    </row>
    <row r="1660" spans="3:15" ht="16" x14ac:dyDescent="0.2">
      <c r="C1660" s="119">
        <v>23</v>
      </c>
      <c r="D1660" s="383"/>
      <c r="E1660" s="389"/>
      <c r="F1660" s="385"/>
      <c r="G1660" s="391"/>
      <c r="H1660" s="385"/>
      <c r="I1660" s="391"/>
      <c r="J1660" s="385"/>
      <c r="K1660" s="391"/>
      <c r="L1660" s="385"/>
      <c r="M1660" s="391"/>
      <c r="N1660" s="385"/>
      <c r="O1660" s="190"/>
    </row>
    <row r="1661" spans="3:15" ht="16" x14ac:dyDescent="0.2">
      <c r="C1661" s="119">
        <v>24</v>
      </c>
      <c r="D1661" s="383"/>
      <c r="E1661" s="389"/>
      <c r="F1661" s="385"/>
      <c r="G1661" s="391"/>
      <c r="H1661" s="385"/>
      <c r="I1661" s="391"/>
      <c r="J1661" s="385"/>
      <c r="K1661" s="391"/>
      <c r="L1661" s="385"/>
      <c r="M1661" s="391"/>
      <c r="N1661" s="385"/>
      <c r="O1661" s="190"/>
    </row>
    <row r="1662" spans="3:15" ht="16" x14ac:dyDescent="0.2">
      <c r="C1662" s="119">
        <v>25</v>
      </c>
      <c r="D1662" s="383"/>
      <c r="E1662" s="389"/>
      <c r="F1662" s="385"/>
      <c r="G1662" s="391"/>
      <c r="H1662" s="385"/>
      <c r="I1662" s="391"/>
      <c r="J1662" s="385"/>
      <c r="K1662" s="391"/>
      <c r="L1662" s="385"/>
      <c r="M1662" s="391"/>
      <c r="N1662" s="385"/>
      <c r="O1662" s="190"/>
    </row>
    <row r="1663" spans="3:15" ht="16" x14ac:dyDescent="0.2">
      <c r="C1663" s="119">
        <v>26</v>
      </c>
      <c r="D1663" s="383"/>
      <c r="E1663" s="389"/>
      <c r="F1663" s="385"/>
      <c r="G1663" s="391"/>
      <c r="H1663" s="385"/>
      <c r="I1663" s="391"/>
      <c r="J1663" s="385"/>
      <c r="K1663" s="391"/>
      <c r="L1663" s="385"/>
      <c r="M1663" s="391"/>
      <c r="N1663" s="385"/>
      <c r="O1663" s="190"/>
    </row>
    <row r="1664" spans="3:15" ht="16" x14ac:dyDescent="0.2">
      <c r="C1664" s="119">
        <v>27</v>
      </c>
      <c r="D1664" s="383"/>
      <c r="E1664" s="389"/>
      <c r="F1664" s="385"/>
      <c r="G1664" s="391"/>
      <c r="H1664" s="385"/>
      <c r="I1664" s="391"/>
      <c r="J1664" s="385"/>
      <c r="K1664" s="391"/>
      <c r="L1664" s="385"/>
      <c r="M1664" s="391"/>
      <c r="N1664" s="385"/>
      <c r="O1664" s="190"/>
    </row>
    <row r="1665" spans="2:15" ht="16" x14ac:dyDescent="0.2">
      <c r="C1665" s="119">
        <v>28</v>
      </c>
      <c r="D1665" s="383"/>
      <c r="E1665" s="389"/>
      <c r="F1665" s="385"/>
      <c r="G1665" s="391"/>
      <c r="H1665" s="385"/>
      <c r="I1665" s="391"/>
      <c r="J1665" s="385"/>
      <c r="K1665" s="391"/>
      <c r="L1665" s="385"/>
      <c r="M1665" s="391"/>
      <c r="N1665" s="385"/>
      <c r="O1665" s="190"/>
    </row>
    <row r="1666" spans="2:15" ht="16" x14ac:dyDescent="0.2">
      <c r="C1666" s="119">
        <v>29</v>
      </c>
      <c r="D1666" s="383"/>
      <c r="E1666" s="389"/>
      <c r="F1666" s="385"/>
      <c r="G1666" s="391"/>
      <c r="H1666" s="385"/>
      <c r="I1666" s="391"/>
      <c r="J1666" s="385"/>
      <c r="K1666" s="391"/>
      <c r="L1666" s="385"/>
      <c r="M1666" s="391"/>
      <c r="N1666" s="385"/>
      <c r="O1666" s="190"/>
    </row>
    <row r="1667" spans="2:15" ht="16" x14ac:dyDescent="0.2">
      <c r="C1667" s="119">
        <v>30</v>
      </c>
      <c r="D1667" s="383"/>
      <c r="E1667" s="389"/>
      <c r="F1667" s="385"/>
      <c r="G1667" s="391"/>
      <c r="H1667" s="385"/>
      <c r="I1667" s="391"/>
      <c r="J1667" s="385"/>
      <c r="K1667" s="391"/>
      <c r="L1667" s="385"/>
      <c r="M1667" s="391"/>
      <c r="N1667" s="385"/>
      <c r="O1667" s="190"/>
    </row>
    <row r="1668" spans="2:15" ht="16" x14ac:dyDescent="0.2">
      <c r="C1668" s="120">
        <v>31</v>
      </c>
      <c r="D1668" s="383"/>
      <c r="E1668" s="389"/>
      <c r="F1668" s="384"/>
      <c r="G1668" s="390"/>
      <c r="H1668" s="384"/>
      <c r="I1668" s="390"/>
      <c r="J1668" s="384"/>
      <c r="K1668" s="390"/>
      <c r="L1668" s="384"/>
      <c r="M1668" s="390"/>
      <c r="N1668" s="384"/>
      <c r="O1668" s="190"/>
    </row>
    <row r="1669" spans="2:15" ht="16" x14ac:dyDescent="0.2">
      <c r="B1669" s="256"/>
      <c r="C1669" s="377">
        <v>32</v>
      </c>
      <c r="D1669" s="384"/>
      <c r="E1669" s="390"/>
      <c r="F1669" s="384"/>
      <c r="G1669" s="390"/>
      <c r="H1669" s="384"/>
      <c r="I1669" s="390"/>
      <c r="J1669" s="384"/>
      <c r="K1669" s="390"/>
      <c r="L1669" s="384"/>
      <c r="M1669" s="390"/>
      <c r="N1669" s="384"/>
      <c r="O1669" s="190"/>
    </row>
    <row r="1670" spans="2:15" ht="16" x14ac:dyDescent="0.2">
      <c r="B1670" s="256"/>
      <c r="C1670" s="119">
        <v>33</v>
      </c>
      <c r="D1670" s="385"/>
      <c r="E1670" s="391"/>
      <c r="F1670" s="385"/>
      <c r="G1670" s="391"/>
      <c r="H1670" s="385"/>
      <c r="I1670" s="391"/>
      <c r="J1670" s="385"/>
      <c r="K1670" s="391"/>
      <c r="L1670" s="385"/>
      <c r="M1670" s="391"/>
      <c r="N1670" s="385"/>
      <c r="O1670" s="190"/>
    </row>
    <row r="1671" spans="2:15" ht="16" x14ac:dyDescent="0.2">
      <c r="B1671" s="256"/>
      <c r="C1671" s="119">
        <v>34</v>
      </c>
      <c r="D1671" s="385"/>
      <c r="E1671" s="391"/>
      <c r="F1671" s="385"/>
      <c r="G1671" s="391"/>
      <c r="H1671" s="385"/>
      <c r="I1671" s="391"/>
      <c r="J1671" s="385"/>
      <c r="K1671" s="391"/>
      <c r="L1671" s="385"/>
      <c r="M1671" s="391"/>
      <c r="N1671" s="385"/>
      <c r="O1671" s="190"/>
    </row>
    <row r="1672" spans="2:15" ht="16" x14ac:dyDescent="0.2">
      <c r="B1672" s="256"/>
      <c r="C1672" s="119">
        <v>35</v>
      </c>
      <c r="D1672" s="385"/>
      <c r="E1672" s="391"/>
      <c r="F1672" s="385"/>
      <c r="G1672" s="391"/>
      <c r="H1672" s="385"/>
      <c r="I1672" s="391"/>
      <c r="J1672" s="385"/>
      <c r="K1672" s="391"/>
      <c r="L1672" s="385"/>
      <c r="M1672" s="391"/>
      <c r="N1672" s="385"/>
      <c r="O1672" s="190"/>
    </row>
    <row r="1673" spans="2:15" ht="16" x14ac:dyDescent="0.2">
      <c r="B1673" s="256"/>
      <c r="C1673" s="119">
        <v>36</v>
      </c>
      <c r="D1673" s="385"/>
      <c r="E1673" s="391"/>
      <c r="F1673" s="385"/>
      <c r="G1673" s="391"/>
      <c r="H1673" s="385"/>
      <c r="I1673" s="391"/>
      <c r="J1673" s="385"/>
      <c r="K1673" s="391"/>
      <c r="L1673" s="385"/>
      <c r="M1673" s="391"/>
      <c r="N1673" s="385"/>
      <c r="O1673" s="190"/>
    </row>
    <row r="1674" spans="2:15" ht="17" thickBot="1" x14ac:dyDescent="0.25">
      <c r="B1674" s="256"/>
      <c r="C1674" s="378">
        <v>37</v>
      </c>
      <c r="D1674" s="386"/>
      <c r="E1674" s="392"/>
      <c r="F1674" s="386"/>
      <c r="G1674" s="392"/>
      <c r="H1674" s="386"/>
      <c r="I1674" s="392"/>
      <c r="J1674" s="386"/>
      <c r="K1674" s="392"/>
      <c r="L1674" s="386"/>
      <c r="M1674" s="392"/>
      <c r="N1674" s="386"/>
      <c r="O1674" s="190"/>
    </row>
    <row r="1675" spans="2:15" ht="17" thickBot="1" x14ac:dyDescent="0.25">
      <c r="C1675" s="825" t="s">
        <v>19</v>
      </c>
      <c r="D1675" s="826"/>
      <c r="E1675" s="380"/>
      <c r="F1675" s="376">
        <f>(F1638+F1639+F1640+F1641+F1642+F1643+F1659+F1646+F1647+F1644+F1645+F1648+F1649+F1650+F1651+F1652+F1653+F1654+F1655+F1656+F1657+F1658+F1660+F1661+F1663+F1664+F1665+F1666+F1667+F1668+F1669+F1670+F1671+F1674)/2</f>
        <v>70</v>
      </c>
      <c r="G1675" s="397">
        <f>(G1638+G1639+G1640+G1641+G1642+G1659+G1643+G1647+G1646+G1644+G1645+G1648+G1649+G1650+G1651+G1652+G1653+G1654+G1655+G1656+G1657+G1658+G1660+G1661+G1663+G1664+G1665+G1666+G1667+G1668+G1669+G1670)/2</f>
        <v>40.5</v>
      </c>
      <c r="H1675" s="399">
        <f>(H1638+H1639+H1640+H1641+H1642+H1643+H1659+H1662+H1646+H1647+H1644+H1645+H1648+H1649+H1650+H1651+H1652+H1653+H1654+H1655+H1656+H1657+H1658+H1660+H1661+H1663+H1664+H1665+H1666+H1667+H1668+H1669+H1670+H1671+H1674)/2</f>
        <v>14</v>
      </c>
      <c r="I1675" s="398">
        <f>(I1638+I1639+I1640+I1641+I1642+I1672+I1673+I1643+I1659+I1646+I1662+I1647+I1644+I1645+I1648+I1649+I1650+I1651+I1652+I1653+I1654+I1655+I1656+I1657+I1658+I1660+I1661+I1663+I1664+I1665+I1666+I1667+I1668+I1669+I1670+I1671+I1674)/2</f>
        <v>44</v>
      </c>
      <c r="J1675" s="376">
        <f>(J1638+J1639+J1640+J1641+J1642+J1643+J1647+J1644+J1646+J1645+J1662+J1648+J1649+J1650+J1651+J1652+J1653+J1654+J1655+J1656+J1657+J1658+J1659+J1660+J1661+J1663+J1664+J1665+J1666+J1667+J1668+J1669+J1670)/2</f>
        <v>60</v>
      </c>
      <c r="K1675" s="397">
        <f>(K1638+K1639+K1640+K1641+K1642+K1643+K1647+K1644+K1645+K1648+K1649+K1650+K1651+K1652+K1653+K1654+K1655+K1656+K1657+K1658+K1660+K1661+K1663+K1664+K1665+K1666+K1667+K1668+K1669+K1670+K1659)</f>
        <v>2</v>
      </c>
      <c r="L1675" s="399">
        <f>SUM(L1638:L1674)</f>
        <v>0</v>
      </c>
      <c r="M1675" s="398">
        <f>(M1638+M1639+M1640+M1641+M1642+M1643+M1647+M1646+M1644+M1645+M1648+M1649+M1650+M1651+M1652+M1653+M1654+M1655+M1656+M1657+M1658+M1660+M1661+M1663+M1664+M1665+M1666+M1667+M1668+M1669+M1670)/2</f>
        <v>0</v>
      </c>
      <c r="N1675" s="376"/>
      <c r="O1675" s="41"/>
    </row>
    <row r="1676" spans="2:15" ht="17" thickBot="1" x14ac:dyDescent="0.25">
      <c r="C1676" s="825" t="s">
        <v>91</v>
      </c>
      <c r="D1676" s="826"/>
      <c r="E1676" s="381">
        <f>SUM(F1675:J1675)</f>
        <v>228.5</v>
      </c>
    </row>
    <row r="1677" spans="2:15" ht="16" thickBot="1" x14ac:dyDescent="0.25"/>
    <row r="1678" spans="2:15" ht="17" thickBot="1" x14ac:dyDescent="0.25">
      <c r="C1678" s="17"/>
      <c r="D1678" s="379" t="s">
        <v>83</v>
      </c>
      <c r="E1678" s="818" t="s">
        <v>63</v>
      </c>
      <c r="F1678" s="819"/>
      <c r="G1678" s="819"/>
      <c r="H1678" s="819"/>
      <c r="I1678" s="819"/>
      <c r="J1678" s="400" t="s">
        <v>76</v>
      </c>
      <c r="K1678" s="820">
        <v>45712</v>
      </c>
      <c r="L1678" s="821"/>
      <c r="M1678" s="821"/>
      <c r="N1678" s="821"/>
      <c r="O1678" s="822"/>
    </row>
    <row r="1679" spans="2:15" ht="16" thickBot="1" x14ac:dyDescent="0.25">
      <c r="B1679" s="175" t="s">
        <v>76</v>
      </c>
      <c r="C1679" s="175" t="s">
        <v>77</v>
      </c>
      <c r="D1679" s="823" t="s">
        <v>122</v>
      </c>
      <c r="E1679" s="824"/>
      <c r="F1679" s="175" t="s">
        <v>104</v>
      </c>
      <c r="G1679" s="395" t="s">
        <v>86</v>
      </c>
      <c r="H1679" s="175" t="s">
        <v>88</v>
      </c>
      <c r="I1679" s="395" t="s">
        <v>87</v>
      </c>
      <c r="J1679" s="401" t="s">
        <v>85</v>
      </c>
      <c r="K1679" s="395" t="s">
        <v>123</v>
      </c>
      <c r="L1679" s="175" t="s">
        <v>124</v>
      </c>
      <c r="M1679" s="395" t="s">
        <v>100</v>
      </c>
      <c r="N1679" s="175" t="s">
        <v>213</v>
      </c>
      <c r="O1679" s="404" t="s">
        <v>125</v>
      </c>
    </row>
    <row r="1680" spans="2:15" ht="16" thickBot="1" x14ac:dyDescent="0.25">
      <c r="B1680" s="176">
        <f>K1678</f>
        <v>45712</v>
      </c>
      <c r="C1680" s="374"/>
      <c r="D1680" s="375" t="s">
        <v>126</v>
      </c>
      <c r="E1680" s="387" t="s">
        <v>127</v>
      </c>
      <c r="F1680" s="331">
        <v>11</v>
      </c>
      <c r="G1680" s="237">
        <v>7</v>
      </c>
      <c r="H1680" s="331">
        <v>4</v>
      </c>
      <c r="I1680" s="237">
        <v>4</v>
      </c>
      <c r="J1680" s="331">
        <v>8</v>
      </c>
      <c r="K1680" s="231"/>
      <c r="L1680" s="125"/>
      <c r="M1680" s="231"/>
      <c r="N1680" s="125"/>
      <c r="O1680" s="326"/>
    </row>
    <row r="1681" spans="3:15" ht="16" x14ac:dyDescent="0.2">
      <c r="C1681" s="118">
        <v>1</v>
      </c>
      <c r="D1681" s="382">
        <v>0.4513888888888889</v>
      </c>
      <c r="E1681" s="388">
        <v>0.47222222222222227</v>
      </c>
      <c r="F1681" s="393"/>
      <c r="G1681" s="396">
        <v>28</v>
      </c>
      <c r="H1681" s="393"/>
      <c r="I1681" s="396"/>
      <c r="J1681" s="393"/>
      <c r="K1681" s="396"/>
      <c r="L1681" s="393"/>
      <c r="M1681" s="396"/>
      <c r="N1681" s="393"/>
      <c r="O1681" s="190"/>
    </row>
    <row r="1682" spans="3:15" ht="16" x14ac:dyDescent="0.2">
      <c r="C1682" s="119">
        <v>2</v>
      </c>
      <c r="D1682" s="383">
        <v>0.47222222222222227</v>
      </c>
      <c r="E1682" s="389">
        <v>0.49305555555555558</v>
      </c>
      <c r="F1682" s="385"/>
      <c r="G1682" s="391">
        <v>28</v>
      </c>
      <c r="H1682" s="385"/>
      <c r="I1682" s="391"/>
      <c r="J1682" s="385"/>
      <c r="K1682" s="391"/>
      <c r="L1682" s="385"/>
      <c r="M1682" s="391"/>
      <c r="N1682" s="385"/>
      <c r="O1682" s="190"/>
    </row>
    <row r="1683" spans="3:15" ht="16" x14ac:dyDescent="0.2">
      <c r="C1683" s="119">
        <v>3</v>
      </c>
      <c r="D1683" s="383">
        <v>0.48958333333333331</v>
      </c>
      <c r="E1683" s="389">
        <v>0.51041666666666663</v>
      </c>
      <c r="F1683" s="385"/>
      <c r="G1683" s="391">
        <v>28</v>
      </c>
      <c r="H1683" s="385"/>
      <c r="I1683" s="391"/>
      <c r="J1683" s="385"/>
      <c r="K1683" s="391"/>
      <c r="L1683" s="384"/>
      <c r="M1683" s="391"/>
      <c r="N1683" s="385"/>
      <c r="O1683" s="190"/>
    </row>
    <row r="1684" spans="3:15" ht="16" x14ac:dyDescent="0.2">
      <c r="C1684" s="119">
        <v>4</v>
      </c>
      <c r="D1684" s="383">
        <v>0.51041666666666663</v>
      </c>
      <c r="E1684" s="389">
        <v>0.53125</v>
      </c>
      <c r="F1684" s="385"/>
      <c r="G1684" s="391"/>
      <c r="H1684" s="316">
        <v>28</v>
      </c>
      <c r="I1684" s="391"/>
      <c r="J1684" s="385"/>
      <c r="K1684" s="391"/>
      <c r="L1684" s="402"/>
      <c r="M1684" s="391"/>
      <c r="N1684" s="385"/>
      <c r="O1684" s="190"/>
    </row>
    <row r="1685" spans="3:15" ht="16" x14ac:dyDescent="0.2">
      <c r="C1685" s="119">
        <v>5</v>
      </c>
      <c r="D1685" s="383">
        <v>0.53125</v>
      </c>
      <c r="E1685" s="389">
        <v>0.55208333333333337</v>
      </c>
      <c r="F1685" s="385"/>
      <c r="G1685" s="391"/>
      <c r="H1685" s="316">
        <v>28</v>
      </c>
      <c r="I1685" s="391"/>
      <c r="J1685" s="385"/>
      <c r="K1685" s="391"/>
      <c r="L1685" s="393"/>
      <c r="M1685" s="391"/>
      <c r="N1685" s="385"/>
      <c r="O1685" s="190"/>
    </row>
    <row r="1686" spans="3:15" ht="16" x14ac:dyDescent="0.2">
      <c r="C1686" s="119">
        <v>6</v>
      </c>
      <c r="D1686" s="383">
        <v>0.53125</v>
      </c>
      <c r="E1686" s="389">
        <v>0.55208333333333337</v>
      </c>
      <c r="F1686" s="385"/>
      <c r="G1686" s="391">
        <v>14</v>
      </c>
      <c r="H1686" s="316"/>
      <c r="I1686" s="391"/>
      <c r="J1686" s="385"/>
      <c r="K1686" s="391"/>
      <c r="L1686" s="393"/>
      <c r="M1686" s="391"/>
      <c r="N1686" s="385"/>
      <c r="O1686" s="190"/>
    </row>
    <row r="1687" spans="3:15" ht="16" x14ac:dyDescent="0.2">
      <c r="C1687" s="119">
        <v>7</v>
      </c>
      <c r="D1687" s="383">
        <v>0.64236111111111105</v>
      </c>
      <c r="E1687" s="389">
        <v>0.66319444444444442</v>
      </c>
      <c r="F1687" s="385">
        <v>28</v>
      </c>
      <c r="G1687" s="391"/>
      <c r="H1687" s="316"/>
      <c r="I1687" s="391"/>
      <c r="J1687" s="385"/>
      <c r="K1687" s="391"/>
      <c r="L1687" s="393"/>
      <c r="M1687" s="391"/>
      <c r="N1687" s="385"/>
      <c r="O1687" s="190"/>
    </row>
    <row r="1688" spans="3:15" ht="16" x14ac:dyDescent="0.2">
      <c r="C1688" s="119">
        <v>8</v>
      </c>
      <c r="D1688" s="383">
        <v>0.625</v>
      </c>
      <c r="E1688" s="389">
        <v>0.64583333333333337</v>
      </c>
      <c r="F1688" s="385">
        <v>28</v>
      </c>
      <c r="G1688" s="391"/>
      <c r="H1688" s="316"/>
      <c r="I1688" s="391"/>
      <c r="J1688" s="385"/>
      <c r="K1688" s="391"/>
      <c r="L1688" s="385"/>
      <c r="M1688" s="391"/>
      <c r="N1688" s="385"/>
      <c r="O1688" s="190"/>
    </row>
    <row r="1689" spans="3:15" ht="16" x14ac:dyDescent="0.2">
      <c r="C1689" s="119">
        <v>9</v>
      </c>
      <c r="D1689" s="383">
        <v>0.68055555555555547</v>
      </c>
      <c r="E1689" s="389">
        <v>0.70138888888888884</v>
      </c>
      <c r="F1689" s="385">
        <v>28</v>
      </c>
      <c r="G1689" s="391"/>
      <c r="H1689" s="316"/>
      <c r="I1689" s="391"/>
      <c r="J1689" s="385"/>
      <c r="K1689" s="391"/>
      <c r="L1689" s="385"/>
      <c r="M1689" s="391"/>
      <c r="N1689" s="385"/>
      <c r="O1689" s="190"/>
    </row>
    <row r="1690" spans="3:15" ht="16" x14ac:dyDescent="0.2">
      <c r="C1690" s="119">
        <v>10</v>
      </c>
      <c r="D1690" s="383">
        <v>0.70138888888888884</v>
      </c>
      <c r="E1690" s="389">
        <v>0.72222222222222221</v>
      </c>
      <c r="F1690" s="385">
        <v>28</v>
      </c>
      <c r="G1690" s="391"/>
      <c r="H1690" s="316"/>
      <c r="I1690" s="391"/>
      <c r="J1690" s="385"/>
      <c r="K1690" s="391"/>
      <c r="L1690" s="385"/>
      <c r="M1690" s="391"/>
      <c r="N1690" s="385"/>
      <c r="O1690" s="190"/>
    </row>
    <row r="1691" spans="3:15" ht="16" x14ac:dyDescent="0.2">
      <c r="C1691" s="119">
        <v>11</v>
      </c>
      <c r="D1691" s="383">
        <v>0.72222222222222221</v>
      </c>
      <c r="E1691" s="389">
        <v>0.74305555555555547</v>
      </c>
      <c r="F1691" s="385">
        <v>28</v>
      </c>
      <c r="G1691" s="391"/>
      <c r="H1691" s="316"/>
      <c r="I1691" s="391"/>
      <c r="J1691" s="28"/>
      <c r="K1691" s="391"/>
      <c r="L1691" s="385"/>
      <c r="M1691" s="391"/>
      <c r="N1691" s="385"/>
      <c r="O1691" s="190"/>
    </row>
    <row r="1692" spans="3:15" ht="16" x14ac:dyDescent="0.2">
      <c r="C1692" s="193">
        <v>12</v>
      </c>
      <c r="D1692" s="383">
        <v>0.72569444444444453</v>
      </c>
      <c r="E1692" s="389">
        <v>0.74652777777777779</v>
      </c>
      <c r="F1692" s="385">
        <v>14</v>
      </c>
      <c r="G1692" s="391"/>
      <c r="H1692" s="316"/>
      <c r="I1692" s="391"/>
      <c r="J1692" s="385"/>
      <c r="K1692" s="391"/>
      <c r="L1692" s="385"/>
      <c r="M1692" s="391"/>
      <c r="N1692" s="385"/>
      <c r="O1692" s="190"/>
    </row>
    <row r="1693" spans="3:15" ht="16" x14ac:dyDescent="0.2">
      <c r="C1693" s="119">
        <v>13</v>
      </c>
      <c r="D1693" s="383">
        <v>0.74652777777777779</v>
      </c>
      <c r="E1693" s="389">
        <v>0.75138888888888899</v>
      </c>
      <c r="F1693" s="385"/>
      <c r="G1693" s="391"/>
      <c r="H1693" s="316"/>
      <c r="I1693" s="391"/>
      <c r="J1693" s="385">
        <v>36</v>
      </c>
      <c r="K1693" s="391"/>
      <c r="L1693" s="385"/>
      <c r="M1693" s="391"/>
      <c r="N1693" s="385"/>
      <c r="O1693" s="190"/>
    </row>
    <row r="1694" spans="3:15" ht="16" x14ac:dyDescent="0.2">
      <c r="C1694" s="119">
        <v>14</v>
      </c>
      <c r="D1694" s="383">
        <v>0.76736111111111116</v>
      </c>
      <c r="E1694" s="389">
        <v>0.78819444444444453</v>
      </c>
      <c r="F1694" s="385"/>
      <c r="G1694" s="391"/>
      <c r="H1694" s="316"/>
      <c r="I1694" s="391"/>
      <c r="J1694" s="385">
        <v>25</v>
      </c>
      <c r="K1694" s="391"/>
      <c r="L1694" s="385">
        <v>9</v>
      </c>
      <c r="M1694" s="391"/>
      <c r="N1694" s="385"/>
      <c r="O1694" s="190"/>
    </row>
    <row r="1695" spans="3:15" ht="16" x14ac:dyDescent="0.2">
      <c r="C1695" s="119">
        <v>15</v>
      </c>
      <c r="D1695" s="383">
        <v>0.78819444444444453</v>
      </c>
      <c r="E1695" s="389">
        <v>0.80902777777777779</v>
      </c>
      <c r="F1695" s="385"/>
      <c r="G1695" s="391"/>
      <c r="H1695" s="316"/>
      <c r="I1695" s="391"/>
      <c r="J1695" s="385">
        <v>36</v>
      </c>
      <c r="K1695" s="391"/>
      <c r="L1695" s="385"/>
      <c r="M1695" s="391"/>
      <c r="N1695" s="385"/>
      <c r="O1695" s="190"/>
    </row>
    <row r="1696" spans="3:15" ht="16" x14ac:dyDescent="0.2">
      <c r="C1696" s="119">
        <v>16</v>
      </c>
      <c r="D1696" s="383">
        <v>0.80902777777777779</v>
      </c>
      <c r="E1696" s="389">
        <v>0.82986111111111116</v>
      </c>
      <c r="F1696" s="385"/>
      <c r="G1696" s="391"/>
      <c r="H1696" s="316"/>
      <c r="I1696" s="391"/>
      <c r="J1696" s="385">
        <v>36</v>
      </c>
      <c r="K1696" s="391"/>
      <c r="L1696" s="385"/>
      <c r="M1696" s="391"/>
      <c r="N1696" s="385"/>
      <c r="O1696" s="190"/>
    </row>
    <row r="1697" spans="2:15" ht="16" x14ac:dyDescent="0.2">
      <c r="C1697" s="119">
        <v>17</v>
      </c>
      <c r="D1697" s="383">
        <v>0.82986111111111116</v>
      </c>
      <c r="E1697" s="389">
        <v>0.85069444444444453</v>
      </c>
      <c r="F1697" s="384"/>
      <c r="G1697" s="33"/>
      <c r="H1697" s="316"/>
      <c r="I1697" s="390">
        <v>44</v>
      </c>
      <c r="J1697" s="385"/>
      <c r="K1697" s="391"/>
      <c r="L1697" s="385"/>
      <c r="M1697" s="391"/>
      <c r="N1697" s="385"/>
      <c r="O1697" s="190"/>
    </row>
    <row r="1698" spans="2:15" ht="16" x14ac:dyDescent="0.2">
      <c r="C1698" s="119">
        <v>18</v>
      </c>
      <c r="D1698" s="383">
        <v>0.85416666666666663</v>
      </c>
      <c r="E1698" s="389">
        <v>0.875</v>
      </c>
      <c r="F1698" s="394"/>
      <c r="G1698" s="229"/>
      <c r="H1698" s="394"/>
      <c r="I1698" s="391">
        <v>44</v>
      </c>
      <c r="J1698" s="385"/>
      <c r="K1698" s="391"/>
      <c r="L1698" s="385"/>
      <c r="M1698" s="391"/>
      <c r="N1698" s="385"/>
      <c r="O1698" s="190"/>
    </row>
    <row r="1699" spans="2:15" ht="16" x14ac:dyDescent="0.2">
      <c r="C1699" s="119">
        <v>19</v>
      </c>
      <c r="D1699" s="383"/>
      <c r="E1699" s="389"/>
      <c r="F1699" s="385"/>
      <c r="G1699" s="391"/>
      <c r="H1699" s="385"/>
      <c r="I1699" s="391"/>
      <c r="J1699" s="385"/>
      <c r="K1699" s="391"/>
      <c r="L1699" s="403"/>
      <c r="M1699" s="391"/>
      <c r="N1699" s="385"/>
      <c r="O1699" s="190"/>
    </row>
    <row r="1700" spans="2:15" ht="16" x14ac:dyDescent="0.2">
      <c r="C1700" s="119">
        <v>20</v>
      </c>
      <c r="D1700" s="383"/>
      <c r="E1700" s="389"/>
      <c r="F1700" s="385"/>
      <c r="G1700" s="391"/>
      <c r="H1700" s="385"/>
      <c r="I1700" s="391"/>
      <c r="J1700" s="385"/>
      <c r="K1700" s="391"/>
      <c r="L1700" s="403"/>
      <c r="M1700" s="391"/>
      <c r="N1700" s="385"/>
      <c r="O1700" s="190"/>
    </row>
    <row r="1701" spans="2:15" ht="16" x14ac:dyDescent="0.2">
      <c r="C1701" s="119">
        <v>21</v>
      </c>
      <c r="D1701" s="383"/>
      <c r="E1701" s="389"/>
      <c r="F1701" s="385"/>
      <c r="G1701" s="391"/>
      <c r="H1701" s="385"/>
      <c r="I1701" s="391"/>
      <c r="J1701" s="385"/>
      <c r="K1701" s="391"/>
      <c r="L1701" s="385"/>
      <c r="M1701" s="391"/>
      <c r="N1701" s="385"/>
      <c r="O1701" s="190"/>
    </row>
    <row r="1702" spans="2:15" ht="16" x14ac:dyDescent="0.2">
      <c r="C1702" s="119">
        <v>22</v>
      </c>
      <c r="D1702" s="383"/>
      <c r="E1702" s="389"/>
      <c r="F1702" s="385"/>
      <c r="G1702" s="391"/>
      <c r="H1702" s="385"/>
      <c r="I1702" s="391"/>
      <c r="J1702" s="385"/>
      <c r="K1702" s="391"/>
      <c r="L1702" s="385"/>
      <c r="M1702" s="391"/>
      <c r="N1702" s="385"/>
      <c r="O1702" s="190"/>
    </row>
    <row r="1703" spans="2:15" ht="16" x14ac:dyDescent="0.2">
      <c r="C1703" s="119">
        <v>23</v>
      </c>
      <c r="D1703" s="383"/>
      <c r="E1703" s="389"/>
      <c r="F1703" s="385"/>
      <c r="G1703" s="391"/>
      <c r="H1703" s="385"/>
      <c r="I1703" s="391"/>
      <c r="J1703" s="385"/>
      <c r="K1703" s="391"/>
      <c r="L1703" s="385"/>
      <c r="M1703" s="391"/>
      <c r="N1703" s="385"/>
      <c r="O1703" s="190"/>
    </row>
    <row r="1704" spans="2:15" ht="16" x14ac:dyDescent="0.2">
      <c r="C1704" s="119">
        <v>24</v>
      </c>
      <c r="D1704" s="383"/>
      <c r="E1704" s="389"/>
      <c r="F1704" s="385"/>
      <c r="G1704" s="391"/>
      <c r="H1704" s="385"/>
      <c r="I1704" s="391"/>
      <c r="J1704" s="385"/>
      <c r="K1704" s="391"/>
      <c r="L1704" s="385"/>
      <c r="M1704" s="391"/>
      <c r="N1704" s="385"/>
      <c r="O1704" s="190"/>
    </row>
    <row r="1705" spans="2:15" ht="16" x14ac:dyDescent="0.2">
      <c r="C1705" s="119">
        <v>25</v>
      </c>
      <c r="D1705" s="383"/>
      <c r="E1705" s="389"/>
      <c r="F1705" s="385"/>
      <c r="G1705" s="391"/>
      <c r="H1705" s="385"/>
      <c r="I1705" s="391"/>
      <c r="J1705" s="385"/>
      <c r="K1705" s="391"/>
      <c r="L1705" s="385"/>
      <c r="M1705" s="391"/>
      <c r="N1705" s="385"/>
      <c r="O1705" s="190"/>
    </row>
    <row r="1706" spans="2:15" ht="16" x14ac:dyDescent="0.2">
      <c r="C1706" s="119">
        <v>26</v>
      </c>
      <c r="D1706" s="383"/>
      <c r="E1706" s="389"/>
      <c r="F1706" s="385"/>
      <c r="G1706" s="391"/>
      <c r="H1706" s="385"/>
      <c r="I1706" s="391"/>
      <c r="J1706" s="385"/>
      <c r="K1706" s="391"/>
      <c r="L1706" s="385"/>
      <c r="M1706" s="391"/>
      <c r="N1706" s="385"/>
      <c r="O1706" s="190"/>
    </row>
    <row r="1707" spans="2:15" ht="16" x14ac:dyDescent="0.2">
      <c r="C1707" s="119">
        <v>27</v>
      </c>
      <c r="D1707" s="383"/>
      <c r="E1707" s="389"/>
      <c r="F1707" s="385"/>
      <c r="G1707" s="391"/>
      <c r="H1707" s="385"/>
      <c r="I1707" s="391"/>
      <c r="J1707" s="385"/>
      <c r="K1707" s="391"/>
      <c r="L1707" s="385"/>
      <c r="M1707" s="391"/>
      <c r="N1707" s="385"/>
      <c r="O1707" s="190"/>
    </row>
    <row r="1708" spans="2:15" ht="16" x14ac:dyDescent="0.2">
      <c r="C1708" s="119">
        <v>28</v>
      </c>
      <c r="D1708" s="383"/>
      <c r="E1708" s="389"/>
      <c r="F1708" s="385"/>
      <c r="G1708" s="391"/>
      <c r="H1708" s="385"/>
      <c r="I1708" s="391"/>
      <c r="J1708" s="385"/>
      <c r="K1708" s="391"/>
      <c r="L1708" s="385"/>
      <c r="M1708" s="391"/>
      <c r="N1708" s="385"/>
      <c r="O1708" s="190"/>
    </row>
    <row r="1709" spans="2:15" ht="16" x14ac:dyDescent="0.2">
      <c r="C1709" s="119">
        <v>29</v>
      </c>
      <c r="D1709" s="383"/>
      <c r="E1709" s="389"/>
      <c r="F1709" s="385"/>
      <c r="G1709" s="391"/>
      <c r="H1709" s="385"/>
      <c r="I1709" s="391"/>
      <c r="J1709" s="385"/>
      <c r="K1709" s="391"/>
      <c r="L1709" s="385"/>
      <c r="M1709" s="391"/>
      <c r="N1709" s="385"/>
      <c r="O1709" s="190"/>
    </row>
    <row r="1710" spans="2:15" ht="16" x14ac:dyDescent="0.2">
      <c r="C1710" s="119">
        <v>30</v>
      </c>
      <c r="D1710" s="383"/>
      <c r="E1710" s="389"/>
      <c r="F1710" s="385"/>
      <c r="G1710" s="391"/>
      <c r="H1710" s="385"/>
      <c r="I1710" s="391"/>
      <c r="J1710" s="385"/>
      <c r="K1710" s="391"/>
      <c r="L1710" s="385"/>
      <c r="M1710" s="391"/>
      <c r="N1710" s="385"/>
      <c r="O1710" s="190"/>
    </row>
    <row r="1711" spans="2:15" ht="16" x14ac:dyDescent="0.2">
      <c r="C1711" s="120">
        <v>31</v>
      </c>
      <c r="D1711" s="383"/>
      <c r="E1711" s="389"/>
      <c r="F1711" s="384"/>
      <c r="G1711" s="390"/>
      <c r="H1711" s="384"/>
      <c r="I1711" s="390"/>
      <c r="J1711" s="384"/>
      <c r="K1711" s="390"/>
      <c r="L1711" s="384"/>
      <c r="M1711" s="390"/>
      <c r="N1711" s="384"/>
      <c r="O1711" s="190"/>
    </row>
    <row r="1712" spans="2:15" ht="16" x14ac:dyDescent="0.2">
      <c r="B1712" s="256"/>
      <c r="C1712" s="377">
        <v>32</v>
      </c>
      <c r="D1712" s="384"/>
      <c r="E1712" s="390"/>
      <c r="F1712" s="384"/>
      <c r="G1712" s="390"/>
      <c r="H1712" s="384"/>
      <c r="I1712" s="390"/>
      <c r="J1712" s="384"/>
      <c r="K1712" s="390"/>
      <c r="L1712" s="384"/>
      <c r="M1712" s="390"/>
      <c r="N1712" s="384"/>
      <c r="O1712" s="190"/>
    </row>
    <row r="1713" spans="2:15" ht="16" x14ac:dyDescent="0.2">
      <c r="B1713" s="256"/>
      <c r="C1713" s="119">
        <v>33</v>
      </c>
      <c r="D1713" s="385"/>
      <c r="E1713" s="391"/>
      <c r="F1713" s="385"/>
      <c r="G1713" s="391"/>
      <c r="H1713" s="385"/>
      <c r="I1713" s="391"/>
      <c r="J1713" s="385"/>
      <c r="K1713" s="391"/>
      <c r="L1713" s="385"/>
      <c r="M1713" s="391"/>
      <c r="N1713" s="385"/>
      <c r="O1713" s="190"/>
    </row>
    <row r="1714" spans="2:15" ht="16" x14ac:dyDescent="0.2">
      <c r="B1714" s="256"/>
      <c r="C1714" s="119">
        <v>34</v>
      </c>
      <c r="D1714" s="385"/>
      <c r="E1714" s="391"/>
      <c r="F1714" s="385"/>
      <c r="G1714" s="391"/>
      <c r="H1714" s="385"/>
      <c r="I1714" s="391"/>
      <c r="J1714" s="385"/>
      <c r="K1714" s="391"/>
      <c r="L1714" s="385"/>
      <c r="M1714" s="391"/>
      <c r="N1714" s="385"/>
      <c r="O1714" s="190"/>
    </row>
    <row r="1715" spans="2:15" ht="16" x14ac:dyDescent="0.2">
      <c r="B1715" s="256"/>
      <c r="C1715" s="119">
        <v>35</v>
      </c>
      <c r="D1715" s="385"/>
      <c r="E1715" s="391"/>
      <c r="F1715" s="385"/>
      <c r="G1715" s="391"/>
      <c r="H1715" s="385"/>
      <c r="I1715" s="391"/>
      <c r="J1715" s="385"/>
      <c r="K1715" s="391"/>
      <c r="L1715" s="385"/>
      <c r="M1715" s="391"/>
      <c r="N1715" s="385"/>
      <c r="O1715" s="190"/>
    </row>
    <row r="1716" spans="2:15" ht="16" x14ac:dyDescent="0.2">
      <c r="B1716" s="256"/>
      <c r="C1716" s="119">
        <v>36</v>
      </c>
      <c r="D1716" s="385"/>
      <c r="E1716" s="391"/>
      <c r="F1716" s="385"/>
      <c r="G1716" s="391"/>
      <c r="H1716" s="385"/>
      <c r="I1716" s="391"/>
      <c r="J1716" s="385"/>
      <c r="K1716" s="391"/>
      <c r="L1716" s="385"/>
      <c r="M1716" s="391"/>
      <c r="N1716" s="385"/>
      <c r="O1716" s="190"/>
    </row>
    <row r="1717" spans="2:15" ht="17" thickBot="1" x14ac:dyDescent="0.25">
      <c r="B1717" s="256"/>
      <c r="C1717" s="378">
        <v>37</v>
      </c>
      <c r="D1717" s="386"/>
      <c r="E1717" s="392"/>
      <c r="F1717" s="386"/>
      <c r="G1717" s="392"/>
      <c r="H1717" s="386"/>
      <c r="I1717" s="392"/>
      <c r="J1717" s="386"/>
      <c r="K1717" s="392"/>
      <c r="L1717" s="386"/>
      <c r="M1717" s="392"/>
      <c r="N1717" s="386"/>
      <c r="O1717" s="190"/>
    </row>
    <row r="1718" spans="2:15" ht="17" thickBot="1" x14ac:dyDescent="0.25">
      <c r="C1718" s="825" t="s">
        <v>19</v>
      </c>
      <c r="D1718" s="826"/>
      <c r="E1718" s="380"/>
      <c r="F1718" s="376">
        <f>(F1681+F1682+F1683+F1684+F1685+F1686+F1702+F1689+F1690+F1687+F1688+F1691+F1692+F1693+F1694+F1695+F1696+F1697+F1698+F1699+F1700+F1701+F1703+F1704+F1706+F1707+F1708+F1709+F1710+F1711+F1712+F1713+F1714+F1717)/2</f>
        <v>77</v>
      </c>
      <c r="G1718" s="397">
        <f>(G1681+G1682+G1683+G1684+G1685+G1702+G1686+G1690+G1689+G1687+G1688+G1691+G1692+G1693+G1694+G1695+G1696+G1697+G1698+G1699+G1700+G1701+G1703+G1704+G1706+G1707+G1708+G1709+G1710+G1711+G1712+G1713)/2</f>
        <v>49</v>
      </c>
      <c r="H1718" s="399">
        <f>(H1681+H1682+H1683+H1684+H1685+H1686+H1702+H1705+H1689+H1690+H1687+H1688+H1691+H1692+H1693+H1694+H1695+H1696+H1697+H1698+H1699+H1700+H1701+H1703+H1704+H1706+H1707+H1708+H1709+H1710+H1711+H1712+H1713+H1714+H1717)/2</f>
        <v>28</v>
      </c>
      <c r="I1718" s="398">
        <f>(I1681+I1682+I1683+I1684+I1685+I1715+I1716+I1686+I1702+I1689+I1705+I1690+I1687+I1688+I1691+I1692+I1693+I1694+I1695+I1696+I1697+I1698+I1699+I1700+I1701+I1703+I1704+I1706+I1707+I1708+I1709+I1710+I1711+I1712+I1713+I1714+I1717)/2</f>
        <v>44</v>
      </c>
      <c r="J1718" s="376">
        <f>(J1681+J1682+J1683+J1684+J1685+J1686+J1690+J1687+J1689+J1688+J1705+J1691+J1692+J1693+J1694+J1695+J1696+J1697+J1698+J1699+J1700+J1701+J1702+J1703+J1704+J1706+J1707+J1708+J1709+J1710+J1711+J1712+J1713)/2</f>
        <v>66.5</v>
      </c>
      <c r="K1718" s="397">
        <f>(K1681+K1682+K1683+K1684+K1685+K1686+K1690+K1687+K1688+K1691+K1692+K1693+K1694+K1695+K1696+K1697+K1698+K1699+K1700+K1701+K1703+K1704+K1706+K1707+K1708+K1709+K1710+K1711+K1712+K1713+K1702)</f>
        <v>0</v>
      </c>
      <c r="L1718" s="399">
        <f>SUM(L1681:L1717)</f>
        <v>9</v>
      </c>
      <c r="M1718" s="398">
        <f>(M1681+M1682+M1683+M1684+M1685+M1686+M1690+M1689+M1687+M1688+M1691+M1692+M1693+M1694+M1695+M1696+M1697+M1698+M1699+M1700+M1701+M1703+M1704+M1706+M1707+M1708+M1709+M1710+M1711+M1712+M1713)/2</f>
        <v>0</v>
      </c>
      <c r="N1718" s="376"/>
      <c r="O1718" s="41"/>
    </row>
    <row r="1719" spans="2:15" ht="17" thickBot="1" x14ac:dyDescent="0.25">
      <c r="C1719" s="825" t="s">
        <v>91</v>
      </c>
      <c r="D1719" s="826"/>
      <c r="E1719" s="381">
        <f>SUM(F1718:J1718)</f>
        <v>264.5</v>
      </c>
    </row>
    <row r="1720" spans="2:15" ht="16" thickBot="1" x14ac:dyDescent="0.25"/>
    <row r="1721" spans="2:15" ht="17" thickBot="1" x14ac:dyDescent="0.25">
      <c r="C1721" s="17"/>
      <c r="D1721" s="379" t="s">
        <v>83</v>
      </c>
      <c r="E1721" s="818" t="s">
        <v>63</v>
      </c>
      <c r="F1721" s="819"/>
      <c r="G1721" s="819"/>
      <c r="H1721" s="819"/>
      <c r="I1721" s="819"/>
      <c r="J1721" s="400" t="s">
        <v>76</v>
      </c>
      <c r="K1721" s="820">
        <v>45712</v>
      </c>
      <c r="L1721" s="821"/>
      <c r="M1721" s="821"/>
      <c r="N1721" s="821"/>
      <c r="O1721" s="822"/>
    </row>
    <row r="1722" spans="2:15" ht="16" thickBot="1" x14ac:dyDescent="0.25">
      <c r="B1722" s="175" t="s">
        <v>76</v>
      </c>
      <c r="C1722" s="175" t="s">
        <v>77</v>
      </c>
      <c r="D1722" s="823" t="s">
        <v>122</v>
      </c>
      <c r="E1722" s="824"/>
      <c r="F1722" s="175" t="s">
        <v>104</v>
      </c>
      <c r="G1722" s="395" t="s">
        <v>86</v>
      </c>
      <c r="H1722" s="175" t="s">
        <v>88</v>
      </c>
      <c r="I1722" s="395" t="s">
        <v>87</v>
      </c>
      <c r="J1722" s="401" t="s">
        <v>85</v>
      </c>
      <c r="K1722" s="395" t="s">
        <v>123</v>
      </c>
      <c r="L1722" s="175" t="s">
        <v>124</v>
      </c>
      <c r="M1722" s="395" t="s">
        <v>100</v>
      </c>
      <c r="N1722" s="175" t="s">
        <v>213</v>
      </c>
      <c r="O1722" s="404" t="s">
        <v>125</v>
      </c>
    </row>
    <row r="1723" spans="2:15" ht="16" thickBot="1" x14ac:dyDescent="0.25">
      <c r="B1723" s="176">
        <f>K1721</f>
        <v>45712</v>
      </c>
      <c r="C1723" s="374"/>
      <c r="D1723" s="375" t="s">
        <v>126</v>
      </c>
      <c r="E1723" s="387" t="s">
        <v>127</v>
      </c>
      <c r="F1723" s="331">
        <v>14</v>
      </c>
      <c r="G1723" s="237">
        <v>10</v>
      </c>
      <c r="H1723" s="331">
        <v>0</v>
      </c>
      <c r="I1723" s="237">
        <v>6</v>
      </c>
      <c r="J1723" s="331">
        <v>12</v>
      </c>
      <c r="K1723" s="231"/>
      <c r="L1723" s="125"/>
      <c r="M1723" s="231"/>
      <c r="N1723" s="125"/>
      <c r="O1723" s="326"/>
    </row>
    <row r="1724" spans="2:15" ht="16" x14ac:dyDescent="0.2">
      <c r="C1724" s="118">
        <v>1</v>
      </c>
      <c r="D1724" s="382">
        <v>0.36458333333333331</v>
      </c>
      <c r="E1724" s="388">
        <v>0.38541666666666669</v>
      </c>
      <c r="F1724" s="393"/>
      <c r="G1724" s="396">
        <v>28</v>
      </c>
      <c r="H1724" s="393"/>
      <c r="I1724" s="396"/>
      <c r="J1724" s="393"/>
      <c r="K1724" s="396"/>
      <c r="L1724" s="393"/>
      <c r="M1724" s="396"/>
      <c r="N1724" s="393"/>
      <c r="O1724" s="190"/>
    </row>
    <row r="1725" spans="2:15" ht="16" x14ac:dyDescent="0.2">
      <c r="C1725" s="119">
        <v>2</v>
      </c>
      <c r="D1725" s="383">
        <v>0.38541666666666669</v>
      </c>
      <c r="E1725" s="389">
        <v>0.40625</v>
      </c>
      <c r="F1725" s="385"/>
      <c r="G1725" s="391">
        <v>28</v>
      </c>
      <c r="H1725" s="385"/>
      <c r="I1725" s="391"/>
      <c r="J1725" s="385"/>
      <c r="K1725" s="391"/>
      <c r="L1725" s="385"/>
      <c r="M1725" s="391"/>
      <c r="N1725" s="385"/>
      <c r="O1725" s="190"/>
    </row>
    <row r="1726" spans="2:15" ht="16" x14ac:dyDescent="0.2">
      <c r="C1726" s="119">
        <v>3</v>
      </c>
      <c r="D1726" s="383">
        <v>0.40625</v>
      </c>
      <c r="E1726" s="389">
        <v>0.42708333333333331</v>
      </c>
      <c r="F1726" s="385"/>
      <c r="G1726" s="391">
        <v>28</v>
      </c>
      <c r="H1726" s="385"/>
      <c r="I1726" s="391"/>
      <c r="J1726" s="385"/>
      <c r="K1726" s="391"/>
      <c r="L1726" s="384"/>
      <c r="M1726" s="391"/>
      <c r="N1726" s="385"/>
      <c r="O1726" s="190"/>
    </row>
    <row r="1727" spans="2:15" ht="16" x14ac:dyDescent="0.2">
      <c r="C1727" s="119">
        <v>4</v>
      </c>
      <c r="D1727" s="383">
        <v>0.44791666666666669</v>
      </c>
      <c r="E1727" s="389">
        <v>0.46875</v>
      </c>
      <c r="F1727" s="385"/>
      <c r="G1727" s="391">
        <v>28</v>
      </c>
      <c r="H1727" s="316"/>
      <c r="I1727" s="391"/>
      <c r="J1727" s="385"/>
      <c r="K1727" s="391"/>
      <c r="L1727" s="402"/>
      <c r="M1727" s="391"/>
      <c r="N1727" s="385"/>
      <c r="O1727" s="190"/>
    </row>
    <row r="1728" spans="2:15" ht="16" x14ac:dyDescent="0.2">
      <c r="C1728" s="119">
        <v>5</v>
      </c>
      <c r="D1728" s="383">
        <v>0.46875</v>
      </c>
      <c r="E1728" s="389">
        <v>0.48958333333333331</v>
      </c>
      <c r="F1728" s="385"/>
      <c r="G1728" s="391">
        <v>28</v>
      </c>
      <c r="H1728" s="316"/>
      <c r="I1728" s="391"/>
      <c r="J1728" s="385"/>
      <c r="K1728" s="391"/>
      <c r="L1728" s="393"/>
      <c r="M1728" s="391"/>
      <c r="N1728" s="385"/>
      <c r="O1728" s="190"/>
    </row>
    <row r="1729" spans="3:15" ht="16" x14ac:dyDescent="0.2">
      <c r="C1729" s="119">
        <v>6</v>
      </c>
      <c r="D1729" s="383">
        <v>0.48958333333333331</v>
      </c>
      <c r="E1729" s="389">
        <v>0.51041666666666663</v>
      </c>
      <c r="F1729" s="385">
        <v>28</v>
      </c>
      <c r="G1729" s="391"/>
      <c r="H1729" s="316"/>
      <c r="I1729" s="391"/>
      <c r="J1729" s="385"/>
      <c r="K1729" s="391"/>
      <c r="L1729" s="393"/>
      <c r="M1729" s="391"/>
      <c r="N1729" s="385"/>
      <c r="O1729" s="190"/>
    </row>
    <row r="1730" spans="3:15" ht="16" x14ac:dyDescent="0.2">
      <c r="C1730" s="119">
        <v>7</v>
      </c>
      <c r="D1730" s="383">
        <v>0.51041666666666663</v>
      </c>
      <c r="E1730" s="389">
        <v>0.53125</v>
      </c>
      <c r="F1730" s="385">
        <v>28</v>
      </c>
      <c r="G1730" s="391"/>
      <c r="H1730" s="316"/>
      <c r="I1730" s="391"/>
      <c r="J1730" s="385"/>
      <c r="K1730" s="391"/>
      <c r="L1730" s="393"/>
      <c r="M1730" s="391"/>
      <c r="N1730" s="385"/>
      <c r="O1730" s="190"/>
    </row>
    <row r="1731" spans="3:15" ht="16" x14ac:dyDescent="0.2">
      <c r="C1731" s="119">
        <v>8</v>
      </c>
      <c r="D1731" s="383">
        <v>0.53125</v>
      </c>
      <c r="E1731" s="389">
        <v>0.55208333333333337</v>
      </c>
      <c r="F1731" s="385">
        <v>28</v>
      </c>
      <c r="G1731" s="391"/>
      <c r="H1731" s="316"/>
      <c r="I1731" s="391"/>
      <c r="J1731" s="385"/>
      <c r="K1731" s="391"/>
      <c r="L1731" s="385"/>
      <c r="M1731" s="391"/>
      <c r="N1731" s="385"/>
      <c r="O1731" s="190"/>
    </row>
    <row r="1732" spans="3:15" ht="16" x14ac:dyDescent="0.2">
      <c r="C1732" s="119">
        <v>9</v>
      </c>
      <c r="D1732" s="383">
        <v>0.55208333333333337</v>
      </c>
      <c r="E1732" s="389">
        <v>0.57291666666666663</v>
      </c>
      <c r="F1732" s="385">
        <v>28</v>
      </c>
      <c r="G1732" s="391"/>
      <c r="H1732" s="316"/>
      <c r="I1732" s="391"/>
      <c r="J1732" s="385"/>
      <c r="K1732" s="391"/>
      <c r="L1732" s="385"/>
      <c r="M1732" s="391"/>
      <c r="N1732" s="385"/>
      <c r="O1732" s="190"/>
    </row>
    <row r="1733" spans="3:15" ht="16" x14ac:dyDescent="0.2">
      <c r="C1733" s="119">
        <v>10</v>
      </c>
      <c r="D1733" s="383">
        <v>0.625</v>
      </c>
      <c r="E1733" s="389">
        <v>0.64583333333333337</v>
      </c>
      <c r="F1733" s="385">
        <v>28</v>
      </c>
      <c r="G1733" s="391"/>
      <c r="H1733" s="316"/>
      <c r="I1733" s="391"/>
      <c r="J1733" s="385"/>
      <c r="K1733" s="391"/>
      <c r="L1733" s="385"/>
      <c r="M1733" s="391"/>
      <c r="N1733" s="385"/>
      <c r="O1733" s="190"/>
    </row>
    <row r="1734" spans="3:15" ht="16" x14ac:dyDescent="0.2">
      <c r="C1734" s="119">
        <v>11</v>
      </c>
      <c r="D1734" s="383">
        <v>0.64583333333333337</v>
      </c>
      <c r="E1734" s="389">
        <v>0.66666666666666663</v>
      </c>
      <c r="F1734" s="385">
        <v>28</v>
      </c>
      <c r="G1734" s="391"/>
      <c r="H1734" s="316"/>
      <c r="I1734" s="391"/>
      <c r="J1734" s="28"/>
      <c r="K1734" s="391"/>
      <c r="L1734" s="385"/>
      <c r="M1734" s="391"/>
      <c r="N1734" s="385"/>
      <c r="O1734" s="190"/>
    </row>
    <row r="1735" spans="3:15" ht="16" x14ac:dyDescent="0.2">
      <c r="C1735" s="193">
        <v>12</v>
      </c>
      <c r="D1735" s="383">
        <v>0.66666666666666663</v>
      </c>
      <c r="E1735" s="389">
        <v>0.6875</v>
      </c>
      <c r="F1735" s="385">
        <v>28</v>
      </c>
      <c r="G1735" s="391"/>
      <c r="H1735" s="316"/>
      <c r="I1735" s="391"/>
      <c r="J1735" s="385"/>
      <c r="K1735" s="391"/>
      <c r="L1735" s="385"/>
      <c r="M1735" s="391"/>
      <c r="N1735" s="385"/>
      <c r="O1735" s="190"/>
    </row>
    <row r="1736" spans="3:15" ht="16" x14ac:dyDescent="0.2">
      <c r="C1736" s="119">
        <v>13</v>
      </c>
      <c r="D1736" s="383">
        <v>0.6875</v>
      </c>
      <c r="E1736" s="389">
        <v>0.70833333333333337</v>
      </c>
      <c r="F1736" s="385"/>
      <c r="G1736" s="391"/>
      <c r="H1736" s="316"/>
      <c r="I1736" s="391"/>
      <c r="J1736" s="385">
        <v>36</v>
      </c>
      <c r="K1736" s="391"/>
      <c r="L1736" s="385"/>
      <c r="M1736" s="391"/>
      <c r="N1736" s="385"/>
      <c r="O1736" s="190"/>
    </row>
    <row r="1737" spans="3:15" ht="16" x14ac:dyDescent="0.2">
      <c r="C1737" s="119">
        <v>14</v>
      </c>
      <c r="D1737" s="383">
        <v>0.70833333333333337</v>
      </c>
      <c r="E1737" s="389">
        <v>0.72916666666666663</v>
      </c>
      <c r="F1737" s="385"/>
      <c r="G1737" s="391"/>
      <c r="H1737" s="316"/>
      <c r="I1737" s="391"/>
      <c r="J1737" s="385">
        <v>36</v>
      </c>
      <c r="K1737" s="391"/>
      <c r="L1737" s="385"/>
      <c r="M1737" s="391"/>
      <c r="N1737" s="385"/>
      <c r="O1737" s="190"/>
    </row>
    <row r="1738" spans="3:15" ht="16" x14ac:dyDescent="0.2">
      <c r="C1738" s="119">
        <v>15</v>
      </c>
      <c r="D1738" s="383">
        <v>0.72916666666666663</v>
      </c>
      <c r="E1738" s="389">
        <v>0.75</v>
      </c>
      <c r="F1738" s="385"/>
      <c r="G1738" s="391"/>
      <c r="H1738" s="316"/>
      <c r="I1738" s="391"/>
      <c r="J1738" s="385">
        <v>36</v>
      </c>
      <c r="K1738" s="391"/>
      <c r="L1738" s="385"/>
      <c r="M1738" s="391"/>
      <c r="N1738" s="385"/>
      <c r="O1738" s="190"/>
    </row>
    <row r="1739" spans="3:15" ht="16" x14ac:dyDescent="0.2">
      <c r="C1739" s="119">
        <v>16</v>
      </c>
      <c r="D1739" s="383">
        <v>0.75</v>
      </c>
      <c r="E1739" s="389">
        <v>0.77083333333333337</v>
      </c>
      <c r="F1739" s="385"/>
      <c r="G1739" s="391"/>
      <c r="H1739" s="316"/>
      <c r="I1739" s="391"/>
      <c r="J1739" s="385">
        <v>36</v>
      </c>
      <c r="K1739" s="391"/>
      <c r="L1739" s="385"/>
      <c r="M1739" s="391"/>
      <c r="N1739" s="385"/>
      <c r="O1739" s="190"/>
    </row>
    <row r="1740" spans="3:15" ht="16" x14ac:dyDescent="0.2">
      <c r="C1740" s="119">
        <v>17</v>
      </c>
      <c r="D1740" s="383">
        <v>0.77083333333333337</v>
      </c>
      <c r="E1740" s="389">
        <v>0.79166666666666663</v>
      </c>
      <c r="F1740" s="384"/>
      <c r="G1740" s="33"/>
      <c r="H1740" s="316"/>
      <c r="I1740" s="390"/>
      <c r="J1740" s="385">
        <v>36</v>
      </c>
      <c r="K1740" s="391"/>
      <c r="L1740" s="385"/>
      <c r="M1740" s="391"/>
      <c r="N1740" s="385"/>
      <c r="O1740" s="190"/>
    </row>
    <row r="1741" spans="3:15" ht="16" x14ac:dyDescent="0.2">
      <c r="C1741" s="119">
        <v>18</v>
      </c>
      <c r="D1741" s="383">
        <v>0.79166666666666663</v>
      </c>
      <c r="E1741" s="389">
        <v>0.8125</v>
      </c>
      <c r="F1741" s="394"/>
      <c r="G1741" s="229"/>
      <c r="H1741" s="394"/>
      <c r="I1741" s="391"/>
      <c r="J1741" s="385">
        <v>32</v>
      </c>
      <c r="K1741" s="391"/>
      <c r="L1741" s="385"/>
      <c r="M1741" s="391"/>
      <c r="N1741" s="385"/>
      <c r="O1741" s="190"/>
    </row>
    <row r="1742" spans="3:15" ht="16" x14ac:dyDescent="0.2">
      <c r="C1742" s="119">
        <v>19</v>
      </c>
      <c r="D1742" s="383">
        <v>0.8125</v>
      </c>
      <c r="E1742" s="389">
        <v>0.83333333333333337</v>
      </c>
      <c r="F1742" s="385"/>
      <c r="G1742" s="391"/>
      <c r="H1742" s="385"/>
      <c r="I1742" s="391">
        <v>44</v>
      </c>
      <c r="J1742" s="385"/>
      <c r="K1742" s="391"/>
      <c r="L1742" s="403"/>
      <c r="M1742" s="391"/>
      <c r="N1742" s="385"/>
      <c r="O1742" s="190"/>
    </row>
    <row r="1743" spans="3:15" ht="16" x14ac:dyDescent="0.2">
      <c r="C1743" s="119">
        <v>20</v>
      </c>
      <c r="D1743" s="383">
        <v>0.83333333333333337</v>
      </c>
      <c r="E1743" s="389">
        <v>0.85416666666666663</v>
      </c>
      <c r="F1743" s="385"/>
      <c r="G1743" s="391"/>
      <c r="H1743" s="385"/>
      <c r="I1743" s="391">
        <v>44</v>
      </c>
      <c r="J1743" s="385"/>
      <c r="K1743" s="391"/>
      <c r="L1743" s="403"/>
      <c r="M1743" s="391"/>
      <c r="N1743" s="385"/>
      <c r="O1743" s="190"/>
    </row>
    <row r="1744" spans="3:15" ht="16" x14ac:dyDescent="0.2">
      <c r="C1744" s="119">
        <v>21</v>
      </c>
      <c r="D1744" s="383">
        <v>0.85416666666666663</v>
      </c>
      <c r="E1744" s="389">
        <v>0.875</v>
      </c>
      <c r="F1744" s="385"/>
      <c r="G1744" s="391"/>
      <c r="H1744" s="385"/>
      <c r="I1744" s="391">
        <v>44</v>
      </c>
      <c r="J1744" s="385"/>
      <c r="K1744" s="391"/>
      <c r="L1744" s="385"/>
      <c r="M1744" s="391"/>
      <c r="N1744" s="385"/>
      <c r="O1744" s="190"/>
    </row>
    <row r="1745" spans="2:15" ht="16" x14ac:dyDescent="0.2">
      <c r="C1745" s="119">
        <v>22</v>
      </c>
      <c r="D1745" s="383"/>
      <c r="E1745" s="389"/>
      <c r="F1745" s="385"/>
      <c r="G1745" s="391"/>
      <c r="H1745" s="385"/>
      <c r="I1745" s="391"/>
      <c r="J1745" s="385"/>
      <c r="K1745" s="391"/>
      <c r="L1745" s="385"/>
      <c r="M1745" s="391"/>
      <c r="N1745" s="385"/>
      <c r="O1745" s="190"/>
    </row>
    <row r="1746" spans="2:15" ht="16" x14ac:dyDescent="0.2">
      <c r="C1746" s="119">
        <v>23</v>
      </c>
      <c r="D1746" s="383"/>
      <c r="E1746" s="389"/>
      <c r="F1746" s="385"/>
      <c r="G1746" s="391"/>
      <c r="H1746" s="385"/>
      <c r="I1746" s="391"/>
      <c r="J1746" s="385"/>
      <c r="K1746" s="391"/>
      <c r="L1746" s="385"/>
      <c r="M1746" s="391"/>
      <c r="N1746" s="385"/>
      <c r="O1746" s="190"/>
    </row>
    <row r="1747" spans="2:15" ht="16" x14ac:dyDescent="0.2">
      <c r="C1747" s="119">
        <v>24</v>
      </c>
      <c r="D1747" s="383"/>
      <c r="E1747" s="389"/>
      <c r="F1747" s="385"/>
      <c r="G1747" s="391"/>
      <c r="H1747" s="385"/>
      <c r="I1747" s="391"/>
      <c r="J1747" s="385"/>
      <c r="K1747" s="391"/>
      <c r="L1747" s="385"/>
      <c r="M1747" s="391"/>
      <c r="N1747" s="385"/>
      <c r="O1747" s="190"/>
    </row>
    <row r="1748" spans="2:15" ht="16" x14ac:dyDescent="0.2">
      <c r="C1748" s="119">
        <v>25</v>
      </c>
      <c r="D1748" s="383"/>
      <c r="E1748" s="389"/>
      <c r="F1748" s="385"/>
      <c r="G1748" s="391"/>
      <c r="H1748" s="385"/>
      <c r="I1748" s="391"/>
      <c r="J1748" s="385"/>
      <c r="K1748" s="391"/>
      <c r="L1748" s="385"/>
      <c r="M1748" s="391"/>
      <c r="N1748" s="385"/>
      <c r="O1748" s="190"/>
    </row>
    <row r="1749" spans="2:15" ht="16" x14ac:dyDescent="0.2">
      <c r="C1749" s="119">
        <v>26</v>
      </c>
      <c r="D1749" s="383"/>
      <c r="E1749" s="389"/>
      <c r="F1749" s="385"/>
      <c r="G1749" s="391"/>
      <c r="H1749" s="385"/>
      <c r="I1749" s="391"/>
      <c r="J1749" s="385"/>
      <c r="K1749" s="391"/>
      <c r="L1749" s="385"/>
      <c r="M1749" s="391"/>
      <c r="N1749" s="385"/>
      <c r="O1749" s="190"/>
    </row>
    <row r="1750" spans="2:15" ht="16" x14ac:dyDescent="0.2">
      <c r="C1750" s="119">
        <v>27</v>
      </c>
      <c r="D1750" s="383"/>
      <c r="E1750" s="389"/>
      <c r="F1750" s="385"/>
      <c r="G1750" s="391"/>
      <c r="H1750" s="385"/>
      <c r="I1750" s="391"/>
      <c r="J1750" s="385"/>
      <c r="K1750" s="391"/>
      <c r="L1750" s="385"/>
      <c r="M1750" s="391"/>
      <c r="N1750" s="385"/>
      <c r="O1750" s="190"/>
    </row>
    <row r="1751" spans="2:15" ht="16" x14ac:dyDescent="0.2">
      <c r="C1751" s="119">
        <v>28</v>
      </c>
      <c r="D1751" s="383"/>
      <c r="E1751" s="389"/>
      <c r="F1751" s="385"/>
      <c r="G1751" s="391"/>
      <c r="H1751" s="385"/>
      <c r="I1751" s="391"/>
      <c r="J1751" s="385"/>
      <c r="K1751" s="391"/>
      <c r="L1751" s="385"/>
      <c r="M1751" s="391"/>
      <c r="N1751" s="385"/>
      <c r="O1751" s="190"/>
    </row>
    <row r="1752" spans="2:15" ht="16" x14ac:dyDescent="0.2">
      <c r="C1752" s="119">
        <v>29</v>
      </c>
      <c r="D1752" s="383"/>
      <c r="E1752" s="389"/>
      <c r="F1752" s="385"/>
      <c r="G1752" s="391"/>
      <c r="H1752" s="385"/>
      <c r="I1752" s="391"/>
      <c r="J1752" s="385"/>
      <c r="K1752" s="391"/>
      <c r="L1752" s="385"/>
      <c r="M1752" s="391"/>
      <c r="N1752" s="385"/>
      <c r="O1752" s="190"/>
    </row>
    <row r="1753" spans="2:15" ht="16" x14ac:dyDescent="0.2">
      <c r="C1753" s="119">
        <v>30</v>
      </c>
      <c r="D1753" s="383"/>
      <c r="E1753" s="389"/>
      <c r="F1753" s="385"/>
      <c r="G1753" s="391"/>
      <c r="H1753" s="385"/>
      <c r="I1753" s="391"/>
      <c r="J1753" s="385"/>
      <c r="K1753" s="391"/>
      <c r="L1753" s="385"/>
      <c r="M1753" s="391"/>
      <c r="N1753" s="385"/>
      <c r="O1753" s="190"/>
    </row>
    <row r="1754" spans="2:15" ht="16" x14ac:dyDescent="0.2">
      <c r="C1754" s="120">
        <v>31</v>
      </c>
      <c r="D1754" s="383"/>
      <c r="E1754" s="389"/>
      <c r="F1754" s="384"/>
      <c r="G1754" s="390"/>
      <c r="H1754" s="384"/>
      <c r="I1754" s="390"/>
      <c r="J1754" s="384"/>
      <c r="K1754" s="390"/>
      <c r="L1754" s="384"/>
      <c r="M1754" s="390"/>
      <c r="N1754" s="384"/>
      <c r="O1754" s="190"/>
    </row>
    <row r="1755" spans="2:15" ht="16" x14ac:dyDescent="0.2">
      <c r="B1755" s="256"/>
      <c r="C1755" s="377">
        <v>32</v>
      </c>
      <c r="D1755" s="384"/>
      <c r="E1755" s="390"/>
      <c r="F1755" s="384"/>
      <c r="G1755" s="390"/>
      <c r="H1755" s="384"/>
      <c r="I1755" s="390"/>
      <c r="J1755" s="384"/>
      <c r="K1755" s="390"/>
      <c r="L1755" s="384"/>
      <c r="M1755" s="390"/>
      <c r="N1755" s="384"/>
      <c r="O1755" s="190"/>
    </row>
    <row r="1756" spans="2:15" ht="16" x14ac:dyDescent="0.2">
      <c r="B1756" s="256"/>
      <c r="C1756" s="119">
        <v>33</v>
      </c>
      <c r="D1756" s="385"/>
      <c r="E1756" s="391"/>
      <c r="F1756" s="385"/>
      <c r="G1756" s="391"/>
      <c r="H1756" s="385"/>
      <c r="I1756" s="391"/>
      <c r="J1756" s="385"/>
      <c r="K1756" s="391"/>
      <c r="L1756" s="385"/>
      <c r="M1756" s="391"/>
      <c r="N1756" s="385"/>
      <c r="O1756" s="190"/>
    </row>
    <row r="1757" spans="2:15" ht="16" x14ac:dyDescent="0.2">
      <c r="B1757" s="256"/>
      <c r="C1757" s="119">
        <v>34</v>
      </c>
      <c r="D1757" s="385"/>
      <c r="E1757" s="391"/>
      <c r="F1757" s="385"/>
      <c r="G1757" s="391"/>
      <c r="H1757" s="385"/>
      <c r="I1757" s="391"/>
      <c r="J1757" s="385"/>
      <c r="K1757" s="391"/>
      <c r="L1757" s="385"/>
      <c r="M1757" s="391"/>
      <c r="N1757" s="385"/>
      <c r="O1757" s="190"/>
    </row>
    <row r="1758" spans="2:15" ht="16" x14ac:dyDescent="0.2">
      <c r="B1758" s="256"/>
      <c r="C1758" s="119">
        <v>35</v>
      </c>
      <c r="D1758" s="385"/>
      <c r="E1758" s="391"/>
      <c r="F1758" s="385"/>
      <c r="G1758" s="391"/>
      <c r="H1758" s="385"/>
      <c r="I1758" s="391"/>
      <c r="J1758" s="385"/>
      <c r="K1758" s="391"/>
      <c r="L1758" s="385"/>
      <c r="M1758" s="391"/>
      <c r="N1758" s="385"/>
      <c r="O1758" s="190"/>
    </row>
    <row r="1759" spans="2:15" ht="16" x14ac:dyDescent="0.2">
      <c r="B1759" s="256"/>
      <c r="C1759" s="119">
        <v>36</v>
      </c>
      <c r="D1759" s="385"/>
      <c r="E1759" s="391"/>
      <c r="F1759" s="385"/>
      <c r="G1759" s="391"/>
      <c r="H1759" s="385"/>
      <c r="I1759" s="391"/>
      <c r="J1759" s="385"/>
      <c r="K1759" s="391"/>
      <c r="L1759" s="385"/>
      <c r="M1759" s="391"/>
      <c r="N1759" s="385"/>
      <c r="O1759" s="190"/>
    </row>
    <row r="1760" spans="2:15" ht="17" thickBot="1" x14ac:dyDescent="0.25">
      <c r="B1760" s="256"/>
      <c r="C1760" s="378">
        <v>37</v>
      </c>
      <c r="D1760" s="386"/>
      <c r="E1760" s="392"/>
      <c r="F1760" s="386"/>
      <c r="G1760" s="392"/>
      <c r="H1760" s="386"/>
      <c r="I1760" s="392"/>
      <c r="J1760" s="386"/>
      <c r="K1760" s="392"/>
      <c r="L1760" s="386"/>
      <c r="M1760" s="392"/>
      <c r="N1760" s="386"/>
      <c r="O1760" s="190"/>
    </row>
    <row r="1761" spans="2:15" ht="17" thickBot="1" x14ac:dyDescent="0.25">
      <c r="C1761" s="825" t="s">
        <v>19</v>
      </c>
      <c r="D1761" s="826"/>
      <c r="E1761" s="380"/>
      <c r="F1761" s="376">
        <f>(F1724+F1725+F1726+F1727+F1728+F1729+F1745+F1732+F1733+F1730+F1731+F1734+F1735+F1736+F1737+F1738+F1739+F1740+F1741+F1742+F1743+F1744+F1746+F1747+F1749+F1750+F1751+F1752+F1753+F1754+F1755+F1756+F1757+F1760)/2</f>
        <v>98</v>
      </c>
      <c r="G1761" s="397">
        <f>(G1724+G1725+G1726+G1727+G1728+G1745+G1729+G1733+G1732+G1730+G1731+G1734+G1735+G1736+G1737+G1738+G1739+G1740+G1741+G1742+G1743+G1744+G1746+G1747+G1749+G1750+G1751+G1752+G1753+G1754+G1755+G1756)/2</f>
        <v>70</v>
      </c>
      <c r="H1761" s="399">
        <f>(H1724+H1725+H1726+H1727+H1728+H1729+H1745+H1748+H1732+H1733+H1730+H1731+H1734+H1735+H1736+H1737+H1738+H1739+H1740+H1741+H1742+H1743+H1744+H1746+H1747+H1749+H1750+H1751+H1752+H1753+H1754+H1755+H1756+H1757+H1760)/2</f>
        <v>0</v>
      </c>
      <c r="I1761" s="398">
        <f>(I1724+I1725+I1726+I1727+I1728+I1758+I1759+I1729+I1745+I1732+I1748+I1733+I1730+I1731+I1734+I1735+I1736+I1737+I1738+I1739+I1740+I1741+I1742+I1743+I1744+I1746+I1747+I1749+I1750+I1751+I1752+I1753+I1754+I1755+I1756+I1757+I1760)/2</f>
        <v>66</v>
      </c>
      <c r="J1761" s="376">
        <f>(J1724+J1725+J1726+J1727+J1728+J1729+J1733+J1730+J1732+J1731+J1748+J1734+J1735+J1736+J1737+J1738+J1739+J1740+J1741+J1742+J1743+J1744+J1745+J1746+J1747+J1749+J1750+J1751+J1752+J1753+J1754+J1755+J1756)/2</f>
        <v>106</v>
      </c>
      <c r="K1761" s="397">
        <f>(K1724+K1725+K1726+K1727+K1728+K1729+K1733+K1730+K1731+K1734+K1735+K1736+K1737+K1738+K1739+K1740+K1741+K1742+K1743+K1744+K1746+K1747+K1749+K1750+K1751+K1752+K1753+K1754+K1755+K1756+K1745)</f>
        <v>0</v>
      </c>
      <c r="L1761" s="399">
        <f>SUM(L1724:L1760)</f>
        <v>0</v>
      </c>
      <c r="M1761" s="398">
        <f>(M1724+M1725+M1726+M1727+M1728+M1729+M1733+M1732+M1730+M1731+M1734+M1735+M1736+M1737+M1738+M1739+M1740+M1741+M1742+M1743+M1744+M1746+M1747+M1749+M1750+M1751+M1752+M1753+M1754+M1755+M1756)/2</f>
        <v>0</v>
      </c>
      <c r="N1761" s="376"/>
      <c r="O1761" s="41"/>
    </row>
    <row r="1762" spans="2:15" ht="17" thickBot="1" x14ac:dyDescent="0.25">
      <c r="C1762" s="825" t="s">
        <v>91</v>
      </c>
      <c r="D1762" s="826"/>
      <c r="E1762" s="381">
        <f>SUM(F1761:J1761)</f>
        <v>340</v>
      </c>
    </row>
    <row r="1763" spans="2:15" ht="16" thickBot="1" x14ac:dyDescent="0.25"/>
    <row r="1764" spans="2:15" ht="17" thickBot="1" x14ac:dyDescent="0.25">
      <c r="C1764" s="17"/>
      <c r="D1764" s="379" t="s">
        <v>83</v>
      </c>
      <c r="E1764" s="818" t="s">
        <v>64</v>
      </c>
      <c r="F1764" s="819"/>
      <c r="G1764" s="819"/>
      <c r="H1764" s="819"/>
      <c r="I1764" s="819"/>
      <c r="J1764" s="400" t="s">
        <v>76</v>
      </c>
      <c r="K1764" s="820">
        <v>45713</v>
      </c>
      <c r="L1764" s="821"/>
      <c r="M1764" s="821"/>
      <c r="N1764" s="821"/>
      <c r="O1764" s="822"/>
    </row>
    <row r="1765" spans="2:15" ht="16" thickBot="1" x14ac:dyDescent="0.25">
      <c r="B1765" s="175" t="s">
        <v>76</v>
      </c>
      <c r="C1765" s="175" t="s">
        <v>77</v>
      </c>
      <c r="D1765" s="823" t="s">
        <v>122</v>
      </c>
      <c r="E1765" s="824"/>
      <c r="F1765" s="175" t="s">
        <v>104</v>
      </c>
      <c r="G1765" s="395" t="s">
        <v>86</v>
      </c>
      <c r="H1765" s="175" t="s">
        <v>88</v>
      </c>
      <c r="I1765" s="395" t="s">
        <v>87</v>
      </c>
      <c r="J1765" s="401" t="s">
        <v>85</v>
      </c>
      <c r="K1765" s="395" t="s">
        <v>123</v>
      </c>
      <c r="L1765" s="175" t="s">
        <v>124</v>
      </c>
      <c r="M1765" s="395" t="s">
        <v>100</v>
      </c>
      <c r="N1765" s="175" t="s">
        <v>213</v>
      </c>
      <c r="O1765" s="404" t="s">
        <v>125</v>
      </c>
    </row>
    <row r="1766" spans="2:15" ht="16" thickBot="1" x14ac:dyDescent="0.25">
      <c r="B1766" s="176">
        <f>K1764</f>
        <v>45713</v>
      </c>
      <c r="C1766" s="374"/>
      <c r="D1766" s="375" t="s">
        <v>126</v>
      </c>
      <c r="E1766" s="387" t="s">
        <v>127</v>
      </c>
      <c r="F1766" s="331">
        <v>0</v>
      </c>
      <c r="G1766" s="237">
        <v>4</v>
      </c>
      <c r="H1766" s="331">
        <v>0</v>
      </c>
      <c r="I1766" s="237">
        <v>0</v>
      </c>
      <c r="J1766" s="331">
        <v>0</v>
      </c>
      <c r="K1766" s="231"/>
      <c r="L1766" s="125"/>
      <c r="M1766" s="231"/>
      <c r="N1766" s="125"/>
      <c r="O1766" s="326"/>
    </row>
    <row r="1767" spans="2:15" ht="16" x14ac:dyDescent="0.2">
      <c r="C1767" s="118">
        <v>1</v>
      </c>
      <c r="D1767" s="382">
        <v>0.29166666666666669</v>
      </c>
      <c r="E1767" s="388">
        <v>0.35069444444444442</v>
      </c>
      <c r="F1767" s="393"/>
      <c r="G1767" s="396">
        <v>28</v>
      </c>
      <c r="H1767" s="393"/>
      <c r="I1767" s="396"/>
      <c r="J1767" s="393"/>
      <c r="K1767" s="396"/>
      <c r="L1767" s="393"/>
      <c r="M1767" s="396"/>
      <c r="N1767" s="393"/>
      <c r="O1767" s="190"/>
    </row>
    <row r="1768" spans="2:15" ht="16" x14ac:dyDescent="0.2">
      <c r="C1768" s="119">
        <v>2</v>
      </c>
      <c r="D1768" s="383">
        <v>0.35069444444444442</v>
      </c>
      <c r="E1768" s="389">
        <v>0.37152777777777773</v>
      </c>
      <c r="F1768" s="385"/>
      <c r="G1768" s="391">
        <v>28</v>
      </c>
      <c r="H1768" s="385"/>
      <c r="I1768" s="391"/>
      <c r="J1768" s="385"/>
      <c r="K1768" s="391"/>
      <c r="L1768" s="385"/>
      <c r="M1768" s="391"/>
      <c r="N1768" s="385"/>
      <c r="O1768" s="190"/>
    </row>
    <row r="1769" spans="2:15" ht="16" x14ac:dyDescent="0.2">
      <c r="C1769" s="119">
        <v>3</v>
      </c>
      <c r="D1769" s="383"/>
      <c r="E1769" s="389"/>
      <c r="F1769" s="385"/>
      <c r="G1769" s="391"/>
      <c r="H1769" s="385"/>
      <c r="I1769" s="391"/>
      <c r="J1769" s="385"/>
      <c r="K1769" s="391"/>
      <c r="L1769" s="384"/>
      <c r="M1769" s="391"/>
      <c r="N1769" s="385"/>
      <c r="O1769" s="190"/>
    </row>
    <row r="1770" spans="2:15" ht="16" x14ac:dyDescent="0.2">
      <c r="C1770" s="119">
        <v>4</v>
      </c>
      <c r="D1770" s="383"/>
      <c r="E1770" s="389"/>
      <c r="F1770" s="385"/>
      <c r="G1770" s="391"/>
      <c r="H1770" s="316"/>
      <c r="I1770" s="391"/>
      <c r="J1770" s="385"/>
      <c r="K1770" s="391"/>
      <c r="L1770" s="402"/>
      <c r="M1770" s="391"/>
      <c r="N1770" s="385"/>
      <c r="O1770" s="190"/>
    </row>
    <row r="1771" spans="2:15" ht="16" x14ac:dyDescent="0.2">
      <c r="C1771" s="119">
        <v>5</v>
      </c>
      <c r="D1771" s="383"/>
      <c r="E1771" s="389"/>
      <c r="F1771" s="385"/>
      <c r="G1771" s="391"/>
      <c r="H1771" s="316"/>
      <c r="I1771" s="391"/>
      <c r="J1771" s="385"/>
      <c r="K1771" s="391"/>
      <c r="L1771" s="393"/>
      <c r="M1771" s="391"/>
      <c r="N1771" s="385"/>
      <c r="O1771" s="190"/>
    </row>
    <row r="1772" spans="2:15" ht="16" x14ac:dyDescent="0.2">
      <c r="C1772" s="119">
        <v>6</v>
      </c>
      <c r="D1772" s="383"/>
      <c r="E1772" s="389"/>
      <c r="F1772" s="385"/>
      <c r="G1772" s="391"/>
      <c r="H1772" s="316"/>
      <c r="I1772" s="391"/>
      <c r="J1772" s="385"/>
      <c r="K1772" s="391"/>
      <c r="L1772" s="393"/>
      <c r="M1772" s="391"/>
      <c r="N1772" s="385"/>
      <c r="O1772" s="190"/>
    </row>
    <row r="1773" spans="2:15" ht="16" x14ac:dyDescent="0.2">
      <c r="C1773" s="119">
        <v>7</v>
      </c>
      <c r="D1773" s="383"/>
      <c r="E1773" s="389"/>
      <c r="F1773" s="385"/>
      <c r="G1773" s="391"/>
      <c r="H1773" s="316"/>
      <c r="I1773" s="391"/>
      <c r="J1773" s="385"/>
      <c r="K1773" s="391"/>
      <c r="L1773" s="393"/>
      <c r="M1773" s="391"/>
      <c r="N1773" s="385"/>
      <c r="O1773" s="190"/>
    </row>
    <row r="1774" spans="2:15" ht="16" x14ac:dyDescent="0.2">
      <c r="C1774" s="119">
        <v>8</v>
      </c>
      <c r="D1774" s="383"/>
      <c r="E1774" s="389"/>
      <c r="F1774" s="385"/>
      <c r="G1774" s="391"/>
      <c r="H1774" s="316"/>
      <c r="I1774" s="391"/>
      <c r="J1774" s="385"/>
      <c r="K1774" s="391"/>
      <c r="L1774" s="385"/>
      <c r="M1774" s="391"/>
      <c r="N1774" s="385"/>
      <c r="O1774" s="190"/>
    </row>
    <row r="1775" spans="2:15" ht="16" x14ac:dyDescent="0.2">
      <c r="C1775" s="119">
        <v>9</v>
      </c>
      <c r="D1775" s="383"/>
      <c r="E1775" s="389"/>
      <c r="F1775" s="385"/>
      <c r="G1775" s="391"/>
      <c r="H1775" s="316"/>
      <c r="I1775" s="391"/>
      <c r="J1775" s="385"/>
      <c r="K1775" s="391"/>
      <c r="L1775" s="385"/>
      <c r="M1775" s="391"/>
      <c r="N1775" s="385"/>
      <c r="O1775" s="190"/>
    </row>
    <row r="1776" spans="2:15" ht="16" x14ac:dyDescent="0.2">
      <c r="C1776" s="119">
        <v>10</v>
      </c>
      <c r="D1776" s="383"/>
      <c r="E1776" s="389"/>
      <c r="F1776" s="385"/>
      <c r="G1776" s="391"/>
      <c r="H1776" s="316"/>
      <c r="I1776" s="391"/>
      <c r="J1776" s="385"/>
      <c r="K1776" s="391"/>
      <c r="L1776" s="385"/>
      <c r="M1776" s="391"/>
      <c r="N1776" s="385"/>
      <c r="O1776" s="190"/>
    </row>
    <row r="1777" spans="3:15" ht="16" x14ac:dyDescent="0.2">
      <c r="C1777" s="119">
        <v>11</v>
      </c>
      <c r="D1777" s="383"/>
      <c r="E1777" s="389"/>
      <c r="F1777" s="385"/>
      <c r="G1777" s="391"/>
      <c r="H1777" s="316"/>
      <c r="I1777" s="391"/>
      <c r="J1777" s="28"/>
      <c r="K1777" s="391"/>
      <c r="L1777" s="385"/>
      <c r="M1777" s="391"/>
      <c r="N1777" s="385"/>
      <c r="O1777" s="190"/>
    </row>
    <row r="1778" spans="3:15" ht="16" x14ac:dyDescent="0.2">
      <c r="C1778" s="193">
        <v>12</v>
      </c>
      <c r="D1778" s="383"/>
      <c r="E1778" s="389"/>
      <c r="F1778" s="385"/>
      <c r="G1778" s="391"/>
      <c r="H1778" s="316"/>
      <c r="I1778" s="391"/>
      <c r="J1778" s="385"/>
      <c r="K1778" s="391"/>
      <c r="L1778" s="385"/>
      <c r="M1778" s="391"/>
      <c r="N1778" s="385"/>
      <c r="O1778" s="190"/>
    </row>
    <row r="1779" spans="3:15" ht="16" x14ac:dyDescent="0.2">
      <c r="C1779" s="119">
        <v>13</v>
      </c>
      <c r="D1779" s="383"/>
      <c r="E1779" s="389"/>
      <c r="F1779" s="385"/>
      <c r="G1779" s="391"/>
      <c r="H1779" s="316"/>
      <c r="I1779" s="391"/>
      <c r="J1779" s="385"/>
      <c r="K1779" s="391"/>
      <c r="L1779" s="385"/>
      <c r="M1779" s="391"/>
      <c r="N1779" s="385"/>
      <c r="O1779" s="190"/>
    </row>
    <row r="1780" spans="3:15" ht="16" x14ac:dyDescent="0.2">
      <c r="C1780" s="119">
        <v>14</v>
      </c>
      <c r="D1780" s="383"/>
      <c r="E1780" s="389"/>
      <c r="F1780" s="385"/>
      <c r="G1780" s="391"/>
      <c r="H1780" s="316"/>
      <c r="I1780" s="391"/>
      <c r="J1780" s="385"/>
      <c r="K1780" s="391"/>
      <c r="L1780" s="385"/>
      <c r="M1780" s="391"/>
      <c r="N1780" s="385"/>
      <c r="O1780" s="190"/>
    </row>
    <row r="1781" spans="3:15" ht="16" x14ac:dyDescent="0.2">
      <c r="C1781" s="119">
        <v>15</v>
      </c>
      <c r="D1781" s="383"/>
      <c r="E1781" s="389"/>
      <c r="F1781" s="385"/>
      <c r="G1781" s="391"/>
      <c r="H1781" s="316"/>
      <c r="I1781" s="391"/>
      <c r="J1781" s="385"/>
      <c r="K1781" s="391"/>
      <c r="L1781" s="385"/>
      <c r="M1781" s="391"/>
      <c r="N1781" s="385"/>
      <c r="O1781" s="190"/>
    </row>
    <row r="1782" spans="3:15" ht="16" x14ac:dyDescent="0.2">
      <c r="C1782" s="119">
        <v>16</v>
      </c>
      <c r="D1782" s="383"/>
      <c r="E1782" s="389"/>
      <c r="F1782" s="385"/>
      <c r="G1782" s="391"/>
      <c r="H1782" s="316"/>
      <c r="I1782" s="391"/>
      <c r="J1782" s="385"/>
      <c r="K1782" s="391"/>
      <c r="L1782" s="385"/>
      <c r="M1782" s="391"/>
      <c r="N1782" s="385"/>
      <c r="O1782" s="190"/>
    </row>
    <row r="1783" spans="3:15" ht="16" x14ac:dyDescent="0.2">
      <c r="C1783" s="119">
        <v>17</v>
      </c>
      <c r="D1783" s="383"/>
      <c r="E1783" s="389"/>
      <c r="F1783" s="384"/>
      <c r="G1783" s="33"/>
      <c r="H1783" s="316"/>
      <c r="I1783" s="390"/>
      <c r="J1783" s="385"/>
      <c r="K1783" s="391"/>
      <c r="L1783" s="385"/>
      <c r="M1783" s="391"/>
      <c r="N1783" s="385"/>
      <c r="O1783" s="190"/>
    </row>
    <row r="1784" spans="3:15" ht="16" x14ac:dyDescent="0.2">
      <c r="C1784" s="119">
        <v>18</v>
      </c>
      <c r="D1784" s="383"/>
      <c r="E1784" s="389"/>
      <c r="F1784" s="394"/>
      <c r="G1784" s="229"/>
      <c r="H1784" s="394"/>
      <c r="I1784" s="391"/>
      <c r="J1784" s="385"/>
      <c r="K1784" s="391"/>
      <c r="L1784" s="385"/>
      <c r="M1784" s="391"/>
      <c r="N1784" s="385"/>
      <c r="O1784" s="190"/>
    </row>
    <row r="1785" spans="3:15" ht="16" x14ac:dyDescent="0.2">
      <c r="C1785" s="119">
        <v>19</v>
      </c>
      <c r="D1785" s="383"/>
      <c r="E1785" s="389"/>
      <c r="F1785" s="385"/>
      <c r="G1785" s="391"/>
      <c r="H1785" s="385"/>
      <c r="I1785" s="391"/>
      <c r="J1785" s="385"/>
      <c r="K1785" s="391"/>
      <c r="L1785" s="403"/>
      <c r="M1785" s="391"/>
      <c r="N1785" s="385"/>
      <c r="O1785" s="190"/>
    </row>
    <row r="1786" spans="3:15" ht="16" x14ac:dyDescent="0.2">
      <c r="C1786" s="119">
        <v>20</v>
      </c>
      <c r="D1786" s="383"/>
      <c r="E1786" s="389"/>
      <c r="F1786" s="385"/>
      <c r="G1786" s="391"/>
      <c r="H1786" s="385"/>
      <c r="I1786" s="391"/>
      <c r="J1786" s="385"/>
      <c r="K1786" s="391"/>
      <c r="L1786" s="403"/>
      <c r="M1786" s="391"/>
      <c r="N1786" s="385"/>
      <c r="O1786" s="190"/>
    </row>
    <row r="1787" spans="3:15" ht="16" x14ac:dyDescent="0.2">
      <c r="C1787" s="119">
        <v>21</v>
      </c>
      <c r="D1787" s="383"/>
      <c r="E1787" s="389"/>
      <c r="F1787" s="385"/>
      <c r="G1787" s="391"/>
      <c r="H1787" s="385"/>
      <c r="I1787" s="391"/>
      <c r="J1787" s="385"/>
      <c r="K1787" s="391"/>
      <c r="L1787" s="385"/>
      <c r="M1787" s="391"/>
      <c r="N1787" s="385"/>
      <c r="O1787" s="190"/>
    </row>
    <row r="1788" spans="3:15" ht="16" x14ac:dyDescent="0.2">
      <c r="C1788" s="119">
        <v>22</v>
      </c>
      <c r="D1788" s="383"/>
      <c r="E1788" s="389"/>
      <c r="F1788" s="385"/>
      <c r="G1788" s="391"/>
      <c r="H1788" s="385"/>
      <c r="I1788" s="391"/>
      <c r="J1788" s="385"/>
      <c r="K1788" s="391"/>
      <c r="L1788" s="385"/>
      <c r="M1788" s="391"/>
      <c r="N1788" s="385"/>
      <c r="O1788" s="190"/>
    </row>
    <row r="1789" spans="3:15" ht="16" x14ac:dyDescent="0.2">
      <c r="C1789" s="119">
        <v>23</v>
      </c>
      <c r="D1789" s="383"/>
      <c r="E1789" s="389"/>
      <c r="F1789" s="385"/>
      <c r="G1789" s="391"/>
      <c r="H1789" s="385"/>
      <c r="I1789" s="391"/>
      <c r="J1789" s="385"/>
      <c r="K1789" s="391"/>
      <c r="L1789" s="385"/>
      <c r="M1789" s="391"/>
      <c r="N1789" s="385"/>
      <c r="O1789" s="190"/>
    </row>
    <row r="1790" spans="3:15" ht="16" x14ac:dyDescent="0.2">
      <c r="C1790" s="119">
        <v>24</v>
      </c>
      <c r="D1790" s="383"/>
      <c r="E1790" s="389"/>
      <c r="F1790" s="385"/>
      <c r="G1790" s="391"/>
      <c r="H1790" s="385"/>
      <c r="I1790" s="391"/>
      <c r="J1790" s="385"/>
      <c r="K1790" s="391"/>
      <c r="L1790" s="385"/>
      <c r="M1790" s="391"/>
      <c r="N1790" s="385"/>
      <c r="O1790" s="190"/>
    </row>
    <row r="1791" spans="3:15" ht="16" x14ac:dyDescent="0.2">
      <c r="C1791" s="119">
        <v>25</v>
      </c>
      <c r="D1791" s="383"/>
      <c r="E1791" s="389"/>
      <c r="F1791" s="385"/>
      <c r="G1791" s="391"/>
      <c r="H1791" s="385"/>
      <c r="I1791" s="391"/>
      <c r="J1791" s="385"/>
      <c r="K1791" s="391"/>
      <c r="L1791" s="385"/>
      <c r="M1791" s="391"/>
      <c r="N1791" s="385"/>
      <c r="O1791" s="190"/>
    </row>
    <row r="1792" spans="3:15" ht="16" x14ac:dyDescent="0.2">
      <c r="C1792" s="119">
        <v>26</v>
      </c>
      <c r="D1792" s="383"/>
      <c r="E1792" s="389"/>
      <c r="F1792" s="385"/>
      <c r="G1792" s="391"/>
      <c r="H1792" s="385"/>
      <c r="I1792" s="391"/>
      <c r="J1792" s="385"/>
      <c r="K1792" s="391"/>
      <c r="L1792" s="385"/>
      <c r="M1792" s="391"/>
      <c r="N1792" s="385"/>
      <c r="O1792" s="190"/>
    </row>
    <row r="1793" spans="2:15" ht="16" x14ac:dyDescent="0.2">
      <c r="C1793" s="119">
        <v>27</v>
      </c>
      <c r="D1793" s="383"/>
      <c r="E1793" s="389"/>
      <c r="F1793" s="385"/>
      <c r="G1793" s="391"/>
      <c r="H1793" s="385"/>
      <c r="I1793" s="391"/>
      <c r="J1793" s="385"/>
      <c r="K1793" s="391"/>
      <c r="L1793" s="385"/>
      <c r="M1793" s="391"/>
      <c r="N1793" s="385"/>
      <c r="O1793" s="190"/>
    </row>
    <row r="1794" spans="2:15" ht="16" x14ac:dyDescent="0.2">
      <c r="C1794" s="119">
        <v>28</v>
      </c>
      <c r="D1794" s="383"/>
      <c r="E1794" s="389"/>
      <c r="F1794" s="385"/>
      <c r="G1794" s="391"/>
      <c r="H1794" s="385"/>
      <c r="I1794" s="391"/>
      <c r="J1794" s="385"/>
      <c r="K1794" s="391"/>
      <c r="L1794" s="385"/>
      <c r="M1794" s="391"/>
      <c r="N1794" s="385"/>
      <c r="O1794" s="190"/>
    </row>
    <row r="1795" spans="2:15" ht="16" x14ac:dyDescent="0.2">
      <c r="C1795" s="119">
        <v>29</v>
      </c>
      <c r="D1795" s="383"/>
      <c r="E1795" s="389"/>
      <c r="F1795" s="385"/>
      <c r="G1795" s="391"/>
      <c r="H1795" s="385"/>
      <c r="I1795" s="391"/>
      <c r="J1795" s="385"/>
      <c r="K1795" s="391"/>
      <c r="L1795" s="385"/>
      <c r="M1795" s="391"/>
      <c r="N1795" s="385"/>
      <c r="O1795" s="190"/>
    </row>
    <row r="1796" spans="2:15" ht="16" x14ac:dyDescent="0.2">
      <c r="C1796" s="119">
        <v>30</v>
      </c>
      <c r="D1796" s="383"/>
      <c r="E1796" s="389"/>
      <c r="F1796" s="385"/>
      <c r="G1796" s="391"/>
      <c r="H1796" s="385"/>
      <c r="I1796" s="391"/>
      <c r="J1796" s="385"/>
      <c r="K1796" s="391"/>
      <c r="L1796" s="385"/>
      <c r="M1796" s="391"/>
      <c r="N1796" s="385"/>
      <c r="O1796" s="190"/>
    </row>
    <row r="1797" spans="2:15" ht="16" x14ac:dyDescent="0.2">
      <c r="C1797" s="120">
        <v>31</v>
      </c>
      <c r="D1797" s="383"/>
      <c r="E1797" s="389"/>
      <c r="F1797" s="384"/>
      <c r="G1797" s="390"/>
      <c r="H1797" s="384"/>
      <c r="I1797" s="390"/>
      <c r="J1797" s="384"/>
      <c r="K1797" s="390"/>
      <c r="L1797" s="384"/>
      <c r="M1797" s="390"/>
      <c r="N1797" s="384"/>
      <c r="O1797" s="190"/>
    </row>
    <row r="1798" spans="2:15" ht="16" x14ac:dyDescent="0.2">
      <c r="B1798" s="256"/>
      <c r="C1798" s="377">
        <v>32</v>
      </c>
      <c r="D1798" s="384"/>
      <c r="E1798" s="390"/>
      <c r="F1798" s="384"/>
      <c r="G1798" s="390"/>
      <c r="H1798" s="384"/>
      <c r="I1798" s="390"/>
      <c r="J1798" s="384"/>
      <c r="K1798" s="390"/>
      <c r="L1798" s="384"/>
      <c r="M1798" s="390"/>
      <c r="N1798" s="384"/>
      <c r="O1798" s="190"/>
    </row>
    <row r="1799" spans="2:15" ht="16" x14ac:dyDescent="0.2">
      <c r="B1799" s="256"/>
      <c r="C1799" s="119">
        <v>33</v>
      </c>
      <c r="D1799" s="385"/>
      <c r="E1799" s="391"/>
      <c r="F1799" s="385"/>
      <c r="G1799" s="391"/>
      <c r="H1799" s="385"/>
      <c r="I1799" s="391"/>
      <c r="J1799" s="385"/>
      <c r="K1799" s="391"/>
      <c r="L1799" s="385"/>
      <c r="M1799" s="391"/>
      <c r="N1799" s="385"/>
      <c r="O1799" s="190"/>
    </row>
    <row r="1800" spans="2:15" ht="16" x14ac:dyDescent="0.2">
      <c r="B1800" s="256"/>
      <c r="C1800" s="119">
        <v>34</v>
      </c>
      <c r="D1800" s="385"/>
      <c r="E1800" s="391"/>
      <c r="F1800" s="385"/>
      <c r="G1800" s="391"/>
      <c r="H1800" s="385"/>
      <c r="I1800" s="391"/>
      <c r="J1800" s="385"/>
      <c r="K1800" s="391"/>
      <c r="L1800" s="385"/>
      <c r="M1800" s="391"/>
      <c r="N1800" s="385"/>
      <c r="O1800" s="190"/>
    </row>
    <row r="1801" spans="2:15" ht="16" x14ac:dyDescent="0.2">
      <c r="B1801" s="256"/>
      <c r="C1801" s="119">
        <v>35</v>
      </c>
      <c r="D1801" s="385"/>
      <c r="E1801" s="391"/>
      <c r="F1801" s="385"/>
      <c r="G1801" s="391"/>
      <c r="H1801" s="385"/>
      <c r="I1801" s="391"/>
      <c r="J1801" s="385"/>
      <c r="K1801" s="391"/>
      <c r="L1801" s="385"/>
      <c r="M1801" s="391"/>
      <c r="N1801" s="385"/>
      <c r="O1801" s="190"/>
    </row>
    <row r="1802" spans="2:15" ht="16" x14ac:dyDescent="0.2">
      <c r="B1802" s="256"/>
      <c r="C1802" s="119">
        <v>36</v>
      </c>
      <c r="D1802" s="385"/>
      <c r="E1802" s="391"/>
      <c r="F1802" s="385"/>
      <c r="G1802" s="391"/>
      <c r="H1802" s="385"/>
      <c r="I1802" s="391"/>
      <c r="J1802" s="385"/>
      <c r="K1802" s="391"/>
      <c r="L1802" s="385"/>
      <c r="M1802" s="391"/>
      <c r="N1802" s="385"/>
      <c r="O1802" s="190"/>
    </row>
    <row r="1803" spans="2:15" ht="17" thickBot="1" x14ac:dyDescent="0.25">
      <c r="B1803" s="256"/>
      <c r="C1803" s="378">
        <v>37</v>
      </c>
      <c r="D1803" s="386"/>
      <c r="E1803" s="392"/>
      <c r="F1803" s="386"/>
      <c r="G1803" s="392"/>
      <c r="H1803" s="386"/>
      <c r="I1803" s="392"/>
      <c r="J1803" s="386"/>
      <c r="K1803" s="392"/>
      <c r="L1803" s="386"/>
      <c r="M1803" s="392"/>
      <c r="N1803" s="386"/>
      <c r="O1803" s="190"/>
    </row>
    <row r="1804" spans="2:15" ht="17" thickBot="1" x14ac:dyDescent="0.25">
      <c r="C1804" s="825" t="s">
        <v>19</v>
      </c>
      <c r="D1804" s="826"/>
      <c r="E1804" s="380"/>
      <c r="F1804" s="376">
        <f>(F1767+F1768+F1769+F1770+F1771+F1772+F1788+F1775+F1776+F1773+F1774+F1777+F1778+F1779+F1780+F1781+F1782+F1783+F1784+F1785+F1786+F1787+F1789+F1790+F1792+F1793+F1794+F1795+F1796+F1797+F1798+F1799+F1800+F1803)/2</f>
        <v>0</v>
      </c>
      <c r="G1804" s="397">
        <f>(G1767+G1768+G1769+G1770+G1771+G1788+G1772+G1776+G1775+G1773+G1774+G1777+G1778+G1779+G1780+G1781+G1782+G1783+G1784+G1785+G1786+G1787+G1789+G1790+G1792+G1793+G1794+G1795+G1796+G1797+G1798+G1799)/2</f>
        <v>28</v>
      </c>
      <c r="H1804" s="399">
        <f>(H1767+H1768+H1769+H1770+H1771+H1772+H1788+H1791+H1775+H1776+H1773+H1774+H1777+H1778+H1779+H1780+H1781+H1782+H1783+H1784+H1785+H1786+H1787+H1789+H1790+H1792+H1793+H1794+H1795+H1796+H1797+H1798+H1799+H1800+H1803)/2</f>
        <v>0</v>
      </c>
      <c r="I1804" s="398">
        <f>(I1767+I1768+I1769+I1770+I1771+I1801+I1802+I1772+I1788+I1775+I1791+I1776+I1773+I1774+I1777+I1778+I1779+I1780+I1781+I1782+I1783+I1784+I1785+I1786+I1787+I1789+I1790+I1792+I1793+I1794+I1795+I1796+I1797+I1798+I1799+I1800+I1803)/2</f>
        <v>0</v>
      </c>
      <c r="J1804" s="376">
        <f>(J1767+J1768+J1769+J1770+J1771+J1772+J1776+J1773+J1775+J1774+J1791+J1777+J1778+J1779+J1780+J1781+J1782+J1783+J1784+J1785+J1786+J1787+J1788+J1789+J1790+J1792+J1793+J1794+J1795+J1796+J1797+J1798+J1799)/2</f>
        <v>0</v>
      </c>
      <c r="K1804" s="397">
        <f>(K1767+K1768+K1769+K1770+K1771+K1772+K1776+K1773+K1774+K1777+K1778+K1779+K1780+K1781+K1782+K1783+K1784+K1785+K1786+K1787+K1789+K1790+K1792+K1793+K1794+K1795+K1796+K1797+K1798+K1799+K1788)</f>
        <v>0</v>
      </c>
      <c r="L1804" s="399">
        <f>SUM(L1767:L1803)</f>
        <v>0</v>
      </c>
      <c r="M1804" s="398">
        <f>(M1767+M1768+M1769+M1770+M1771+M1772+M1776+M1775+M1773+M1774+M1777+M1778+M1779+M1780+M1781+M1782+M1783+M1784+M1785+M1786+M1787+M1789+M1790+M1792+M1793+M1794+M1795+M1796+M1797+M1798+M1799)/2</f>
        <v>0</v>
      </c>
      <c r="N1804" s="376"/>
      <c r="O1804" s="41"/>
    </row>
    <row r="1805" spans="2:15" ht="17" thickBot="1" x14ac:dyDescent="0.25">
      <c r="C1805" s="825" t="s">
        <v>91</v>
      </c>
      <c r="D1805" s="826"/>
      <c r="E1805" s="381">
        <f>SUM(F1804:J1804)</f>
        <v>28</v>
      </c>
    </row>
    <row r="1806" spans="2:15" ht="16" thickBot="1" x14ac:dyDescent="0.25"/>
    <row r="1807" spans="2:15" ht="17" thickBot="1" x14ac:dyDescent="0.25">
      <c r="C1807" s="17"/>
      <c r="D1807" s="379" t="s">
        <v>83</v>
      </c>
      <c r="E1807" s="818" t="s">
        <v>65</v>
      </c>
      <c r="F1807" s="819"/>
      <c r="G1807" s="819"/>
      <c r="H1807" s="819"/>
      <c r="I1807" s="819"/>
      <c r="J1807" s="400" t="s">
        <v>76</v>
      </c>
      <c r="K1807" s="820">
        <v>45714</v>
      </c>
      <c r="L1807" s="821"/>
      <c r="M1807" s="821"/>
      <c r="N1807" s="821"/>
      <c r="O1807" s="822"/>
    </row>
    <row r="1808" spans="2:15" ht="16" thickBot="1" x14ac:dyDescent="0.25">
      <c r="B1808" s="175" t="s">
        <v>76</v>
      </c>
      <c r="C1808" s="175" t="s">
        <v>77</v>
      </c>
      <c r="D1808" s="823" t="s">
        <v>122</v>
      </c>
      <c r="E1808" s="824"/>
      <c r="F1808" s="175" t="s">
        <v>104</v>
      </c>
      <c r="G1808" s="395" t="s">
        <v>86</v>
      </c>
      <c r="H1808" s="175" t="s">
        <v>88</v>
      </c>
      <c r="I1808" s="395" t="s">
        <v>87</v>
      </c>
      <c r="J1808" s="401" t="s">
        <v>85</v>
      </c>
      <c r="K1808" s="395" t="s">
        <v>123</v>
      </c>
      <c r="L1808" s="175" t="s">
        <v>124</v>
      </c>
      <c r="M1808" s="395" t="s">
        <v>100</v>
      </c>
      <c r="N1808" s="175" t="s">
        <v>213</v>
      </c>
      <c r="O1808" s="404" t="s">
        <v>125</v>
      </c>
    </row>
    <row r="1809" spans="2:15" ht="16" thickBot="1" x14ac:dyDescent="0.25">
      <c r="B1809" s="176">
        <f>K1807</f>
        <v>45714</v>
      </c>
      <c r="C1809" s="374"/>
      <c r="D1809" s="375" t="s">
        <v>126</v>
      </c>
      <c r="E1809" s="387" t="s">
        <v>127</v>
      </c>
      <c r="F1809" s="331">
        <v>12</v>
      </c>
      <c r="G1809" s="237">
        <v>5</v>
      </c>
      <c r="H1809" s="331">
        <v>2</v>
      </c>
      <c r="I1809" s="237">
        <v>5</v>
      </c>
      <c r="J1809" s="331">
        <v>9</v>
      </c>
      <c r="K1809" s="231"/>
      <c r="L1809" s="125"/>
      <c r="M1809" s="231"/>
      <c r="N1809" s="125"/>
      <c r="O1809" s="326"/>
    </row>
    <row r="1810" spans="2:15" ht="16" x14ac:dyDescent="0.2">
      <c r="C1810" s="118">
        <v>1</v>
      </c>
      <c r="D1810" s="382">
        <v>0.29166666666666669</v>
      </c>
      <c r="E1810" s="388">
        <v>0.3125</v>
      </c>
      <c r="F1810" s="393"/>
      <c r="G1810" s="396">
        <v>28</v>
      </c>
      <c r="H1810" s="393"/>
      <c r="I1810" s="396"/>
      <c r="J1810" s="393"/>
      <c r="K1810" s="396"/>
      <c r="L1810" s="393"/>
      <c r="M1810" s="396"/>
      <c r="N1810" s="393"/>
      <c r="O1810" s="190"/>
    </row>
    <row r="1811" spans="2:15" ht="16" x14ac:dyDescent="0.2">
      <c r="C1811" s="119">
        <v>2</v>
      </c>
      <c r="D1811" s="383">
        <v>0.31597222222222221</v>
      </c>
      <c r="E1811" s="389">
        <v>0.33680555555555558</v>
      </c>
      <c r="F1811" s="385"/>
      <c r="G1811" s="391">
        <v>28</v>
      </c>
      <c r="H1811" s="385"/>
      <c r="I1811" s="391"/>
      <c r="J1811" s="385"/>
      <c r="K1811" s="391"/>
      <c r="L1811" s="385"/>
      <c r="M1811" s="391"/>
      <c r="N1811" s="385"/>
      <c r="O1811" s="190"/>
    </row>
    <row r="1812" spans="2:15" ht="16" x14ac:dyDescent="0.2">
      <c r="C1812" s="119">
        <v>3</v>
      </c>
      <c r="D1812" s="383">
        <v>0.33680555555555558</v>
      </c>
      <c r="E1812" s="389">
        <v>0.3576388888888889</v>
      </c>
      <c r="F1812" s="385"/>
      <c r="G1812" s="391"/>
      <c r="H1812" s="385">
        <v>28</v>
      </c>
      <c r="I1812" s="391"/>
      <c r="J1812" s="385"/>
      <c r="K1812" s="391"/>
      <c r="L1812" s="384"/>
      <c r="M1812" s="391"/>
      <c r="N1812" s="385"/>
      <c r="O1812" s="190"/>
    </row>
    <row r="1813" spans="2:15" ht="16" x14ac:dyDescent="0.2">
      <c r="C1813" s="119">
        <v>4</v>
      </c>
      <c r="D1813" s="383">
        <v>0.36458333333333331</v>
      </c>
      <c r="E1813" s="389">
        <v>0.38541666666666669</v>
      </c>
      <c r="F1813" s="385"/>
      <c r="G1813" s="391">
        <v>14</v>
      </c>
      <c r="H1813" s="316"/>
      <c r="I1813" s="391"/>
      <c r="J1813" s="385"/>
      <c r="K1813" s="391"/>
      <c r="L1813" s="402"/>
      <c r="M1813" s="391"/>
      <c r="N1813" s="385"/>
      <c r="O1813" s="190"/>
    </row>
    <row r="1814" spans="2:15" ht="16" x14ac:dyDescent="0.2">
      <c r="C1814" s="119">
        <v>5</v>
      </c>
      <c r="D1814" s="383">
        <v>0.37847222222222227</v>
      </c>
      <c r="E1814" s="389">
        <v>0.39930555555555558</v>
      </c>
      <c r="F1814" s="385">
        <v>28</v>
      </c>
      <c r="G1814" s="391"/>
      <c r="H1814" s="316"/>
      <c r="I1814" s="391"/>
      <c r="J1814" s="385"/>
      <c r="K1814" s="391"/>
      <c r="L1814" s="393"/>
      <c r="M1814" s="391"/>
      <c r="N1814" s="385"/>
      <c r="O1814" s="190"/>
    </row>
    <row r="1815" spans="2:15" ht="16" x14ac:dyDescent="0.2">
      <c r="C1815" s="119">
        <v>6</v>
      </c>
      <c r="D1815" s="383">
        <v>0.39930555555555558</v>
      </c>
      <c r="E1815" s="389">
        <v>0.4201388888888889</v>
      </c>
      <c r="F1815" s="385">
        <v>28</v>
      </c>
      <c r="G1815" s="391"/>
      <c r="H1815" s="316"/>
      <c r="I1815" s="391"/>
      <c r="J1815" s="385"/>
      <c r="K1815" s="391"/>
      <c r="L1815" s="393"/>
      <c r="M1815" s="391"/>
      <c r="N1815" s="385"/>
      <c r="O1815" s="190"/>
    </row>
    <row r="1816" spans="2:15" ht="16" x14ac:dyDescent="0.2">
      <c r="C1816" s="119">
        <v>7</v>
      </c>
      <c r="D1816" s="383">
        <v>0.4236111111111111</v>
      </c>
      <c r="E1816" s="389">
        <v>0.44444444444444442</v>
      </c>
      <c r="F1816" s="385"/>
      <c r="G1816" s="391"/>
      <c r="H1816" s="316"/>
      <c r="I1816" s="391">
        <v>44</v>
      </c>
      <c r="J1816" s="385"/>
      <c r="K1816" s="391"/>
      <c r="L1816" s="393"/>
      <c r="M1816" s="391"/>
      <c r="N1816" s="385"/>
      <c r="O1816" s="190"/>
    </row>
    <row r="1817" spans="2:15" ht="16" x14ac:dyDescent="0.2">
      <c r="C1817" s="119">
        <v>8</v>
      </c>
      <c r="D1817" s="383">
        <v>0.4513888888888889</v>
      </c>
      <c r="E1817" s="389">
        <v>0.47222222222222227</v>
      </c>
      <c r="F1817" s="385">
        <v>28</v>
      </c>
      <c r="G1817" s="391"/>
      <c r="H1817" s="316"/>
      <c r="I1817" s="391"/>
      <c r="J1817" s="385"/>
      <c r="K1817" s="391"/>
      <c r="L1817" s="385"/>
      <c r="M1817" s="391"/>
      <c r="N1817" s="385"/>
      <c r="O1817" s="190"/>
    </row>
    <row r="1818" spans="2:15" ht="16" x14ac:dyDescent="0.2">
      <c r="C1818" s="119">
        <v>9</v>
      </c>
      <c r="D1818" s="383">
        <v>0.47916666666666669</v>
      </c>
      <c r="E1818" s="389">
        <v>0.5</v>
      </c>
      <c r="F1818" s="385"/>
      <c r="G1818" s="391"/>
      <c r="H1818" s="316"/>
      <c r="I1818" s="391">
        <v>44</v>
      </c>
      <c r="J1818" s="385"/>
      <c r="K1818" s="391"/>
      <c r="L1818" s="385"/>
      <c r="M1818" s="391"/>
      <c r="N1818" s="385"/>
      <c r="O1818" s="190"/>
    </row>
    <row r="1819" spans="2:15" ht="16" x14ac:dyDescent="0.2">
      <c r="C1819" s="119">
        <v>10</v>
      </c>
      <c r="D1819" s="383">
        <v>0.51041666666666663</v>
      </c>
      <c r="E1819" s="389">
        <v>0.53125</v>
      </c>
      <c r="F1819" s="385">
        <v>28</v>
      </c>
      <c r="G1819" s="391"/>
      <c r="H1819" s="316"/>
      <c r="I1819" s="391"/>
      <c r="J1819" s="385"/>
      <c r="K1819" s="391"/>
      <c r="L1819" s="385"/>
      <c r="M1819" s="391"/>
      <c r="N1819" s="385"/>
      <c r="O1819" s="190"/>
    </row>
    <row r="1820" spans="2:15" ht="16" x14ac:dyDescent="0.2">
      <c r="C1820" s="119">
        <v>11</v>
      </c>
      <c r="D1820" s="383">
        <v>0.53472222222222221</v>
      </c>
      <c r="E1820" s="389">
        <v>0.55555555555555558</v>
      </c>
      <c r="F1820" s="385"/>
      <c r="G1820" s="391"/>
      <c r="H1820" s="316"/>
      <c r="I1820" s="391"/>
      <c r="J1820" s="28">
        <v>36</v>
      </c>
      <c r="K1820" s="391"/>
      <c r="L1820" s="385"/>
      <c r="M1820" s="391"/>
      <c r="N1820" s="385"/>
      <c r="O1820" s="190"/>
    </row>
    <row r="1821" spans="2:15" ht="16" x14ac:dyDescent="0.2">
      <c r="C1821" s="193">
        <v>12</v>
      </c>
      <c r="D1821" s="383">
        <v>0.55555555555555558</v>
      </c>
      <c r="E1821" s="389">
        <v>0.57638888888888895</v>
      </c>
      <c r="F1821" s="385">
        <v>28</v>
      </c>
      <c r="G1821" s="391"/>
      <c r="H1821" s="316"/>
      <c r="I1821" s="391"/>
      <c r="J1821" s="385"/>
      <c r="K1821" s="391"/>
      <c r="L1821" s="385"/>
      <c r="M1821" s="391"/>
      <c r="N1821" s="385"/>
      <c r="O1821" s="190"/>
    </row>
    <row r="1822" spans="2:15" ht="16" x14ac:dyDescent="0.2">
      <c r="C1822" s="119">
        <v>13</v>
      </c>
      <c r="D1822" s="383">
        <v>0.57986111111111105</v>
      </c>
      <c r="E1822" s="389">
        <v>0.60069444444444442</v>
      </c>
      <c r="F1822" s="385"/>
      <c r="G1822" s="391"/>
      <c r="H1822" s="316"/>
      <c r="I1822" s="391"/>
      <c r="J1822" s="385">
        <v>36</v>
      </c>
      <c r="K1822" s="391"/>
      <c r="L1822" s="385"/>
      <c r="M1822" s="391"/>
      <c r="N1822" s="385"/>
      <c r="O1822" s="190"/>
    </row>
    <row r="1823" spans="2:15" ht="16" x14ac:dyDescent="0.2">
      <c r="C1823" s="119">
        <v>14</v>
      </c>
      <c r="D1823" s="383">
        <v>0.60763888888888895</v>
      </c>
      <c r="E1823" s="389">
        <v>0.62847222222222221</v>
      </c>
      <c r="F1823" s="385">
        <v>28</v>
      </c>
      <c r="G1823" s="391"/>
      <c r="H1823" s="316"/>
      <c r="I1823" s="391"/>
      <c r="J1823" s="385"/>
      <c r="K1823" s="391"/>
      <c r="L1823" s="385"/>
      <c r="M1823" s="391"/>
      <c r="N1823" s="385"/>
      <c r="O1823" s="190"/>
    </row>
    <row r="1824" spans="2:15" ht="16" x14ac:dyDescent="0.2">
      <c r="C1824" s="119">
        <v>15</v>
      </c>
      <c r="D1824" s="383">
        <v>0.63194444444444442</v>
      </c>
      <c r="E1824" s="389">
        <v>0.65277777777777779</v>
      </c>
      <c r="F1824" s="385"/>
      <c r="G1824" s="391"/>
      <c r="H1824" s="316"/>
      <c r="I1824" s="391"/>
      <c r="J1824" s="385">
        <v>36</v>
      </c>
      <c r="K1824" s="391"/>
      <c r="L1824" s="385"/>
      <c r="M1824" s="391"/>
      <c r="N1824" s="385"/>
      <c r="O1824" s="190"/>
    </row>
    <row r="1825" spans="3:15" ht="16" x14ac:dyDescent="0.2">
      <c r="C1825" s="119">
        <v>16</v>
      </c>
      <c r="D1825" s="383">
        <v>0.65277777777777779</v>
      </c>
      <c r="E1825" s="389">
        <v>0.67361111111111116</v>
      </c>
      <c r="F1825" s="385"/>
      <c r="G1825" s="391"/>
      <c r="H1825" s="316"/>
      <c r="I1825" s="391"/>
      <c r="J1825" s="385">
        <v>36</v>
      </c>
      <c r="K1825" s="391"/>
      <c r="L1825" s="385"/>
      <c r="M1825" s="391"/>
      <c r="N1825" s="385"/>
      <c r="O1825" s="190"/>
    </row>
    <row r="1826" spans="3:15" ht="16" x14ac:dyDescent="0.2">
      <c r="C1826" s="119">
        <v>17</v>
      </c>
      <c r="D1826" s="383">
        <v>0.67708333333333337</v>
      </c>
      <c r="E1826" s="389">
        <v>0.69791666666666663</v>
      </c>
      <c r="F1826" s="384"/>
      <c r="G1826" s="33"/>
      <c r="H1826" s="316"/>
      <c r="I1826" s="390">
        <v>22</v>
      </c>
      <c r="J1826" s="385"/>
      <c r="K1826" s="391"/>
      <c r="L1826" s="385"/>
      <c r="M1826" s="391"/>
      <c r="N1826" s="385"/>
      <c r="O1826" s="190"/>
    </row>
    <row r="1827" spans="3:15" ht="16" x14ac:dyDescent="0.2">
      <c r="C1827" s="119">
        <v>18</v>
      </c>
      <c r="D1827" s="383">
        <v>0.70138888888888884</v>
      </c>
      <c r="E1827" s="389">
        <v>0.72222222222222221</v>
      </c>
      <c r="F1827" s="394"/>
      <c r="G1827" s="229"/>
      <c r="H1827" s="394"/>
      <c r="I1827" s="391"/>
      <c r="J1827" s="385">
        <v>14</v>
      </c>
      <c r="K1827" s="391"/>
      <c r="L1827" s="385"/>
      <c r="M1827" s="391"/>
      <c r="N1827" s="385"/>
      <c r="O1827" s="190"/>
    </row>
    <row r="1828" spans="3:15" ht="16" x14ac:dyDescent="0.2">
      <c r="C1828" s="119">
        <v>19</v>
      </c>
      <c r="D1828" s="383"/>
      <c r="E1828" s="389"/>
      <c r="F1828" s="385"/>
      <c r="G1828" s="391"/>
      <c r="H1828" s="385"/>
      <c r="I1828" s="391"/>
      <c r="J1828" s="385"/>
      <c r="K1828" s="391"/>
      <c r="L1828" s="403"/>
      <c r="M1828" s="391"/>
      <c r="N1828" s="385"/>
      <c r="O1828" s="190"/>
    </row>
    <row r="1829" spans="3:15" ht="16" x14ac:dyDescent="0.2">
      <c r="C1829" s="119">
        <v>20</v>
      </c>
      <c r="D1829" s="383"/>
      <c r="E1829" s="389"/>
      <c r="F1829" s="385"/>
      <c r="G1829" s="391"/>
      <c r="H1829" s="385"/>
      <c r="I1829" s="391"/>
      <c r="J1829" s="385"/>
      <c r="K1829" s="391"/>
      <c r="L1829" s="403"/>
      <c r="M1829" s="391"/>
      <c r="N1829" s="385"/>
      <c r="O1829" s="190"/>
    </row>
    <row r="1830" spans="3:15" ht="16" x14ac:dyDescent="0.2">
      <c r="C1830" s="119">
        <v>21</v>
      </c>
      <c r="D1830" s="383"/>
      <c r="E1830" s="389"/>
      <c r="F1830" s="385"/>
      <c r="G1830" s="391"/>
      <c r="H1830" s="385"/>
      <c r="I1830" s="391"/>
      <c r="J1830" s="385"/>
      <c r="K1830" s="391"/>
      <c r="L1830" s="385"/>
      <c r="M1830" s="391"/>
      <c r="N1830" s="385"/>
      <c r="O1830" s="190"/>
    </row>
    <row r="1831" spans="3:15" ht="16" x14ac:dyDescent="0.2">
      <c r="C1831" s="119">
        <v>22</v>
      </c>
      <c r="D1831" s="383"/>
      <c r="E1831" s="389"/>
      <c r="F1831" s="385"/>
      <c r="G1831" s="391"/>
      <c r="H1831" s="385"/>
      <c r="I1831" s="391"/>
      <c r="J1831" s="385"/>
      <c r="K1831" s="391"/>
      <c r="L1831" s="385"/>
      <c r="M1831" s="391"/>
      <c r="N1831" s="385"/>
      <c r="O1831" s="190"/>
    </row>
    <row r="1832" spans="3:15" ht="16" x14ac:dyDescent="0.2">
      <c r="C1832" s="119">
        <v>23</v>
      </c>
      <c r="D1832" s="383"/>
      <c r="E1832" s="389"/>
      <c r="F1832" s="385"/>
      <c r="G1832" s="391"/>
      <c r="H1832" s="385"/>
      <c r="I1832" s="391"/>
      <c r="J1832" s="385"/>
      <c r="K1832" s="391"/>
      <c r="L1832" s="385"/>
      <c r="M1832" s="391"/>
      <c r="N1832" s="385"/>
      <c r="O1832" s="190"/>
    </row>
    <row r="1833" spans="3:15" ht="16" x14ac:dyDescent="0.2">
      <c r="C1833" s="119">
        <v>24</v>
      </c>
      <c r="D1833" s="383"/>
      <c r="E1833" s="389"/>
      <c r="F1833" s="385"/>
      <c r="G1833" s="391"/>
      <c r="H1833" s="385"/>
      <c r="I1833" s="391"/>
      <c r="J1833" s="385"/>
      <c r="K1833" s="391"/>
      <c r="L1833" s="385"/>
      <c r="M1833" s="391"/>
      <c r="N1833" s="385"/>
      <c r="O1833" s="190"/>
    </row>
    <row r="1834" spans="3:15" ht="16" x14ac:dyDescent="0.2">
      <c r="C1834" s="119">
        <v>25</v>
      </c>
      <c r="D1834" s="383"/>
      <c r="E1834" s="389"/>
      <c r="F1834" s="385"/>
      <c r="G1834" s="391"/>
      <c r="H1834" s="385"/>
      <c r="I1834" s="391"/>
      <c r="J1834" s="385"/>
      <c r="K1834" s="391"/>
      <c r="L1834" s="385"/>
      <c r="M1834" s="391"/>
      <c r="N1834" s="385"/>
      <c r="O1834" s="190"/>
    </row>
    <row r="1835" spans="3:15" ht="16" x14ac:dyDescent="0.2">
      <c r="C1835" s="119">
        <v>26</v>
      </c>
      <c r="D1835" s="383"/>
      <c r="E1835" s="389"/>
      <c r="F1835" s="385"/>
      <c r="G1835" s="391"/>
      <c r="H1835" s="385"/>
      <c r="I1835" s="391"/>
      <c r="J1835" s="385"/>
      <c r="K1835" s="391"/>
      <c r="L1835" s="385"/>
      <c r="M1835" s="391"/>
      <c r="N1835" s="385"/>
      <c r="O1835" s="190"/>
    </row>
    <row r="1836" spans="3:15" ht="16" x14ac:dyDescent="0.2">
      <c r="C1836" s="119">
        <v>27</v>
      </c>
      <c r="D1836" s="383"/>
      <c r="E1836" s="389"/>
      <c r="F1836" s="385"/>
      <c r="G1836" s="391"/>
      <c r="H1836" s="385"/>
      <c r="I1836" s="391"/>
      <c r="J1836" s="385"/>
      <c r="K1836" s="391"/>
      <c r="L1836" s="385"/>
      <c r="M1836" s="391"/>
      <c r="N1836" s="385"/>
      <c r="O1836" s="190"/>
    </row>
    <row r="1837" spans="3:15" ht="16" x14ac:dyDescent="0.2">
      <c r="C1837" s="119">
        <v>28</v>
      </c>
      <c r="D1837" s="383"/>
      <c r="E1837" s="389"/>
      <c r="F1837" s="385"/>
      <c r="G1837" s="391"/>
      <c r="H1837" s="385"/>
      <c r="I1837" s="391"/>
      <c r="J1837" s="385"/>
      <c r="K1837" s="391"/>
      <c r="L1837" s="385"/>
      <c r="M1837" s="391"/>
      <c r="N1837" s="385"/>
      <c r="O1837" s="190"/>
    </row>
    <row r="1838" spans="3:15" ht="16" x14ac:dyDescent="0.2">
      <c r="C1838" s="119">
        <v>29</v>
      </c>
      <c r="D1838" s="383"/>
      <c r="E1838" s="389"/>
      <c r="F1838" s="385"/>
      <c r="G1838" s="391"/>
      <c r="H1838" s="385"/>
      <c r="I1838" s="391"/>
      <c r="J1838" s="385"/>
      <c r="K1838" s="391"/>
      <c r="L1838" s="385"/>
      <c r="M1838" s="391"/>
      <c r="N1838" s="385"/>
      <c r="O1838" s="190"/>
    </row>
    <row r="1839" spans="3:15" ht="16" x14ac:dyDescent="0.2">
      <c r="C1839" s="119">
        <v>30</v>
      </c>
      <c r="D1839" s="383"/>
      <c r="E1839" s="389"/>
      <c r="F1839" s="385"/>
      <c r="G1839" s="391"/>
      <c r="H1839" s="385"/>
      <c r="I1839" s="391"/>
      <c r="J1839" s="385"/>
      <c r="K1839" s="391"/>
      <c r="L1839" s="385"/>
      <c r="M1839" s="391"/>
      <c r="N1839" s="385"/>
      <c r="O1839" s="190"/>
    </row>
    <row r="1840" spans="3:15" ht="16" x14ac:dyDescent="0.2">
      <c r="C1840" s="120">
        <v>31</v>
      </c>
      <c r="D1840" s="383"/>
      <c r="E1840" s="389"/>
      <c r="F1840" s="384"/>
      <c r="G1840" s="390"/>
      <c r="H1840" s="384"/>
      <c r="I1840" s="390"/>
      <c r="J1840" s="384"/>
      <c r="K1840" s="390"/>
      <c r="L1840" s="384"/>
      <c r="M1840" s="390"/>
      <c r="N1840" s="384"/>
      <c r="O1840" s="190"/>
    </row>
    <row r="1841" spans="2:15" ht="16" x14ac:dyDescent="0.2">
      <c r="B1841" s="256"/>
      <c r="C1841" s="377">
        <v>32</v>
      </c>
      <c r="D1841" s="384"/>
      <c r="E1841" s="390"/>
      <c r="F1841" s="384"/>
      <c r="G1841" s="390"/>
      <c r="H1841" s="384"/>
      <c r="I1841" s="390"/>
      <c r="J1841" s="384"/>
      <c r="K1841" s="390"/>
      <c r="L1841" s="384"/>
      <c r="M1841" s="390"/>
      <c r="N1841" s="384"/>
      <c r="O1841" s="190"/>
    </row>
    <row r="1842" spans="2:15" ht="16" x14ac:dyDescent="0.2">
      <c r="B1842" s="256"/>
      <c r="C1842" s="119">
        <v>33</v>
      </c>
      <c r="D1842" s="385"/>
      <c r="E1842" s="391"/>
      <c r="F1842" s="385"/>
      <c r="G1842" s="391"/>
      <c r="H1842" s="385"/>
      <c r="I1842" s="391"/>
      <c r="J1842" s="385"/>
      <c r="K1842" s="391"/>
      <c r="L1842" s="385"/>
      <c r="M1842" s="391"/>
      <c r="N1842" s="385"/>
      <c r="O1842" s="190"/>
    </row>
    <row r="1843" spans="2:15" ht="16" x14ac:dyDescent="0.2">
      <c r="B1843" s="256"/>
      <c r="C1843" s="119">
        <v>34</v>
      </c>
      <c r="D1843" s="385"/>
      <c r="E1843" s="391"/>
      <c r="F1843" s="385"/>
      <c r="G1843" s="391"/>
      <c r="H1843" s="385"/>
      <c r="I1843" s="391"/>
      <c r="J1843" s="385"/>
      <c r="K1843" s="391"/>
      <c r="L1843" s="385"/>
      <c r="M1843" s="391"/>
      <c r="N1843" s="385"/>
      <c r="O1843" s="190"/>
    </row>
    <row r="1844" spans="2:15" ht="16" x14ac:dyDescent="0.2">
      <c r="B1844" s="256"/>
      <c r="C1844" s="119">
        <v>35</v>
      </c>
      <c r="D1844" s="385"/>
      <c r="E1844" s="391"/>
      <c r="F1844" s="385"/>
      <c r="G1844" s="391"/>
      <c r="H1844" s="385"/>
      <c r="I1844" s="391"/>
      <c r="J1844" s="385"/>
      <c r="K1844" s="391"/>
      <c r="L1844" s="385"/>
      <c r="M1844" s="391"/>
      <c r="N1844" s="385"/>
      <c r="O1844" s="190"/>
    </row>
    <row r="1845" spans="2:15" ht="16" x14ac:dyDescent="0.2">
      <c r="B1845" s="256"/>
      <c r="C1845" s="119">
        <v>36</v>
      </c>
      <c r="D1845" s="385"/>
      <c r="E1845" s="391"/>
      <c r="F1845" s="385"/>
      <c r="G1845" s="391"/>
      <c r="H1845" s="385"/>
      <c r="I1845" s="391"/>
      <c r="J1845" s="385"/>
      <c r="K1845" s="391"/>
      <c r="L1845" s="385"/>
      <c r="M1845" s="391"/>
      <c r="N1845" s="385"/>
      <c r="O1845" s="190"/>
    </row>
    <row r="1846" spans="2:15" ht="17" thickBot="1" x14ac:dyDescent="0.25">
      <c r="B1846" s="256"/>
      <c r="C1846" s="378">
        <v>37</v>
      </c>
      <c r="D1846" s="386"/>
      <c r="E1846" s="392"/>
      <c r="F1846" s="386"/>
      <c r="G1846" s="392"/>
      <c r="H1846" s="386"/>
      <c r="I1846" s="392"/>
      <c r="J1846" s="386"/>
      <c r="K1846" s="392"/>
      <c r="L1846" s="386"/>
      <c r="M1846" s="392"/>
      <c r="N1846" s="386"/>
      <c r="O1846" s="190"/>
    </row>
    <row r="1847" spans="2:15" ht="17" thickBot="1" x14ac:dyDescent="0.25">
      <c r="C1847" s="825" t="s">
        <v>19</v>
      </c>
      <c r="D1847" s="826"/>
      <c r="E1847" s="380"/>
      <c r="F1847" s="376">
        <f>(F1810+F1811+F1812+F1813+F1814+F1815+F1831+F1818+F1819+F1816+F1817+F1820+F1821+F1822+F1823+F1824+F1825+F1826+F1827+F1828+F1829+F1830+F1832+F1833+F1835+F1836+F1837+F1838+F1839+F1840+F1841+F1842+F1843+F1846)/2</f>
        <v>84</v>
      </c>
      <c r="G1847" s="397">
        <f>(G1810+G1811+G1812+G1813+G1814+G1831+G1815+G1819+G1818+G1816+G1817+G1820+G1821+G1822+G1823+G1824+G1825+G1826+G1827+G1828+G1829+G1830+G1832+G1833+G1835+G1836+G1837+G1838+G1839+G1840+G1841+G1842)/2</f>
        <v>35</v>
      </c>
      <c r="H1847" s="399">
        <f>(H1810+H1811+H1812+H1813+H1814+H1815+H1831+H1834+H1818+H1819+H1816+H1817+H1820+H1821+H1822+H1823+H1824+H1825+H1826+H1827+H1828+H1829+H1830+H1832+H1833+H1835+H1836+H1837+H1838+H1839+H1840+H1841+H1842+H1843+H1846)/2</f>
        <v>14</v>
      </c>
      <c r="I1847" s="398">
        <f>(I1810+I1811+I1812+I1813+I1814+I1844+I1845+I1815+I1831+I1818+I1834+I1819+I1816+I1817+I1820+I1821+I1822+I1823+I1824+I1825+I1826+I1827+I1828+I1829+I1830+I1832+I1833+I1835+I1836+I1837+I1838+I1839+I1840+I1841+I1842+I1843+I1846)/2</f>
        <v>55</v>
      </c>
      <c r="J1847" s="376">
        <f>(J1810+J1811+J1812+J1813+J1814+J1815+J1819+J1816+J1818+J1817+J1834+J1820+J1821+J1822+J1823+J1824+J1825+J1826+J1827+J1828+J1829+J1830+J1831+J1832+J1833+J1835+J1836+J1837+J1838+J1839+J1840+J1841+J1842)/2</f>
        <v>79</v>
      </c>
      <c r="K1847" s="397">
        <f>(K1810+K1811+K1812+K1813+K1814+K1815+K1819+K1816+K1817+K1820+K1821+K1822+K1823+K1824+K1825+K1826+K1827+K1828+K1829+K1830+K1832+K1833+K1835+K1836+K1837+K1838+K1839+K1840+K1841+K1842+K1831)</f>
        <v>0</v>
      </c>
      <c r="L1847" s="399">
        <f>SUM(L1810:L1846)</f>
        <v>0</v>
      </c>
      <c r="M1847" s="398">
        <f>(M1810+M1811+M1812+M1813+M1814+M1815+M1819+M1818+M1816+M1817+M1820+M1821+M1822+M1823+M1824+M1825+M1826+M1827+M1828+M1829+M1830+M1832+M1833+M1835+M1836+M1837+M1838+M1839+M1840+M1841+M1842)/2</f>
        <v>0</v>
      </c>
      <c r="N1847" s="376"/>
      <c r="O1847" s="41"/>
    </row>
    <row r="1848" spans="2:15" ht="17" thickBot="1" x14ac:dyDescent="0.25">
      <c r="C1848" s="825" t="s">
        <v>91</v>
      </c>
      <c r="D1848" s="826"/>
      <c r="E1848" s="381">
        <f>SUM(F1847:J1847)</f>
        <v>267</v>
      </c>
    </row>
    <row r="1849" spans="2:15" ht="16" thickBot="1" x14ac:dyDescent="0.25"/>
    <row r="1850" spans="2:15" ht="17" thickBot="1" x14ac:dyDescent="0.25">
      <c r="C1850" s="17"/>
      <c r="D1850" s="379" t="s">
        <v>83</v>
      </c>
      <c r="E1850" s="818" t="s">
        <v>66</v>
      </c>
      <c r="F1850" s="819"/>
      <c r="G1850" s="819"/>
      <c r="H1850" s="819"/>
      <c r="I1850" s="819"/>
      <c r="J1850" s="400" t="s">
        <v>76</v>
      </c>
      <c r="K1850" s="820">
        <v>45715</v>
      </c>
      <c r="L1850" s="821"/>
      <c r="M1850" s="821"/>
      <c r="N1850" s="821"/>
      <c r="O1850" s="822"/>
    </row>
    <row r="1851" spans="2:15" ht="16" thickBot="1" x14ac:dyDescent="0.25">
      <c r="B1851" s="175" t="s">
        <v>76</v>
      </c>
      <c r="C1851" s="175" t="s">
        <v>77</v>
      </c>
      <c r="D1851" s="823" t="s">
        <v>122</v>
      </c>
      <c r="E1851" s="824"/>
      <c r="F1851" s="175" t="s">
        <v>104</v>
      </c>
      <c r="G1851" s="395" t="s">
        <v>86</v>
      </c>
      <c r="H1851" s="175" t="s">
        <v>88</v>
      </c>
      <c r="I1851" s="395" t="s">
        <v>87</v>
      </c>
      <c r="J1851" s="401" t="s">
        <v>85</v>
      </c>
      <c r="K1851" s="395" t="s">
        <v>123</v>
      </c>
      <c r="L1851" s="175" t="s">
        <v>124</v>
      </c>
      <c r="M1851" s="395" t="s">
        <v>100</v>
      </c>
      <c r="N1851" s="175" t="s">
        <v>213</v>
      </c>
      <c r="O1851" s="404" t="s">
        <v>125</v>
      </c>
    </row>
    <row r="1852" spans="2:15" ht="16" thickBot="1" x14ac:dyDescent="0.25">
      <c r="B1852" s="176">
        <f>K1850</f>
        <v>45715</v>
      </c>
      <c r="C1852" s="374"/>
      <c r="D1852" s="375" t="s">
        <v>126</v>
      </c>
      <c r="E1852" s="387" t="s">
        <v>127</v>
      </c>
      <c r="F1852" s="331">
        <v>16</v>
      </c>
      <c r="G1852" s="237">
        <v>9</v>
      </c>
      <c r="H1852" s="331">
        <v>4</v>
      </c>
      <c r="I1852" s="237">
        <v>5</v>
      </c>
      <c r="J1852" s="331">
        <v>10</v>
      </c>
      <c r="K1852" s="231"/>
      <c r="L1852" s="125"/>
      <c r="M1852" s="231"/>
      <c r="N1852" s="125"/>
      <c r="O1852" s="326"/>
    </row>
    <row r="1853" spans="2:15" ht="16" x14ac:dyDescent="0.2">
      <c r="C1853" s="118">
        <v>1</v>
      </c>
      <c r="D1853" s="382">
        <v>0.29166666666666669</v>
      </c>
      <c r="E1853" s="388">
        <v>0.3125</v>
      </c>
      <c r="F1853" s="393"/>
      <c r="G1853" s="396">
        <v>14</v>
      </c>
      <c r="H1853" s="393"/>
      <c r="I1853" s="396"/>
      <c r="J1853" s="393"/>
      <c r="K1853" s="396"/>
      <c r="L1853" s="393"/>
      <c r="M1853" s="396"/>
      <c r="N1853" s="393"/>
      <c r="O1853" s="190"/>
    </row>
    <row r="1854" spans="2:15" ht="16" x14ac:dyDescent="0.2">
      <c r="C1854" s="119">
        <v>2</v>
      </c>
      <c r="D1854" s="383">
        <v>0.3125</v>
      </c>
      <c r="E1854" s="389">
        <v>0.33333333333333331</v>
      </c>
      <c r="F1854" s="385"/>
      <c r="G1854" s="391">
        <v>28</v>
      </c>
      <c r="H1854" s="385"/>
      <c r="I1854" s="391"/>
      <c r="J1854" s="385"/>
      <c r="K1854" s="391"/>
      <c r="L1854" s="385"/>
      <c r="M1854" s="391"/>
      <c r="N1854" s="385"/>
      <c r="O1854" s="190"/>
    </row>
    <row r="1855" spans="2:15" ht="16" x14ac:dyDescent="0.2">
      <c r="C1855" s="119">
        <v>3</v>
      </c>
      <c r="D1855" s="383">
        <v>0.33333333333333331</v>
      </c>
      <c r="E1855" s="389">
        <v>0.35416666666666669</v>
      </c>
      <c r="F1855" s="385"/>
      <c r="G1855" s="391">
        <v>28</v>
      </c>
      <c r="H1855" s="385"/>
      <c r="I1855" s="391"/>
      <c r="J1855" s="385"/>
      <c r="K1855" s="391"/>
      <c r="L1855" s="384"/>
      <c r="M1855" s="391"/>
      <c r="N1855" s="385"/>
      <c r="O1855" s="190"/>
    </row>
    <row r="1856" spans="2:15" ht="16" x14ac:dyDescent="0.2">
      <c r="C1856" s="119">
        <v>4</v>
      </c>
      <c r="D1856" s="383">
        <v>0.3576388888888889</v>
      </c>
      <c r="E1856" s="389">
        <v>0.37847222222222227</v>
      </c>
      <c r="F1856" s="385"/>
      <c r="G1856" s="391">
        <v>28</v>
      </c>
      <c r="H1856" s="316"/>
      <c r="I1856" s="391"/>
      <c r="J1856" s="385"/>
      <c r="K1856" s="391"/>
      <c r="L1856" s="402"/>
      <c r="M1856" s="391"/>
      <c r="N1856" s="385"/>
      <c r="O1856" s="190"/>
    </row>
    <row r="1857" spans="3:15" ht="16" x14ac:dyDescent="0.2">
      <c r="C1857" s="119">
        <v>5</v>
      </c>
      <c r="D1857" s="383">
        <v>0.38194444444444442</v>
      </c>
      <c r="E1857" s="389">
        <v>0.40277777777777773</v>
      </c>
      <c r="F1857" s="385"/>
      <c r="G1857" s="391"/>
      <c r="H1857" s="316"/>
      <c r="I1857" s="391">
        <v>22</v>
      </c>
      <c r="J1857" s="385"/>
      <c r="K1857" s="391"/>
      <c r="L1857" s="393"/>
      <c r="M1857" s="391"/>
      <c r="N1857" s="385"/>
      <c r="O1857" s="190"/>
    </row>
    <row r="1858" spans="3:15" ht="16" x14ac:dyDescent="0.2">
      <c r="C1858" s="119">
        <v>6</v>
      </c>
      <c r="D1858" s="383">
        <v>0.43402777777777773</v>
      </c>
      <c r="E1858" s="389">
        <v>0.4548611111111111</v>
      </c>
      <c r="F1858" s="385"/>
      <c r="G1858" s="391">
        <v>28</v>
      </c>
      <c r="H1858" s="316"/>
      <c r="I1858" s="391"/>
      <c r="J1858" s="385"/>
      <c r="K1858" s="391"/>
      <c r="L1858" s="393"/>
      <c r="M1858" s="391"/>
      <c r="N1858" s="385"/>
      <c r="O1858" s="190"/>
    </row>
    <row r="1859" spans="3:15" ht="16" x14ac:dyDescent="0.2">
      <c r="C1859" s="119">
        <v>7</v>
      </c>
      <c r="D1859" s="383">
        <v>0.46180555555555558</v>
      </c>
      <c r="E1859" s="389">
        <v>0.4826388888888889</v>
      </c>
      <c r="F1859" s="385"/>
      <c r="G1859" s="391"/>
      <c r="H1859" s="316">
        <v>28</v>
      </c>
      <c r="I1859" s="391"/>
      <c r="J1859" s="385"/>
      <c r="K1859" s="391"/>
      <c r="L1859" s="393"/>
      <c r="M1859" s="391"/>
      <c r="N1859" s="385"/>
      <c r="O1859" s="190"/>
    </row>
    <row r="1860" spans="3:15" ht="16" x14ac:dyDescent="0.2">
      <c r="C1860" s="119">
        <v>8</v>
      </c>
      <c r="D1860" s="383">
        <v>0.4826388888888889</v>
      </c>
      <c r="E1860" s="389">
        <v>0.50347222222222221</v>
      </c>
      <c r="F1860" s="385"/>
      <c r="G1860" s="391"/>
      <c r="H1860" s="316">
        <v>28</v>
      </c>
      <c r="I1860" s="391"/>
      <c r="J1860" s="385"/>
      <c r="K1860" s="391"/>
      <c r="L1860" s="385"/>
      <c r="M1860" s="391"/>
      <c r="N1860" s="385"/>
      <c r="O1860" s="190"/>
    </row>
    <row r="1861" spans="3:15" ht="16" x14ac:dyDescent="0.2">
      <c r="C1861" s="119">
        <v>9</v>
      </c>
      <c r="D1861" s="383">
        <v>0.50694444444444442</v>
      </c>
      <c r="E1861" s="389">
        <v>0.52777777777777779</v>
      </c>
      <c r="F1861" s="385"/>
      <c r="G1861" s="391"/>
      <c r="H1861" s="316"/>
      <c r="I1861" s="391">
        <v>44</v>
      </c>
      <c r="J1861" s="385"/>
      <c r="K1861" s="391"/>
      <c r="L1861" s="385"/>
      <c r="M1861" s="391"/>
      <c r="N1861" s="385"/>
      <c r="O1861" s="190"/>
    </row>
    <row r="1862" spans="3:15" ht="16" x14ac:dyDescent="0.2">
      <c r="C1862" s="119">
        <v>10</v>
      </c>
      <c r="D1862" s="383">
        <v>0.53819444444444442</v>
      </c>
      <c r="E1862" s="389">
        <v>0.55902777777777779</v>
      </c>
      <c r="F1862" s="385">
        <v>28</v>
      </c>
      <c r="G1862" s="391"/>
      <c r="H1862" s="316"/>
      <c r="I1862" s="391"/>
      <c r="J1862" s="385"/>
      <c r="K1862" s="391"/>
      <c r="L1862" s="385"/>
      <c r="M1862" s="391"/>
      <c r="N1862" s="385"/>
      <c r="O1862" s="190"/>
    </row>
    <row r="1863" spans="3:15" ht="16" x14ac:dyDescent="0.2">
      <c r="C1863" s="119">
        <v>11</v>
      </c>
      <c r="D1863" s="383">
        <v>0.56597222222222221</v>
      </c>
      <c r="E1863" s="389">
        <v>0.58680555555555558</v>
      </c>
      <c r="F1863" s="385"/>
      <c r="G1863" s="391"/>
      <c r="H1863" s="316"/>
      <c r="I1863" s="391">
        <v>44</v>
      </c>
      <c r="J1863" s="28"/>
      <c r="K1863" s="391"/>
      <c r="L1863" s="385"/>
      <c r="M1863" s="391"/>
      <c r="N1863" s="385"/>
      <c r="O1863" s="190"/>
    </row>
    <row r="1864" spans="3:15" ht="16" x14ac:dyDescent="0.2">
      <c r="C1864" s="193">
        <v>12</v>
      </c>
      <c r="D1864" s="383">
        <v>0.59375</v>
      </c>
      <c r="E1864" s="389">
        <v>0.61458333333333337</v>
      </c>
      <c r="F1864" s="385">
        <v>28</v>
      </c>
      <c r="G1864" s="391"/>
      <c r="H1864" s="316"/>
      <c r="I1864" s="391"/>
      <c r="J1864" s="385"/>
      <c r="K1864" s="391"/>
      <c r="L1864" s="385"/>
      <c r="M1864" s="391"/>
      <c r="N1864" s="385"/>
      <c r="O1864" s="190"/>
    </row>
    <row r="1865" spans="3:15" ht="16" x14ac:dyDescent="0.2">
      <c r="C1865" s="119">
        <v>13</v>
      </c>
      <c r="D1865" s="383">
        <v>0.62847222222222221</v>
      </c>
      <c r="E1865" s="389">
        <v>0.64930555555555558</v>
      </c>
      <c r="F1865" s="385"/>
      <c r="G1865" s="391"/>
      <c r="H1865" s="316"/>
      <c r="I1865" s="391"/>
      <c r="J1865" s="385">
        <v>36</v>
      </c>
      <c r="K1865" s="391"/>
      <c r="L1865" s="385"/>
      <c r="M1865" s="391"/>
      <c r="N1865" s="385"/>
      <c r="O1865" s="190"/>
    </row>
    <row r="1866" spans="3:15" ht="16" x14ac:dyDescent="0.2">
      <c r="C1866" s="119">
        <v>14</v>
      </c>
      <c r="D1866" s="383">
        <v>0.64930555555555558</v>
      </c>
      <c r="E1866" s="389">
        <v>0.67013888888888884</v>
      </c>
      <c r="F1866" s="385">
        <v>28</v>
      </c>
      <c r="G1866" s="391"/>
      <c r="H1866" s="316"/>
      <c r="I1866" s="391"/>
      <c r="J1866" s="385"/>
      <c r="K1866" s="391"/>
      <c r="L1866" s="385"/>
      <c r="M1866" s="391"/>
      <c r="N1866" s="385"/>
      <c r="O1866" s="190"/>
    </row>
    <row r="1867" spans="3:15" ht="16" x14ac:dyDescent="0.2">
      <c r="C1867" s="119">
        <v>15</v>
      </c>
      <c r="D1867" s="383">
        <v>0.67013888888888884</v>
      </c>
      <c r="E1867" s="389">
        <v>0.69097222222222221</v>
      </c>
      <c r="F1867" s="385"/>
      <c r="G1867" s="391"/>
      <c r="H1867" s="316"/>
      <c r="I1867" s="391"/>
      <c r="J1867" s="385">
        <v>36</v>
      </c>
      <c r="K1867" s="391"/>
      <c r="L1867" s="385"/>
      <c r="M1867" s="391"/>
      <c r="N1867" s="385"/>
      <c r="O1867" s="190"/>
    </row>
    <row r="1868" spans="3:15" ht="16" x14ac:dyDescent="0.2">
      <c r="C1868" s="119">
        <v>16</v>
      </c>
      <c r="D1868" s="383">
        <v>0.69097222222222221</v>
      </c>
      <c r="E1868" s="389">
        <v>0.71180555555555547</v>
      </c>
      <c r="F1868" s="385">
        <v>28</v>
      </c>
      <c r="G1868" s="391"/>
      <c r="H1868" s="316"/>
      <c r="I1868" s="391"/>
      <c r="J1868" s="385"/>
      <c r="K1868" s="391"/>
      <c r="L1868" s="385"/>
      <c r="M1868" s="391"/>
      <c r="N1868" s="385"/>
      <c r="O1868" s="190"/>
    </row>
    <row r="1869" spans="3:15" ht="16" x14ac:dyDescent="0.2">
      <c r="C1869" s="119">
        <v>17</v>
      </c>
      <c r="D1869" s="383">
        <v>0.71875</v>
      </c>
      <c r="E1869" s="389">
        <v>0.73958333333333337</v>
      </c>
      <c r="F1869" s="384"/>
      <c r="G1869" s="33"/>
      <c r="H1869" s="316"/>
      <c r="I1869" s="390"/>
      <c r="J1869" s="385">
        <v>36</v>
      </c>
      <c r="K1869" s="391"/>
      <c r="L1869" s="385"/>
      <c r="M1869" s="391"/>
      <c r="N1869" s="385"/>
      <c r="O1869" s="190"/>
    </row>
    <row r="1870" spans="3:15" ht="16" x14ac:dyDescent="0.2">
      <c r="C1870" s="119">
        <v>18</v>
      </c>
      <c r="D1870" s="383">
        <v>0.74652777777777779</v>
      </c>
      <c r="E1870" s="389">
        <v>0.76736111111111116</v>
      </c>
      <c r="F1870" s="394">
        <v>28</v>
      </c>
      <c r="G1870" s="229"/>
      <c r="H1870" s="394"/>
      <c r="I1870" s="391"/>
      <c r="J1870" s="385"/>
      <c r="K1870" s="391"/>
      <c r="L1870" s="385"/>
      <c r="M1870" s="391"/>
      <c r="N1870" s="385"/>
      <c r="O1870" s="190"/>
    </row>
    <row r="1871" spans="3:15" ht="16" x14ac:dyDescent="0.2">
      <c r="C1871" s="119">
        <v>19</v>
      </c>
      <c r="D1871" s="383">
        <v>0.77083333333333337</v>
      </c>
      <c r="E1871" s="389">
        <v>0.79166666666666663</v>
      </c>
      <c r="F1871" s="385"/>
      <c r="G1871" s="391"/>
      <c r="H1871" s="385"/>
      <c r="I1871" s="391"/>
      <c r="J1871" s="385">
        <v>36</v>
      </c>
      <c r="K1871" s="391"/>
      <c r="L1871" s="403"/>
      <c r="M1871" s="391"/>
      <c r="N1871" s="385"/>
      <c r="O1871" s="190"/>
    </row>
    <row r="1872" spans="3:15" ht="16" x14ac:dyDescent="0.2">
      <c r="C1872" s="119">
        <v>20</v>
      </c>
      <c r="D1872" s="383">
        <v>0.79513888888888884</v>
      </c>
      <c r="E1872" s="389">
        <v>0.81597222222222221</v>
      </c>
      <c r="F1872" s="385">
        <v>28</v>
      </c>
      <c r="G1872" s="391"/>
      <c r="H1872" s="385"/>
      <c r="I1872" s="391"/>
      <c r="J1872" s="385"/>
      <c r="K1872" s="391"/>
      <c r="L1872" s="403"/>
      <c r="M1872" s="391"/>
      <c r="N1872" s="385"/>
      <c r="O1872" s="190"/>
    </row>
    <row r="1873" spans="2:15" ht="16" x14ac:dyDescent="0.2">
      <c r="C1873" s="119">
        <v>21</v>
      </c>
      <c r="D1873" s="383">
        <v>0.82638888888888884</v>
      </c>
      <c r="E1873" s="389">
        <v>0.84722222222222221</v>
      </c>
      <c r="F1873" s="385"/>
      <c r="G1873" s="391"/>
      <c r="H1873" s="385"/>
      <c r="I1873" s="391"/>
      <c r="J1873" s="385">
        <v>28</v>
      </c>
      <c r="K1873" s="391"/>
      <c r="L1873" s="385"/>
      <c r="M1873" s="391"/>
      <c r="N1873" s="385"/>
      <c r="O1873" s="190"/>
    </row>
    <row r="1874" spans="2:15" ht="16" x14ac:dyDescent="0.2">
      <c r="C1874" s="119">
        <v>22</v>
      </c>
      <c r="D1874" s="383">
        <v>0.84722222222222221</v>
      </c>
      <c r="E1874" s="389">
        <v>0.86805555555555547</v>
      </c>
      <c r="F1874" s="385">
        <v>28</v>
      </c>
      <c r="G1874" s="391"/>
      <c r="H1874" s="385"/>
      <c r="I1874" s="391"/>
      <c r="J1874" s="385"/>
      <c r="K1874" s="391"/>
      <c r="L1874" s="385"/>
      <c r="M1874" s="391"/>
      <c r="N1874" s="385"/>
      <c r="O1874" s="190"/>
    </row>
    <row r="1875" spans="2:15" ht="16" x14ac:dyDescent="0.2">
      <c r="C1875" s="119">
        <v>23</v>
      </c>
      <c r="D1875" s="383">
        <v>0.87152777777777779</v>
      </c>
      <c r="E1875" s="389">
        <v>0.89236111111111116</v>
      </c>
      <c r="F1875" s="385">
        <v>28</v>
      </c>
      <c r="G1875" s="391"/>
      <c r="H1875" s="385"/>
      <c r="I1875" s="391"/>
      <c r="J1875" s="385"/>
      <c r="K1875" s="391"/>
      <c r="L1875" s="385"/>
      <c r="M1875" s="391"/>
      <c r="N1875" s="385"/>
      <c r="O1875" s="190"/>
    </row>
    <row r="1876" spans="2:15" ht="16" x14ac:dyDescent="0.2">
      <c r="C1876" s="119">
        <v>24</v>
      </c>
      <c r="D1876" s="383"/>
      <c r="E1876" s="389"/>
      <c r="F1876" s="385"/>
      <c r="G1876" s="391"/>
      <c r="H1876" s="385"/>
      <c r="I1876" s="391"/>
      <c r="J1876" s="385"/>
      <c r="K1876" s="391"/>
      <c r="L1876" s="385"/>
      <c r="M1876" s="391"/>
      <c r="N1876" s="385"/>
      <c r="O1876" s="190"/>
    </row>
    <row r="1877" spans="2:15" ht="16" x14ac:dyDescent="0.2">
      <c r="C1877" s="119">
        <v>25</v>
      </c>
      <c r="D1877" s="383"/>
      <c r="E1877" s="389"/>
      <c r="F1877" s="385"/>
      <c r="G1877" s="391"/>
      <c r="H1877" s="385"/>
      <c r="I1877" s="391"/>
      <c r="J1877" s="385"/>
      <c r="K1877" s="391"/>
      <c r="L1877" s="385"/>
      <c r="M1877" s="391"/>
      <c r="N1877" s="385"/>
      <c r="O1877" s="190"/>
    </row>
    <row r="1878" spans="2:15" ht="16" x14ac:dyDescent="0.2">
      <c r="C1878" s="119">
        <v>26</v>
      </c>
      <c r="D1878" s="383"/>
      <c r="E1878" s="389"/>
      <c r="F1878" s="385"/>
      <c r="G1878" s="391"/>
      <c r="H1878" s="385"/>
      <c r="I1878" s="391"/>
      <c r="J1878" s="385"/>
      <c r="K1878" s="391"/>
      <c r="L1878" s="385"/>
      <c r="M1878" s="391"/>
      <c r="N1878" s="385"/>
      <c r="O1878" s="190"/>
    </row>
    <row r="1879" spans="2:15" ht="16" x14ac:dyDescent="0.2">
      <c r="C1879" s="119">
        <v>27</v>
      </c>
      <c r="D1879" s="383"/>
      <c r="E1879" s="389"/>
      <c r="F1879" s="385"/>
      <c r="G1879" s="391"/>
      <c r="H1879" s="385"/>
      <c r="I1879" s="391"/>
      <c r="J1879" s="385"/>
      <c r="K1879" s="391"/>
      <c r="L1879" s="385"/>
      <c r="M1879" s="391"/>
      <c r="N1879" s="385"/>
      <c r="O1879" s="190"/>
    </row>
    <row r="1880" spans="2:15" ht="16" x14ac:dyDescent="0.2">
      <c r="C1880" s="119">
        <v>28</v>
      </c>
      <c r="D1880" s="383"/>
      <c r="E1880" s="389"/>
      <c r="F1880" s="385"/>
      <c r="G1880" s="391"/>
      <c r="H1880" s="385"/>
      <c r="I1880" s="391"/>
      <c r="J1880" s="385"/>
      <c r="K1880" s="391"/>
      <c r="L1880" s="385"/>
      <c r="M1880" s="391"/>
      <c r="N1880" s="385"/>
      <c r="O1880" s="190"/>
    </row>
    <row r="1881" spans="2:15" ht="16" x14ac:dyDescent="0.2">
      <c r="C1881" s="119">
        <v>29</v>
      </c>
      <c r="D1881" s="383"/>
      <c r="E1881" s="389"/>
      <c r="F1881" s="385"/>
      <c r="G1881" s="391"/>
      <c r="H1881" s="385"/>
      <c r="I1881" s="391"/>
      <c r="J1881" s="385"/>
      <c r="K1881" s="391"/>
      <c r="L1881" s="385"/>
      <c r="M1881" s="391"/>
      <c r="N1881" s="385"/>
      <c r="O1881" s="190"/>
    </row>
    <row r="1882" spans="2:15" ht="16" x14ac:dyDescent="0.2">
      <c r="C1882" s="119">
        <v>30</v>
      </c>
      <c r="D1882" s="383"/>
      <c r="E1882" s="389"/>
      <c r="F1882" s="385"/>
      <c r="G1882" s="391"/>
      <c r="H1882" s="385"/>
      <c r="I1882" s="391"/>
      <c r="J1882" s="385"/>
      <c r="K1882" s="391"/>
      <c r="L1882" s="385"/>
      <c r="M1882" s="391"/>
      <c r="N1882" s="385"/>
      <c r="O1882" s="190"/>
    </row>
    <row r="1883" spans="2:15" ht="16" x14ac:dyDescent="0.2">
      <c r="C1883" s="120">
        <v>31</v>
      </c>
      <c r="D1883" s="383"/>
      <c r="E1883" s="389"/>
      <c r="F1883" s="384"/>
      <c r="G1883" s="390"/>
      <c r="H1883" s="384"/>
      <c r="I1883" s="390"/>
      <c r="J1883" s="384"/>
      <c r="K1883" s="390"/>
      <c r="L1883" s="384"/>
      <c r="M1883" s="390"/>
      <c r="N1883" s="384"/>
      <c r="O1883" s="190"/>
    </row>
    <row r="1884" spans="2:15" ht="16" x14ac:dyDescent="0.2">
      <c r="B1884" s="256"/>
      <c r="C1884" s="377">
        <v>32</v>
      </c>
      <c r="D1884" s="384"/>
      <c r="E1884" s="390"/>
      <c r="F1884" s="384"/>
      <c r="G1884" s="390"/>
      <c r="H1884" s="384"/>
      <c r="I1884" s="390"/>
      <c r="J1884" s="384"/>
      <c r="K1884" s="390"/>
      <c r="L1884" s="384"/>
      <c r="M1884" s="390"/>
      <c r="N1884" s="384"/>
      <c r="O1884" s="190"/>
    </row>
    <row r="1885" spans="2:15" ht="16" x14ac:dyDescent="0.2">
      <c r="B1885" s="256"/>
      <c r="C1885" s="119">
        <v>33</v>
      </c>
      <c r="D1885" s="385"/>
      <c r="E1885" s="391"/>
      <c r="F1885" s="385"/>
      <c r="G1885" s="391"/>
      <c r="H1885" s="385"/>
      <c r="I1885" s="391"/>
      <c r="J1885" s="385"/>
      <c r="K1885" s="391"/>
      <c r="L1885" s="385"/>
      <c r="M1885" s="391"/>
      <c r="N1885" s="385"/>
      <c r="O1885" s="190"/>
    </row>
    <row r="1886" spans="2:15" ht="16" x14ac:dyDescent="0.2">
      <c r="B1886" s="256"/>
      <c r="C1886" s="119">
        <v>34</v>
      </c>
      <c r="D1886" s="385"/>
      <c r="E1886" s="391"/>
      <c r="F1886" s="385"/>
      <c r="G1886" s="391"/>
      <c r="H1886" s="385"/>
      <c r="I1886" s="391"/>
      <c r="J1886" s="385"/>
      <c r="K1886" s="391"/>
      <c r="L1886" s="385"/>
      <c r="M1886" s="391"/>
      <c r="N1886" s="385"/>
      <c r="O1886" s="190"/>
    </row>
    <row r="1887" spans="2:15" ht="16" x14ac:dyDescent="0.2">
      <c r="B1887" s="256"/>
      <c r="C1887" s="119">
        <v>35</v>
      </c>
      <c r="D1887" s="385"/>
      <c r="E1887" s="391"/>
      <c r="F1887" s="385"/>
      <c r="G1887" s="391"/>
      <c r="H1887" s="385"/>
      <c r="I1887" s="391"/>
      <c r="J1887" s="385"/>
      <c r="K1887" s="391"/>
      <c r="L1887" s="385"/>
      <c r="M1887" s="391"/>
      <c r="N1887" s="385"/>
      <c r="O1887" s="190"/>
    </row>
    <row r="1888" spans="2:15" ht="16" x14ac:dyDescent="0.2">
      <c r="B1888" s="256"/>
      <c r="C1888" s="119">
        <v>36</v>
      </c>
      <c r="D1888" s="385"/>
      <c r="E1888" s="391"/>
      <c r="F1888" s="385"/>
      <c r="G1888" s="391"/>
      <c r="H1888" s="385"/>
      <c r="I1888" s="391"/>
      <c r="J1888" s="385"/>
      <c r="K1888" s="391"/>
      <c r="L1888" s="385"/>
      <c r="M1888" s="391"/>
      <c r="N1888" s="385"/>
      <c r="O1888" s="190"/>
    </row>
    <row r="1889" spans="2:15" ht="17" thickBot="1" x14ac:dyDescent="0.25">
      <c r="B1889" s="256"/>
      <c r="C1889" s="378">
        <v>37</v>
      </c>
      <c r="D1889" s="386"/>
      <c r="E1889" s="392"/>
      <c r="F1889" s="386"/>
      <c r="G1889" s="392"/>
      <c r="H1889" s="386"/>
      <c r="I1889" s="392"/>
      <c r="J1889" s="386"/>
      <c r="K1889" s="392"/>
      <c r="L1889" s="386"/>
      <c r="M1889" s="392"/>
      <c r="N1889" s="386"/>
      <c r="O1889" s="190"/>
    </row>
    <row r="1890" spans="2:15" ht="17" thickBot="1" x14ac:dyDescent="0.25">
      <c r="C1890" s="825" t="s">
        <v>19</v>
      </c>
      <c r="D1890" s="826"/>
      <c r="E1890" s="380"/>
      <c r="F1890" s="376">
        <f>(F1853+F1854+F1855+F1856+F1857+F1858+F1874+F1861+F1862+F1859+F1860+F1863+F1864+F1865+F1866+F1867+F1868+F1869+F1870+F1871+F1872+F1873+F1875+F1876+F1878+F1879+F1880+F1881+F1882+F1883+F1884+F1885+F1886+F1889)/2</f>
        <v>112</v>
      </c>
      <c r="G1890" s="397">
        <f>(G1853+G1854+G1855+G1856+G1857+G1874+G1858+G1862+G1861+G1859+G1860+G1863+G1864+G1865+G1866+G1867+G1868+G1869+G1870+G1871+G1872+G1873+G1875+G1876+G1878+G1879+G1880+G1881+G1882+G1883+G1884+G1885)/2</f>
        <v>63</v>
      </c>
      <c r="H1890" s="399">
        <f>(H1853+H1854+H1855+H1856+H1857+H1858+H1874+H1877+H1861+H1862+H1859+H1860+H1863+H1864+H1865+H1866+H1867+H1868+H1869+H1870+H1871+H1872+H1873+H1875+H1876+H1878+H1879+H1880+H1881+H1882+H1883+H1884+H1885+H1886+H1889)/2</f>
        <v>28</v>
      </c>
      <c r="I1890" s="398">
        <f>(I1853+I1854+I1855+I1856+I1857+I1887+I1888+I1858+I1874+I1861+I1877+I1862+I1859+I1860+I1863+I1864+I1865+I1866+I1867+I1868+I1869+I1870+I1871+I1872+I1873+I1875+I1876+I1878+I1879+I1880+I1881+I1882+I1883+I1884+I1885+I1886+I1889)/2</f>
        <v>55</v>
      </c>
      <c r="J1890" s="376">
        <f>(J1853+J1854+J1855+J1856+J1857+J1858+J1862+J1859+J1861+J1860+J1877+J1863+J1864+J1865+J1866+J1867+J1868+J1869+J1870+J1871+J1872+J1873+J1874+J1875+J1876+J1878+J1879+J1880+J1881+J1882+J1883+J1884+J1885)/2</f>
        <v>86</v>
      </c>
      <c r="K1890" s="397">
        <f>(K1853+K1854+K1855+K1856+K1857+K1858+K1862+K1859+K1860+K1863+K1864+K1865+K1866+K1867+K1868+K1869+K1870+K1871+K1872+K1873+K1875+K1876+K1878+K1879+K1880+K1881+K1882+K1883+K1884+K1885+K1874)</f>
        <v>0</v>
      </c>
      <c r="L1890" s="399">
        <f>SUM(L1853:L1889)</f>
        <v>0</v>
      </c>
      <c r="M1890" s="398">
        <f>(M1853+M1854+M1855+M1856+M1857+M1858+M1862+M1861+M1859+M1860+M1863+M1864+M1865+M1866+M1867+M1868+M1869+M1870+M1871+M1872+M1873+M1875+M1876+M1878+M1879+M1880+M1881+M1882+M1883+M1884+M1885)/2</f>
        <v>0</v>
      </c>
      <c r="N1890" s="376"/>
      <c r="O1890" s="41"/>
    </row>
    <row r="1891" spans="2:15" ht="17" thickBot="1" x14ac:dyDescent="0.25">
      <c r="C1891" s="825" t="s">
        <v>91</v>
      </c>
      <c r="D1891" s="826"/>
      <c r="E1891" s="381">
        <f>SUM(F1890:J1890)</f>
        <v>344</v>
      </c>
    </row>
    <row r="1892" spans="2:15" ht="16" thickBot="1" x14ac:dyDescent="0.25"/>
    <row r="1893" spans="2:15" ht="17" thickBot="1" x14ac:dyDescent="0.25">
      <c r="C1893" s="17"/>
      <c r="D1893" s="379" t="s">
        <v>83</v>
      </c>
      <c r="E1893" s="818" t="s">
        <v>69</v>
      </c>
      <c r="F1893" s="819"/>
      <c r="G1893" s="819"/>
      <c r="H1893" s="819"/>
      <c r="I1893" s="819"/>
      <c r="J1893" s="400" t="s">
        <v>76</v>
      </c>
      <c r="K1893" s="820">
        <v>45718</v>
      </c>
      <c r="L1893" s="821"/>
      <c r="M1893" s="821"/>
      <c r="N1893" s="821"/>
      <c r="O1893" s="822"/>
    </row>
    <row r="1894" spans="2:15" ht="16" thickBot="1" x14ac:dyDescent="0.25">
      <c r="B1894" s="175" t="s">
        <v>76</v>
      </c>
      <c r="C1894" s="175" t="s">
        <v>77</v>
      </c>
      <c r="D1894" s="823" t="s">
        <v>122</v>
      </c>
      <c r="E1894" s="824"/>
      <c r="F1894" s="175" t="s">
        <v>104</v>
      </c>
      <c r="G1894" s="395" t="s">
        <v>86</v>
      </c>
      <c r="H1894" s="175" t="s">
        <v>88</v>
      </c>
      <c r="I1894" s="395" t="s">
        <v>87</v>
      </c>
      <c r="J1894" s="401" t="s">
        <v>85</v>
      </c>
      <c r="K1894" s="395" t="s">
        <v>123</v>
      </c>
      <c r="L1894" s="175" t="s">
        <v>124</v>
      </c>
      <c r="M1894" s="395" t="s">
        <v>100</v>
      </c>
      <c r="N1894" s="175" t="s">
        <v>213</v>
      </c>
      <c r="O1894" s="404" t="s">
        <v>125</v>
      </c>
    </row>
    <row r="1895" spans="2:15" ht="16" thickBot="1" x14ac:dyDescent="0.25">
      <c r="B1895" s="176">
        <f>K1893</f>
        <v>45718</v>
      </c>
      <c r="C1895" s="374"/>
      <c r="D1895" s="375" t="s">
        <v>126</v>
      </c>
      <c r="E1895" s="387" t="s">
        <v>127</v>
      </c>
      <c r="F1895" s="331">
        <v>11</v>
      </c>
      <c r="G1895" s="237">
        <v>7</v>
      </c>
      <c r="H1895" s="331">
        <v>4</v>
      </c>
      <c r="I1895" s="237">
        <v>4</v>
      </c>
      <c r="J1895" s="331">
        <v>10</v>
      </c>
      <c r="K1895" s="231"/>
      <c r="L1895" s="125"/>
      <c r="M1895" s="231"/>
      <c r="N1895" s="125"/>
      <c r="O1895" s="326"/>
    </row>
    <row r="1896" spans="2:15" ht="16" x14ac:dyDescent="0.2">
      <c r="C1896" s="118">
        <v>1</v>
      </c>
      <c r="D1896" s="382">
        <v>0.30208333333333331</v>
      </c>
      <c r="E1896" s="388">
        <v>0.32291666666666669</v>
      </c>
      <c r="F1896" s="393"/>
      <c r="G1896" s="396">
        <v>28</v>
      </c>
      <c r="H1896" s="393"/>
      <c r="I1896" s="396"/>
      <c r="J1896" s="393"/>
      <c r="K1896" s="396"/>
      <c r="L1896" s="393"/>
      <c r="M1896" s="396"/>
      <c r="N1896" s="393"/>
      <c r="O1896" s="190"/>
    </row>
    <row r="1897" spans="2:15" ht="16" x14ac:dyDescent="0.2">
      <c r="C1897" s="119">
        <v>2</v>
      </c>
      <c r="D1897" s="383">
        <v>0.32291666666666669</v>
      </c>
      <c r="E1897" s="389">
        <v>0.34375</v>
      </c>
      <c r="F1897" s="385"/>
      <c r="G1897" s="391">
        <v>28</v>
      </c>
      <c r="H1897" s="385"/>
      <c r="I1897" s="391"/>
      <c r="J1897" s="385"/>
      <c r="K1897" s="391"/>
      <c r="L1897" s="385"/>
      <c r="M1897" s="391"/>
      <c r="N1897" s="385"/>
      <c r="O1897" s="190"/>
    </row>
    <row r="1898" spans="2:15" ht="16" x14ac:dyDescent="0.2">
      <c r="C1898" s="119">
        <v>3</v>
      </c>
      <c r="D1898" s="383">
        <v>0.34375</v>
      </c>
      <c r="E1898" s="389">
        <v>0.36458333333333331</v>
      </c>
      <c r="F1898" s="385"/>
      <c r="G1898" s="391">
        <v>28</v>
      </c>
      <c r="H1898" s="385"/>
      <c r="I1898" s="391"/>
      <c r="J1898" s="385"/>
      <c r="K1898" s="391"/>
      <c r="L1898" s="384"/>
      <c r="M1898" s="391"/>
      <c r="N1898" s="385"/>
      <c r="O1898" s="190"/>
    </row>
    <row r="1899" spans="2:15" ht="16" x14ac:dyDescent="0.2">
      <c r="C1899" s="119">
        <v>4</v>
      </c>
      <c r="D1899" s="383">
        <v>0.36458333333333331</v>
      </c>
      <c r="E1899" s="389">
        <v>0.38541666666666669</v>
      </c>
      <c r="F1899" s="385"/>
      <c r="G1899" s="391"/>
      <c r="H1899" s="316">
        <v>28</v>
      </c>
      <c r="I1899" s="391"/>
      <c r="J1899" s="385"/>
      <c r="K1899" s="391"/>
      <c r="L1899" s="402"/>
      <c r="M1899" s="391"/>
      <c r="N1899" s="385"/>
      <c r="O1899" s="190"/>
    </row>
    <row r="1900" spans="2:15" ht="16" x14ac:dyDescent="0.2">
      <c r="C1900" s="119">
        <v>5</v>
      </c>
      <c r="D1900" s="383">
        <v>0.3888888888888889</v>
      </c>
      <c r="E1900" s="389">
        <v>0.40972222222222227</v>
      </c>
      <c r="F1900" s="385"/>
      <c r="G1900" s="391"/>
      <c r="H1900" s="316">
        <v>28</v>
      </c>
      <c r="I1900" s="391"/>
      <c r="J1900" s="385"/>
      <c r="K1900" s="391"/>
      <c r="L1900" s="393"/>
      <c r="M1900" s="391"/>
      <c r="N1900" s="385"/>
      <c r="O1900" s="190"/>
    </row>
    <row r="1901" spans="2:15" ht="16" x14ac:dyDescent="0.2">
      <c r="C1901" s="119">
        <v>6</v>
      </c>
      <c r="D1901" s="383">
        <v>0.40972222222222227</v>
      </c>
      <c r="E1901" s="389">
        <v>0.43055555555555558</v>
      </c>
      <c r="F1901" s="385"/>
      <c r="G1901" s="391">
        <v>12</v>
      </c>
      <c r="H1901" s="316"/>
      <c r="I1901" s="391"/>
      <c r="J1901" s="385"/>
      <c r="K1901" s="391"/>
      <c r="L1901" s="393"/>
      <c r="M1901" s="391"/>
      <c r="N1901" s="385"/>
      <c r="O1901" s="190"/>
    </row>
    <row r="1902" spans="2:15" ht="16" x14ac:dyDescent="0.2">
      <c r="C1902" s="119">
        <v>7</v>
      </c>
      <c r="D1902" s="383">
        <v>0.4201388888888889</v>
      </c>
      <c r="E1902" s="389">
        <v>0.44097222222222227</v>
      </c>
      <c r="F1902" s="385">
        <v>8</v>
      </c>
      <c r="G1902" s="391"/>
      <c r="H1902" s="316"/>
      <c r="I1902" s="391"/>
      <c r="J1902" s="385"/>
      <c r="K1902" s="391"/>
      <c r="L1902" s="393"/>
      <c r="M1902" s="391"/>
      <c r="N1902" s="385"/>
      <c r="O1902" s="190"/>
    </row>
    <row r="1903" spans="2:15" ht="16" x14ac:dyDescent="0.2">
      <c r="C1903" s="119">
        <v>8</v>
      </c>
      <c r="D1903" s="383">
        <v>0.4513888888888889</v>
      </c>
      <c r="E1903" s="389">
        <v>0.47222222222222227</v>
      </c>
      <c r="F1903" s="385"/>
      <c r="G1903" s="391"/>
      <c r="H1903" s="316"/>
      <c r="I1903" s="391">
        <v>44</v>
      </c>
      <c r="J1903" s="385"/>
      <c r="K1903" s="391"/>
      <c r="L1903" s="385"/>
      <c r="M1903" s="391"/>
      <c r="N1903" s="385"/>
      <c r="O1903" s="190"/>
    </row>
    <row r="1904" spans="2:15" ht="16" x14ac:dyDescent="0.2">
      <c r="C1904" s="119">
        <v>9</v>
      </c>
      <c r="D1904" s="383">
        <v>0.4861111111111111</v>
      </c>
      <c r="E1904" s="389">
        <v>0.50694444444444442</v>
      </c>
      <c r="F1904" s="385">
        <v>28</v>
      </c>
      <c r="G1904" s="391"/>
      <c r="H1904" s="316"/>
      <c r="I1904" s="391"/>
      <c r="J1904" s="385"/>
      <c r="K1904" s="391"/>
      <c r="L1904" s="385"/>
      <c r="M1904" s="391"/>
      <c r="N1904" s="385"/>
      <c r="O1904" s="190"/>
    </row>
    <row r="1905" spans="3:15" ht="16" x14ac:dyDescent="0.2">
      <c r="C1905" s="119">
        <v>10</v>
      </c>
      <c r="D1905" s="383">
        <v>0.51388888888888895</v>
      </c>
      <c r="E1905" s="389">
        <v>0.53472222222222221</v>
      </c>
      <c r="F1905" s="385"/>
      <c r="G1905" s="391"/>
      <c r="H1905" s="316"/>
      <c r="I1905" s="391">
        <v>44</v>
      </c>
      <c r="J1905" s="385"/>
      <c r="K1905" s="391"/>
      <c r="L1905" s="385"/>
      <c r="M1905" s="391"/>
      <c r="N1905" s="385"/>
      <c r="O1905" s="190"/>
    </row>
    <row r="1906" spans="3:15" ht="16" x14ac:dyDescent="0.2">
      <c r="C1906" s="119">
        <v>11</v>
      </c>
      <c r="D1906" s="383">
        <v>0.54513888888888895</v>
      </c>
      <c r="E1906" s="389">
        <v>0.56597222222222221</v>
      </c>
      <c r="F1906" s="385">
        <v>28</v>
      </c>
      <c r="G1906" s="391"/>
      <c r="H1906" s="316"/>
      <c r="I1906" s="391"/>
      <c r="J1906" s="28"/>
      <c r="K1906" s="391"/>
      <c r="L1906" s="385"/>
      <c r="M1906" s="391"/>
      <c r="N1906" s="385"/>
      <c r="O1906" s="190"/>
    </row>
    <row r="1907" spans="3:15" ht="16" x14ac:dyDescent="0.2">
      <c r="C1907" s="193">
        <v>12</v>
      </c>
      <c r="D1907" s="383">
        <v>0.57638888888888895</v>
      </c>
      <c r="E1907" s="389">
        <v>0.59722222222222221</v>
      </c>
      <c r="F1907" s="385"/>
      <c r="G1907" s="391"/>
      <c r="H1907" s="316"/>
      <c r="I1907" s="391"/>
      <c r="J1907" s="385">
        <v>36</v>
      </c>
      <c r="K1907" s="391"/>
      <c r="L1907" s="385"/>
      <c r="M1907" s="391"/>
      <c r="N1907" s="385"/>
      <c r="O1907" s="190"/>
    </row>
    <row r="1908" spans="3:15" ht="16" x14ac:dyDescent="0.2">
      <c r="C1908" s="119">
        <v>13</v>
      </c>
      <c r="D1908" s="383">
        <v>0.60069444444444442</v>
      </c>
      <c r="E1908" s="389">
        <v>0.62152777777777779</v>
      </c>
      <c r="F1908" s="385">
        <v>28</v>
      </c>
      <c r="G1908" s="391"/>
      <c r="H1908" s="316"/>
      <c r="I1908" s="391"/>
      <c r="J1908" s="385"/>
      <c r="K1908" s="391"/>
      <c r="L1908" s="385"/>
      <c r="M1908" s="391"/>
      <c r="N1908" s="385"/>
      <c r="O1908" s="190"/>
    </row>
    <row r="1909" spans="3:15" ht="16" x14ac:dyDescent="0.2">
      <c r="C1909" s="119">
        <v>14</v>
      </c>
      <c r="D1909" s="383">
        <v>0.63541666666666663</v>
      </c>
      <c r="E1909" s="389">
        <v>0.65625</v>
      </c>
      <c r="F1909" s="385"/>
      <c r="G1909" s="391"/>
      <c r="H1909" s="316"/>
      <c r="I1909" s="391"/>
      <c r="J1909" s="385">
        <v>36</v>
      </c>
      <c r="K1909" s="391"/>
      <c r="L1909" s="385"/>
      <c r="M1909" s="391"/>
      <c r="N1909" s="385"/>
      <c r="O1909" s="190"/>
    </row>
    <row r="1910" spans="3:15" ht="16" x14ac:dyDescent="0.2">
      <c r="C1910" s="119">
        <v>15</v>
      </c>
      <c r="D1910" s="383">
        <v>0.66319444444444442</v>
      </c>
      <c r="E1910" s="389">
        <v>0.68402777777777779</v>
      </c>
      <c r="F1910" s="385">
        <v>28</v>
      </c>
      <c r="G1910" s="391"/>
      <c r="H1910" s="316"/>
      <c r="I1910" s="391"/>
      <c r="J1910" s="385"/>
      <c r="K1910" s="391"/>
      <c r="L1910" s="385"/>
      <c r="M1910" s="391"/>
      <c r="N1910" s="385"/>
      <c r="O1910" s="190"/>
    </row>
    <row r="1911" spans="3:15" ht="16" x14ac:dyDescent="0.2">
      <c r="C1911" s="119">
        <v>16</v>
      </c>
      <c r="D1911" s="383">
        <v>0.6875</v>
      </c>
      <c r="E1911" s="389">
        <v>0.70833333333333337</v>
      </c>
      <c r="F1911" s="385"/>
      <c r="G1911" s="391"/>
      <c r="H1911" s="316"/>
      <c r="I1911" s="391"/>
      <c r="J1911" s="385">
        <v>36</v>
      </c>
      <c r="K1911" s="391"/>
      <c r="L1911" s="385"/>
      <c r="M1911" s="391"/>
      <c r="N1911" s="385"/>
      <c r="O1911" s="190"/>
    </row>
    <row r="1912" spans="3:15" ht="16" x14ac:dyDescent="0.2">
      <c r="C1912" s="119">
        <v>17</v>
      </c>
      <c r="D1912" s="383">
        <v>0.71875</v>
      </c>
      <c r="E1912" s="389">
        <v>0.73958333333333337</v>
      </c>
      <c r="F1912" s="384">
        <v>28</v>
      </c>
      <c r="G1912" s="33"/>
      <c r="H1912" s="316"/>
      <c r="I1912" s="390"/>
      <c r="J1912" s="385"/>
      <c r="K1912" s="391"/>
      <c r="L1912" s="385"/>
      <c r="M1912" s="391"/>
      <c r="N1912" s="385"/>
      <c r="O1912" s="190"/>
    </row>
    <row r="1913" spans="3:15" ht="16" x14ac:dyDescent="0.2">
      <c r="C1913" s="119">
        <v>18</v>
      </c>
      <c r="D1913" s="383">
        <v>0.73958333333333337</v>
      </c>
      <c r="E1913" s="389">
        <v>0.76041666666666663</v>
      </c>
      <c r="F1913" s="394"/>
      <c r="G1913" s="229"/>
      <c r="H1913" s="394"/>
      <c r="I1913" s="391"/>
      <c r="J1913" s="385">
        <v>36</v>
      </c>
      <c r="K1913" s="391"/>
      <c r="L1913" s="385"/>
      <c r="M1913" s="391"/>
      <c r="N1913" s="385"/>
      <c r="O1913" s="190"/>
    </row>
    <row r="1914" spans="3:15" ht="16" x14ac:dyDescent="0.2">
      <c r="C1914" s="119">
        <v>19</v>
      </c>
      <c r="D1914" s="383">
        <v>0.78472222222222221</v>
      </c>
      <c r="E1914" s="389">
        <v>0.80555555555555547</v>
      </c>
      <c r="F1914" s="385"/>
      <c r="G1914" s="391"/>
      <c r="H1914" s="385"/>
      <c r="I1914" s="391"/>
      <c r="J1914" s="385">
        <v>32</v>
      </c>
      <c r="K1914" s="391"/>
      <c r="L1914" s="403"/>
      <c r="M1914" s="391"/>
      <c r="N1914" s="385"/>
      <c r="O1914" s="190"/>
    </row>
    <row r="1915" spans="3:15" ht="16" x14ac:dyDescent="0.2">
      <c r="C1915" s="119">
        <v>20</v>
      </c>
      <c r="D1915" s="383"/>
      <c r="E1915" s="389"/>
      <c r="F1915" s="385"/>
      <c r="G1915" s="391"/>
      <c r="H1915" s="385"/>
      <c r="I1915" s="391"/>
      <c r="J1915" s="385"/>
      <c r="K1915" s="391"/>
      <c r="L1915" s="403"/>
      <c r="M1915" s="391"/>
      <c r="N1915" s="385"/>
      <c r="O1915" s="190"/>
    </row>
    <row r="1916" spans="3:15" ht="16" x14ac:dyDescent="0.2">
      <c r="C1916" s="119">
        <v>21</v>
      </c>
      <c r="D1916" s="383"/>
      <c r="E1916" s="389"/>
      <c r="F1916" s="385"/>
      <c r="G1916" s="391"/>
      <c r="H1916" s="385"/>
      <c r="I1916" s="391"/>
      <c r="J1916" s="385"/>
      <c r="K1916" s="391"/>
      <c r="L1916" s="385"/>
      <c r="M1916" s="391"/>
      <c r="N1916" s="385"/>
      <c r="O1916" s="190"/>
    </row>
    <row r="1917" spans="3:15" ht="16" x14ac:dyDescent="0.2">
      <c r="C1917" s="119">
        <v>22</v>
      </c>
      <c r="D1917" s="383"/>
      <c r="E1917" s="389"/>
      <c r="F1917" s="385"/>
      <c r="G1917" s="391"/>
      <c r="H1917" s="385"/>
      <c r="I1917" s="391"/>
      <c r="J1917" s="385"/>
      <c r="K1917" s="391"/>
      <c r="L1917" s="385"/>
      <c r="M1917" s="391"/>
      <c r="N1917" s="385"/>
      <c r="O1917" s="190"/>
    </row>
    <row r="1918" spans="3:15" ht="16" x14ac:dyDescent="0.2">
      <c r="C1918" s="119">
        <v>23</v>
      </c>
      <c r="D1918" s="383"/>
      <c r="E1918" s="389"/>
      <c r="F1918" s="385"/>
      <c r="G1918" s="391"/>
      <c r="H1918" s="385"/>
      <c r="I1918" s="391"/>
      <c r="J1918" s="385"/>
      <c r="K1918" s="391"/>
      <c r="L1918" s="385"/>
      <c r="M1918" s="391"/>
      <c r="N1918" s="385"/>
      <c r="O1918" s="190"/>
    </row>
    <row r="1919" spans="3:15" ht="16" x14ac:dyDescent="0.2">
      <c r="C1919" s="119">
        <v>24</v>
      </c>
      <c r="D1919" s="383"/>
      <c r="E1919" s="389"/>
      <c r="F1919" s="385"/>
      <c r="G1919" s="391"/>
      <c r="H1919" s="385"/>
      <c r="I1919" s="391"/>
      <c r="J1919" s="385"/>
      <c r="K1919" s="391"/>
      <c r="L1919" s="385"/>
      <c r="M1919" s="391"/>
      <c r="N1919" s="385"/>
      <c r="O1919" s="190"/>
    </row>
    <row r="1920" spans="3:15" ht="16" x14ac:dyDescent="0.2">
      <c r="C1920" s="119">
        <v>25</v>
      </c>
      <c r="D1920" s="383"/>
      <c r="E1920" s="389"/>
      <c r="F1920" s="385"/>
      <c r="G1920" s="391"/>
      <c r="H1920" s="385"/>
      <c r="I1920" s="391"/>
      <c r="J1920" s="385"/>
      <c r="K1920" s="391"/>
      <c r="L1920" s="385"/>
      <c r="M1920" s="391"/>
      <c r="N1920" s="385"/>
      <c r="O1920" s="190"/>
    </row>
    <row r="1921" spans="2:15" ht="16" x14ac:dyDescent="0.2">
      <c r="C1921" s="119">
        <v>26</v>
      </c>
      <c r="D1921" s="383"/>
      <c r="E1921" s="389"/>
      <c r="F1921" s="385"/>
      <c r="G1921" s="391"/>
      <c r="H1921" s="385"/>
      <c r="I1921" s="391"/>
      <c r="J1921" s="385"/>
      <c r="K1921" s="391"/>
      <c r="L1921" s="385"/>
      <c r="M1921" s="391"/>
      <c r="N1921" s="385"/>
      <c r="O1921" s="190"/>
    </row>
    <row r="1922" spans="2:15" ht="16" x14ac:dyDescent="0.2">
      <c r="C1922" s="119">
        <v>27</v>
      </c>
      <c r="D1922" s="383"/>
      <c r="E1922" s="389"/>
      <c r="F1922" s="385"/>
      <c r="G1922" s="391"/>
      <c r="H1922" s="385"/>
      <c r="I1922" s="391"/>
      <c r="J1922" s="385"/>
      <c r="K1922" s="391"/>
      <c r="L1922" s="385"/>
      <c r="M1922" s="391"/>
      <c r="N1922" s="385"/>
      <c r="O1922" s="190"/>
    </row>
    <row r="1923" spans="2:15" ht="16" x14ac:dyDescent="0.2">
      <c r="C1923" s="119">
        <v>28</v>
      </c>
      <c r="D1923" s="383"/>
      <c r="E1923" s="389"/>
      <c r="F1923" s="385"/>
      <c r="G1923" s="391"/>
      <c r="H1923" s="385"/>
      <c r="I1923" s="391"/>
      <c r="J1923" s="385"/>
      <c r="K1923" s="391"/>
      <c r="L1923" s="385"/>
      <c r="M1923" s="391"/>
      <c r="N1923" s="385"/>
      <c r="O1923" s="190"/>
    </row>
    <row r="1924" spans="2:15" ht="16" x14ac:dyDescent="0.2">
      <c r="C1924" s="119">
        <v>29</v>
      </c>
      <c r="D1924" s="383"/>
      <c r="E1924" s="389"/>
      <c r="F1924" s="385"/>
      <c r="G1924" s="391"/>
      <c r="H1924" s="385"/>
      <c r="I1924" s="391"/>
      <c r="J1924" s="385"/>
      <c r="K1924" s="391"/>
      <c r="L1924" s="385"/>
      <c r="M1924" s="391"/>
      <c r="N1924" s="385"/>
      <c r="O1924" s="190"/>
    </row>
    <row r="1925" spans="2:15" ht="16" x14ac:dyDescent="0.2">
      <c r="C1925" s="119">
        <v>30</v>
      </c>
      <c r="D1925" s="383"/>
      <c r="E1925" s="389"/>
      <c r="F1925" s="385"/>
      <c r="G1925" s="391"/>
      <c r="H1925" s="385"/>
      <c r="I1925" s="391"/>
      <c r="J1925" s="385"/>
      <c r="K1925" s="391"/>
      <c r="L1925" s="385"/>
      <c r="M1925" s="391"/>
      <c r="N1925" s="385"/>
      <c r="O1925" s="190"/>
    </row>
    <row r="1926" spans="2:15" ht="16" x14ac:dyDescent="0.2">
      <c r="C1926" s="120">
        <v>31</v>
      </c>
      <c r="D1926" s="383"/>
      <c r="E1926" s="389"/>
      <c r="F1926" s="384"/>
      <c r="G1926" s="390"/>
      <c r="H1926" s="384"/>
      <c r="I1926" s="390"/>
      <c r="J1926" s="384"/>
      <c r="K1926" s="390"/>
      <c r="L1926" s="384"/>
      <c r="M1926" s="390"/>
      <c r="N1926" s="384"/>
      <c r="O1926" s="190"/>
    </row>
    <row r="1927" spans="2:15" ht="16" x14ac:dyDescent="0.2">
      <c r="B1927" s="256"/>
      <c r="C1927" s="377">
        <v>32</v>
      </c>
      <c r="D1927" s="384"/>
      <c r="E1927" s="390"/>
      <c r="F1927" s="384"/>
      <c r="G1927" s="390"/>
      <c r="H1927" s="384"/>
      <c r="I1927" s="390"/>
      <c r="J1927" s="384"/>
      <c r="K1927" s="390"/>
      <c r="L1927" s="384"/>
      <c r="M1927" s="390"/>
      <c r="N1927" s="384"/>
      <c r="O1927" s="190"/>
    </row>
    <row r="1928" spans="2:15" ht="16" x14ac:dyDescent="0.2">
      <c r="B1928" s="256"/>
      <c r="C1928" s="119">
        <v>33</v>
      </c>
      <c r="D1928" s="385"/>
      <c r="E1928" s="391"/>
      <c r="F1928" s="385"/>
      <c r="G1928" s="391"/>
      <c r="H1928" s="385"/>
      <c r="I1928" s="391"/>
      <c r="J1928" s="385"/>
      <c r="K1928" s="391"/>
      <c r="L1928" s="385"/>
      <c r="M1928" s="391"/>
      <c r="N1928" s="385"/>
      <c r="O1928" s="190"/>
    </row>
    <row r="1929" spans="2:15" ht="16" x14ac:dyDescent="0.2">
      <c r="B1929" s="256"/>
      <c r="C1929" s="119">
        <v>34</v>
      </c>
      <c r="D1929" s="385"/>
      <c r="E1929" s="391"/>
      <c r="F1929" s="385"/>
      <c r="G1929" s="391"/>
      <c r="H1929" s="385"/>
      <c r="I1929" s="391"/>
      <c r="J1929" s="385"/>
      <c r="K1929" s="391"/>
      <c r="L1929" s="385"/>
      <c r="M1929" s="391"/>
      <c r="N1929" s="385"/>
      <c r="O1929" s="190"/>
    </row>
    <row r="1930" spans="2:15" ht="16" x14ac:dyDescent="0.2">
      <c r="B1930" s="256"/>
      <c r="C1930" s="119">
        <v>35</v>
      </c>
      <c r="D1930" s="385"/>
      <c r="E1930" s="391"/>
      <c r="F1930" s="385"/>
      <c r="G1930" s="391"/>
      <c r="H1930" s="385"/>
      <c r="I1930" s="391"/>
      <c r="J1930" s="385"/>
      <c r="K1930" s="391"/>
      <c r="L1930" s="385"/>
      <c r="M1930" s="391"/>
      <c r="N1930" s="385"/>
      <c r="O1930" s="190"/>
    </row>
    <row r="1931" spans="2:15" ht="16" x14ac:dyDescent="0.2">
      <c r="B1931" s="256"/>
      <c r="C1931" s="119">
        <v>36</v>
      </c>
      <c r="D1931" s="385"/>
      <c r="E1931" s="391"/>
      <c r="F1931" s="385"/>
      <c r="G1931" s="391"/>
      <c r="H1931" s="385"/>
      <c r="I1931" s="391"/>
      <c r="J1931" s="385"/>
      <c r="K1931" s="391"/>
      <c r="L1931" s="385"/>
      <c r="M1931" s="391"/>
      <c r="N1931" s="385"/>
      <c r="O1931" s="190"/>
    </row>
    <row r="1932" spans="2:15" ht="17" thickBot="1" x14ac:dyDescent="0.25">
      <c r="B1932" s="256"/>
      <c r="C1932" s="378">
        <v>37</v>
      </c>
      <c r="D1932" s="386"/>
      <c r="E1932" s="392"/>
      <c r="F1932" s="386"/>
      <c r="G1932" s="392"/>
      <c r="H1932" s="386"/>
      <c r="I1932" s="392"/>
      <c r="J1932" s="386"/>
      <c r="K1932" s="392"/>
      <c r="L1932" s="386"/>
      <c r="M1932" s="392"/>
      <c r="N1932" s="386"/>
      <c r="O1932" s="190"/>
    </row>
    <row r="1933" spans="2:15" ht="17" thickBot="1" x14ac:dyDescent="0.25">
      <c r="C1933" s="825" t="s">
        <v>19</v>
      </c>
      <c r="D1933" s="826"/>
      <c r="E1933" s="380"/>
      <c r="F1933" s="376">
        <f>(F1896+F1897+F1898+F1899+F1900+F1901+F1917+F1904+F1905+F1902+F1903+F1906+F1907+F1908+F1909+F1910+F1911+F1912+F1913+F1914+F1915+F1916+F1918+F1919+F1921+F1922+F1923+F1924+F1925+F1926+F1927+F1928+F1929+F1932)/2</f>
        <v>74</v>
      </c>
      <c r="G1933" s="397">
        <f>(G1896+G1897+G1898+G1899+G1900+G1917+G1901+G1905+G1904+G1902+G1903+G1906+G1907+G1908+G1909+G1910+G1911+G1912+G1913+G1914+G1915+G1916+G1918+G1919+G1921+G1922+G1923+G1924+G1925+G1926+G1927+G1928)/2</f>
        <v>48</v>
      </c>
      <c r="H1933" s="399">
        <f>(H1896+H1897+H1898+H1899+H1900+H1901+H1917+H1920+H1904+H1905+H1902+H1903+H1906+H1907+H1908+H1909+H1910+H1911+H1912+H1913+H1914+H1915+H1916+H1918+H1919+H1921+H1922+H1923+H1924+H1925+H1926+H1927+H1928+H1929+H1932)/2</f>
        <v>28</v>
      </c>
      <c r="I1933" s="398">
        <f>(I1896+I1897+I1898+I1899+I1900+I1930+I1931+I1901+I1917+I1904+I1920+I1905+I1902+I1903+I1906+I1907+I1908+I1909+I1910+I1911+I1912+I1913+I1914+I1915+I1916+I1918+I1919+I1921+I1922+I1923+I1924+I1925+I1926+I1927+I1928+I1929+I1932)/2</f>
        <v>44</v>
      </c>
      <c r="J1933" s="376">
        <f>(J1896+J1897+J1898+J1899+J1900+J1901+J1905+J1902+J1904+J1903+J1920+J1906+J1907+J1908+J1909+J1910+J1911+J1912+J1913+J1914+J1915+J1916+J1917+J1918+J1919+J1921+J1922+J1923+J1924+J1925+J1926+J1927+J1928)/2</f>
        <v>88</v>
      </c>
      <c r="K1933" s="397">
        <f>(K1896+K1897+K1898+K1899+K1900+K1901+K1905+K1902+K1903+K1906+K1907+K1908+K1909+K1910+K1911+K1912+K1913+K1914+K1915+K1916+K1918+K1919+K1921+K1922+K1923+K1924+K1925+K1926+K1927+K1928+K1917)</f>
        <v>0</v>
      </c>
      <c r="L1933" s="399">
        <f>SUM(L1896:L1932)</f>
        <v>0</v>
      </c>
      <c r="M1933" s="398">
        <f>(M1896+M1897+M1898+M1899+M1900+M1901+M1905+M1904+M1902+M1903+M1906+M1907+M1908+M1909+M1910+M1911+M1912+M1913+M1914+M1915+M1916+M1918+M1919+M1921+M1922+M1923+M1924+M1925+M1926+M1927+M1928)/2</f>
        <v>0</v>
      </c>
      <c r="N1933" s="376"/>
      <c r="O1933" s="41"/>
    </row>
    <row r="1934" spans="2:15" ht="17" thickBot="1" x14ac:dyDescent="0.25">
      <c r="C1934" s="825" t="s">
        <v>91</v>
      </c>
      <c r="D1934" s="826"/>
      <c r="E1934" s="381">
        <f>SUM(F1933:J1933)</f>
        <v>282</v>
      </c>
    </row>
    <row r="1935" spans="2:15" ht="16" thickBot="1" x14ac:dyDescent="0.25"/>
    <row r="1936" spans="2:15" ht="17" thickBot="1" x14ac:dyDescent="0.25">
      <c r="C1936" s="17"/>
      <c r="D1936" s="379" t="s">
        <v>83</v>
      </c>
      <c r="E1936" s="818" t="s">
        <v>63</v>
      </c>
      <c r="F1936" s="819"/>
      <c r="G1936" s="819"/>
      <c r="H1936" s="819"/>
      <c r="I1936" s="819"/>
      <c r="J1936" s="400" t="s">
        <v>76</v>
      </c>
      <c r="K1936" s="820">
        <v>45719</v>
      </c>
      <c r="L1936" s="821"/>
      <c r="M1936" s="821"/>
      <c r="N1936" s="821"/>
      <c r="O1936" s="822"/>
    </row>
    <row r="1937" spans="2:15" ht="16" thickBot="1" x14ac:dyDescent="0.25">
      <c r="B1937" s="175" t="s">
        <v>76</v>
      </c>
      <c r="C1937" s="175" t="s">
        <v>77</v>
      </c>
      <c r="D1937" s="823" t="s">
        <v>122</v>
      </c>
      <c r="E1937" s="824"/>
      <c r="F1937" s="175" t="s">
        <v>104</v>
      </c>
      <c r="G1937" s="395" t="s">
        <v>86</v>
      </c>
      <c r="H1937" s="175" t="s">
        <v>88</v>
      </c>
      <c r="I1937" s="395" t="s">
        <v>87</v>
      </c>
      <c r="J1937" s="401" t="s">
        <v>85</v>
      </c>
      <c r="K1937" s="395" t="s">
        <v>123</v>
      </c>
      <c r="L1937" s="175" t="s">
        <v>124</v>
      </c>
      <c r="M1937" s="395" t="s">
        <v>100</v>
      </c>
      <c r="N1937" s="175" t="s">
        <v>213</v>
      </c>
      <c r="O1937" s="404" t="s">
        <v>125</v>
      </c>
    </row>
    <row r="1938" spans="2:15" ht="16" thickBot="1" x14ac:dyDescent="0.25">
      <c r="B1938" s="176">
        <f>K1936</f>
        <v>45719</v>
      </c>
      <c r="C1938" s="374"/>
      <c r="D1938" s="375" t="s">
        <v>126</v>
      </c>
      <c r="E1938" s="387" t="s">
        <v>127</v>
      </c>
      <c r="F1938" s="331">
        <v>13</v>
      </c>
      <c r="G1938" s="237">
        <v>9</v>
      </c>
      <c r="H1938" s="331">
        <v>0</v>
      </c>
      <c r="I1938" s="237">
        <v>6</v>
      </c>
      <c r="J1938" s="331">
        <v>10</v>
      </c>
      <c r="K1938" s="231"/>
      <c r="L1938" s="125"/>
      <c r="M1938" s="231"/>
      <c r="N1938" s="125"/>
      <c r="O1938" s="326"/>
    </row>
    <row r="1939" spans="2:15" ht="16" x14ac:dyDescent="0.2">
      <c r="C1939" s="118">
        <v>1</v>
      </c>
      <c r="D1939" s="382">
        <v>0.2986111111111111</v>
      </c>
      <c r="E1939" s="388">
        <v>0.31944444444444448</v>
      </c>
      <c r="F1939" s="393"/>
      <c r="G1939" s="396">
        <v>14</v>
      </c>
      <c r="H1939" s="393"/>
      <c r="I1939" s="396"/>
      <c r="J1939" s="393"/>
      <c r="K1939" s="396"/>
      <c r="L1939" s="393"/>
      <c r="M1939" s="396"/>
      <c r="N1939" s="393"/>
      <c r="O1939" s="190"/>
    </row>
    <row r="1940" spans="2:15" ht="16" x14ac:dyDescent="0.2">
      <c r="C1940" s="119">
        <v>2</v>
      </c>
      <c r="D1940" s="383">
        <v>0.30902777777777779</v>
      </c>
      <c r="E1940" s="389">
        <v>0.3298611111111111</v>
      </c>
      <c r="F1940" s="385">
        <v>14</v>
      </c>
      <c r="G1940" s="391"/>
      <c r="H1940" s="385"/>
      <c r="I1940" s="391"/>
      <c r="J1940" s="385"/>
      <c r="K1940" s="391"/>
      <c r="L1940" s="385"/>
      <c r="M1940" s="391"/>
      <c r="N1940" s="385"/>
      <c r="O1940" s="190"/>
    </row>
    <row r="1941" spans="2:15" ht="16" x14ac:dyDescent="0.2">
      <c r="C1941" s="119">
        <v>3</v>
      </c>
      <c r="D1941" s="383">
        <v>0.3263888888888889</v>
      </c>
      <c r="E1941" s="389">
        <v>0.34722222222222227</v>
      </c>
      <c r="F1941" s="385"/>
      <c r="G1941" s="391">
        <v>28</v>
      </c>
      <c r="H1941" s="385"/>
      <c r="I1941" s="391"/>
      <c r="J1941" s="385"/>
      <c r="K1941" s="391"/>
      <c r="L1941" s="384"/>
      <c r="M1941" s="391"/>
      <c r="N1941" s="385"/>
      <c r="O1941" s="190"/>
    </row>
    <row r="1942" spans="2:15" ht="16" x14ac:dyDescent="0.2">
      <c r="C1942" s="119">
        <v>4</v>
      </c>
      <c r="D1942" s="383">
        <v>0.34722222222222227</v>
      </c>
      <c r="E1942" s="389">
        <v>0.36805555555555558</v>
      </c>
      <c r="F1942" s="385"/>
      <c r="G1942" s="391">
        <v>28</v>
      </c>
      <c r="H1942" s="316"/>
      <c r="I1942" s="391"/>
      <c r="J1942" s="385"/>
      <c r="K1942" s="391"/>
      <c r="L1942" s="402"/>
      <c r="M1942" s="391"/>
      <c r="N1942" s="385"/>
      <c r="O1942" s="190"/>
    </row>
    <row r="1943" spans="2:15" ht="16" x14ac:dyDescent="0.2">
      <c r="C1943" s="119">
        <v>5</v>
      </c>
      <c r="D1943" s="383">
        <v>0.37152777777777773</v>
      </c>
      <c r="E1943" s="389">
        <v>0.3923611111111111</v>
      </c>
      <c r="F1943" s="385"/>
      <c r="G1943" s="391">
        <v>28</v>
      </c>
      <c r="H1943" s="316"/>
      <c r="I1943" s="391"/>
      <c r="J1943" s="385"/>
      <c r="K1943" s="391"/>
      <c r="L1943" s="393"/>
      <c r="M1943" s="391"/>
      <c r="N1943" s="385"/>
      <c r="O1943" s="190"/>
    </row>
    <row r="1944" spans="2:15" ht="16" x14ac:dyDescent="0.2">
      <c r="C1944" s="119">
        <v>6</v>
      </c>
      <c r="D1944" s="383">
        <v>0.40277777777777773</v>
      </c>
      <c r="E1944" s="389">
        <v>0.4236111111111111</v>
      </c>
      <c r="F1944" s="385"/>
      <c r="G1944" s="391">
        <v>28</v>
      </c>
      <c r="H1944" s="316"/>
      <c r="I1944" s="391"/>
      <c r="J1944" s="385"/>
      <c r="K1944" s="391"/>
      <c r="L1944" s="393"/>
      <c r="M1944" s="391"/>
      <c r="N1944" s="385"/>
      <c r="O1944" s="190"/>
    </row>
    <row r="1945" spans="2:15" ht="16" x14ac:dyDescent="0.2">
      <c r="C1945" s="119">
        <v>7</v>
      </c>
      <c r="D1945" s="383">
        <v>0.4236111111111111</v>
      </c>
      <c r="E1945" s="389">
        <v>0.44444444444444442</v>
      </c>
      <c r="F1945" s="385"/>
      <c r="G1945" s="391"/>
      <c r="H1945" s="316"/>
      <c r="I1945" s="391">
        <v>44</v>
      </c>
      <c r="J1945" s="385"/>
      <c r="K1945" s="391"/>
      <c r="L1945" s="393"/>
      <c r="M1945" s="391"/>
      <c r="N1945" s="385"/>
      <c r="O1945" s="190"/>
    </row>
    <row r="1946" spans="2:15" ht="16" x14ac:dyDescent="0.2">
      <c r="C1946" s="119">
        <v>8</v>
      </c>
      <c r="D1946" s="383">
        <v>0.45833333333333331</v>
      </c>
      <c r="E1946" s="389">
        <v>0.47916666666666669</v>
      </c>
      <c r="F1946" s="385">
        <v>28</v>
      </c>
      <c r="G1946" s="391"/>
      <c r="H1946" s="316"/>
      <c r="I1946" s="391"/>
      <c r="J1946" s="385"/>
      <c r="K1946" s="391"/>
      <c r="L1946" s="385"/>
      <c r="M1946" s="391"/>
      <c r="N1946" s="385"/>
      <c r="O1946" s="190"/>
    </row>
    <row r="1947" spans="2:15" ht="16" x14ac:dyDescent="0.2">
      <c r="C1947" s="119">
        <v>9</v>
      </c>
      <c r="D1947" s="383">
        <v>0.48958333333333331</v>
      </c>
      <c r="E1947" s="389">
        <v>0.51041666666666663</v>
      </c>
      <c r="F1947" s="385"/>
      <c r="G1947" s="391"/>
      <c r="H1947" s="316"/>
      <c r="I1947" s="391">
        <v>40</v>
      </c>
      <c r="J1947" s="385"/>
      <c r="K1947" s="391"/>
      <c r="L1947" s="385"/>
      <c r="M1947" s="391"/>
      <c r="N1947" s="385"/>
      <c r="O1947" s="190"/>
    </row>
    <row r="1948" spans="2:15" ht="16" x14ac:dyDescent="0.2">
      <c r="C1948" s="119">
        <v>10</v>
      </c>
      <c r="D1948" s="383">
        <v>0.51736111111111105</v>
      </c>
      <c r="E1948" s="389">
        <v>0.53819444444444442</v>
      </c>
      <c r="F1948" s="385">
        <v>28</v>
      </c>
      <c r="G1948" s="391"/>
      <c r="H1948" s="316"/>
      <c r="I1948" s="391"/>
      <c r="J1948" s="385"/>
      <c r="K1948" s="391"/>
      <c r="L1948" s="385"/>
      <c r="M1948" s="391"/>
      <c r="N1948" s="385"/>
      <c r="O1948" s="190"/>
    </row>
    <row r="1949" spans="2:15" ht="16" x14ac:dyDescent="0.2">
      <c r="C1949" s="119">
        <v>11</v>
      </c>
      <c r="D1949" s="383">
        <v>0.53819444444444442</v>
      </c>
      <c r="E1949" s="389">
        <v>0.55902777777777779</v>
      </c>
      <c r="F1949" s="385"/>
      <c r="G1949" s="391"/>
      <c r="H1949" s="316"/>
      <c r="I1949" s="391"/>
      <c r="J1949" s="28">
        <v>36</v>
      </c>
      <c r="K1949" s="391"/>
      <c r="L1949" s="385"/>
      <c r="M1949" s="391"/>
      <c r="N1949" s="385"/>
      <c r="O1949" s="190"/>
    </row>
    <row r="1950" spans="2:15" ht="16" x14ac:dyDescent="0.2">
      <c r="C1950" s="193">
        <v>12</v>
      </c>
      <c r="D1950" s="383">
        <v>0.5625</v>
      </c>
      <c r="E1950" s="389">
        <v>0.58333333333333337</v>
      </c>
      <c r="F1950" s="385">
        <v>28</v>
      </c>
      <c r="G1950" s="391"/>
      <c r="H1950" s="316"/>
      <c r="I1950" s="391"/>
      <c r="J1950" s="385"/>
      <c r="K1950" s="391"/>
      <c r="L1950" s="385"/>
      <c r="M1950" s="391"/>
      <c r="N1950" s="385"/>
      <c r="O1950" s="190"/>
    </row>
    <row r="1951" spans="2:15" ht="16" x14ac:dyDescent="0.2">
      <c r="C1951" s="119">
        <v>13</v>
      </c>
      <c r="D1951" s="383">
        <v>0.58680555555555558</v>
      </c>
      <c r="E1951" s="389">
        <v>0.60763888888888895</v>
      </c>
      <c r="F1951" s="385"/>
      <c r="G1951" s="391"/>
      <c r="H1951" s="316"/>
      <c r="I1951" s="391">
        <v>44</v>
      </c>
      <c r="J1951" s="385"/>
      <c r="K1951" s="391"/>
      <c r="L1951" s="385"/>
      <c r="M1951" s="391"/>
      <c r="N1951" s="385"/>
      <c r="O1951" s="190"/>
    </row>
    <row r="1952" spans="2:15" ht="16" x14ac:dyDescent="0.2">
      <c r="C1952" s="119">
        <v>14</v>
      </c>
      <c r="D1952" s="383">
        <v>0.64583333333333337</v>
      </c>
      <c r="E1952" s="389">
        <v>0.67013888888888884</v>
      </c>
      <c r="F1952" s="385"/>
      <c r="G1952" s="391"/>
      <c r="H1952" s="316"/>
      <c r="I1952" s="391"/>
      <c r="J1952" s="385">
        <v>36</v>
      </c>
      <c r="K1952" s="391"/>
      <c r="L1952" s="385"/>
      <c r="M1952" s="391"/>
      <c r="N1952" s="385"/>
      <c r="O1952" s="190"/>
    </row>
    <row r="1953" spans="3:15" ht="16" x14ac:dyDescent="0.2">
      <c r="C1953" s="119">
        <v>15</v>
      </c>
      <c r="D1953" s="383">
        <v>0.67013888888888884</v>
      </c>
      <c r="E1953" s="389">
        <v>0.69097222222222221</v>
      </c>
      <c r="F1953" s="385">
        <v>28</v>
      </c>
      <c r="G1953" s="391"/>
      <c r="H1953" s="316"/>
      <c r="I1953" s="391"/>
      <c r="J1953" s="385"/>
      <c r="K1953" s="391"/>
      <c r="L1953" s="385"/>
      <c r="M1953" s="391"/>
      <c r="N1953" s="385"/>
      <c r="O1953" s="190"/>
    </row>
    <row r="1954" spans="3:15" ht="16" x14ac:dyDescent="0.2">
      <c r="C1954" s="119">
        <v>16</v>
      </c>
      <c r="D1954" s="383">
        <v>0.69444444444444453</v>
      </c>
      <c r="E1954" s="389">
        <v>0.71527777777777779</v>
      </c>
      <c r="F1954" s="385"/>
      <c r="G1954" s="391"/>
      <c r="H1954" s="316"/>
      <c r="I1954" s="391"/>
      <c r="J1954" s="385">
        <v>36</v>
      </c>
      <c r="K1954" s="391"/>
      <c r="L1954" s="385"/>
      <c r="M1954" s="391"/>
      <c r="N1954" s="385"/>
      <c r="O1954" s="190"/>
    </row>
    <row r="1955" spans="3:15" ht="16" x14ac:dyDescent="0.2">
      <c r="C1955" s="119">
        <v>17</v>
      </c>
      <c r="D1955" s="383">
        <v>0.71527777777777779</v>
      </c>
      <c r="E1955" s="389">
        <v>0.73611111111111116</v>
      </c>
      <c r="F1955" s="384">
        <v>28</v>
      </c>
      <c r="G1955" s="33"/>
      <c r="H1955" s="316"/>
      <c r="I1955" s="390"/>
      <c r="J1955" s="385"/>
      <c r="K1955" s="391"/>
      <c r="L1955" s="385"/>
      <c r="M1955" s="391"/>
      <c r="N1955" s="385"/>
      <c r="O1955" s="190"/>
    </row>
    <row r="1956" spans="3:15" ht="16" x14ac:dyDescent="0.2">
      <c r="C1956" s="119">
        <v>18</v>
      </c>
      <c r="D1956" s="383">
        <v>0.73958333333333337</v>
      </c>
      <c r="E1956" s="389">
        <v>0.76041666666666663</v>
      </c>
      <c r="F1956" s="394"/>
      <c r="G1956" s="229"/>
      <c r="H1956" s="394"/>
      <c r="I1956" s="391"/>
      <c r="J1956" s="385">
        <v>36</v>
      </c>
      <c r="K1956" s="391"/>
      <c r="L1956" s="385"/>
      <c r="M1956" s="391"/>
      <c r="N1956" s="385"/>
      <c r="O1956" s="190"/>
    </row>
    <row r="1957" spans="3:15" ht="16" x14ac:dyDescent="0.2">
      <c r="C1957" s="119">
        <v>19</v>
      </c>
      <c r="D1957" s="383">
        <v>0.76736111111111116</v>
      </c>
      <c r="E1957" s="389">
        <v>0.78819444444444453</v>
      </c>
      <c r="F1957" s="385">
        <v>28</v>
      </c>
      <c r="G1957" s="391"/>
      <c r="H1957" s="385"/>
      <c r="I1957" s="391"/>
      <c r="J1957" s="385"/>
      <c r="K1957" s="391"/>
      <c r="L1957" s="403"/>
      <c r="M1957" s="391"/>
      <c r="N1957" s="385"/>
      <c r="O1957" s="190"/>
    </row>
    <row r="1958" spans="3:15" ht="16" x14ac:dyDescent="0.2">
      <c r="C1958" s="119">
        <v>20</v>
      </c>
      <c r="D1958" s="383">
        <v>0.79861111111111116</v>
      </c>
      <c r="E1958" s="389">
        <v>0.81944444444444453</v>
      </c>
      <c r="F1958" s="385"/>
      <c r="G1958" s="391"/>
      <c r="H1958" s="385"/>
      <c r="I1958" s="391"/>
      <c r="J1958" s="385">
        <v>32</v>
      </c>
      <c r="K1958" s="391"/>
      <c r="L1958" s="403"/>
      <c r="M1958" s="391"/>
      <c r="N1958" s="385"/>
      <c r="O1958" s="190"/>
    </row>
    <row r="1959" spans="3:15" ht="16" x14ac:dyDescent="0.2">
      <c r="C1959" s="119">
        <v>21</v>
      </c>
      <c r="D1959" s="383"/>
      <c r="E1959" s="389"/>
      <c r="F1959" s="385"/>
      <c r="G1959" s="391"/>
      <c r="H1959" s="385"/>
      <c r="I1959" s="391"/>
      <c r="J1959" s="385"/>
      <c r="K1959" s="391"/>
      <c r="L1959" s="385"/>
      <c r="M1959" s="391"/>
      <c r="N1959" s="385"/>
      <c r="O1959" s="190"/>
    </row>
    <row r="1960" spans="3:15" ht="16" x14ac:dyDescent="0.2">
      <c r="C1960" s="119">
        <v>22</v>
      </c>
      <c r="D1960" s="383"/>
      <c r="E1960" s="389"/>
      <c r="F1960" s="385"/>
      <c r="G1960" s="391"/>
      <c r="H1960" s="385"/>
      <c r="I1960" s="391"/>
      <c r="J1960" s="385"/>
      <c r="K1960" s="391"/>
      <c r="L1960" s="385"/>
      <c r="M1960" s="391"/>
      <c r="N1960" s="385"/>
      <c r="O1960" s="190"/>
    </row>
    <row r="1961" spans="3:15" ht="16" x14ac:dyDescent="0.2">
      <c r="C1961" s="119">
        <v>23</v>
      </c>
      <c r="D1961" s="383"/>
      <c r="E1961" s="389"/>
      <c r="F1961" s="385"/>
      <c r="G1961" s="391"/>
      <c r="H1961" s="385"/>
      <c r="I1961" s="391"/>
      <c r="J1961" s="385"/>
      <c r="K1961" s="391"/>
      <c r="L1961" s="385"/>
      <c r="M1961" s="391"/>
      <c r="N1961" s="385"/>
      <c r="O1961" s="190"/>
    </row>
    <row r="1962" spans="3:15" ht="16" x14ac:dyDescent="0.2">
      <c r="C1962" s="119">
        <v>24</v>
      </c>
      <c r="D1962" s="383"/>
      <c r="E1962" s="389"/>
      <c r="F1962" s="385"/>
      <c r="G1962" s="391"/>
      <c r="H1962" s="385"/>
      <c r="I1962" s="391"/>
      <c r="J1962" s="385"/>
      <c r="K1962" s="391"/>
      <c r="L1962" s="385"/>
      <c r="M1962" s="391"/>
      <c r="N1962" s="385"/>
      <c r="O1962" s="190"/>
    </row>
    <row r="1963" spans="3:15" ht="16" x14ac:dyDescent="0.2">
      <c r="C1963" s="119">
        <v>25</v>
      </c>
      <c r="D1963" s="383"/>
      <c r="E1963" s="389"/>
      <c r="F1963" s="385"/>
      <c r="G1963" s="391"/>
      <c r="H1963" s="385"/>
      <c r="I1963" s="391"/>
      <c r="J1963" s="385"/>
      <c r="K1963" s="391"/>
      <c r="L1963" s="385"/>
      <c r="M1963" s="391"/>
      <c r="N1963" s="385"/>
      <c r="O1963" s="190"/>
    </row>
    <row r="1964" spans="3:15" ht="16" x14ac:dyDescent="0.2">
      <c r="C1964" s="119">
        <v>26</v>
      </c>
      <c r="D1964" s="383"/>
      <c r="E1964" s="389"/>
      <c r="F1964" s="385"/>
      <c r="G1964" s="391"/>
      <c r="H1964" s="385"/>
      <c r="I1964" s="391"/>
      <c r="J1964" s="385"/>
      <c r="K1964" s="391"/>
      <c r="L1964" s="385"/>
      <c r="M1964" s="391"/>
      <c r="N1964" s="385"/>
      <c r="O1964" s="190"/>
    </row>
    <row r="1965" spans="3:15" ht="16" x14ac:dyDescent="0.2">
      <c r="C1965" s="119">
        <v>27</v>
      </c>
      <c r="D1965" s="383"/>
      <c r="E1965" s="389"/>
      <c r="F1965" s="385"/>
      <c r="G1965" s="391"/>
      <c r="H1965" s="385"/>
      <c r="I1965" s="391"/>
      <c r="J1965" s="385"/>
      <c r="K1965" s="391"/>
      <c r="L1965" s="385"/>
      <c r="M1965" s="391"/>
      <c r="N1965" s="385"/>
      <c r="O1965" s="190"/>
    </row>
    <row r="1966" spans="3:15" ht="16" x14ac:dyDescent="0.2">
      <c r="C1966" s="119">
        <v>28</v>
      </c>
      <c r="D1966" s="383"/>
      <c r="E1966" s="389"/>
      <c r="F1966" s="385"/>
      <c r="G1966" s="391"/>
      <c r="H1966" s="385"/>
      <c r="I1966" s="391"/>
      <c r="J1966" s="385"/>
      <c r="K1966" s="391"/>
      <c r="L1966" s="385"/>
      <c r="M1966" s="391"/>
      <c r="N1966" s="385"/>
      <c r="O1966" s="190"/>
    </row>
    <row r="1967" spans="3:15" ht="16" x14ac:dyDescent="0.2">
      <c r="C1967" s="119">
        <v>29</v>
      </c>
      <c r="D1967" s="383"/>
      <c r="E1967" s="389"/>
      <c r="F1967" s="385"/>
      <c r="G1967" s="391"/>
      <c r="H1967" s="385"/>
      <c r="I1967" s="391"/>
      <c r="J1967" s="385"/>
      <c r="K1967" s="391"/>
      <c r="L1967" s="385"/>
      <c r="M1967" s="391"/>
      <c r="N1967" s="385"/>
      <c r="O1967" s="190"/>
    </row>
    <row r="1968" spans="3:15" ht="16" x14ac:dyDescent="0.2">
      <c r="C1968" s="119">
        <v>30</v>
      </c>
      <c r="D1968" s="383"/>
      <c r="E1968" s="389"/>
      <c r="F1968" s="385"/>
      <c r="G1968" s="391"/>
      <c r="H1968" s="385"/>
      <c r="I1968" s="391"/>
      <c r="J1968" s="385"/>
      <c r="K1968" s="391"/>
      <c r="L1968" s="385"/>
      <c r="M1968" s="391"/>
      <c r="N1968" s="385"/>
      <c r="O1968" s="190"/>
    </row>
    <row r="1969" spans="2:15" ht="16" x14ac:dyDescent="0.2">
      <c r="C1969" s="120">
        <v>31</v>
      </c>
      <c r="D1969" s="383"/>
      <c r="E1969" s="389"/>
      <c r="F1969" s="384"/>
      <c r="G1969" s="390"/>
      <c r="H1969" s="384"/>
      <c r="I1969" s="390"/>
      <c r="J1969" s="384"/>
      <c r="K1969" s="390"/>
      <c r="L1969" s="384"/>
      <c r="M1969" s="390"/>
      <c r="N1969" s="384"/>
      <c r="O1969" s="190"/>
    </row>
    <row r="1970" spans="2:15" ht="16" x14ac:dyDescent="0.2">
      <c r="B1970" s="256"/>
      <c r="C1970" s="377">
        <v>32</v>
      </c>
      <c r="D1970" s="384"/>
      <c r="E1970" s="390"/>
      <c r="F1970" s="384"/>
      <c r="G1970" s="390"/>
      <c r="H1970" s="384"/>
      <c r="I1970" s="390"/>
      <c r="J1970" s="384"/>
      <c r="K1970" s="390"/>
      <c r="L1970" s="384"/>
      <c r="M1970" s="390"/>
      <c r="N1970" s="384"/>
      <c r="O1970" s="190"/>
    </row>
    <row r="1971" spans="2:15" ht="16" x14ac:dyDescent="0.2">
      <c r="B1971" s="256"/>
      <c r="C1971" s="119">
        <v>33</v>
      </c>
      <c r="D1971" s="385"/>
      <c r="E1971" s="391"/>
      <c r="F1971" s="385"/>
      <c r="G1971" s="391"/>
      <c r="H1971" s="385"/>
      <c r="I1971" s="391"/>
      <c r="J1971" s="385"/>
      <c r="K1971" s="391"/>
      <c r="L1971" s="385"/>
      <c r="M1971" s="391"/>
      <c r="N1971" s="385"/>
      <c r="O1971" s="190"/>
    </row>
    <row r="1972" spans="2:15" ht="16" x14ac:dyDescent="0.2">
      <c r="B1972" s="256"/>
      <c r="C1972" s="119">
        <v>34</v>
      </c>
      <c r="D1972" s="385"/>
      <c r="E1972" s="391"/>
      <c r="F1972" s="385"/>
      <c r="G1972" s="391"/>
      <c r="H1972" s="385"/>
      <c r="I1972" s="391"/>
      <c r="J1972" s="385"/>
      <c r="K1972" s="391"/>
      <c r="L1972" s="385"/>
      <c r="M1972" s="391"/>
      <c r="N1972" s="385"/>
      <c r="O1972" s="190"/>
    </row>
    <row r="1973" spans="2:15" ht="16" x14ac:dyDescent="0.2">
      <c r="B1973" s="256"/>
      <c r="C1973" s="119">
        <v>35</v>
      </c>
      <c r="D1973" s="385"/>
      <c r="E1973" s="391"/>
      <c r="F1973" s="385"/>
      <c r="G1973" s="391"/>
      <c r="H1973" s="385"/>
      <c r="I1973" s="391"/>
      <c r="J1973" s="385"/>
      <c r="K1973" s="391"/>
      <c r="L1973" s="385"/>
      <c r="M1973" s="391"/>
      <c r="N1973" s="385"/>
      <c r="O1973" s="190"/>
    </row>
    <row r="1974" spans="2:15" ht="16" x14ac:dyDescent="0.2">
      <c r="B1974" s="256"/>
      <c r="C1974" s="119">
        <v>36</v>
      </c>
      <c r="D1974" s="385"/>
      <c r="E1974" s="391"/>
      <c r="F1974" s="385"/>
      <c r="G1974" s="391"/>
      <c r="H1974" s="385"/>
      <c r="I1974" s="391"/>
      <c r="J1974" s="385"/>
      <c r="K1974" s="391"/>
      <c r="L1974" s="385"/>
      <c r="M1974" s="391"/>
      <c r="N1974" s="385"/>
      <c r="O1974" s="190"/>
    </row>
    <row r="1975" spans="2:15" ht="17" thickBot="1" x14ac:dyDescent="0.25">
      <c r="B1975" s="256"/>
      <c r="C1975" s="378">
        <v>37</v>
      </c>
      <c r="D1975" s="386"/>
      <c r="E1975" s="392"/>
      <c r="F1975" s="386"/>
      <c r="G1975" s="392"/>
      <c r="H1975" s="386"/>
      <c r="I1975" s="392"/>
      <c r="J1975" s="386"/>
      <c r="K1975" s="392"/>
      <c r="L1975" s="386"/>
      <c r="M1975" s="392"/>
      <c r="N1975" s="386"/>
      <c r="O1975" s="190"/>
    </row>
    <row r="1976" spans="2:15" ht="17" thickBot="1" x14ac:dyDescent="0.25">
      <c r="C1976" s="825" t="s">
        <v>19</v>
      </c>
      <c r="D1976" s="826"/>
      <c r="E1976" s="380"/>
      <c r="F1976" s="376">
        <f>(F1939+F1940+F1941+F1942+F1943+F1944+F1960+F1947+F1948+F1945+F1946+F1949+F1950+F1951+F1952+F1953+F1954+F1955+F1956+F1957+F1958+F1959+F1961+F1962+F1964+F1965+F1966+F1967+F1968+F1969+F1970+F1971+F1972+F1975)/2</f>
        <v>91</v>
      </c>
      <c r="G1976" s="397">
        <f>(G1939+G1940+G1941+G1942+G1943+G1960+G1944+G1948+G1947+G1945+G1946+G1949+G1950+G1951+G1952+G1953+G1954+G1955+G1956+G1957+G1958+G1959+G1961+G1962+G1964+G1965+G1966+G1967+G1968+G1969+G1970+G1971)/2</f>
        <v>63</v>
      </c>
      <c r="H1976" s="399">
        <f>(H1939+H1940+H1941+H1942+H1943+H1944+H1960+H1963+H1947+H1948+H1945+H1946+H1949+H1950+H1951+H1952+H1953+H1954+H1955+H1956+H1957+H1958+H1959+H1961+H1962+H1964+H1965+H1966+H1967+H1968+H1969+H1970+H1971+H1972+H1975)/2</f>
        <v>0</v>
      </c>
      <c r="I1976" s="398">
        <f>(I1939+I1940+I1941+I1942+I1943+I1973+I1974+I1944+I1960+I1947+I1963+I1948+I1945+I1946+I1949+I1950+I1951+I1952+I1953+I1954+I1955+I1956+I1957+I1958+I1959+I1961+I1962+I1964+I1965+I1966+I1967+I1968+I1969+I1970+I1971+I1972+I1975)/2</f>
        <v>64</v>
      </c>
      <c r="J1976" s="376">
        <f>(J1939+J1940+J1941+J1942+J1943+J1944+J1948+J1945+J1947+J1946+J1963+J1949+J1950+J1951+J1952+J1953+J1954+J1955+J1956+J1957+J1958+J1959+J1960+J1961+J1962+J1964+J1965+J1966+J1967+J1968+J1969+J1970+J1971)/2</f>
        <v>88</v>
      </c>
      <c r="K1976" s="397">
        <f>(K1939+K1940+K1941+K1942+K1943+K1944+K1948+K1945+K1946+K1949+K1950+K1951+K1952+K1953+K1954+K1955+K1956+K1957+K1958+K1959+K1961+K1962+K1964+K1965+K1966+K1967+K1968+K1969+K1970+K1971+K1960)</f>
        <v>0</v>
      </c>
      <c r="L1976" s="399">
        <f>SUM(L1939:L1975)</f>
        <v>0</v>
      </c>
      <c r="M1976" s="398">
        <f>(M1939+M1940+M1941+M1942+M1943+M1944+M1948+M1947+M1945+M1946+M1949+M1950+M1951+M1952+M1953+M1954+M1955+M1956+M1957+M1958+M1959+M1961+M1962+M1964+M1965+M1966+M1967+M1968+M1969+M1970+M1971)/2</f>
        <v>0</v>
      </c>
      <c r="N1976" s="376"/>
      <c r="O1976" s="41"/>
    </row>
    <row r="1977" spans="2:15" ht="17" thickBot="1" x14ac:dyDescent="0.25">
      <c r="C1977" s="825" t="s">
        <v>91</v>
      </c>
      <c r="D1977" s="826"/>
      <c r="E1977" s="381">
        <f>SUM(F1976:J1976)</f>
        <v>306</v>
      </c>
    </row>
    <row r="1978" spans="2:15" ht="16" thickBot="1" x14ac:dyDescent="0.25"/>
    <row r="1979" spans="2:15" ht="17" thickBot="1" x14ac:dyDescent="0.25">
      <c r="C1979" s="17"/>
      <c r="D1979" s="379" t="s">
        <v>83</v>
      </c>
      <c r="E1979" s="818" t="s">
        <v>64</v>
      </c>
      <c r="F1979" s="819"/>
      <c r="G1979" s="819"/>
      <c r="H1979" s="819"/>
      <c r="I1979" s="819"/>
      <c r="J1979" s="400" t="s">
        <v>76</v>
      </c>
      <c r="K1979" s="820">
        <v>45720</v>
      </c>
      <c r="L1979" s="821"/>
      <c r="M1979" s="821"/>
      <c r="N1979" s="821"/>
      <c r="O1979" s="822"/>
    </row>
    <row r="1980" spans="2:15" ht="16" thickBot="1" x14ac:dyDescent="0.25">
      <c r="B1980" s="175" t="s">
        <v>76</v>
      </c>
      <c r="C1980" s="175" t="s">
        <v>77</v>
      </c>
      <c r="D1980" s="823" t="s">
        <v>122</v>
      </c>
      <c r="E1980" s="824"/>
      <c r="F1980" s="175" t="s">
        <v>104</v>
      </c>
      <c r="G1980" s="395" t="s">
        <v>86</v>
      </c>
      <c r="H1980" s="175" t="s">
        <v>88</v>
      </c>
      <c r="I1980" s="395" t="s">
        <v>87</v>
      </c>
      <c r="J1980" s="401" t="s">
        <v>85</v>
      </c>
      <c r="K1980" s="395" t="s">
        <v>123</v>
      </c>
      <c r="L1980" s="175" t="s">
        <v>124</v>
      </c>
      <c r="M1980" s="395" t="s">
        <v>100</v>
      </c>
      <c r="N1980" s="175" t="s">
        <v>213</v>
      </c>
      <c r="O1980" s="404" t="s">
        <v>125</v>
      </c>
    </row>
    <row r="1981" spans="2:15" ht="16" thickBot="1" x14ac:dyDescent="0.25">
      <c r="B1981" s="176">
        <f>K1979</f>
        <v>45720</v>
      </c>
      <c r="C1981" s="374"/>
      <c r="D1981" s="375" t="s">
        <v>126</v>
      </c>
      <c r="E1981" s="387" t="s">
        <v>127</v>
      </c>
      <c r="F1981" s="331">
        <v>12</v>
      </c>
      <c r="G1981" s="237">
        <v>7</v>
      </c>
      <c r="H1981" s="331">
        <v>3</v>
      </c>
      <c r="I1981" s="237">
        <v>5</v>
      </c>
      <c r="J1981" s="331">
        <v>10</v>
      </c>
      <c r="K1981" s="231"/>
      <c r="L1981" s="125"/>
      <c r="M1981" s="231"/>
      <c r="N1981" s="125"/>
      <c r="O1981" s="326"/>
    </row>
    <row r="1982" spans="2:15" ht="16" x14ac:dyDescent="0.2">
      <c r="C1982" s="118">
        <v>1</v>
      </c>
      <c r="D1982" s="382">
        <v>0.35069444444444442</v>
      </c>
      <c r="E1982" s="388">
        <v>0.37152777777777773</v>
      </c>
      <c r="F1982" s="393"/>
      <c r="G1982" s="396">
        <v>24</v>
      </c>
      <c r="H1982" s="393"/>
      <c r="I1982" s="396"/>
      <c r="J1982" s="393"/>
      <c r="K1982" s="396"/>
      <c r="L1982" s="393"/>
      <c r="M1982" s="396"/>
      <c r="N1982" s="393"/>
      <c r="O1982" s="190"/>
    </row>
    <row r="1983" spans="2:15" ht="16" x14ac:dyDescent="0.2">
      <c r="C1983" s="119">
        <v>2</v>
      </c>
      <c r="D1983" s="383">
        <v>0.375</v>
      </c>
      <c r="E1983" s="389">
        <v>0.39583333333333331</v>
      </c>
      <c r="F1983" s="385"/>
      <c r="G1983" s="391">
        <v>28</v>
      </c>
      <c r="H1983" s="385"/>
      <c r="I1983" s="391"/>
      <c r="J1983" s="385"/>
      <c r="K1983" s="391"/>
      <c r="L1983" s="385"/>
      <c r="M1983" s="391"/>
      <c r="N1983" s="385"/>
      <c r="O1983" s="190"/>
    </row>
    <row r="1984" spans="2:15" ht="16" x14ac:dyDescent="0.2">
      <c r="C1984" s="119">
        <v>3</v>
      </c>
      <c r="D1984" s="383">
        <v>0.39583333333333331</v>
      </c>
      <c r="E1984" s="389">
        <v>0.41666666666666669</v>
      </c>
      <c r="F1984" s="385"/>
      <c r="G1984" s="391">
        <v>28</v>
      </c>
      <c r="H1984" s="385"/>
      <c r="I1984" s="391"/>
      <c r="J1984" s="385"/>
      <c r="K1984" s="391"/>
      <c r="L1984" s="384"/>
      <c r="M1984" s="391"/>
      <c r="N1984" s="385"/>
      <c r="O1984" s="190"/>
    </row>
    <row r="1985" spans="3:15" ht="16" x14ac:dyDescent="0.2">
      <c r="C1985" s="119">
        <v>4</v>
      </c>
      <c r="D1985" s="383">
        <v>0.41666666666666669</v>
      </c>
      <c r="E1985" s="389">
        <v>0.4375</v>
      </c>
      <c r="F1985" s="385"/>
      <c r="G1985" s="391"/>
      <c r="H1985" s="316">
        <v>28</v>
      </c>
      <c r="I1985" s="391"/>
      <c r="J1985" s="385"/>
      <c r="K1985" s="391"/>
      <c r="L1985" s="402"/>
      <c r="M1985" s="391"/>
      <c r="N1985" s="385"/>
      <c r="O1985" s="190"/>
    </row>
    <row r="1986" spans="3:15" ht="16" x14ac:dyDescent="0.2">
      <c r="C1986" s="119">
        <v>5</v>
      </c>
      <c r="D1986" s="383">
        <v>0.4375</v>
      </c>
      <c r="E1986" s="389">
        <v>0.45833333333333331</v>
      </c>
      <c r="F1986" s="385"/>
      <c r="G1986" s="391">
        <v>14</v>
      </c>
      <c r="H1986" s="316"/>
      <c r="I1986" s="391"/>
      <c r="J1986" s="385"/>
      <c r="K1986" s="391"/>
      <c r="L1986" s="393"/>
      <c r="M1986" s="391"/>
      <c r="N1986" s="385"/>
      <c r="O1986" s="190"/>
    </row>
    <row r="1987" spans="3:15" ht="16" x14ac:dyDescent="0.2">
      <c r="C1987" s="119">
        <v>6</v>
      </c>
      <c r="D1987" s="383">
        <v>0.4826388888888889</v>
      </c>
      <c r="E1987" s="389">
        <v>0.50347222222222221</v>
      </c>
      <c r="F1987" s="385"/>
      <c r="G1987" s="391"/>
      <c r="H1987" s="316">
        <v>14</v>
      </c>
      <c r="I1987" s="391"/>
      <c r="J1987" s="385"/>
      <c r="K1987" s="391"/>
      <c r="L1987" s="393"/>
      <c r="M1987" s="391"/>
      <c r="N1987" s="385"/>
      <c r="O1987" s="190"/>
    </row>
    <row r="1988" spans="3:15" ht="16" x14ac:dyDescent="0.2">
      <c r="C1988" s="119">
        <v>7</v>
      </c>
      <c r="D1988" s="383">
        <v>0.46527777777777773</v>
      </c>
      <c r="E1988" s="389">
        <v>0.4861111111111111</v>
      </c>
      <c r="F1988" s="385">
        <v>28</v>
      </c>
      <c r="G1988" s="391"/>
      <c r="H1988" s="316"/>
      <c r="I1988" s="391"/>
      <c r="J1988" s="385"/>
      <c r="K1988" s="391"/>
      <c r="L1988" s="393"/>
      <c r="M1988" s="391"/>
      <c r="N1988" s="385"/>
      <c r="O1988" s="190"/>
    </row>
    <row r="1989" spans="3:15" ht="16" x14ac:dyDescent="0.2">
      <c r="C1989" s="119">
        <v>8</v>
      </c>
      <c r="D1989" s="383">
        <v>0.4861111111111111</v>
      </c>
      <c r="E1989" s="389">
        <v>0.50694444444444442</v>
      </c>
      <c r="F1989" s="385">
        <v>28</v>
      </c>
      <c r="G1989" s="391"/>
      <c r="H1989" s="316"/>
      <c r="I1989" s="391"/>
      <c r="J1989" s="385"/>
      <c r="K1989" s="391"/>
      <c r="L1989" s="385"/>
      <c r="M1989" s="391"/>
      <c r="N1989" s="385"/>
      <c r="O1989" s="190"/>
    </row>
    <row r="1990" spans="3:15" ht="16" x14ac:dyDescent="0.2">
      <c r="C1990" s="119">
        <v>9</v>
      </c>
      <c r="D1990" s="383">
        <v>0.50694444444444442</v>
      </c>
      <c r="E1990" s="389">
        <v>0.52777777777777779</v>
      </c>
      <c r="F1990" s="385">
        <v>28</v>
      </c>
      <c r="G1990" s="391"/>
      <c r="H1990" s="316"/>
      <c r="I1990" s="391"/>
      <c r="J1990" s="385"/>
      <c r="K1990" s="391"/>
      <c r="L1990" s="385"/>
      <c r="M1990" s="391"/>
      <c r="N1990" s="385"/>
      <c r="O1990" s="190"/>
    </row>
    <row r="1991" spans="3:15" ht="16" x14ac:dyDescent="0.2">
      <c r="C1991" s="119">
        <v>10</v>
      </c>
      <c r="D1991" s="383">
        <v>0.52777777777777779</v>
      </c>
      <c r="E1991" s="389">
        <v>0.54861111111111105</v>
      </c>
      <c r="F1991" s="385">
        <v>28</v>
      </c>
      <c r="G1991" s="391"/>
      <c r="H1991" s="316"/>
      <c r="I1991" s="391"/>
      <c r="J1991" s="385"/>
      <c r="K1991" s="391"/>
      <c r="L1991" s="385"/>
      <c r="M1991" s="391"/>
      <c r="N1991" s="385"/>
      <c r="O1991" s="190"/>
    </row>
    <row r="1992" spans="3:15" ht="16" x14ac:dyDescent="0.2">
      <c r="C1992" s="119">
        <v>11</v>
      </c>
      <c r="D1992" s="383">
        <v>0.54861111111111105</v>
      </c>
      <c r="E1992" s="389">
        <v>0.56944444444444442</v>
      </c>
      <c r="F1992" s="385">
        <v>28</v>
      </c>
      <c r="G1992" s="391"/>
      <c r="H1992" s="316"/>
      <c r="I1992" s="391"/>
      <c r="J1992" s="28"/>
      <c r="K1992" s="391"/>
      <c r="L1992" s="385"/>
      <c r="M1992" s="391"/>
      <c r="N1992" s="385"/>
      <c r="O1992" s="190"/>
    </row>
    <row r="1993" spans="3:15" ht="16" x14ac:dyDescent="0.2">
      <c r="C1993" s="193">
        <v>12</v>
      </c>
      <c r="D1993" s="383">
        <v>0.56944444444444442</v>
      </c>
      <c r="E1993" s="389">
        <v>0.59027777777777779</v>
      </c>
      <c r="F1993" s="385">
        <v>28</v>
      </c>
      <c r="G1993" s="391"/>
      <c r="H1993" s="316"/>
      <c r="I1993" s="391"/>
      <c r="J1993" s="385"/>
      <c r="K1993" s="391"/>
      <c r="L1993" s="385"/>
      <c r="M1993" s="391"/>
      <c r="N1993" s="385"/>
      <c r="O1993" s="190"/>
    </row>
    <row r="1994" spans="3:15" ht="16" x14ac:dyDescent="0.2">
      <c r="C1994" s="119">
        <v>13</v>
      </c>
      <c r="D1994" s="383">
        <v>0.59027777777777779</v>
      </c>
      <c r="E1994" s="389">
        <v>0.61111111111111105</v>
      </c>
      <c r="F1994" s="385"/>
      <c r="G1994" s="391"/>
      <c r="H1994" s="316"/>
      <c r="I1994" s="391"/>
      <c r="J1994" s="385">
        <v>36</v>
      </c>
      <c r="K1994" s="391"/>
      <c r="L1994" s="385"/>
      <c r="M1994" s="391"/>
      <c r="N1994" s="385"/>
      <c r="O1994" s="190"/>
    </row>
    <row r="1995" spans="3:15" ht="16" x14ac:dyDescent="0.2">
      <c r="C1995" s="119">
        <v>14</v>
      </c>
      <c r="D1995" s="383">
        <v>0.625</v>
      </c>
      <c r="E1995" s="389">
        <v>0.64583333333333337</v>
      </c>
      <c r="F1995" s="385"/>
      <c r="G1995" s="391"/>
      <c r="H1995" s="316"/>
      <c r="I1995" s="391"/>
      <c r="J1995" s="385">
        <v>36</v>
      </c>
      <c r="K1995" s="391"/>
      <c r="L1995" s="385"/>
      <c r="M1995" s="391"/>
      <c r="N1995" s="385"/>
      <c r="O1995" s="190"/>
    </row>
    <row r="1996" spans="3:15" ht="16" x14ac:dyDescent="0.2">
      <c r="C1996" s="119">
        <v>15</v>
      </c>
      <c r="D1996" s="383">
        <v>0.64583333333333337</v>
      </c>
      <c r="E1996" s="389">
        <v>0.66666666666666663</v>
      </c>
      <c r="F1996" s="385"/>
      <c r="G1996" s="391"/>
      <c r="H1996" s="316"/>
      <c r="I1996" s="391"/>
      <c r="J1996" s="385">
        <v>32</v>
      </c>
      <c r="K1996" s="391"/>
      <c r="L1996" s="385"/>
      <c r="M1996" s="391"/>
      <c r="N1996" s="385"/>
      <c r="O1996" s="190"/>
    </row>
    <row r="1997" spans="3:15" ht="16" x14ac:dyDescent="0.2">
      <c r="C1997" s="119">
        <v>16</v>
      </c>
      <c r="D1997" s="383">
        <v>0.66666666666666663</v>
      </c>
      <c r="E1997" s="389">
        <v>0.6875</v>
      </c>
      <c r="F1997" s="385"/>
      <c r="G1997" s="391"/>
      <c r="H1997" s="316"/>
      <c r="I1997" s="391"/>
      <c r="J1997" s="385">
        <v>36</v>
      </c>
      <c r="K1997" s="391"/>
      <c r="L1997" s="385"/>
      <c r="M1997" s="391"/>
      <c r="N1997" s="385"/>
      <c r="O1997" s="190"/>
    </row>
    <row r="1998" spans="3:15" ht="16" x14ac:dyDescent="0.2">
      <c r="C1998" s="119">
        <v>17</v>
      </c>
      <c r="D1998" s="383">
        <v>0.69097222222222221</v>
      </c>
      <c r="E1998" s="389">
        <v>0.71180555555555547</v>
      </c>
      <c r="F1998" s="384"/>
      <c r="G1998" s="33"/>
      <c r="H1998" s="316"/>
      <c r="I1998" s="390"/>
      <c r="J1998" s="385">
        <v>36</v>
      </c>
      <c r="K1998" s="391"/>
      <c r="L1998" s="385"/>
      <c r="M1998" s="391"/>
      <c r="N1998" s="385"/>
      <c r="O1998" s="190"/>
    </row>
    <row r="1999" spans="3:15" ht="16" x14ac:dyDescent="0.2">
      <c r="C1999" s="119">
        <v>18</v>
      </c>
      <c r="D1999" s="383">
        <v>0.71527777777777779</v>
      </c>
      <c r="E1999" s="389">
        <v>0.73611111111111116</v>
      </c>
      <c r="F1999" s="394"/>
      <c r="G1999" s="229"/>
      <c r="H1999" s="394"/>
      <c r="I1999" s="391">
        <v>44</v>
      </c>
      <c r="J1999" s="385"/>
      <c r="K1999" s="391"/>
      <c r="L1999" s="385"/>
      <c r="M1999" s="391"/>
      <c r="N1999" s="385"/>
      <c r="O1999" s="190"/>
    </row>
    <row r="2000" spans="3:15" ht="16" x14ac:dyDescent="0.2">
      <c r="C2000" s="119">
        <v>19</v>
      </c>
      <c r="D2000" s="383">
        <v>0.73958333333333337</v>
      </c>
      <c r="E2000" s="389">
        <v>0.76041666666666663</v>
      </c>
      <c r="F2000" s="385"/>
      <c r="G2000" s="391"/>
      <c r="H2000" s="385"/>
      <c r="I2000" s="391">
        <v>44</v>
      </c>
      <c r="J2000" s="385"/>
      <c r="K2000" s="391"/>
      <c r="L2000" s="403"/>
      <c r="M2000" s="391"/>
      <c r="N2000" s="385"/>
      <c r="O2000" s="190"/>
    </row>
    <row r="2001" spans="2:15" ht="16" x14ac:dyDescent="0.2">
      <c r="C2001" s="119">
        <v>20</v>
      </c>
      <c r="D2001" s="383">
        <v>0.77083333333333337</v>
      </c>
      <c r="E2001" s="389">
        <v>0.79166666666666663</v>
      </c>
      <c r="F2001" s="385"/>
      <c r="G2001" s="391"/>
      <c r="H2001" s="385"/>
      <c r="I2001" s="391">
        <v>22</v>
      </c>
      <c r="J2001" s="385"/>
      <c r="K2001" s="391"/>
      <c r="L2001" s="403"/>
      <c r="M2001" s="391"/>
      <c r="N2001" s="385"/>
      <c r="O2001" s="190"/>
    </row>
    <row r="2002" spans="2:15" ht="16" x14ac:dyDescent="0.2">
      <c r="C2002" s="119">
        <v>21</v>
      </c>
      <c r="D2002" s="383"/>
      <c r="E2002" s="389"/>
      <c r="F2002" s="385"/>
      <c r="G2002" s="391"/>
      <c r="H2002" s="385"/>
      <c r="I2002" s="391"/>
      <c r="J2002" s="385"/>
      <c r="K2002" s="391"/>
      <c r="L2002" s="385"/>
      <c r="M2002" s="391"/>
      <c r="N2002" s="385"/>
      <c r="O2002" s="190"/>
    </row>
    <row r="2003" spans="2:15" ht="16" x14ac:dyDescent="0.2">
      <c r="C2003" s="119">
        <v>22</v>
      </c>
      <c r="D2003" s="383"/>
      <c r="E2003" s="389"/>
      <c r="F2003" s="385"/>
      <c r="G2003" s="391"/>
      <c r="H2003" s="385"/>
      <c r="I2003" s="391"/>
      <c r="J2003" s="385"/>
      <c r="K2003" s="391"/>
      <c r="L2003" s="385"/>
      <c r="M2003" s="391"/>
      <c r="N2003" s="385"/>
      <c r="O2003" s="190"/>
    </row>
    <row r="2004" spans="2:15" ht="16" x14ac:dyDescent="0.2">
      <c r="C2004" s="119">
        <v>23</v>
      </c>
      <c r="D2004" s="383"/>
      <c r="E2004" s="389"/>
      <c r="F2004" s="385"/>
      <c r="G2004" s="391"/>
      <c r="H2004" s="385"/>
      <c r="I2004" s="391"/>
      <c r="J2004" s="385"/>
      <c r="K2004" s="391"/>
      <c r="L2004" s="385"/>
      <c r="M2004" s="391"/>
      <c r="N2004" s="385"/>
      <c r="O2004" s="190"/>
    </row>
    <row r="2005" spans="2:15" ht="16" x14ac:dyDescent="0.2">
      <c r="C2005" s="119">
        <v>24</v>
      </c>
      <c r="D2005" s="383"/>
      <c r="E2005" s="389"/>
      <c r="F2005" s="385"/>
      <c r="G2005" s="391"/>
      <c r="H2005" s="385"/>
      <c r="I2005" s="391"/>
      <c r="J2005" s="385"/>
      <c r="K2005" s="391"/>
      <c r="L2005" s="385"/>
      <c r="M2005" s="391"/>
      <c r="N2005" s="385"/>
      <c r="O2005" s="190"/>
    </row>
    <row r="2006" spans="2:15" ht="16" x14ac:dyDescent="0.2">
      <c r="C2006" s="119">
        <v>25</v>
      </c>
      <c r="D2006" s="383"/>
      <c r="E2006" s="389"/>
      <c r="F2006" s="385"/>
      <c r="G2006" s="391"/>
      <c r="H2006" s="385"/>
      <c r="I2006" s="391"/>
      <c r="J2006" s="385"/>
      <c r="K2006" s="391"/>
      <c r="L2006" s="385"/>
      <c r="M2006" s="391"/>
      <c r="N2006" s="385"/>
      <c r="O2006" s="190"/>
    </row>
    <row r="2007" spans="2:15" ht="16" x14ac:dyDescent="0.2">
      <c r="C2007" s="119">
        <v>26</v>
      </c>
      <c r="D2007" s="383"/>
      <c r="E2007" s="389"/>
      <c r="F2007" s="385"/>
      <c r="G2007" s="391"/>
      <c r="H2007" s="385"/>
      <c r="I2007" s="391"/>
      <c r="J2007" s="385"/>
      <c r="K2007" s="391"/>
      <c r="L2007" s="385"/>
      <c r="M2007" s="391"/>
      <c r="N2007" s="385"/>
      <c r="O2007" s="190"/>
    </row>
    <row r="2008" spans="2:15" ht="16" x14ac:dyDescent="0.2">
      <c r="C2008" s="119">
        <v>27</v>
      </c>
      <c r="D2008" s="383"/>
      <c r="E2008" s="389"/>
      <c r="F2008" s="385"/>
      <c r="G2008" s="391"/>
      <c r="H2008" s="385"/>
      <c r="I2008" s="391"/>
      <c r="J2008" s="385"/>
      <c r="K2008" s="391"/>
      <c r="L2008" s="385"/>
      <c r="M2008" s="391"/>
      <c r="N2008" s="385"/>
      <c r="O2008" s="190"/>
    </row>
    <row r="2009" spans="2:15" ht="16" x14ac:dyDescent="0.2">
      <c r="C2009" s="119">
        <v>28</v>
      </c>
      <c r="D2009" s="383"/>
      <c r="E2009" s="389"/>
      <c r="F2009" s="385"/>
      <c r="G2009" s="391"/>
      <c r="H2009" s="385"/>
      <c r="I2009" s="391"/>
      <c r="J2009" s="385"/>
      <c r="K2009" s="391"/>
      <c r="L2009" s="385"/>
      <c r="M2009" s="391"/>
      <c r="N2009" s="385"/>
      <c r="O2009" s="190"/>
    </row>
    <row r="2010" spans="2:15" ht="16" x14ac:dyDescent="0.2">
      <c r="C2010" s="119">
        <v>29</v>
      </c>
      <c r="D2010" s="383"/>
      <c r="E2010" s="389"/>
      <c r="F2010" s="385"/>
      <c r="G2010" s="391"/>
      <c r="H2010" s="385"/>
      <c r="I2010" s="391"/>
      <c r="J2010" s="385"/>
      <c r="K2010" s="391"/>
      <c r="L2010" s="385"/>
      <c r="M2010" s="391"/>
      <c r="N2010" s="385"/>
      <c r="O2010" s="190"/>
    </row>
    <row r="2011" spans="2:15" ht="16" x14ac:dyDescent="0.2">
      <c r="C2011" s="119">
        <v>30</v>
      </c>
      <c r="D2011" s="383"/>
      <c r="E2011" s="389"/>
      <c r="F2011" s="385"/>
      <c r="G2011" s="391"/>
      <c r="H2011" s="385"/>
      <c r="I2011" s="391"/>
      <c r="J2011" s="385"/>
      <c r="K2011" s="391"/>
      <c r="L2011" s="385"/>
      <c r="M2011" s="391"/>
      <c r="N2011" s="385"/>
      <c r="O2011" s="190"/>
    </row>
    <row r="2012" spans="2:15" ht="16" x14ac:dyDescent="0.2">
      <c r="C2012" s="120">
        <v>31</v>
      </c>
      <c r="D2012" s="383"/>
      <c r="E2012" s="389"/>
      <c r="F2012" s="384"/>
      <c r="G2012" s="390"/>
      <c r="H2012" s="384"/>
      <c r="I2012" s="390"/>
      <c r="J2012" s="384"/>
      <c r="K2012" s="390"/>
      <c r="L2012" s="384"/>
      <c r="M2012" s="390"/>
      <c r="N2012" s="384"/>
      <c r="O2012" s="190"/>
    </row>
    <row r="2013" spans="2:15" ht="16" x14ac:dyDescent="0.2">
      <c r="B2013" s="256"/>
      <c r="C2013" s="377">
        <v>32</v>
      </c>
      <c r="D2013" s="384"/>
      <c r="E2013" s="390"/>
      <c r="F2013" s="384"/>
      <c r="G2013" s="390"/>
      <c r="H2013" s="384"/>
      <c r="I2013" s="390"/>
      <c r="J2013" s="384"/>
      <c r="K2013" s="390"/>
      <c r="L2013" s="384"/>
      <c r="M2013" s="390"/>
      <c r="N2013" s="384"/>
      <c r="O2013" s="190"/>
    </row>
    <row r="2014" spans="2:15" ht="16" x14ac:dyDescent="0.2">
      <c r="B2014" s="256"/>
      <c r="C2014" s="119">
        <v>33</v>
      </c>
      <c r="D2014" s="385"/>
      <c r="E2014" s="391"/>
      <c r="F2014" s="385"/>
      <c r="G2014" s="391"/>
      <c r="H2014" s="385"/>
      <c r="I2014" s="391"/>
      <c r="J2014" s="385"/>
      <c r="K2014" s="391"/>
      <c r="L2014" s="385"/>
      <c r="M2014" s="391"/>
      <c r="N2014" s="385"/>
      <c r="O2014" s="190"/>
    </row>
    <row r="2015" spans="2:15" ht="16" x14ac:dyDescent="0.2">
      <c r="B2015" s="256"/>
      <c r="C2015" s="119">
        <v>34</v>
      </c>
      <c r="D2015" s="385"/>
      <c r="E2015" s="391"/>
      <c r="F2015" s="385"/>
      <c r="G2015" s="391"/>
      <c r="H2015" s="385"/>
      <c r="I2015" s="391"/>
      <c r="J2015" s="385"/>
      <c r="K2015" s="391"/>
      <c r="L2015" s="385"/>
      <c r="M2015" s="391"/>
      <c r="N2015" s="385"/>
      <c r="O2015" s="190"/>
    </row>
    <row r="2016" spans="2:15" ht="16" x14ac:dyDescent="0.2">
      <c r="B2016" s="256"/>
      <c r="C2016" s="119">
        <v>35</v>
      </c>
      <c r="D2016" s="385"/>
      <c r="E2016" s="391"/>
      <c r="F2016" s="385"/>
      <c r="G2016" s="391"/>
      <c r="H2016" s="385"/>
      <c r="I2016" s="391"/>
      <c r="J2016" s="385"/>
      <c r="K2016" s="391"/>
      <c r="L2016" s="385"/>
      <c r="M2016" s="391"/>
      <c r="N2016" s="385"/>
      <c r="O2016" s="190"/>
    </row>
    <row r="2017" spans="2:15" ht="16" x14ac:dyDescent="0.2">
      <c r="B2017" s="256"/>
      <c r="C2017" s="119">
        <v>36</v>
      </c>
      <c r="D2017" s="385"/>
      <c r="E2017" s="391"/>
      <c r="F2017" s="385"/>
      <c r="G2017" s="391"/>
      <c r="H2017" s="385"/>
      <c r="I2017" s="391"/>
      <c r="J2017" s="385"/>
      <c r="K2017" s="391"/>
      <c r="L2017" s="385"/>
      <c r="M2017" s="391"/>
      <c r="N2017" s="385"/>
      <c r="O2017" s="190"/>
    </row>
    <row r="2018" spans="2:15" ht="17" thickBot="1" x14ac:dyDescent="0.25">
      <c r="B2018" s="256"/>
      <c r="C2018" s="378">
        <v>37</v>
      </c>
      <c r="D2018" s="386"/>
      <c r="E2018" s="392"/>
      <c r="F2018" s="386"/>
      <c r="G2018" s="392"/>
      <c r="H2018" s="386"/>
      <c r="I2018" s="392"/>
      <c r="J2018" s="386"/>
      <c r="K2018" s="392"/>
      <c r="L2018" s="386"/>
      <c r="M2018" s="392"/>
      <c r="N2018" s="386"/>
      <c r="O2018" s="190"/>
    </row>
    <row r="2019" spans="2:15" ht="17" thickBot="1" x14ac:dyDescent="0.25">
      <c r="C2019" s="825" t="s">
        <v>19</v>
      </c>
      <c r="D2019" s="826"/>
      <c r="E2019" s="380"/>
      <c r="F2019" s="376">
        <f>(F1982+F1983+F1984+F1985+F1986+F1987+F2003+F1990+F1991+F1988+F1989+F1992+F1993+F1994+F1995+F1996+F1997+F1998+F1999+F2000+F2001+F2002+F2004+F2005+F2007+F2008+F2009+F2010+F2011+F2012+F2013+F2014+F2015+F2018)/2</f>
        <v>84</v>
      </c>
      <c r="G2019" s="397">
        <f>(G1982+G1983+G1984+G1985+G1986+G2003+G1987+G1991+G1990+G1988+G1989+G1992+G1993+G1994+G1995+G1996+G1997+G1998+G1999+G2000+G2001+G2002+G2004+G2005+G2007+G2008+G2009+G2010+G2011+G2012+G2013+G2014)/2</f>
        <v>47</v>
      </c>
      <c r="H2019" s="399">
        <f>(H1982+H1983+H1984+H1985+H1986+H1987+H2003+H2006+H1990+H1991+H1988+H1989+H1992+H1993+H1994+H1995+H1996+H1997+H1998+H1999+H2000+H2001+H2002+H2004+H2005+H2007+H2008+H2009+H2010+H2011+H2012+H2013+H2014+H2015+H2018)/2</f>
        <v>21</v>
      </c>
      <c r="I2019" s="398">
        <f>(I1982+I1983+I1984+I1985+I1986+I2016+I2017+I1987+I2003+I1990+I2006+I1991+I1988+I1989+I1992+I1993+I1994+I1995+I1996+I1997+I1998+I1999+I2000+I2001+I2002+I2004+I2005+I2007+I2008+I2009+I2010+I2011+I2012+I2013+I2014+I2015+I2018)/2</f>
        <v>55</v>
      </c>
      <c r="J2019" s="376">
        <f>(J1982+J1983+J1984+J1985+J1986+J1987+J1991+J1988+J1990+J1989+J2006+J1992+J1993+J1994+J1995+J1996+J1997+J1998+J1999+J2000+J2001+J2002+J2003+J2004+J2005+J2007+J2008+J2009+J2010+J2011+J2012+J2013+J2014)/2</f>
        <v>88</v>
      </c>
      <c r="K2019" s="397">
        <f>(K1982+K1983+K1984+K1985+K1986+K1987+K1991+K1988+K1989+K1992+K1993+K1994+K1995+K1996+K1997+K1998+K1999+K2000+K2001+K2002+K2004+K2005+K2007+K2008+K2009+K2010+K2011+K2012+K2013+K2014+K2003)</f>
        <v>0</v>
      </c>
      <c r="L2019" s="399">
        <f>SUM(L1982:L2018)</f>
        <v>0</v>
      </c>
      <c r="M2019" s="398">
        <f>(M1982+M1983+M1984+M1985+M1986+M1987+M1991+M1990+M1988+M1989+M1992+M1993+M1994+M1995+M1996+M1997+M1998+M1999+M2000+M2001+M2002+M2004+M2005+M2007+M2008+M2009+M2010+M2011+M2012+M2013+M2014)/2</f>
        <v>0</v>
      </c>
      <c r="N2019" s="376"/>
      <c r="O2019" s="41"/>
    </row>
    <row r="2020" spans="2:15" ht="17" thickBot="1" x14ac:dyDescent="0.25">
      <c r="C2020" s="825" t="s">
        <v>91</v>
      </c>
      <c r="D2020" s="826"/>
      <c r="E2020" s="381">
        <f>SUM(F2019:J2019)</f>
        <v>295</v>
      </c>
    </row>
    <row r="2021" spans="2:15" ht="16" thickBot="1" x14ac:dyDescent="0.25"/>
    <row r="2022" spans="2:15" ht="17" thickBot="1" x14ac:dyDescent="0.25">
      <c r="C2022" s="17"/>
      <c r="D2022" s="379" t="s">
        <v>83</v>
      </c>
      <c r="E2022" s="818" t="s">
        <v>66</v>
      </c>
      <c r="F2022" s="819"/>
      <c r="G2022" s="819"/>
      <c r="H2022" s="819"/>
      <c r="I2022" s="819"/>
      <c r="J2022" s="400" t="s">
        <v>76</v>
      </c>
      <c r="K2022" s="820">
        <v>45722</v>
      </c>
      <c r="L2022" s="821"/>
      <c r="M2022" s="821"/>
      <c r="N2022" s="821"/>
      <c r="O2022" s="822"/>
    </row>
    <row r="2023" spans="2:15" ht="16" thickBot="1" x14ac:dyDescent="0.25">
      <c r="B2023" s="175" t="s">
        <v>76</v>
      </c>
      <c r="C2023" s="175" t="s">
        <v>77</v>
      </c>
      <c r="D2023" s="823" t="s">
        <v>122</v>
      </c>
      <c r="E2023" s="824"/>
      <c r="F2023" s="175" t="s">
        <v>104</v>
      </c>
      <c r="G2023" s="395" t="s">
        <v>86</v>
      </c>
      <c r="H2023" s="175" t="s">
        <v>88</v>
      </c>
      <c r="I2023" s="395" t="s">
        <v>87</v>
      </c>
      <c r="J2023" s="401" t="s">
        <v>85</v>
      </c>
      <c r="K2023" s="395" t="s">
        <v>123</v>
      </c>
      <c r="L2023" s="175" t="s">
        <v>124</v>
      </c>
      <c r="M2023" s="395" t="s">
        <v>100</v>
      </c>
      <c r="N2023" s="175" t="s">
        <v>213</v>
      </c>
      <c r="O2023" s="404" t="s">
        <v>125</v>
      </c>
    </row>
    <row r="2024" spans="2:15" ht="16" thickBot="1" x14ac:dyDescent="0.25">
      <c r="B2024" s="176">
        <f>K2022</f>
        <v>45722</v>
      </c>
      <c r="C2024" s="374"/>
      <c r="D2024" s="375" t="s">
        <v>126</v>
      </c>
      <c r="E2024" s="387" t="s">
        <v>127</v>
      </c>
      <c r="F2024" s="331">
        <v>11</v>
      </c>
      <c r="G2024" s="237">
        <v>7</v>
      </c>
      <c r="H2024" s="331">
        <v>3</v>
      </c>
      <c r="I2024" s="237">
        <v>5</v>
      </c>
      <c r="J2024" s="331">
        <v>11</v>
      </c>
      <c r="K2024" s="231"/>
      <c r="L2024" s="125"/>
      <c r="M2024" s="231"/>
      <c r="N2024" s="125"/>
      <c r="O2024" s="326"/>
    </row>
    <row r="2025" spans="2:15" ht="16" x14ac:dyDescent="0.2">
      <c r="C2025" s="118">
        <v>1</v>
      </c>
      <c r="D2025" s="382">
        <v>0.75</v>
      </c>
      <c r="E2025" s="388">
        <v>0.77083333333333337</v>
      </c>
      <c r="F2025" s="393"/>
      <c r="G2025" s="396">
        <v>28</v>
      </c>
      <c r="H2025" s="393"/>
      <c r="I2025" s="396"/>
      <c r="J2025" s="393"/>
      <c r="K2025" s="396"/>
      <c r="L2025" s="393"/>
      <c r="M2025" s="396"/>
      <c r="N2025" s="393"/>
      <c r="O2025" s="190"/>
    </row>
    <row r="2026" spans="2:15" ht="16" x14ac:dyDescent="0.2">
      <c r="C2026" s="119">
        <v>2</v>
      </c>
      <c r="D2026" s="383">
        <v>0.77083333333333337</v>
      </c>
      <c r="E2026" s="389">
        <v>0.79166666666666663</v>
      </c>
      <c r="F2026" s="385"/>
      <c r="G2026" s="391">
        <v>28</v>
      </c>
      <c r="H2026" s="385"/>
      <c r="I2026" s="391"/>
      <c r="J2026" s="385"/>
      <c r="K2026" s="391"/>
      <c r="L2026" s="385"/>
      <c r="M2026" s="391"/>
      <c r="N2026" s="385"/>
      <c r="O2026" s="190"/>
    </row>
    <row r="2027" spans="2:15" ht="16" x14ac:dyDescent="0.2">
      <c r="C2027" s="119">
        <v>3</v>
      </c>
      <c r="D2027" s="383">
        <v>0.79166666666666663</v>
      </c>
      <c r="E2027" s="389">
        <v>0.8125</v>
      </c>
      <c r="F2027" s="385"/>
      <c r="G2027" s="391">
        <v>28</v>
      </c>
      <c r="H2027" s="385"/>
      <c r="I2027" s="391"/>
      <c r="J2027" s="385"/>
      <c r="K2027" s="391"/>
      <c r="L2027" s="384"/>
      <c r="M2027" s="391"/>
      <c r="N2027" s="385"/>
      <c r="O2027" s="190"/>
    </row>
    <row r="2028" spans="2:15" ht="16" x14ac:dyDescent="0.2">
      <c r="C2028" s="119">
        <v>4</v>
      </c>
      <c r="D2028" s="383">
        <v>0.8125</v>
      </c>
      <c r="E2028" s="389">
        <v>0.83333333333333337</v>
      </c>
      <c r="F2028" s="385"/>
      <c r="G2028" s="391"/>
      <c r="H2028" s="316">
        <v>28</v>
      </c>
      <c r="I2028" s="391"/>
      <c r="J2028" s="385"/>
      <c r="K2028" s="391"/>
      <c r="L2028" s="402"/>
      <c r="M2028" s="391"/>
      <c r="N2028" s="385"/>
      <c r="O2028" s="190"/>
    </row>
    <row r="2029" spans="2:15" ht="16" x14ac:dyDescent="0.2">
      <c r="C2029" s="119">
        <v>5</v>
      </c>
      <c r="D2029" s="383">
        <v>0.83333333333333337</v>
      </c>
      <c r="E2029" s="389">
        <v>0.85416666666666663</v>
      </c>
      <c r="F2029" s="385"/>
      <c r="G2029" s="391">
        <v>14</v>
      </c>
      <c r="H2029" s="316"/>
      <c r="I2029" s="391"/>
      <c r="J2029" s="385"/>
      <c r="K2029" s="391"/>
      <c r="L2029" s="393"/>
      <c r="M2029" s="391"/>
      <c r="N2029" s="385"/>
      <c r="O2029" s="190"/>
    </row>
    <row r="2030" spans="2:15" ht="16" x14ac:dyDescent="0.2">
      <c r="C2030" s="119">
        <v>6</v>
      </c>
      <c r="D2030" s="383">
        <v>0.83333333333333337</v>
      </c>
      <c r="E2030" s="389">
        <v>0.85416666666666663</v>
      </c>
      <c r="F2030" s="385"/>
      <c r="G2030" s="391"/>
      <c r="H2030" s="316">
        <v>14</v>
      </c>
      <c r="I2030" s="391"/>
      <c r="J2030" s="385"/>
      <c r="K2030" s="391"/>
      <c r="L2030" s="393"/>
      <c r="M2030" s="391"/>
      <c r="N2030" s="385"/>
      <c r="O2030" s="190"/>
    </row>
    <row r="2031" spans="2:15" ht="16" x14ac:dyDescent="0.2">
      <c r="C2031" s="119">
        <v>7</v>
      </c>
      <c r="D2031" s="383">
        <v>0.89236111111111116</v>
      </c>
      <c r="E2031" s="389">
        <v>0.91319444444444453</v>
      </c>
      <c r="F2031" s="385">
        <v>28</v>
      </c>
      <c r="G2031" s="391"/>
      <c r="H2031" s="316"/>
      <c r="I2031" s="391"/>
      <c r="J2031" s="385"/>
      <c r="K2031" s="391"/>
      <c r="L2031" s="393"/>
      <c r="M2031" s="391"/>
      <c r="N2031" s="385"/>
      <c r="O2031" s="190"/>
    </row>
    <row r="2032" spans="2:15" ht="16" x14ac:dyDescent="0.2">
      <c r="C2032" s="119">
        <v>8</v>
      </c>
      <c r="D2032" s="383">
        <v>0.91319444444444453</v>
      </c>
      <c r="E2032" s="389">
        <v>0.93402777777777779</v>
      </c>
      <c r="F2032" s="385">
        <v>28</v>
      </c>
      <c r="G2032" s="391"/>
      <c r="H2032" s="316"/>
      <c r="I2032" s="391"/>
      <c r="J2032" s="385"/>
      <c r="K2032" s="391"/>
      <c r="L2032" s="385"/>
      <c r="M2032" s="391"/>
      <c r="N2032" s="385"/>
      <c r="O2032" s="190"/>
    </row>
    <row r="2033" spans="3:15" ht="16" x14ac:dyDescent="0.2">
      <c r="C2033" s="119">
        <v>9</v>
      </c>
      <c r="D2033" s="383">
        <v>0.93402777777777779</v>
      </c>
      <c r="E2033" s="389">
        <v>0.95486111111111116</v>
      </c>
      <c r="F2033" s="385">
        <v>28</v>
      </c>
      <c r="G2033" s="391"/>
      <c r="H2033" s="316"/>
      <c r="I2033" s="391"/>
      <c r="J2033" s="385"/>
      <c r="K2033" s="391"/>
      <c r="L2033" s="385"/>
      <c r="M2033" s="391"/>
      <c r="N2033" s="385"/>
      <c r="O2033" s="190"/>
    </row>
    <row r="2034" spans="3:15" ht="16" x14ac:dyDescent="0.2">
      <c r="C2034" s="119">
        <v>10</v>
      </c>
      <c r="D2034" s="383">
        <v>0.95486111111111116</v>
      </c>
      <c r="E2034" s="389">
        <v>0.97569444444444453</v>
      </c>
      <c r="F2034" s="385">
        <v>28</v>
      </c>
      <c r="G2034" s="391"/>
      <c r="H2034" s="316"/>
      <c r="I2034" s="391"/>
      <c r="J2034" s="385"/>
      <c r="K2034" s="391"/>
      <c r="L2034" s="385"/>
      <c r="M2034" s="391"/>
      <c r="N2034" s="385"/>
      <c r="O2034" s="190"/>
    </row>
    <row r="2035" spans="3:15" ht="16" x14ac:dyDescent="0.2">
      <c r="C2035" s="119">
        <v>11</v>
      </c>
      <c r="D2035" s="383">
        <v>0.97569444444444453</v>
      </c>
      <c r="E2035" s="389">
        <v>0.99652777777777779</v>
      </c>
      <c r="F2035" s="385">
        <v>28</v>
      </c>
      <c r="G2035" s="391"/>
      <c r="H2035" s="316"/>
      <c r="I2035" s="391"/>
      <c r="J2035" s="28"/>
      <c r="K2035" s="391"/>
      <c r="L2035" s="385"/>
      <c r="M2035" s="391"/>
      <c r="N2035" s="385"/>
      <c r="O2035" s="190"/>
    </row>
    <row r="2036" spans="3:15" ht="16" x14ac:dyDescent="0.2">
      <c r="C2036" s="193">
        <v>12</v>
      </c>
      <c r="D2036" s="383">
        <v>0.99652777777777779</v>
      </c>
      <c r="E2036" s="389">
        <v>1.7361111111111112E-2</v>
      </c>
      <c r="F2036" s="385">
        <v>14</v>
      </c>
      <c r="G2036" s="391"/>
      <c r="H2036" s="316"/>
      <c r="I2036" s="391"/>
      <c r="J2036" s="385"/>
      <c r="K2036" s="391"/>
      <c r="L2036" s="385"/>
      <c r="M2036" s="391"/>
      <c r="N2036" s="385"/>
      <c r="O2036" s="190"/>
    </row>
    <row r="2037" spans="3:15" ht="16" x14ac:dyDescent="0.2">
      <c r="C2037" s="119">
        <v>13</v>
      </c>
      <c r="D2037" s="383">
        <v>0.99652777777777779</v>
      </c>
      <c r="E2037" s="389">
        <v>1.7361111111111112E-2</v>
      </c>
      <c r="F2037" s="385"/>
      <c r="G2037" s="391"/>
      <c r="H2037" s="316"/>
      <c r="I2037" s="391">
        <v>22</v>
      </c>
      <c r="J2037" s="385"/>
      <c r="K2037" s="391"/>
      <c r="L2037" s="385"/>
      <c r="M2037" s="391"/>
      <c r="N2037" s="385"/>
      <c r="O2037" s="190"/>
    </row>
    <row r="2038" spans="3:15" ht="16" x14ac:dyDescent="0.2">
      <c r="C2038" s="119">
        <v>14</v>
      </c>
      <c r="D2038" s="383">
        <v>2.0833333333333332E-2</v>
      </c>
      <c r="E2038" s="389">
        <v>4.1666666666666664E-2</v>
      </c>
      <c r="F2038" s="385"/>
      <c r="G2038" s="391"/>
      <c r="H2038" s="316"/>
      <c r="I2038" s="391"/>
      <c r="J2038" s="385">
        <v>36</v>
      </c>
      <c r="K2038" s="391"/>
      <c r="L2038" s="385"/>
      <c r="M2038" s="391"/>
      <c r="N2038" s="385"/>
      <c r="O2038" s="190"/>
    </row>
    <row r="2039" spans="3:15" ht="16" x14ac:dyDescent="0.2">
      <c r="C2039" s="119">
        <v>15</v>
      </c>
      <c r="D2039" s="383">
        <v>4.1666666666666664E-2</v>
      </c>
      <c r="E2039" s="389">
        <v>6.25E-2</v>
      </c>
      <c r="F2039" s="385"/>
      <c r="G2039" s="391"/>
      <c r="H2039" s="316"/>
      <c r="I2039" s="391"/>
      <c r="J2039" s="385">
        <v>36</v>
      </c>
      <c r="K2039" s="391"/>
      <c r="L2039" s="385"/>
      <c r="M2039" s="391"/>
      <c r="N2039" s="385"/>
      <c r="O2039" s="190"/>
    </row>
    <row r="2040" spans="3:15" ht="16" x14ac:dyDescent="0.2">
      <c r="C2040" s="119">
        <v>16</v>
      </c>
      <c r="D2040" s="383">
        <v>6.25E-2</v>
      </c>
      <c r="E2040" s="389">
        <v>8.3333333333333329E-2</v>
      </c>
      <c r="F2040" s="385"/>
      <c r="G2040" s="391"/>
      <c r="H2040" s="316"/>
      <c r="I2040" s="391"/>
      <c r="J2040" s="385">
        <v>36</v>
      </c>
      <c r="K2040" s="391"/>
      <c r="L2040" s="385"/>
      <c r="M2040" s="391"/>
      <c r="N2040" s="385"/>
      <c r="O2040" s="190"/>
    </row>
    <row r="2041" spans="3:15" ht="16" x14ac:dyDescent="0.2">
      <c r="C2041" s="119">
        <v>17</v>
      </c>
      <c r="D2041" s="383">
        <v>8.3333333333333329E-2</v>
      </c>
      <c r="E2041" s="389">
        <v>0.11805555555555557</v>
      </c>
      <c r="F2041" s="384"/>
      <c r="G2041" s="33"/>
      <c r="H2041" s="316"/>
      <c r="I2041" s="390"/>
      <c r="J2041" s="385">
        <v>36</v>
      </c>
      <c r="K2041" s="391"/>
      <c r="L2041" s="385"/>
      <c r="M2041" s="391"/>
      <c r="N2041" s="385"/>
      <c r="O2041" s="190"/>
    </row>
    <row r="2042" spans="3:15" ht="16" x14ac:dyDescent="0.2">
      <c r="C2042" s="119">
        <v>18</v>
      </c>
      <c r="D2042" s="383">
        <v>0.10416666666666667</v>
      </c>
      <c r="E2042" s="389">
        <v>0.125</v>
      </c>
      <c r="F2042" s="394"/>
      <c r="G2042" s="229"/>
      <c r="H2042" s="394"/>
      <c r="I2042" s="391"/>
      <c r="J2042" s="385">
        <v>36</v>
      </c>
      <c r="K2042" s="391"/>
      <c r="L2042" s="385"/>
      <c r="M2042" s="391"/>
      <c r="N2042" s="385"/>
      <c r="O2042" s="190"/>
    </row>
    <row r="2043" spans="3:15" ht="16" x14ac:dyDescent="0.2">
      <c r="C2043" s="119">
        <v>19</v>
      </c>
      <c r="D2043" s="383">
        <v>0.125</v>
      </c>
      <c r="E2043" s="389">
        <v>0.14583333333333334</v>
      </c>
      <c r="F2043" s="385"/>
      <c r="G2043" s="391"/>
      <c r="H2043" s="385"/>
      <c r="I2043" s="391">
        <v>44</v>
      </c>
      <c r="J2043" s="385"/>
      <c r="K2043" s="391"/>
      <c r="L2043" s="403"/>
      <c r="M2043" s="391"/>
      <c r="N2043" s="385"/>
      <c r="O2043" s="190"/>
    </row>
    <row r="2044" spans="3:15" ht="16" x14ac:dyDescent="0.2">
      <c r="C2044" s="119">
        <v>20</v>
      </c>
      <c r="D2044" s="383">
        <v>0.14583333333333334</v>
      </c>
      <c r="E2044" s="389">
        <v>0.16666666666666666</v>
      </c>
      <c r="F2044" s="385"/>
      <c r="G2044" s="391"/>
      <c r="H2044" s="385"/>
      <c r="I2044" s="391">
        <v>44</v>
      </c>
      <c r="J2044" s="385"/>
      <c r="K2044" s="391"/>
      <c r="L2044" s="403"/>
      <c r="M2044" s="391"/>
      <c r="N2044" s="385"/>
      <c r="O2044" s="190"/>
    </row>
    <row r="2045" spans="3:15" ht="16" x14ac:dyDescent="0.2">
      <c r="C2045" s="119">
        <v>21</v>
      </c>
      <c r="D2045" s="383">
        <v>0.16666666666666666</v>
      </c>
      <c r="E2045" s="389">
        <v>0.1875</v>
      </c>
      <c r="F2045" s="385"/>
      <c r="G2045" s="391"/>
      <c r="H2045" s="385"/>
      <c r="I2045" s="391"/>
      <c r="J2045" s="385">
        <v>11</v>
      </c>
      <c r="K2045" s="391">
        <v>1</v>
      </c>
      <c r="L2045" s="385"/>
      <c r="M2045" s="391"/>
      <c r="N2045" s="385"/>
      <c r="O2045" s="190"/>
    </row>
    <row r="2046" spans="3:15" ht="16" x14ac:dyDescent="0.2">
      <c r="C2046" s="119">
        <v>22</v>
      </c>
      <c r="D2046" s="383"/>
      <c r="E2046" s="389"/>
      <c r="F2046" s="385"/>
      <c r="G2046" s="391"/>
      <c r="H2046" s="385"/>
      <c r="I2046" s="391"/>
      <c r="J2046" s="385"/>
      <c r="K2046" s="391"/>
      <c r="L2046" s="385"/>
      <c r="M2046" s="391"/>
      <c r="N2046" s="385"/>
      <c r="O2046" s="190"/>
    </row>
    <row r="2047" spans="3:15" ht="16" x14ac:dyDescent="0.2">
      <c r="C2047" s="119">
        <v>23</v>
      </c>
      <c r="D2047" s="383"/>
      <c r="E2047" s="389"/>
      <c r="F2047" s="385"/>
      <c r="G2047" s="391"/>
      <c r="H2047" s="385"/>
      <c r="I2047" s="391"/>
      <c r="J2047" s="385"/>
      <c r="K2047" s="391"/>
      <c r="L2047" s="385"/>
      <c r="M2047" s="391"/>
      <c r="N2047" s="385"/>
      <c r="O2047" s="190"/>
    </row>
    <row r="2048" spans="3:15" ht="16" x14ac:dyDescent="0.2">
      <c r="C2048" s="119">
        <v>24</v>
      </c>
      <c r="D2048" s="383"/>
      <c r="E2048" s="389"/>
      <c r="F2048" s="385"/>
      <c r="G2048" s="391"/>
      <c r="H2048" s="385"/>
      <c r="I2048" s="391"/>
      <c r="J2048" s="385"/>
      <c r="K2048" s="391"/>
      <c r="L2048" s="385"/>
      <c r="M2048" s="391"/>
      <c r="N2048" s="385"/>
      <c r="O2048" s="190"/>
    </row>
    <row r="2049" spans="2:15" ht="16" x14ac:dyDescent="0.2">
      <c r="C2049" s="119">
        <v>25</v>
      </c>
      <c r="D2049" s="383"/>
      <c r="E2049" s="389"/>
      <c r="F2049" s="385"/>
      <c r="G2049" s="391"/>
      <c r="H2049" s="385"/>
      <c r="I2049" s="391"/>
      <c r="J2049" s="385"/>
      <c r="K2049" s="391"/>
      <c r="L2049" s="385"/>
      <c r="M2049" s="391"/>
      <c r="N2049" s="385"/>
      <c r="O2049" s="190"/>
    </row>
    <row r="2050" spans="2:15" ht="16" x14ac:dyDescent="0.2">
      <c r="C2050" s="119">
        <v>26</v>
      </c>
      <c r="D2050" s="383"/>
      <c r="E2050" s="389"/>
      <c r="F2050" s="385"/>
      <c r="G2050" s="391"/>
      <c r="H2050" s="385"/>
      <c r="I2050" s="391"/>
      <c r="J2050" s="385"/>
      <c r="K2050" s="391"/>
      <c r="L2050" s="385"/>
      <c r="M2050" s="391"/>
      <c r="N2050" s="385"/>
      <c r="O2050" s="190"/>
    </row>
    <row r="2051" spans="2:15" ht="16" x14ac:dyDescent="0.2">
      <c r="C2051" s="119">
        <v>27</v>
      </c>
      <c r="D2051" s="383"/>
      <c r="E2051" s="389"/>
      <c r="F2051" s="385"/>
      <c r="G2051" s="391"/>
      <c r="H2051" s="385"/>
      <c r="I2051" s="391"/>
      <c r="J2051" s="385"/>
      <c r="K2051" s="391"/>
      <c r="L2051" s="385"/>
      <c r="M2051" s="391"/>
      <c r="N2051" s="385"/>
      <c r="O2051" s="190"/>
    </row>
    <row r="2052" spans="2:15" ht="16" x14ac:dyDescent="0.2">
      <c r="C2052" s="119">
        <v>28</v>
      </c>
      <c r="D2052" s="383"/>
      <c r="E2052" s="389"/>
      <c r="F2052" s="385"/>
      <c r="G2052" s="391"/>
      <c r="H2052" s="385"/>
      <c r="I2052" s="391"/>
      <c r="J2052" s="385"/>
      <c r="K2052" s="391"/>
      <c r="L2052" s="385"/>
      <c r="M2052" s="391"/>
      <c r="N2052" s="385"/>
      <c r="O2052" s="190"/>
    </row>
    <row r="2053" spans="2:15" ht="16" x14ac:dyDescent="0.2">
      <c r="C2053" s="119">
        <v>29</v>
      </c>
      <c r="D2053" s="383"/>
      <c r="E2053" s="389"/>
      <c r="F2053" s="385"/>
      <c r="G2053" s="391"/>
      <c r="H2053" s="385"/>
      <c r="I2053" s="391"/>
      <c r="J2053" s="385"/>
      <c r="K2053" s="391"/>
      <c r="L2053" s="385"/>
      <c r="M2053" s="391"/>
      <c r="N2053" s="385"/>
      <c r="O2053" s="190"/>
    </row>
    <row r="2054" spans="2:15" ht="16" x14ac:dyDescent="0.2">
      <c r="C2054" s="119">
        <v>30</v>
      </c>
      <c r="D2054" s="383"/>
      <c r="E2054" s="389"/>
      <c r="F2054" s="385"/>
      <c r="G2054" s="391"/>
      <c r="H2054" s="385"/>
      <c r="I2054" s="391"/>
      <c r="J2054" s="385"/>
      <c r="K2054" s="391"/>
      <c r="L2054" s="385"/>
      <c r="M2054" s="391"/>
      <c r="N2054" s="385"/>
      <c r="O2054" s="190"/>
    </row>
    <row r="2055" spans="2:15" ht="16" x14ac:dyDescent="0.2">
      <c r="C2055" s="120">
        <v>31</v>
      </c>
      <c r="D2055" s="383"/>
      <c r="E2055" s="389"/>
      <c r="F2055" s="384"/>
      <c r="G2055" s="390"/>
      <c r="H2055" s="384"/>
      <c r="I2055" s="390"/>
      <c r="J2055" s="384"/>
      <c r="K2055" s="390"/>
      <c r="L2055" s="384"/>
      <c r="M2055" s="390"/>
      <c r="N2055" s="384"/>
      <c r="O2055" s="190"/>
    </row>
    <row r="2056" spans="2:15" ht="16" x14ac:dyDescent="0.2">
      <c r="B2056" s="256"/>
      <c r="C2056" s="377">
        <v>32</v>
      </c>
      <c r="D2056" s="384"/>
      <c r="E2056" s="390"/>
      <c r="F2056" s="384"/>
      <c r="G2056" s="390"/>
      <c r="H2056" s="384"/>
      <c r="I2056" s="390"/>
      <c r="J2056" s="384"/>
      <c r="K2056" s="390"/>
      <c r="L2056" s="384"/>
      <c r="M2056" s="390"/>
      <c r="N2056" s="384"/>
      <c r="O2056" s="190"/>
    </row>
    <row r="2057" spans="2:15" ht="16" x14ac:dyDescent="0.2">
      <c r="B2057" s="256"/>
      <c r="C2057" s="119">
        <v>33</v>
      </c>
      <c r="D2057" s="385"/>
      <c r="E2057" s="391"/>
      <c r="F2057" s="385"/>
      <c r="G2057" s="391"/>
      <c r="H2057" s="385"/>
      <c r="I2057" s="391"/>
      <c r="J2057" s="385"/>
      <c r="K2057" s="391"/>
      <c r="L2057" s="385"/>
      <c r="M2057" s="391"/>
      <c r="N2057" s="385"/>
      <c r="O2057" s="190"/>
    </row>
    <row r="2058" spans="2:15" ht="16" x14ac:dyDescent="0.2">
      <c r="B2058" s="256"/>
      <c r="C2058" s="119">
        <v>34</v>
      </c>
      <c r="D2058" s="385"/>
      <c r="E2058" s="391"/>
      <c r="F2058" s="385"/>
      <c r="G2058" s="391"/>
      <c r="H2058" s="385"/>
      <c r="I2058" s="391"/>
      <c r="J2058" s="385"/>
      <c r="K2058" s="391"/>
      <c r="L2058" s="385"/>
      <c r="M2058" s="391"/>
      <c r="N2058" s="385"/>
      <c r="O2058" s="190"/>
    </row>
    <row r="2059" spans="2:15" ht="16" x14ac:dyDescent="0.2">
      <c r="B2059" s="256"/>
      <c r="C2059" s="119">
        <v>35</v>
      </c>
      <c r="D2059" s="385"/>
      <c r="E2059" s="391"/>
      <c r="F2059" s="385"/>
      <c r="G2059" s="391"/>
      <c r="H2059" s="385"/>
      <c r="I2059" s="391"/>
      <c r="J2059" s="385"/>
      <c r="K2059" s="391"/>
      <c r="L2059" s="385"/>
      <c r="M2059" s="391"/>
      <c r="N2059" s="385"/>
      <c r="O2059" s="190"/>
    </row>
    <row r="2060" spans="2:15" ht="16" x14ac:dyDescent="0.2">
      <c r="B2060" s="256"/>
      <c r="C2060" s="119">
        <v>36</v>
      </c>
      <c r="D2060" s="385"/>
      <c r="E2060" s="391"/>
      <c r="F2060" s="385"/>
      <c r="G2060" s="391"/>
      <c r="H2060" s="385"/>
      <c r="I2060" s="391"/>
      <c r="J2060" s="385"/>
      <c r="K2060" s="391"/>
      <c r="L2060" s="385"/>
      <c r="M2060" s="391"/>
      <c r="N2060" s="385"/>
      <c r="O2060" s="190"/>
    </row>
    <row r="2061" spans="2:15" ht="17" thickBot="1" x14ac:dyDescent="0.25">
      <c r="B2061" s="256"/>
      <c r="C2061" s="378">
        <v>37</v>
      </c>
      <c r="D2061" s="386"/>
      <c r="E2061" s="392"/>
      <c r="F2061" s="386"/>
      <c r="G2061" s="392"/>
      <c r="H2061" s="386"/>
      <c r="I2061" s="392"/>
      <c r="J2061" s="386"/>
      <c r="K2061" s="392"/>
      <c r="L2061" s="386"/>
      <c r="M2061" s="392"/>
      <c r="N2061" s="386"/>
      <c r="O2061" s="190"/>
    </row>
    <row r="2062" spans="2:15" ht="17" thickBot="1" x14ac:dyDescent="0.25">
      <c r="C2062" s="825" t="s">
        <v>19</v>
      </c>
      <c r="D2062" s="826"/>
      <c r="E2062" s="380"/>
      <c r="F2062" s="376">
        <f>(F2025+F2026+F2027+F2028+F2029+F2030+F2046+F2033+F2034+F2031+F2032+F2035+F2036+F2037+F2038+F2039+F2040+F2041+F2042+F2043+F2044+F2045+F2047+F2048+F2050+F2051+F2052+F2053+F2054+F2055+F2056+F2057+F2058+F2061)/2</f>
        <v>77</v>
      </c>
      <c r="G2062" s="397">
        <f>(G2025+G2026+G2027+G2028+G2029+G2046+G2030+G2034+G2033+G2031+G2032+G2035+G2036+G2037+G2038+G2039+G2040+G2041+G2042+G2043+G2044+G2045+G2047+G2048+G2050+G2051+G2052+G2053+G2054+G2055+G2056+G2057)/2</f>
        <v>49</v>
      </c>
      <c r="H2062" s="399">
        <f>(H2025+H2026+H2027+H2028+H2029+H2030+H2046+H2049+H2033+H2034+H2031+H2032+H2035+H2036+H2037+H2038+H2039+H2040+H2041+H2042+H2043+H2044+H2045+H2047+H2048+H2050+H2051+H2052+H2053+H2054+H2055+H2056+H2057+H2058+H2061)/2</f>
        <v>21</v>
      </c>
      <c r="I2062" s="398">
        <f>(I2025+I2026+I2027+I2028+I2029+I2059+I2060+I2030+I2046+I2033+I2049+I2034+I2031+I2032+I2035+I2036+I2037+I2038+I2039+I2040+I2041+I2042+I2043+I2044+I2045+I2047+I2048+I2050+I2051+I2052+I2053+I2054+I2055+I2056+I2057+I2058+I2061)/2</f>
        <v>55</v>
      </c>
      <c r="J2062" s="376">
        <f>(J2025+J2026+J2027+J2028+J2029+J2030+J2034+J2031+J2033+J2032+J2049+J2035+J2036+J2037+J2038+J2039+J2040+J2041+J2042+J2043+J2044+J2045+J2046+J2047+J2048+J2050+J2051+J2052+J2053+J2054+J2055+J2056+J2057)/2</f>
        <v>95.5</v>
      </c>
      <c r="K2062" s="397">
        <f>(K2025+K2026+K2027+K2028+K2029+K2030+K2034+K2031+K2032+K2035+K2036+K2037+K2038+K2039+K2040+K2041+K2042+K2043+K2044+K2045+K2047+K2048+K2050+K2051+K2052+K2053+K2054+K2055+K2056+K2057+K2046)</f>
        <v>1</v>
      </c>
      <c r="L2062" s="399">
        <f>SUM(L2025:L2061)</f>
        <v>0</v>
      </c>
      <c r="M2062" s="398">
        <f>(M2025+M2026+M2027+M2028+M2029+M2030+M2034+M2033+M2031+M2032+M2035+M2036+M2037+M2038+M2039+M2040+M2041+M2042+M2043+M2044+M2045+M2047+M2048+M2050+M2051+M2052+M2053+M2054+M2055+M2056+M2057)/2</f>
        <v>0</v>
      </c>
      <c r="N2062" s="376"/>
      <c r="O2062" s="41"/>
    </row>
    <row r="2063" spans="2:15" ht="17" thickBot="1" x14ac:dyDescent="0.25">
      <c r="C2063" s="825" t="s">
        <v>91</v>
      </c>
      <c r="D2063" s="826"/>
      <c r="E2063" s="381">
        <f>SUM(F2062:J2062)</f>
        <v>297.5</v>
      </c>
    </row>
    <row r="2064" spans="2:15" ht="16" thickBot="1" x14ac:dyDescent="0.25"/>
    <row r="2065" spans="2:15" ht="17" thickBot="1" x14ac:dyDescent="0.25">
      <c r="C2065" s="17"/>
      <c r="D2065" s="379" t="s">
        <v>83</v>
      </c>
      <c r="E2065" s="818" t="s">
        <v>68</v>
      </c>
      <c r="F2065" s="819"/>
      <c r="G2065" s="819"/>
      <c r="H2065" s="819"/>
      <c r="I2065" s="819"/>
      <c r="J2065" s="400" t="s">
        <v>76</v>
      </c>
      <c r="K2065" s="820">
        <v>45724</v>
      </c>
      <c r="L2065" s="821"/>
      <c r="M2065" s="821"/>
      <c r="N2065" s="821"/>
      <c r="O2065" s="822"/>
    </row>
    <row r="2066" spans="2:15" ht="16" thickBot="1" x14ac:dyDescent="0.25">
      <c r="B2066" s="175" t="s">
        <v>76</v>
      </c>
      <c r="C2066" s="175" t="s">
        <v>77</v>
      </c>
      <c r="D2066" s="823" t="s">
        <v>122</v>
      </c>
      <c r="E2066" s="824"/>
      <c r="F2066" s="175" t="s">
        <v>104</v>
      </c>
      <c r="G2066" s="395" t="s">
        <v>86</v>
      </c>
      <c r="H2066" s="175" t="s">
        <v>88</v>
      </c>
      <c r="I2066" s="395" t="s">
        <v>87</v>
      </c>
      <c r="J2066" s="401" t="s">
        <v>85</v>
      </c>
      <c r="K2066" s="395" t="s">
        <v>123</v>
      </c>
      <c r="L2066" s="175" t="s">
        <v>124</v>
      </c>
      <c r="M2066" s="395" t="s">
        <v>100</v>
      </c>
      <c r="N2066" s="175" t="s">
        <v>213</v>
      </c>
      <c r="O2066" s="404" t="s">
        <v>125</v>
      </c>
    </row>
    <row r="2067" spans="2:15" ht="16" thickBot="1" x14ac:dyDescent="0.25">
      <c r="B2067" s="176">
        <f>K2065</f>
        <v>45724</v>
      </c>
      <c r="C2067" s="374"/>
      <c r="D2067" s="375" t="s">
        <v>126</v>
      </c>
      <c r="E2067" s="387" t="s">
        <v>127</v>
      </c>
      <c r="F2067" s="331">
        <v>4</v>
      </c>
      <c r="G2067" s="237">
        <v>2</v>
      </c>
      <c r="H2067" s="331">
        <v>0</v>
      </c>
      <c r="I2067" s="237">
        <v>2</v>
      </c>
      <c r="J2067" s="331">
        <v>4</v>
      </c>
      <c r="K2067" s="231"/>
      <c r="L2067" s="125"/>
      <c r="M2067" s="231"/>
      <c r="N2067" s="125"/>
      <c r="O2067" s="326"/>
    </row>
    <row r="2068" spans="2:15" ht="16" x14ac:dyDescent="0.2">
      <c r="C2068" s="118">
        <v>1</v>
      </c>
      <c r="D2068" s="382">
        <v>0.48958333333333331</v>
      </c>
      <c r="E2068" s="388">
        <v>0.51041666666666663</v>
      </c>
      <c r="F2068" s="393"/>
      <c r="G2068" s="396">
        <v>28</v>
      </c>
      <c r="H2068" s="393"/>
      <c r="I2068" s="396"/>
      <c r="J2068" s="393"/>
      <c r="K2068" s="396"/>
      <c r="L2068" s="393"/>
      <c r="M2068" s="396"/>
      <c r="N2068" s="393"/>
      <c r="O2068" s="190"/>
    </row>
    <row r="2069" spans="2:15" ht="16" x14ac:dyDescent="0.2">
      <c r="C2069" s="119">
        <v>2</v>
      </c>
      <c r="D2069" s="383">
        <v>0.51041666666666663</v>
      </c>
      <c r="E2069" s="389">
        <v>0.53125</v>
      </c>
      <c r="F2069" s="385">
        <v>28</v>
      </c>
      <c r="G2069" s="391"/>
      <c r="H2069" s="385"/>
      <c r="I2069" s="391"/>
      <c r="J2069" s="385"/>
      <c r="K2069" s="391"/>
      <c r="L2069" s="385"/>
      <c r="M2069" s="391"/>
      <c r="N2069" s="385"/>
      <c r="O2069" s="190"/>
    </row>
    <row r="2070" spans="2:15" ht="16" x14ac:dyDescent="0.2">
      <c r="C2070" s="119">
        <v>3</v>
      </c>
      <c r="D2070" s="383">
        <v>0.53125</v>
      </c>
      <c r="E2070" s="389">
        <v>0.55208333333333337</v>
      </c>
      <c r="F2070" s="385">
        <v>28</v>
      </c>
      <c r="G2070" s="391"/>
      <c r="H2070" s="385"/>
      <c r="I2070" s="391"/>
      <c r="J2070" s="385"/>
      <c r="K2070" s="391"/>
      <c r="L2070" s="384"/>
      <c r="M2070" s="391"/>
      <c r="N2070" s="385"/>
      <c r="O2070" s="190"/>
    </row>
    <row r="2071" spans="2:15" ht="16" x14ac:dyDescent="0.2">
      <c r="C2071" s="119">
        <v>4</v>
      </c>
      <c r="D2071" s="383">
        <v>0.63541666666666663</v>
      </c>
      <c r="E2071" s="389">
        <v>0.65625</v>
      </c>
      <c r="F2071" s="385"/>
      <c r="G2071" s="391"/>
      <c r="H2071" s="316"/>
      <c r="I2071" s="391"/>
      <c r="J2071" s="385">
        <v>36</v>
      </c>
      <c r="K2071" s="391"/>
      <c r="L2071" s="402"/>
      <c r="M2071" s="391"/>
      <c r="N2071" s="385"/>
      <c r="O2071" s="190"/>
    </row>
    <row r="2072" spans="2:15" ht="16" x14ac:dyDescent="0.2">
      <c r="C2072" s="119">
        <v>5</v>
      </c>
      <c r="D2072" s="383">
        <v>0.68055555555555547</v>
      </c>
      <c r="E2072" s="389">
        <v>0.70138888888888884</v>
      </c>
      <c r="F2072" s="385"/>
      <c r="G2072" s="391"/>
      <c r="H2072" s="316"/>
      <c r="I2072" s="391"/>
      <c r="J2072" s="385">
        <v>36</v>
      </c>
      <c r="K2072" s="391"/>
      <c r="L2072" s="393"/>
      <c r="M2072" s="391"/>
      <c r="N2072" s="385"/>
      <c r="O2072" s="190"/>
    </row>
    <row r="2073" spans="2:15" ht="16" x14ac:dyDescent="0.2">
      <c r="C2073" s="119">
        <v>6</v>
      </c>
      <c r="D2073" s="383">
        <v>0.70833333333333337</v>
      </c>
      <c r="E2073" s="389">
        <v>0.72916666666666663</v>
      </c>
      <c r="F2073" s="385"/>
      <c r="G2073" s="391"/>
      <c r="H2073" s="316"/>
      <c r="I2073" s="391">
        <v>44</v>
      </c>
      <c r="J2073" s="385"/>
      <c r="K2073" s="391"/>
      <c r="L2073" s="393"/>
      <c r="M2073" s="391"/>
      <c r="N2073" s="385"/>
      <c r="O2073" s="190"/>
    </row>
    <row r="2074" spans="2:15" ht="16" x14ac:dyDescent="0.2">
      <c r="C2074" s="119">
        <v>7</v>
      </c>
      <c r="D2074" s="383"/>
      <c r="E2074" s="389"/>
      <c r="F2074" s="385"/>
      <c r="G2074" s="391"/>
      <c r="H2074" s="316"/>
      <c r="I2074" s="391"/>
      <c r="J2074" s="385"/>
      <c r="K2074" s="391"/>
      <c r="L2074" s="393"/>
      <c r="M2074" s="391"/>
      <c r="N2074" s="385"/>
      <c r="O2074" s="190"/>
    </row>
    <row r="2075" spans="2:15" ht="16" x14ac:dyDescent="0.2">
      <c r="C2075" s="119">
        <v>8</v>
      </c>
      <c r="D2075" s="383"/>
      <c r="E2075" s="389"/>
      <c r="F2075" s="385"/>
      <c r="G2075" s="391"/>
      <c r="H2075" s="316"/>
      <c r="I2075" s="391"/>
      <c r="J2075" s="385"/>
      <c r="K2075" s="391"/>
      <c r="L2075" s="385"/>
      <c r="M2075" s="391"/>
      <c r="N2075" s="385"/>
      <c r="O2075" s="190"/>
    </row>
    <row r="2076" spans="2:15" ht="16" x14ac:dyDescent="0.2">
      <c r="C2076" s="119">
        <v>9</v>
      </c>
      <c r="D2076" s="383"/>
      <c r="E2076" s="389"/>
      <c r="F2076" s="385"/>
      <c r="G2076" s="391"/>
      <c r="H2076" s="316"/>
      <c r="I2076" s="391"/>
      <c r="J2076" s="385"/>
      <c r="K2076" s="391"/>
      <c r="L2076" s="385"/>
      <c r="M2076" s="391"/>
      <c r="N2076" s="385"/>
      <c r="O2076" s="190"/>
    </row>
    <row r="2077" spans="2:15" ht="16" x14ac:dyDescent="0.2">
      <c r="C2077" s="119">
        <v>10</v>
      </c>
      <c r="D2077" s="383"/>
      <c r="E2077" s="389"/>
      <c r="F2077" s="385"/>
      <c r="G2077" s="391"/>
      <c r="H2077" s="316"/>
      <c r="I2077" s="391"/>
      <c r="J2077" s="385"/>
      <c r="K2077" s="391"/>
      <c r="L2077" s="385"/>
      <c r="M2077" s="391"/>
      <c r="N2077" s="385"/>
      <c r="O2077" s="190"/>
    </row>
    <row r="2078" spans="2:15" ht="16" x14ac:dyDescent="0.2">
      <c r="C2078" s="119">
        <v>11</v>
      </c>
      <c r="D2078" s="383"/>
      <c r="E2078" s="389"/>
      <c r="F2078" s="385"/>
      <c r="G2078" s="391"/>
      <c r="H2078" s="316"/>
      <c r="I2078" s="391"/>
      <c r="J2078" s="28"/>
      <c r="K2078" s="391"/>
      <c r="L2078" s="385"/>
      <c r="M2078" s="391"/>
      <c r="N2078" s="385"/>
      <c r="O2078" s="190"/>
    </row>
    <row r="2079" spans="2:15" ht="16" x14ac:dyDescent="0.2">
      <c r="C2079" s="193">
        <v>12</v>
      </c>
      <c r="D2079" s="383"/>
      <c r="E2079" s="389"/>
      <c r="F2079" s="385"/>
      <c r="G2079" s="391"/>
      <c r="H2079" s="316"/>
      <c r="I2079" s="391"/>
      <c r="J2079" s="385"/>
      <c r="K2079" s="391"/>
      <c r="L2079" s="385"/>
      <c r="M2079" s="391"/>
      <c r="N2079" s="385"/>
      <c r="O2079" s="190"/>
    </row>
    <row r="2080" spans="2:15" ht="16" x14ac:dyDescent="0.2">
      <c r="C2080" s="119">
        <v>13</v>
      </c>
      <c r="D2080" s="383"/>
      <c r="E2080" s="389"/>
      <c r="F2080" s="385"/>
      <c r="G2080" s="391"/>
      <c r="H2080" s="316"/>
      <c r="I2080" s="391"/>
      <c r="J2080" s="385"/>
      <c r="K2080" s="391"/>
      <c r="L2080" s="385"/>
      <c r="M2080" s="391"/>
      <c r="N2080" s="385"/>
      <c r="O2080" s="190"/>
    </row>
    <row r="2081" spans="3:15" ht="16" x14ac:dyDescent="0.2">
      <c r="C2081" s="119">
        <v>14</v>
      </c>
      <c r="D2081" s="383"/>
      <c r="E2081" s="389"/>
      <c r="F2081" s="385"/>
      <c r="G2081" s="391"/>
      <c r="H2081" s="316"/>
      <c r="I2081" s="391"/>
      <c r="J2081" s="385"/>
      <c r="K2081" s="391"/>
      <c r="L2081" s="385"/>
      <c r="M2081" s="391"/>
      <c r="N2081" s="385"/>
      <c r="O2081" s="190"/>
    </row>
    <row r="2082" spans="3:15" ht="16" x14ac:dyDescent="0.2">
      <c r="C2082" s="119">
        <v>15</v>
      </c>
      <c r="D2082" s="383"/>
      <c r="E2082" s="389"/>
      <c r="F2082" s="385"/>
      <c r="G2082" s="391"/>
      <c r="H2082" s="316"/>
      <c r="I2082" s="391"/>
      <c r="J2082" s="385"/>
      <c r="K2082" s="391"/>
      <c r="L2082" s="385"/>
      <c r="M2082" s="391"/>
      <c r="N2082" s="385"/>
      <c r="O2082" s="190"/>
    </row>
    <row r="2083" spans="3:15" ht="16" x14ac:dyDescent="0.2">
      <c r="C2083" s="119">
        <v>16</v>
      </c>
      <c r="D2083" s="383"/>
      <c r="E2083" s="389"/>
      <c r="F2083" s="385"/>
      <c r="G2083" s="391"/>
      <c r="H2083" s="316"/>
      <c r="I2083" s="391"/>
      <c r="J2083" s="385"/>
      <c r="K2083" s="391"/>
      <c r="L2083" s="385"/>
      <c r="M2083" s="391"/>
      <c r="N2083" s="385"/>
      <c r="O2083" s="190"/>
    </row>
    <row r="2084" spans="3:15" ht="16" x14ac:dyDescent="0.2">
      <c r="C2084" s="119">
        <v>17</v>
      </c>
      <c r="D2084" s="383"/>
      <c r="E2084" s="389"/>
      <c r="F2084" s="384"/>
      <c r="G2084" s="33"/>
      <c r="H2084" s="316"/>
      <c r="I2084" s="390"/>
      <c r="J2084" s="385"/>
      <c r="K2084" s="391"/>
      <c r="L2084" s="385"/>
      <c r="M2084" s="391"/>
      <c r="N2084" s="385"/>
      <c r="O2084" s="190"/>
    </row>
    <row r="2085" spans="3:15" ht="16" x14ac:dyDescent="0.2">
      <c r="C2085" s="119">
        <v>18</v>
      </c>
      <c r="D2085" s="383"/>
      <c r="E2085" s="389"/>
      <c r="F2085" s="394"/>
      <c r="G2085" s="229"/>
      <c r="H2085" s="394"/>
      <c r="I2085" s="391"/>
      <c r="J2085" s="385"/>
      <c r="K2085" s="391"/>
      <c r="L2085" s="385"/>
      <c r="M2085" s="391"/>
      <c r="N2085" s="385"/>
      <c r="O2085" s="190"/>
    </row>
    <row r="2086" spans="3:15" ht="16" x14ac:dyDescent="0.2">
      <c r="C2086" s="119">
        <v>19</v>
      </c>
      <c r="D2086" s="383"/>
      <c r="E2086" s="389"/>
      <c r="F2086" s="385"/>
      <c r="G2086" s="391"/>
      <c r="H2086" s="385"/>
      <c r="I2086" s="391"/>
      <c r="J2086" s="385"/>
      <c r="K2086" s="391"/>
      <c r="L2086" s="403"/>
      <c r="M2086" s="391"/>
      <c r="N2086" s="385"/>
      <c r="O2086" s="190"/>
    </row>
    <row r="2087" spans="3:15" ht="16" x14ac:dyDescent="0.2">
      <c r="C2087" s="119">
        <v>20</v>
      </c>
      <c r="D2087" s="383"/>
      <c r="E2087" s="389"/>
      <c r="F2087" s="385"/>
      <c r="G2087" s="391"/>
      <c r="H2087" s="385"/>
      <c r="I2087" s="391"/>
      <c r="J2087" s="385"/>
      <c r="K2087" s="391"/>
      <c r="L2087" s="403"/>
      <c r="M2087" s="391"/>
      <c r="N2087" s="385"/>
      <c r="O2087" s="190"/>
    </row>
    <row r="2088" spans="3:15" ht="16" x14ac:dyDescent="0.2">
      <c r="C2088" s="119">
        <v>21</v>
      </c>
      <c r="D2088" s="383"/>
      <c r="E2088" s="389"/>
      <c r="F2088" s="385"/>
      <c r="G2088" s="391"/>
      <c r="H2088" s="385"/>
      <c r="I2088" s="391"/>
      <c r="J2088" s="385"/>
      <c r="K2088" s="391"/>
      <c r="L2088" s="385"/>
      <c r="M2088" s="391"/>
      <c r="N2088" s="385"/>
      <c r="O2088" s="190"/>
    </row>
    <row r="2089" spans="3:15" ht="16" x14ac:dyDescent="0.2">
      <c r="C2089" s="119">
        <v>22</v>
      </c>
      <c r="D2089" s="383"/>
      <c r="E2089" s="389"/>
      <c r="F2089" s="385"/>
      <c r="G2089" s="391"/>
      <c r="H2089" s="385"/>
      <c r="I2089" s="391"/>
      <c r="J2089" s="385"/>
      <c r="K2089" s="391"/>
      <c r="L2089" s="385"/>
      <c r="M2089" s="391"/>
      <c r="N2089" s="385"/>
      <c r="O2089" s="190"/>
    </row>
    <row r="2090" spans="3:15" ht="16" x14ac:dyDescent="0.2">
      <c r="C2090" s="119">
        <v>23</v>
      </c>
      <c r="D2090" s="383"/>
      <c r="E2090" s="389"/>
      <c r="F2090" s="385"/>
      <c r="G2090" s="391"/>
      <c r="H2090" s="385"/>
      <c r="I2090" s="391"/>
      <c r="J2090" s="385"/>
      <c r="K2090" s="391"/>
      <c r="L2090" s="385"/>
      <c r="M2090" s="391"/>
      <c r="N2090" s="385"/>
      <c r="O2090" s="190"/>
    </row>
    <row r="2091" spans="3:15" ht="16" x14ac:dyDescent="0.2">
      <c r="C2091" s="119">
        <v>24</v>
      </c>
      <c r="D2091" s="383"/>
      <c r="E2091" s="389"/>
      <c r="F2091" s="385"/>
      <c r="G2091" s="391"/>
      <c r="H2091" s="385"/>
      <c r="I2091" s="391"/>
      <c r="J2091" s="385"/>
      <c r="K2091" s="391"/>
      <c r="L2091" s="385"/>
      <c r="M2091" s="391"/>
      <c r="N2091" s="385"/>
      <c r="O2091" s="190"/>
    </row>
    <row r="2092" spans="3:15" ht="16" x14ac:dyDescent="0.2">
      <c r="C2092" s="119">
        <v>25</v>
      </c>
      <c r="D2092" s="383"/>
      <c r="E2092" s="389"/>
      <c r="F2092" s="385"/>
      <c r="G2092" s="391"/>
      <c r="H2092" s="385"/>
      <c r="I2092" s="391"/>
      <c r="J2092" s="385"/>
      <c r="K2092" s="391"/>
      <c r="L2092" s="385"/>
      <c r="M2092" s="391"/>
      <c r="N2092" s="385"/>
      <c r="O2092" s="190"/>
    </row>
    <row r="2093" spans="3:15" ht="16" x14ac:dyDescent="0.2">
      <c r="C2093" s="119">
        <v>26</v>
      </c>
      <c r="D2093" s="383"/>
      <c r="E2093" s="389"/>
      <c r="F2093" s="385"/>
      <c r="G2093" s="391"/>
      <c r="H2093" s="385"/>
      <c r="I2093" s="391"/>
      <c r="J2093" s="385"/>
      <c r="K2093" s="391"/>
      <c r="L2093" s="385"/>
      <c r="M2093" s="391"/>
      <c r="N2093" s="385"/>
      <c r="O2093" s="190"/>
    </row>
    <row r="2094" spans="3:15" ht="16" x14ac:dyDescent="0.2">
      <c r="C2094" s="119">
        <v>27</v>
      </c>
      <c r="D2094" s="383"/>
      <c r="E2094" s="389"/>
      <c r="F2094" s="385"/>
      <c r="G2094" s="391"/>
      <c r="H2094" s="385"/>
      <c r="I2094" s="391"/>
      <c r="J2094" s="385"/>
      <c r="K2094" s="391"/>
      <c r="L2094" s="385"/>
      <c r="M2094" s="391"/>
      <c r="N2094" s="385"/>
      <c r="O2094" s="190"/>
    </row>
    <row r="2095" spans="3:15" ht="16" x14ac:dyDescent="0.2">
      <c r="C2095" s="119">
        <v>28</v>
      </c>
      <c r="D2095" s="383"/>
      <c r="E2095" s="389"/>
      <c r="F2095" s="385"/>
      <c r="G2095" s="391"/>
      <c r="H2095" s="385"/>
      <c r="I2095" s="391"/>
      <c r="J2095" s="385"/>
      <c r="K2095" s="391"/>
      <c r="L2095" s="385"/>
      <c r="M2095" s="391"/>
      <c r="N2095" s="385"/>
      <c r="O2095" s="190"/>
    </row>
    <row r="2096" spans="3:15" ht="16" x14ac:dyDescent="0.2">
      <c r="C2096" s="119">
        <v>29</v>
      </c>
      <c r="D2096" s="383"/>
      <c r="E2096" s="389"/>
      <c r="F2096" s="385"/>
      <c r="G2096" s="391"/>
      <c r="H2096" s="385"/>
      <c r="I2096" s="391"/>
      <c r="J2096" s="385"/>
      <c r="K2096" s="391"/>
      <c r="L2096" s="385"/>
      <c r="M2096" s="391"/>
      <c r="N2096" s="385"/>
      <c r="O2096" s="190"/>
    </row>
    <row r="2097" spans="2:15" ht="16" x14ac:dyDescent="0.2">
      <c r="C2097" s="119">
        <v>30</v>
      </c>
      <c r="D2097" s="383"/>
      <c r="E2097" s="389"/>
      <c r="F2097" s="385"/>
      <c r="G2097" s="391"/>
      <c r="H2097" s="385"/>
      <c r="I2097" s="391"/>
      <c r="J2097" s="385"/>
      <c r="K2097" s="391"/>
      <c r="L2097" s="385"/>
      <c r="M2097" s="391"/>
      <c r="N2097" s="385"/>
      <c r="O2097" s="190"/>
    </row>
    <row r="2098" spans="2:15" ht="16" x14ac:dyDescent="0.2">
      <c r="C2098" s="120">
        <v>31</v>
      </c>
      <c r="D2098" s="383"/>
      <c r="E2098" s="389"/>
      <c r="F2098" s="384"/>
      <c r="G2098" s="390"/>
      <c r="H2098" s="384"/>
      <c r="I2098" s="390"/>
      <c r="J2098" s="384"/>
      <c r="K2098" s="390"/>
      <c r="L2098" s="384"/>
      <c r="M2098" s="390"/>
      <c r="N2098" s="384"/>
      <c r="O2098" s="190"/>
    </row>
    <row r="2099" spans="2:15" ht="16" x14ac:dyDescent="0.2">
      <c r="B2099" s="256"/>
      <c r="C2099" s="377">
        <v>32</v>
      </c>
      <c r="D2099" s="384"/>
      <c r="E2099" s="390"/>
      <c r="F2099" s="384"/>
      <c r="G2099" s="390"/>
      <c r="H2099" s="384"/>
      <c r="I2099" s="390"/>
      <c r="J2099" s="384"/>
      <c r="K2099" s="390"/>
      <c r="L2099" s="384"/>
      <c r="M2099" s="390"/>
      <c r="N2099" s="384"/>
      <c r="O2099" s="190"/>
    </row>
    <row r="2100" spans="2:15" ht="16" x14ac:dyDescent="0.2">
      <c r="B2100" s="256"/>
      <c r="C2100" s="119">
        <v>33</v>
      </c>
      <c r="D2100" s="385"/>
      <c r="E2100" s="391"/>
      <c r="F2100" s="385"/>
      <c r="G2100" s="391"/>
      <c r="H2100" s="385"/>
      <c r="I2100" s="391"/>
      <c r="J2100" s="385"/>
      <c r="K2100" s="391"/>
      <c r="L2100" s="385"/>
      <c r="M2100" s="391"/>
      <c r="N2100" s="385"/>
      <c r="O2100" s="190"/>
    </row>
    <row r="2101" spans="2:15" ht="16" x14ac:dyDescent="0.2">
      <c r="B2101" s="256"/>
      <c r="C2101" s="119">
        <v>34</v>
      </c>
      <c r="D2101" s="385"/>
      <c r="E2101" s="391"/>
      <c r="F2101" s="385"/>
      <c r="G2101" s="391"/>
      <c r="H2101" s="385"/>
      <c r="I2101" s="391"/>
      <c r="J2101" s="385"/>
      <c r="K2101" s="391"/>
      <c r="L2101" s="385"/>
      <c r="M2101" s="391"/>
      <c r="N2101" s="385"/>
      <c r="O2101" s="190"/>
    </row>
    <row r="2102" spans="2:15" ht="16" x14ac:dyDescent="0.2">
      <c r="B2102" s="256"/>
      <c r="C2102" s="119">
        <v>35</v>
      </c>
      <c r="D2102" s="385"/>
      <c r="E2102" s="391"/>
      <c r="F2102" s="385"/>
      <c r="G2102" s="391"/>
      <c r="H2102" s="385"/>
      <c r="I2102" s="391"/>
      <c r="J2102" s="385"/>
      <c r="K2102" s="391"/>
      <c r="L2102" s="385"/>
      <c r="M2102" s="391"/>
      <c r="N2102" s="385"/>
      <c r="O2102" s="190"/>
    </row>
    <row r="2103" spans="2:15" ht="16" x14ac:dyDescent="0.2">
      <c r="B2103" s="256"/>
      <c r="C2103" s="119">
        <v>36</v>
      </c>
      <c r="D2103" s="385"/>
      <c r="E2103" s="391"/>
      <c r="F2103" s="385"/>
      <c r="G2103" s="391"/>
      <c r="H2103" s="385"/>
      <c r="I2103" s="391"/>
      <c r="J2103" s="385"/>
      <c r="K2103" s="391"/>
      <c r="L2103" s="385"/>
      <c r="M2103" s="391"/>
      <c r="N2103" s="385"/>
      <c r="O2103" s="190"/>
    </row>
    <row r="2104" spans="2:15" ht="17" thickBot="1" x14ac:dyDescent="0.25">
      <c r="B2104" s="256"/>
      <c r="C2104" s="378">
        <v>37</v>
      </c>
      <c r="D2104" s="386"/>
      <c r="E2104" s="392"/>
      <c r="F2104" s="386"/>
      <c r="G2104" s="392"/>
      <c r="H2104" s="386"/>
      <c r="I2104" s="392"/>
      <c r="J2104" s="386"/>
      <c r="K2104" s="392"/>
      <c r="L2104" s="386"/>
      <c r="M2104" s="392"/>
      <c r="N2104" s="386"/>
      <c r="O2104" s="190"/>
    </row>
    <row r="2105" spans="2:15" ht="17" thickBot="1" x14ac:dyDescent="0.25">
      <c r="C2105" s="825" t="s">
        <v>19</v>
      </c>
      <c r="D2105" s="826"/>
      <c r="E2105" s="380"/>
      <c r="F2105" s="376">
        <f>(F2068+F2069+F2070+F2071+F2072+F2073+F2089+F2076+F2077+F2074+F2075+F2078+F2079+F2080+F2081+F2082+F2083+F2084+F2085+F2086+F2087+F2088+F2090+F2091+F2093+F2094+F2095+F2096+F2097+F2098+F2099+F2100+F2101+F2104)/2</f>
        <v>28</v>
      </c>
      <c r="G2105" s="397">
        <f>(G2068+G2069+G2070+G2071+G2072+G2089+G2073+G2077+G2076+G2074+G2075+G2078+G2079+G2080+G2081+G2082+G2083+G2084+G2085+G2086+G2087+G2088+G2090+G2091+G2093+G2094+G2095+G2096+G2097+G2098+G2099+G2100)/2</f>
        <v>14</v>
      </c>
      <c r="H2105" s="399">
        <f>(H2068+H2069+H2070+H2071+H2072+H2073+H2089+H2092+H2076+H2077+H2074+H2075+H2078+H2079+H2080+H2081+H2082+H2083+H2084+H2085+H2086+H2087+H2088+H2090+H2091+H2093+H2094+H2095+H2096+H2097+H2098+H2099+H2100+H2101+H2104)/2</f>
        <v>0</v>
      </c>
      <c r="I2105" s="398">
        <f>(I2068+I2069+I2070+I2071+I2072+I2102+I2103+I2073+I2089+I2076+I2092+I2077+I2074+I2075+I2078+I2079+I2080+I2081+I2082+I2083+I2084+I2085+I2086+I2087+I2088+I2090+I2091+I2093+I2094+I2095+I2096+I2097+I2098+I2099+I2100+I2101+I2104)/2</f>
        <v>22</v>
      </c>
      <c r="J2105" s="376">
        <f>(J2068+J2069+J2070+J2071+J2072+J2073+J2077+J2074+J2076+J2075+J2092+J2078+J2079+J2080+J2081+J2082+J2083+J2084+J2085+J2086+J2087+J2088+J2089+J2090+J2091+J2093+J2094+J2095+J2096+J2097+J2098+J2099+J2100)/2</f>
        <v>36</v>
      </c>
      <c r="K2105" s="397">
        <f>(K2068+K2069+K2070+K2071+K2072+K2073+K2077+K2074+K2075+K2078+K2079+K2080+K2081+K2082+K2083+K2084+K2085+K2086+K2087+K2088+K2090+K2091+K2093+K2094+K2095+K2096+K2097+K2098+K2099+K2100+K2089)</f>
        <v>0</v>
      </c>
      <c r="L2105" s="399">
        <f>SUM(L2068:L2104)</f>
        <v>0</v>
      </c>
      <c r="M2105" s="398">
        <f>(M2068+M2069+M2070+M2071+M2072+M2073+M2077+M2076+M2074+M2075+M2078+M2079+M2080+M2081+M2082+M2083+M2084+M2085+M2086+M2087+M2088+M2090+M2091+M2093+M2094+M2095+M2096+M2097+M2098+M2099+M2100)/2</f>
        <v>0</v>
      </c>
      <c r="N2105" s="376"/>
      <c r="O2105" s="41"/>
    </row>
    <row r="2106" spans="2:15" ht="17" thickBot="1" x14ac:dyDescent="0.25">
      <c r="C2106" s="825" t="s">
        <v>91</v>
      </c>
      <c r="D2106" s="826"/>
      <c r="E2106" s="381">
        <f>SUM(F2105:J2105)</f>
        <v>100</v>
      </c>
    </row>
    <row r="2107" spans="2:15" ht="16" thickBot="1" x14ac:dyDescent="0.25"/>
    <row r="2108" spans="2:15" ht="17" thickBot="1" x14ac:dyDescent="0.25">
      <c r="C2108" s="17"/>
      <c r="D2108" s="379" t="s">
        <v>83</v>
      </c>
      <c r="E2108" s="818" t="s">
        <v>69</v>
      </c>
      <c r="F2108" s="819"/>
      <c r="G2108" s="819"/>
      <c r="H2108" s="819"/>
      <c r="I2108" s="819"/>
      <c r="J2108" s="400" t="s">
        <v>76</v>
      </c>
      <c r="K2108" s="820">
        <v>45726</v>
      </c>
      <c r="L2108" s="821"/>
      <c r="M2108" s="821"/>
      <c r="N2108" s="821"/>
      <c r="O2108" s="822"/>
    </row>
    <row r="2109" spans="2:15" ht="16" thickBot="1" x14ac:dyDescent="0.25">
      <c r="B2109" s="175" t="s">
        <v>76</v>
      </c>
      <c r="C2109" s="175" t="s">
        <v>77</v>
      </c>
      <c r="D2109" s="823" t="s">
        <v>122</v>
      </c>
      <c r="E2109" s="824"/>
      <c r="F2109" s="175" t="s">
        <v>104</v>
      </c>
      <c r="G2109" s="395" t="s">
        <v>86</v>
      </c>
      <c r="H2109" s="175" t="s">
        <v>88</v>
      </c>
      <c r="I2109" s="395" t="s">
        <v>87</v>
      </c>
      <c r="J2109" s="401" t="s">
        <v>85</v>
      </c>
      <c r="K2109" s="395" t="s">
        <v>123</v>
      </c>
      <c r="L2109" s="175" t="s">
        <v>124</v>
      </c>
      <c r="M2109" s="395" t="s">
        <v>100</v>
      </c>
      <c r="N2109" s="175" t="s">
        <v>213</v>
      </c>
      <c r="O2109" s="404" t="s">
        <v>125</v>
      </c>
    </row>
    <row r="2110" spans="2:15" ht="16" thickBot="1" x14ac:dyDescent="0.25">
      <c r="B2110" s="176">
        <f>K2108</f>
        <v>45726</v>
      </c>
      <c r="C2110" s="374"/>
      <c r="D2110" s="375" t="s">
        <v>126</v>
      </c>
      <c r="E2110" s="387" t="s">
        <v>127</v>
      </c>
      <c r="F2110" s="331">
        <v>14</v>
      </c>
      <c r="G2110" s="237">
        <v>9</v>
      </c>
      <c r="H2110" s="331">
        <v>4</v>
      </c>
      <c r="I2110" s="237">
        <v>5</v>
      </c>
      <c r="J2110" s="331">
        <v>10</v>
      </c>
      <c r="K2110" s="231"/>
      <c r="L2110" s="125"/>
      <c r="M2110" s="231"/>
      <c r="N2110" s="125"/>
      <c r="O2110" s="326"/>
    </row>
    <row r="2111" spans="2:15" ht="16" x14ac:dyDescent="0.2">
      <c r="C2111" s="118">
        <v>1</v>
      </c>
      <c r="D2111" s="382">
        <v>0.46875</v>
      </c>
      <c r="E2111" s="388">
        <v>0.48958333333333331</v>
      </c>
      <c r="F2111" s="393"/>
      <c r="G2111" s="396">
        <v>28</v>
      </c>
      <c r="H2111" s="393"/>
      <c r="I2111" s="396"/>
      <c r="J2111" s="393"/>
      <c r="K2111" s="396"/>
      <c r="L2111" s="393"/>
      <c r="M2111" s="396"/>
      <c r="N2111" s="393"/>
      <c r="O2111" s="190"/>
    </row>
    <row r="2112" spans="2:15" ht="16" x14ac:dyDescent="0.2">
      <c r="C2112" s="119">
        <v>2</v>
      </c>
      <c r="D2112" s="383">
        <v>0.48958333333333331</v>
      </c>
      <c r="E2112" s="389">
        <v>0.51041666666666663</v>
      </c>
      <c r="F2112" s="385"/>
      <c r="G2112" s="391">
        <v>28</v>
      </c>
      <c r="H2112" s="385"/>
      <c r="I2112" s="391"/>
      <c r="J2112" s="385"/>
      <c r="K2112" s="391"/>
      <c r="L2112" s="385"/>
      <c r="M2112" s="391"/>
      <c r="N2112" s="385"/>
      <c r="O2112" s="190"/>
    </row>
    <row r="2113" spans="3:15" ht="16" x14ac:dyDescent="0.2">
      <c r="C2113" s="119">
        <v>3</v>
      </c>
      <c r="D2113" s="383">
        <v>0.51041666666666663</v>
      </c>
      <c r="E2113" s="389">
        <v>0.53125</v>
      </c>
      <c r="F2113" s="385"/>
      <c r="G2113" s="391">
        <v>28</v>
      </c>
      <c r="H2113" s="385"/>
      <c r="I2113" s="391"/>
      <c r="J2113" s="385"/>
      <c r="K2113" s="391"/>
      <c r="L2113" s="384"/>
      <c r="M2113" s="391"/>
      <c r="N2113" s="385"/>
      <c r="O2113" s="190"/>
    </row>
    <row r="2114" spans="3:15" ht="16" x14ac:dyDescent="0.2">
      <c r="C2114" s="119">
        <v>4</v>
      </c>
      <c r="D2114" s="383">
        <v>0.53125</v>
      </c>
      <c r="E2114" s="389">
        <v>0.55208333333333337</v>
      </c>
      <c r="F2114" s="385"/>
      <c r="G2114" s="391">
        <v>28</v>
      </c>
      <c r="H2114" s="316"/>
      <c r="I2114" s="391"/>
      <c r="J2114" s="385"/>
      <c r="K2114" s="391"/>
      <c r="L2114" s="402"/>
      <c r="M2114" s="391"/>
      <c r="N2114" s="385"/>
      <c r="O2114" s="190"/>
    </row>
    <row r="2115" spans="3:15" ht="16" x14ac:dyDescent="0.2">
      <c r="C2115" s="119">
        <v>5</v>
      </c>
      <c r="D2115" s="383">
        <v>0.55208333333333337</v>
      </c>
      <c r="E2115" s="389">
        <v>0.57291666666666663</v>
      </c>
      <c r="F2115" s="385"/>
      <c r="G2115" s="391"/>
      <c r="H2115" s="316">
        <v>28</v>
      </c>
      <c r="I2115" s="391"/>
      <c r="J2115" s="385"/>
      <c r="K2115" s="391"/>
      <c r="L2115" s="393"/>
      <c r="M2115" s="391"/>
      <c r="N2115" s="385"/>
      <c r="O2115" s="190"/>
    </row>
    <row r="2116" spans="3:15" ht="16" x14ac:dyDescent="0.2">
      <c r="C2116" s="119">
        <v>6</v>
      </c>
      <c r="D2116" s="383">
        <v>0.57291666666666663</v>
      </c>
      <c r="E2116" s="389">
        <v>0.59375</v>
      </c>
      <c r="F2116" s="385"/>
      <c r="G2116" s="391"/>
      <c r="H2116" s="316">
        <v>28</v>
      </c>
      <c r="I2116" s="391"/>
      <c r="J2116" s="385"/>
      <c r="K2116" s="391"/>
      <c r="L2116" s="393"/>
      <c r="M2116" s="391"/>
      <c r="N2116" s="385"/>
      <c r="O2116" s="190"/>
    </row>
    <row r="2117" spans="3:15" ht="16" x14ac:dyDescent="0.2">
      <c r="C2117" s="119">
        <v>7</v>
      </c>
      <c r="D2117" s="383">
        <v>0.59375</v>
      </c>
      <c r="E2117" s="389">
        <v>0.61458333333333337</v>
      </c>
      <c r="F2117" s="385"/>
      <c r="G2117" s="391">
        <v>14</v>
      </c>
      <c r="H2117" s="316"/>
      <c r="I2117" s="391"/>
      <c r="J2117" s="385"/>
      <c r="K2117" s="391"/>
      <c r="L2117" s="393"/>
      <c r="M2117" s="391"/>
      <c r="N2117" s="385"/>
      <c r="O2117" s="190"/>
    </row>
    <row r="2118" spans="3:15" ht="16" x14ac:dyDescent="0.2">
      <c r="C2118" s="119">
        <v>8</v>
      </c>
      <c r="D2118" s="383">
        <v>0.59375</v>
      </c>
      <c r="E2118" s="389">
        <v>0.61458333333333337</v>
      </c>
      <c r="F2118" s="385"/>
      <c r="G2118" s="391"/>
      <c r="H2118" s="316"/>
      <c r="I2118" s="391">
        <v>22</v>
      </c>
      <c r="J2118" s="385"/>
      <c r="K2118" s="391"/>
      <c r="L2118" s="385"/>
      <c r="M2118" s="391"/>
      <c r="N2118" s="385"/>
      <c r="O2118" s="190"/>
    </row>
    <row r="2119" spans="3:15" ht="16" x14ac:dyDescent="0.2">
      <c r="C2119" s="119">
        <v>9</v>
      </c>
      <c r="D2119" s="383">
        <v>0.61458333333333337</v>
      </c>
      <c r="E2119" s="389">
        <v>0.63541666666666663</v>
      </c>
      <c r="F2119" s="385">
        <v>28</v>
      </c>
      <c r="G2119" s="391"/>
      <c r="H2119" s="316"/>
      <c r="I2119" s="391"/>
      <c r="J2119" s="385"/>
      <c r="K2119" s="391"/>
      <c r="L2119" s="385"/>
      <c r="M2119" s="391"/>
      <c r="N2119" s="385"/>
      <c r="O2119" s="190"/>
    </row>
    <row r="2120" spans="3:15" ht="16" x14ac:dyDescent="0.2">
      <c r="C2120" s="119">
        <v>10</v>
      </c>
      <c r="D2120" s="383">
        <v>0.63541666666666663</v>
      </c>
      <c r="E2120" s="389">
        <v>0.65625</v>
      </c>
      <c r="F2120" s="385">
        <v>28</v>
      </c>
      <c r="G2120" s="391"/>
      <c r="H2120" s="316"/>
      <c r="I2120" s="391"/>
      <c r="J2120" s="385"/>
      <c r="K2120" s="391"/>
      <c r="L2120" s="385"/>
      <c r="M2120" s="391"/>
      <c r="N2120" s="385"/>
      <c r="O2120" s="190"/>
    </row>
    <row r="2121" spans="3:15" ht="16" x14ac:dyDescent="0.2">
      <c r="C2121" s="119">
        <v>11</v>
      </c>
      <c r="D2121" s="383">
        <v>0.65625</v>
      </c>
      <c r="E2121" s="389">
        <v>0.67708333333333337</v>
      </c>
      <c r="F2121" s="385">
        <v>28</v>
      </c>
      <c r="G2121" s="391"/>
      <c r="H2121" s="316"/>
      <c r="I2121" s="391"/>
      <c r="J2121" s="28"/>
      <c r="K2121" s="391"/>
      <c r="L2121" s="385"/>
      <c r="M2121" s="391"/>
      <c r="N2121" s="385"/>
      <c r="O2121" s="190"/>
    </row>
    <row r="2122" spans="3:15" ht="16" x14ac:dyDescent="0.2">
      <c r="C2122" s="193">
        <v>12</v>
      </c>
      <c r="D2122" s="383">
        <v>0.67708333333333337</v>
      </c>
      <c r="E2122" s="389">
        <v>0.69791666666666663</v>
      </c>
      <c r="F2122" s="385">
        <v>28</v>
      </c>
      <c r="G2122" s="391"/>
      <c r="H2122" s="316"/>
      <c r="I2122" s="391"/>
      <c r="J2122" s="385"/>
      <c r="K2122" s="391"/>
      <c r="L2122" s="385"/>
      <c r="M2122" s="391"/>
      <c r="N2122" s="385"/>
      <c r="O2122" s="190"/>
    </row>
    <row r="2123" spans="3:15" ht="16" x14ac:dyDescent="0.2">
      <c r="C2123" s="119">
        <v>13</v>
      </c>
      <c r="D2123" s="383">
        <v>0.69791666666666663</v>
      </c>
      <c r="E2123" s="389">
        <v>0.71875</v>
      </c>
      <c r="F2123" s="385">
        <v>28</v>
      </c>
      <c r="G2123" s="391"/>
      <c r="H2123" s="316"/>
      <c r="I2123" s="391"/>
      <c r="J2123" s="385"/>
      <c r="K2123" s="391"/>
      <c r="L2123" s="385"/>
      <c r="M2123" s="391"/>
      <c r="N2123" s="385"/>
      <c r="O2123" s="190"/>
    </row>
    <row r="2124" spans="3:15" ht="16" x14ac:dyDescent="0.2">
      <c r="C2124" s="119">
        <v>14</v>
      </c>
      <c r="D2124" s="383">
        <v>0.71875</v>
      </c>
      <c r="E2124" s="389">
        <v>0.73958333333333337</v>
      </c>
      <c r="F2124" s="385">
        <v>28</v>
      </c>
      <c r="G2124" s="391"/>
      <c r="H2124" s="316"/>
      <c r="I2124" s="391"/>
      <c r="J2124" s="385"/>
      <c r="K2124" s="391"/>
      <c r="L2124" s="385"/>
      <c r="M2124" s="391"/>
      <c r="N2124" s="385"/>
      <c r="O2124" s="190"/>
    </row>
    <row r="2125" spans="3:15" ht="16" x14ac:dyDescent="0.2">
      <c r="C2125" s="119">
        <v>15</v>
      </c>
      <c r="D2125" s="383">
        <v>0.73958333333333337</v>
      </c>
      <c r="E2125" s="389">
        <v>0.76041666666666663</v>
      </c>
      <c r="F2125" s="385">
        <v>28</v>
      </c>
      <c r="G2125" s="391"/>
      <c r="H2125" s="316"/>
      <c r="I2125" s="391"/>
      <c r="J2125" s="385"/>
      <c r="K2125" s="391"/>
      <c r="L2125" s="385"/>
      <c r="M2125" s="391"/>
      <c r="N2125" s="385"/>
      <c r="O2125" s="190"/>
    </row>
    <row r="2126" spans="3:15" ht="16" x14ac:dyDescent="0.2">
      <c r="C2126" s="119">
        <v>16</v>
      </c>
      <c r="D2126" s="383">
        <v>0.76041666666666663</v>
      </c>
      <c r="E2126" s="389">
        <v>0.78125</v>
      </c>
      <c r="F2126" s="385"/>
      <c r="G2126" s="391"/>
      <c r="H2126" s="316"/>
      <c r="I2126" s="391"/>
      <c r="J2126" s="385">
        <v>36</v>
      </c>
      <c r="K2126" s="391"/>
      <c r="L2126" s="385"/>
      <c r="M2126" s="391"/>
      <c r="N2126" s="385"/>
      <c r="O2126" s="190"/>
    </row>
    <row r="2127" spans="3:15" ht="16" x14ac:dyDescent="0.2">
      <c r="C2127" s="119">
        <v>17</v>
      </c>
      <c r="D2127" s="383">
        <v>0.78125</v>
      </c>
      <c r="E2127" s="389">
        <v>0.80208333333333337</v>
      </c>
      <c r="F2127" s="384"/>
      <c r="G2127" s="33"/>
      <c r="H2127" s="316"/>
      <c r="I2127" s="390"/>
      <c r="J2127" s="385">
        <v>36</v>
      </c>
      <c r="K2127" s="391"/>
      <c r="L2127" s="385"/>
      <c r="M2127" s="391"/>
      <c r="N2127" s="385"/>
      <c r="O2127" s="190"/>
    </row>
    <row r="2128" spans="3:15" ht="16" x14ac:dyDescent="0.2">
      <c r="C2128" s="119">
        <v>18</v>
      </c>
      <c r="D2128" s="383">
        <v>0.80208333333333337</v>
      </c>
      <c r="E2128" s="389">
        <v>0.82291666666666663</v>
      </c>
      <c r="F2128" s="394"/>
      <c r="G2128" s="229"/>
      <c r="H2128" s="394"/>
      <c r="I2128" s="391"/>
      <c r="J2128" s="385">
        <v>30</v>
      </c>
      <c r="K2128" s="391"/>
      <c r="L2128" s="385"/>
      <c r="M2128" s="391"/>
      <c r="N2128" s="385"/>
      <c r="O2128" s="190"/>
    </row>
    <row r="2129" spans="2:15" ht="16" x14ac:dyDescent="0.2">
      <c r="C2129" s="119">
        <v>19</v>
      </c>
      <c r="D2129" s="383">
        <v>0.82291666666666663</v>
      </c>
      <c r="E2129" s="389">
        <v>0.84375</v>
      </c>
      <c r="F2129" s="385"/>
      <c r="G2129" s="391"/>
      <c r="H2129" s="385"/>
      <c r="I2129" s="391"/>
      <c r="J2129" s="385">
        <v>36</v>
      </c>
      <c r="K2129" s="391"/>
      <c r="L2129" s="403"/>
      <c r="M2129" s="391"/>
      <c r="N2129" s="385"/>
      <c r="O2129" s="190"/>
    </row>
    <row r="2130" spans="2:15" ht="16" x14ac:dyDescent="0.2">
      <c r="C2130" s="119">
        <v>20</v>
      </c>
      <c r="D2130" s="383">
        <v>0.84375</v>
      </c>
      <c r="E2130" s="389">
        <v>0.86458333333333337</v>
      </c>
      <c r="F2130" s="385"/>
      <c r="G2130" s="391"/>
      <c r="H2130" s="385"/>
      <c r="I2130" s="391"/>
      <c r="J2130" s="385">
        <v>36</v>
      </c>
      <c r="K2130" s="391"/>
      <c r="L2130" s="403"/>
      <c r="M2130" s="391"/>
      <c r="N2130" s="385"/>
      <c r="O2130" s="190"/>
    </row>
    <row r="2131" spans="2:15" ht="16" x14ac:dyDescent="0.2">
      <c r="C2131" s="119">
        <v>21</v>
      </c>
      <c r="D2131" s="383">
        <v>0.86458333333333337</v>
      </c>
      <c r="E2131" s="389">
        <v>0.88541666666666663</v>
      </c>
      <c r="F2131" s="385"/>
      <c r="G2131" s="391"/>
      <c r="H2131" s="385"/>
      <c r="I2131" s="391">
        <v>44</v>
      </c>
      <c r="J2131" s="385"/>
      <c r="K2131" s="391"/>
      <c r="L2131" s="385"/>
      <c r="M2131" s="391"/>
      <c r="N2131" s="385"/>
      <c r="O2131" s="190"/>
    </row>
    <row r="2132" spans="2:15" ht="16" x14ac:dyDescent="0.2">
      <c r="C2132" s="119">
        <v>22</v>
      </c>
      <c r="D2132" s="383">
        <v>0.88541666666666663</v>
      </c>
      <c r="E2132" s="389">
        <v>0.90625</v>
      </c>
      <c r="F2132" s="385"/>
      <c r="G2132" s="391"/>
      <c r="H2132" s="385"/>
      <c r="I2132" s="391">
        <v>44</v>
      </c>
      <c r="J2132" s="385"/>
      <c r="K2132" s="391"/>
      <c r="L2132" s="385"/>
      <c r="M2132" s="391"/>
      <c r="N2132" s="385"/>
      <c r="O2132" s="190"/>
    </row>
    <row r="2133" spans="2:15" ht="16" x14ac:dyDescent="0.2">
      <c r="C2133" s="119">
        <v>23</v>
      </c>
      <c r="D2133" s="383"/>
      <c r="E2133" s="389"/>
      <c r="F2133" s="385"/>
      <c r="G2133" s="391"/>
      <c r="H2133" s="385"/>
      <c r="I2133" s="391"/>
      <c r="J2133" s="385"/>
      <c r="K2133" s="391"/>
      <c r="L2133" s="385"/>
      <c r="M2133" s="391"/>
      <c r="N2133" s="385"/>
      <c r="O2133" s="190"/>
    </row>
    <row r="2134" spans="2:15" ht="16" x14ac:dyDescent="0.2">
      <c r="C2134" s="119">
        <v>24</v>
      </c>
      <c r="D2134" s="383"/>
      <c r="E2134" s="389"/>
      <c r="F2134" s="385"/>
      <c r="G2134" s="391"/>
      <c r="H2134" s="385"/>
      <c r="I2134" s="391"/>
      <c r="J2134" s="385"/>
      <c r="K2134" s="391"/>
      <c r="L2134" s="385"/>
      <c r="M2134" s="391"/>
      <c r="N2134" s="385"/>
      <c r="O2134" s="190"/>
    </row>
    <row r="2135" spans="2:15" ht="16" x14ac:dyDescent="0.2">
      <c r="C2135" s="119">
        <v>25</v>
      </c>
      <c r="D2135" s="383"/>
      <c r="E2135" s="389"/>
      <c r="F2135" s="385"/>
      <c r="G2135" s="391"/>
      <c r="H2135" s="385"/>
      <c r="I2135" s="391"/>
      <c r="J2135" s="385"/>
      <c r="K2135" s="391"/>
      <c r="L2135" s="385"/>
      <c r="M2135" s="391"/>
      <c r="N2135" s="385"/>
      <c r="O2135" s="190"/>
    </row>
    <row r="2136" spans="2:15" ht="16" x14ac:dyDescent="0.2">
      <c r="C2136" s="119">
        <v>26</v>
      </c>
      <c r="D2136" s="383"/>
      <c r="E2136" s="389"/>
      <c r="F2136" s="385"/>
      <c r="G2136" s="391"/>
      <c r="H2136" s="385"/>
      <c r="I2136" s="391"/>
      <c r="J2136" s="385"/>
      <c r="K2136" s="391"/>
      <c r="L2136" s="385"/>
      <c r="M2136" s="391"/>
      <c r="N2136" s="385"/>
      <c r="O2136" s="190"/>
    </row>
    <row r="2137" spans="2:15" ht="16" x14ac:dyDescent="0.2">
      <c r="C2137" s="119">
        <v>27</v>
      </c>
      <c r="D2137" s="383"/>
      <c r="E2137" s="389"/>
      <c r="F2137" s="385"/>
      <c r="G2137" s="391"/>
      <c r="H2137" s="385"/>
      <c r="I2137" s="391"/>
      <c r="J2137" s="385"/>
      <c r="K2137" s="391"/>
      <c r="L2137" s="385"/>
      <c r="M2137" s="391"/>
      <c r="N2137" s="385"/>
      <c r="O2137" s="190"/>
    </row>
    <row r="2138" spans="2:15" ht="16" x14ac:dyDescent="0.2">
      <c r="C2138" s="119">
        <v>28</v>
      </c>
      <c r="D2138" s="383"/>
      <c r="E2138" s="389"/>
      <c r="F2138" s="385"/>
      <c r="G2138" s="391"/>
      <c r="H2138" s="385"/>
      <c r="I2138" s="391"/>
      <c r="J2138" s="385"/>
      <c r="K2138" s="391"/>
      <c r="L2138" s="385"/>
      <c r="M2138" s="391"/>
      <c r="N2138" s="385"/>
      <c r="O2138" s="190"/>
    </row>
    <row r="2139" spans="2:15" ht="16" x14ac:dyDescent="0.2">
      <c r="C2139" s="119">
        <v>29</v>
      </c>
      <c r="D2139" s="383"/>
      <c r="E2139" s="389"/>
      <c r="F2139" s="385"/>
      <c r="G2139" s="391"/>
      <c r="H2139" s="385"/>
      <c r="I2139" s="391"/>
      <c r="J2139" s="385"/>
      <c r="K2139" s="391"/>
      <c r="L2139" s="385"/>
      <c r="M2139" s="391"/>
      <c r="N2139" s="385"/>
      <c r="O2139" s="190"/>
    </row>
    <row r="2140" spans="2:15" ht="16" x14ac:dyDescent="0.2">
      <c r="C2140" s="119">
        <v>30</v>
      </c>
      <c r="D2140" s="383"/>
      <c r="E2140" s="389"/>
      <c r="F2140" s="385"/>
      <c r="G2140" s="391"/>
      <c r="H2140" s="385"/>
      <c r="I2140" s="391"/>
      <c r="J2140" s="385"/>
      <c r="K2140" s="391"/>
      <c r="L2140" s="385"/>
      <c r="M2140" s="391"/>
      <c r="N2140" s="385"/>
      <c r="O2140" s="190"/>
    </row>
    <row r="2141" spans="2:15" ht="16" x14ac:dyDescent="0.2">
      <c r="C2141" s="120">
        <v>31</v>
      </c>
      <c r="D2141" s="383"/>
      <c r="E2141" s="389"/>
      <c r="F2141" s="384"/>
      <c r="G2141" s="390"/>
      <c r="H2141" s="384"/>
      <c r="I2141" s="390"/>
      <c r="J2141" s="384"/>
      <c r="K2141" s="390"/>
      <c r="L2141" s="384"/>
      <c r="M2141" s="390"/>
      <c r="N2141" s="384"/>
      <c r="O2141" s="190"/>
    </row>
    <row r="2142" spans="2:15" ht="16" x14ac:dyDescent="0.2">
      <c r="B2142" s="256"/>
      <c r="C2142" s="377">
        <v>32</v>
      </c>
      <c r="D2142" s="384"/>
      <c r="E2142" s="390"/>
      <c r="F2142" s="384"/>
      <c r="G2142" s="390"/>
      <c r="H2142" s="384"/>
      <c r="I2142" s="390"/>
      <c r="J2142" s="384"/>
      <c r="K2142" s="390"/>
      <c r="L2142" s="384"/>
      <c r="M2142" s="390"/>
      <c r="N2142" s="384"/>
      <c r="O2142" s="190"/>
    </row>
    <row r="2143" spans="2:15" ht="16" x14ac:dyDescent="0.2">
      <c r="B2143" s="256"/>
      <c r="C2143" s="119">
        <v>33</v>
      </c>
      <c r="D2143" s="385"/>
      <c r="E2143" s="391"/>
      <c r="F2143" s="385"/>
      <c r="G2143" s="391"/>
      <c r="H2143" s="385"/>
      <c r="I2143" s="391"/>
      <c r="J2143" s="385"/>
      <c r="K2143" s="391"/>
      <c r="L2143" s="385"/>
      <c r="M2143" s="391"/>
      <c r="N2143" s="385"/>
      <c r="O2143" s="190"/>
    </row>
    <row r="2144" spans="2:15" ht="16" x14ac:dyDescent="0.2">
      <c r="B2144" s="256"/>
      <c r="C2144" s="119">
        <v>34</v>
      </c>
      <c r="D2144" s="385"/>
      <c r="E2144" s="391"/>
      <c r="F2144" s="385"/>
      <c r="G2144" s="391"/>
      <c r="H2144" s="385"/>
      <c r="I2144" s="391"/>
      <c r="J2144" s="385"/>
      <c r="K2144" s="391"/>
      <c r="L2144" s="385"/>
      <c r="M2144" s="391"/>
      <c r="N2144" s="385"/>
      <c r="O2144" s="190"/>
    </row>
    <row r="2145" spans="2:15" ht="16" x14ac:dyDescent="0.2">
      <c r="B2145" s="256"/>
      <c r="C2145" s="119">
        <v>35</v>
      </c>
      <c r="D2145" s="385"/>
      <c r="E2145" s="391"/>
      <c r="F2145" s="385"/>
      <c r="G2145" s="391"/>
      <c r="H2145" s="385"/>
      <c r="I2145" s="391"/>
      <c r="J2145" s="385"/>
      <c r="K2145" s="391"/>
      <c r="L2145" s="385"/>
      <c r="M2145" s="391"/>
      <c r="N2145" s="385"/>
      <c r="O2145" s="190"/>
    </row>
    <row r="2146" spans="2:15" ht="16" x14ac:dyDescent="0.2">
      <c r="B2146" s="256"/>
      <c r="C2146" s="119">
        <v>36</v>
      </c>
      <c r="D2146" s="385"/>
      <c r="E2146" s="391"/>
      <c r="F2146" s="385"/>
      <c r="G2146" s="391"/>
      <c r="H2146" s="385"/>
      <c r="I2146" s="391"/>
      <c r="J2146" s="385"/>
      <c r="K2146" s="391"/>
      <c r="L2146" s="385"/>
      <c r="M2146" s="391"/>
      <c r="N2146" s="385"/>
      <c r="O2146" s="190"/>
    </row>
    <row r="2147" spans="2:15" ht="17" thickBot="1" x14ac:dyDescent="0.25">
      <c r="B2147" s="256"/>
      <c r="C2147" s="378">
        <v>37</v>
      </c>
      <c r="D2147" s="386"/>
      <c r="E2147" s="392"/>
      <c r="F2147" s="386"/>
      <c r="G2147" s="392"/>
      <c r="H2147" s="386"/>
      <c r="I2147" s="392"/>
      <c r="J2147" s="386"/>
      <c r="K2147" s="392"/>
      <c r="L2147" s="386"/>
      <c r="M2147" s="392"/>
      <c r="N2147" s="386"/>
      <c r="O2147" s="190"/>
    </row>
    <row r="2148" spans="2:15" ht="17" thickBot="1" x14ac:dyDescent="0.25">
      <c r="C2148" s="825" t="s">
        <v>19</v>
      </c>
      <c r="D2148" s="826"/>
      <c r="E2148" s="380"/>
      <c r="F2148" s="376">
        <f>(F2111+F2112+F2113+F2114+F2115+F2116+F2132+F2119+F2120+F2117+F2118+F2121+F2122+F2123+F2124+F2125+F2126+F2127+F2128+F2129+F2130+F2131+F2133+F2134+F2136+F2137+F2138+F2139+F2140+F2141+F2142+F2143+F2144+F2147)/2</f>
        <v>98</v>
      </c>
      <c r="G2148" s="397">
        <f>(G2111+G2112+G2113+G2114+G2115+G2132+G2116+G2120+G2119+G2117+G2118+G2121+G2122+G2123+G2124+G2125+G2126+G2127+G2128+G2129+G2130+G2131+G2133+G2134+G2136+G2137+G2138+G2139+G2140+G2141+G2142+G2143)/2</f>
        <v>63</v>
      </c>
      <c r="H2148" s="399">
        <f>(H2111+H2112+H2113+H2114+H2115+H2116+H2132+H2135+H2119+H2120+H2117+H2118+H2121+H2122+H2123+H2124+H2125+H2126+H2127+H2128+H2129+H2130+H2131+H2133+H2134+H2136+H2137+H2138+H2139+H2140+H2141+H2142+H2143+H2144+H2147)/2</f>
        <v>28</v>
      </c>
      <c r="I2148" s="398">
        <f>(I2111+I2112+I2113+I2114+I2115+I2145+I2146+I2116+I2132+I2119+I2135+I2120+I2117+I2118+I2121+I2122+I2123+I2124+I2125+I2126+I2127+I2128+I2129+I2130+I2131+I2133+I2134+I2136+I2137+I2138+I2139+I2140+I2141+I2142+I2143+I2144+I2147)/2</f>
        <v>55</v>
      </c>
      <c r="J2148" s="376">
        <f>(J2111+J2112+J2113+J2114+J2115+J2116+J2120+J2117+J2119+J2118+J2135+J2121+J2122+J2123+J2124+J2125+J2126+J2127+J2128+J2129+J2130+J2131+J2132+J2133+J2134+J2136+J2137+J2138+J2139+J2140+J2141+J2142+J2143)/2</f>
        <v>87</v>
      </c>
      <c r="K2148" s="397">
        <f>(K2111+K2112+K2113+K2114+K2115+K2116+K2120+K2117+K2118+K2121+K2122+K2123+K2124+K2125+K2126+K2127+K2128+K2129+K2130+K2131+K2133+K2134+K2136+K2137+K2138+K2139+K2140+K2141+K2142+K2143+K2132)</f>
        <v>0</v>
      </c>
      <c r="L2148" s="399">
        <f>SUM(L2111:L2147)</f>
        <v>0</v>
      </c>
      <c r="M2148" s="398">
        <f>(M2111+M2112+M2113+M2114+M2115+M2116+M2120+M2119+M2117+M2118+M2121+M2122+M2123+M2124+M2125+M2126+M2127+M2128+M2129+M2130+M2131+M2133+M2134+M2136+M2137+M2138+M2139+M2140+M2141+M2142+M2143)/2</f>
        <v>0</v>
      </c>
      <c r="N2148" s="376"/>
      <c r="O2148" s="41"/>
    </row>
    <row r="2149" spans="2:15" ht="17" thickBot="1" x14ac:dyDescent="0.25">
      <c r="C2149" s="825" t="s">
        <v>91</v>
      </c>
      <c r="D2149" s="826"/>
      <c r="E2149" s="381">
        <f>SUM(F2148:J2148)</f>
        <v>331</v>
      </c>
    </row>
    <row r="2150" spans="2:15" ht="16" thickBot="1" x14ac:dyDescent="0.25"/>
    <row r="2151" spans="2:15" ht="17" thickBot="1" x14ac:dyDescent="0.25">
      <c r="C2151" s="17"/>
      <c r="D2151" s="379" t="s">
        <v>83</v>
      </c>
      <c r="E2151" s="818" t="s">
        <v>63</v>
      </c>
      <c r="F2151" s="819"/>
      <c r="G2151" s="819"/>
      <c r="H2151" s="819"/>
      <c r="I2151" s="819"/>
      <c r="J2151" s="400" t="s">
        <v>76</v>
      </c>
      <c r="K2151" s="820">
        <v>45726</v>
      </c>
      <c r="L2151" s="821"/>
      <c r="M2151" s="821"/>
      <c r="N2151" s="821"/>
      <c r="O2151" s="822"/>
    </row>
    <row r="2152" spans="2:15" ht="16" thickBot="1" x14ac:dyDescent="0.25">
      <c r="B2152" s="175" t="s">
        <v>76</v>
      </c>
      <c r="C2152" s="175" t="s">
        <v>77</v>
      </c>
      <c r="D2152" s="823" t="s">
        <v>122</v>
      </c>
      <c r="E2152" s="824"/>
      <c r="F2152" s="175" t="s">
        <v>104</v>
      </c>
      <c r="G2152" s="395" t="s">
        <v>86</v>
      </c>
      <c r="H2152" s="175" t="s">
        <v>88</v>
      </c>
      <c r="I2152" s="395" t="s">
        <v>87</v>
      </c>
      <c r="J2152" s="401" t="s">
        <v>85</v>
      </c>
      <c r="K2152" s="395" t="s">
        <v>123</v>
      </c>
      <c r="L2152" s="175" t="s">
        <v>124</v>
      </c>
      <c r="M2152" s="395" t="s">
        <v>100</v>
      </c>
      <c r="N2152" s="175" t="s">
        <v>213</v>
      </c>
      <c r="O2152" s="404" t="s">
        <v>125</v>
      </c>
    </row>
    <row r="2153" spans="2:15" ht="16" thickBot="1" x14ac:dyDescent="0.25">
      <c r="B2153" s="176">
        <f>K2151</f>
        <v>45726</v>
      </c>
      <c r="C2153" s="374"/>
      <c r="D2153" s="375" t="s">
        <v>126</v>
      </c>
      <c r="E2153" s="387" t="s">
        <v>127</v>
      </c>
      <c r="F2153" s="331">
        <v>11</v>
      </c>
      <c r="G2153" s="237">
        <v>7</v>
      </c>
      <c r="H2153" s="331">
        <v>0</v>
      </c>
      <c r="I2153" s="237">
        <v>4</v>
      </c>
      <c r="J2153" s="331">
        <v>9</v>
      </c>
      <c r="K2153" s="231"/>
      <c r="L2153" s="125"/>
      <c r="M2153" s="231"/>
      <c r="N2153" s="125"/>
      <c r="O2153" s="326"/>
    </row>
    <row r="2154" spans="2:15" ht="16" x14ac:dyDescent="0.2">
      <c r="C2154" s="118">
        <v>1</v>
      </c>
      <c r="D2154" s="382">
        <v>0.41319444444444442</v>
      </c>
      <c r="E2154" s="388">
        <v>0.43402777777777773</v>
      </c>
      <c r="F2154" s="393"/>
      <c r="G2154" s="396">
        <v>28</v>
      </c>
      <c r="H2154" s="393"/>
      <c r="I2154" s="396"/>
      <c r="J2154" s="393"/>
      <c r="K2154" s="396"/>
      <c r="L2154" s="393"/>
      <c r="M2154" s="396"/>
      <c r="N2154" s="393"/>
      <c r="O2154" s="190"/>
    </row>
    <row r="2155" spans="2:15" ht="16" x14ac:dyDescent="0.2">
      <c r="C2155" s="119">
        <v>2</v>
      </c>
      <c r="D2155" s="383">
        <v>0.43402777777777773</v>
      </c>
      <c r="E2155" s="389">
        <v>0.4548611111111111</v>
      </c>
      <c r="F2155" s="385"/>
      <c r="G2155" s="391">
        <v>28</v>
      </c>
      <c r="H2155" s="385"/>
      <c r="I2155" s="391"/>
      <c r="J2155" s="385"/>
      <c r="K2155" s="391"/>
      <c r="L2155" s="385"/>
      <c r="M2155" s="391"/>
      <c r="N2155" s="385"/>
      <c r="O2155" s="190"/>
    </row>
    <row r="2156" spans="2:15" ht="16" x14ac:dyDescent="0.2">
      <c r="C2156" s="119">
        <v>3</v>
      </c>
      <c r="D2156" s="383">
        <v>0.4548611111111111</v>
      </c>
      <c r="E2156" s="389">
        <v>0.47569444444444442</v>
      </c>
      <c r="F2156" s="385"/>
      <c r="G2156" s="391">
        <v>28</v>
      </c>
      <c r="H2156" s="385"/>
      <c r="I2156" s="391"/>
      <c r="J2156" s="385"/>
      <c r="K2156" s="391"/>
      <c r="L2156" s="384"/>
      <c r="M2156" s="391"/>
      <c r="N2156" s="385"/>
      <c r="O2156" s="190"/>
    </row>
    <row r="2157" spans="2:15" ht="16" x14ac:dyDescent="0.2">
      <c r="C2157" s="119">
        <v>4</v>
      </c>
      <c r="D2157" s="383">
        <v>0.47569444444444442</v>
      </c>
      <c r="E2157" s="389">
        <v>0.49652777777777773</v>
      </c>
      <c r="F2157" s="385"/>
      <c r="G2157" s="391">
        <v>14</v>
      </c>
      <c r="H2157" s="316"/>
      <c r="I2157" s="391"/>
      <c r="J2157" s="385"/>
      <c r="K2157" s="391"/>
      <c r="L2157" s="402"/>
      <c r="M2157" s="391"/>
      <c r="N2157" s="385"/>
      <c r="O2157" s="190"/>
    </row>
    <row r="2158" spans="2:15" ht="16" x14ac:dyDescent="0.2">
      <c r="C2158" s="119">
        <v>5</v>
      </c>
      <c r="D2158" s="383">
        <v>0.47569444444444442</v>
      </c>
      <c r="E2158" s="389">
        <v>0.49652777777777773</v>
      </c>
      <c r="F2158" s="385">
        <v>14</v>
      </c>
      <c r="G2158" s="391"/>
      <c r="H2158" s="316"/>
      <c r="I2158" s="391"/>
      <c r="J2158" s="385"/>
      <c r="K2158" s="391"/>
      <c r="L2158" s="393"/>
      <c r="M2158" s="391"/>
      <c r="N2158" s="385"/>
      <c r="O2158" s="190"/>
    </row>
    <row r="2159" spans="2:15" ht="16" x14ac:dyDescent="0.2">
      <c r="C2159" s="119">
        <v>6</v>
      </c>
      <c r="D2159" s="383">
        <v>0.49652777777777773</v>
      </c>
      <c r="E2159" s="389">
        <v>0.51736111111111105</v>
      </c>
      <c r="F2159" s="385">
        <v>28</v>
      </c>
      <c r="G2159" s="391"/>
      <c r="H2159" s="316"/>
      <c r="I2159" s="391"/>
      <c r="J2159" s="385"/>
      <c r="K2159" s="391"/>
      <c r="L2159" s="393"/>
      <c r="M2159" s="391"/>
      <c r="N2159" s="385"/>
      <c r="O2159" s="190"/>
    </row>
    <row r="2160" spans="2:15" ht="16" x14ac:dyDescent="0.2">
      <c r="C2160" s="119">
        <v>7</v>
      </c>
      <c r="D2160" s="383">
        <v>0.52083333333333337</v>
      </c>
      <c r="E2160" s="389">
        <v>0.54166666666666663</v>
      </c>
      <c r="F2160" s="385">
        <v>28</v>
      </c>
      <c r="G2160" s="391"/>
      <c r="H2160" s="316"/>
      <c r="I2160" s="391"/>
      <c r="J2160" s="385"/>
      <c r="K2160" s="391"/>
      <c r="L2160" s="393"/>
      <c r="M2160" s="391"/>
      <c r="N2160" s="385"/>
      <c r="O2160" s="190"/>
    </row>
    <row r="2161" spans="3:15" ht="16" x14ac:dyDescent="0.2">
      <c r="C2161" s="119">
        <v>8</v>
      </c>
      <c r="D2161" s="383">
        <v>0.54166666666666663</v>
      </c>
      <c r="E2161" s="389">
        <v>0.5625</v>
      </c>
      <c r="F2161" s="385">
        <v>28</v>
      </c>
      <c r="G2161" s="391"/>
      <c r="H2161" s="316"/>
      <c r="I2161" s="391"/>
      <c r="J2161" s="385"/>
      <c r="K2161" s="391"/>
      <c r="L2161" s="385"/>
      <c r="M2161" s="391"/>
      <c r="N2161" s="385"/>
      <c r="O2161" s="190"/>
    </row>
    <row r="2162" spans="3:15" ht="16" x14ac:dyDescent="0.2">
      <c r="C2162" s="119">
        <v>9</v>
      </c>
      <c r="D2162" s="383">
        <v>0.5625</v>
      </c>
      <c r="E2162" s="389">
        <v>0.58333333333333337</v>
      </c>
      <c r="F2162" s="385">
        <v>28</v>
      </c>
      <c r="G2162" s="391"/>
      <c r="H2162" s="316"/>
      <c r="I2162" s="391"/>
      <c r="J2162" s="385"/>
      <c r="K2162" s="391"/>
      <c r="L2162" s="385"/>
      <c r="M2162" s="391"/>
      <c r="N2162" s="385"/>
      <c r="O2162" s="190"/>
    </row>
    <row r="2163" spans="3:15" ht="16" x14ac:dyDescent="0.2">
      <c r="C2163" s="119">
        <v>10</v>
      </c>
      <c r="D2163" s="383">
        <v>0.58333333333333337</v>
      </c>
      <c r="E2163" s="389">
        <v>0.60416666666666663</v>
      </c>
      <c r="F2163" s="385">
        <v>28</v>
      </c>
      <c r="G2163" s="391"/>
      <c r="H2163" s="316"/>
      <c r="I2163" s="391"/>
      <c r="J2163" s="385"/>
      <c r="K2163" s="391"/>
      <c r="L2163" s="385"/>
      <c r="M2163" s="391"/>
      <c r="N2163" s="385"/>
      <c r="O2163" s="190"/>
    </row>
    <row r="2164" spans="3:15" ht="16" x14ac:dyDescent="0.2">
      <c r="C2164" s="119">
        <v>11</v>
      </c>
      <c r="D2164" s="383">
        <v>0.60416666666666663</v>
      </c>
      <c r="E2164" s="389">
        <v>0.625</v>
      </c>
      <c r="F2164" s="385"/>
      <c r="G2164" s="391"/>
      <c r="H2164" s="316"/>
      <c r="I2164" s="391"/>
      <c r="J2164" s="28">
        <v>36</v>
      </c>
      <c r="K2164" s="391"/>
      <c r="L2164" s="385"/>
      <c r="M2164" s="391"/>
      <c r="N2164" s="385"/>
      <c r="O2164" s="190"/>
    </row>
    <row r="2165" spans="3:15" ht="16" x14ac:dyDescent="0.2">
      <c r="C2165" s="193">
        <v>12</v>
      </c>
      <c r="D2165" s="383">
        <v>0.625</v>
      </c>
      <c r="E2165" s="389">
        <v>0.64583333333333337</v>
      </c>
      <c r="F2165" s="385"/>
      <c r="G2165" s="391"/>
      <c r="H2165" s="316"/>
      <c r="I2165" s="391"/>
      <c r="J2165" s="385">
        <v>36</v>
      </c>
      <c r="K2165" s="391"/>
      <c r="L2165" s="385"/>
      <c r="M2165" s="391"/>
      <c r="N2165" s="385"/>
      <c r="O2165" s="190"/>
    </row>
    <row r="2166" spans="3:15" ht="16" x14ac:dyDescent="0.2">
      <c r="C2166" s="119">
        <v>13</v>
      </c>
      <c r="D2166" s="383">
        <v>0.65972222222222221</v>
      </c>
      <c r="E2166" s="389">
        <v>0.66666666666666663</v>
      </c>
      <c r="F2166" s="385"/>
      <c r="G2166" s="391"/>
      <c r="H2166" s="316"/>
      <c r="I2166" s="391"/>
      <c r="J2166" s="385">
        <v>36</v>
      </c>
      <c r="K2166" s="391"/>
      <c r="L2166" s="385"/>
      <c r="M2166" s="391"/>
      <c r="N2166" s="385"/>
      <c r="O2166" s="190"/>
    </row>
    <row r="2167" spans="3:15" ht="16" x14ac:dyDescent="0.2">
      <c r="C2167" s="119">
        <v>14</v>
      </c>
      <c r="D2167" s="383">
        <v>0.66666666666666663</v>
      </c>
      <c r="E2167" s="389">
        <v>0.6875</v>
      </c>
      <c r="F2167" s="385"/>
      <c r="G2167" s="391"/>
      <c r="H2167" s="316"/>
      <c r="I2167" s="391"/>
      <c r="J2167" s="385">
        <v>36</v>
      </c>
      <c r="K2167" s="391"/>
      <c r="L2167" s="385"/>
      <c r="M2167" s="391"/>
      <c r="N2167" s="385"/>
      <c r="O2167" s="190"/>
    </row>
    <row r="2168" spans="3:15" ht="16" x14ac:dyDescent="0.2">
      <c r="C2168" s="119">
        <v>15</v>
      </c>
      <c r="D2168" s="383">
        <v>0.6875</v>
      </c>
      <c r="E2168" s="389">
        <v>0.70833333333333337</v>
      </c>
      <c r="F2168" s="385"/>
      <c r="G2168" s="391"/>
      <c r="H2168" s="316"/>
      <c r="I2168" s="391">
        <v>44</v>
      </c>
      <c r="J2168" s="385"/>
      <c r="K2168" s="391"/>
      <c r="L2168" s="385"/>
      <c r="M2168" s="391"/>
      <c r="N2168" s="385"/>
      <c r="O2168" s="190"/>
    </row>
    <row r="2169" spans="3:15" ht="16" x14ac:dyDescent="0.2">
      <c r="C2169" s="119">
        <v>16</v>
      </c>
      <c r="D2169" s="383">
        <v>0.71875</v>
      </c>
      <c r="E2169" s="389">
        <v>0.73958333333333337</v>
      </c>
      <c r="F2169" s="385"/>
      <c r="G2169" s="391"/>
      <c r="H2169" s="316"/>
      <c r="I2169" s="391">
        <v>44</v>
      </c>
      <c r="J2169" s="385"/>
      <c r="K2169" s="391"/>
      <c r="L2169" s="385"/>
      <c r="M2169" s="391"/>
      <c r="N2169" s="385"/>
      <c r="O2169" s="190"/>
    </row>
    <row r="2170" spans="3:15" ht="16" x14ac:dyDescent="0.2">
      <c r="C2170" s="119">
        <v>17</v>
      </c>
      <c r="D2170" s="383">
        <v>0.77083333333333337</v>
      </c>
      <c r="E2170" s="389">
        <v>0.79166666666666663</v>
      </c>
      <c r="F2170" s="384"/>
      <c r="G2170" s="33"/>
      <c r="H2170" s="316"/>
      <c r="I2170" s="390"/>
      <c r="J2170" s="385">
        <v>14</v>
      </c>
      <c r="K2170" s="391"/>
      <c r="L2170" s="385"/>
      <c r="M2170" s="391"/>
      <c r="N2170" s="385"/>
      <c r="O2170" s="190"/>
    </row>
    <row r="2171" spans="3:15" ht="16" x14ac:dyDescent="0.2">
      <c r="C2171" s="119">
        <v>18</v>
      </c>
      <c r="D2171" s="383"/>
      <c r="E2171" s="389"/>
      <c r="F2171" s="394"/>
      <c r="G2171" s="229"/>
      <c r="H2171" s="394"/>
      <c r="I2171" s="391"/>
      <c r="J2171" s="385"/>
      <c r="K2171" s="391"/>
      <c r="L2171" s="385"/>
      <c r="M2171" s="391"/>
      <c r="N2171" s="385"/>
      <c r="O2171" s="190"/>
    </row>
    <row r="2172" spans="3:15" ht="16" x14ac:dyDescent="0.2">
      <c r="C2172" s="119">
        <v>19</v>
      </c>
      <c r="D2172" s="383"/>
      <c r="E2172" s="389"/>
      <c r="F2172" s="385"/>
      <c r="G2172" s="391"/>
      <c r="H2172" s="385"/>
      <c r="I2172" s="391"/>
      <c r="J2172" s="385"/>
      <c r="K2172" s="391"/>
      <c r="L2172" s="403"/>
      <c r="M2172" s="391"/>
      <c r="N2172" s="385"/>
      <c r="O2172" s="190"/>
    </row>
    <row r="2173" spans="3:15" ht="16" x14ac:dyDescent="0.2">
      <c r="C2173" s="119">
        <v>20</v>
      </c>
      <c r="D2173" s="383"/>
      <c r="E2173" s="389"/>
      <c r="F2173" s="385"/>
      <c r="G2173" s="391"/>
      <c r="H2173" s="385"/>
      <c r="I2173" s="391"/>
      <c r="J2173" s="385"/>
      <c r="K2173" s="391"/>
      <c r="L2173" s="403"/>
      <c r="M2173" s="391"/>
      <c r="N2173" s="385"/>
      <c r="O2173" s="190"/>
    </row>
    <row r="2174" spans="3:15" ht="16" x14ac:dyDescent="0.2">
      <c r="C2174" s="119">
        <v>21</v>
      </c>
      <c r="D2174" s="383"/>
      <c r="E2174" s="389"/>
      <c r="F2174" s="385"/>
      <c r="G2174" s="391"/>
      <c r="H2174" s="385"/>
      <c r="I2174" s="391"/>
      <c r="J2174" s="385"/>
      <c r="K2174" s="391"/>
      <c r="L2174" s="385"/>
      <c r="M2174" s="391"/>
      <c r="N2174" s="385"/>
      <c r="O2174" s="190"/>
    </row>
    <row r="2175" spans="3:15" ht="16" x14ac:dyDescent="0.2">
      <c r="C2175" s="119">
        <v>22</v>
      </c>
      <c r="D2175" s="383"/>
      <c r="E2175" s="389"/>
      <c r="F2175" s="385"/>
      <c r="G2175" s="391"/>
      <c r="H2175" s="385"/>
      <c r="I2175" s="391"/>
      <c r="J2175" s="385"/>
      <c r="K2175" s="391"/>
      <c r="L2175" s="385"/>
      <c r="M2175" s="391"/>
      <c r="N2175" s="385"/>
      <c r="O2175" s="190"/>
    </row>
    <row r="2176" spans="3:15" ht="16" x14ac:dyDescent="0.2">
      <c r="C2176" s="119">
        <v>23</v>
      </c>
      <c r="D2176" s="383"/>
      <c r="E2176" s="389"/>
      <c r="F2176" s="385"/>
      <c r="G2176" s="391"/>
      <c r="H2176" s="385"/>
      <c r="I2176" s="391"/>
      <c r="J2176" s="385"/>
      <c r="K2176" s="391"/>
      <c r="L2176" s="385"/>
      <c r="M2176" s="391"/>
      <c r="N2176" s="385"/>
      <c r="O2176" s="190"/>
    </row>
    <row r="2177" spans="2:15" ht="16" x14ac:dyDescent="0.2">
      <c r="C2177" s="119">
        <v>24</v>
      </c>
      <c r="D2177" s="383"/>
      <c r="E2177" s="389"/>
      <c r="F2177" s="385"/>
      <c r="G2177" s="391"/>
      <c r="H2177" s="385"/>
      <c r="I2177" s="391"/>
      <c r="J2177" s="385"/>
      <c r="K2177" s="391"/>
      <c r="L2177" s="385"/>
      <c r="M2177" s="391"/>
      <c r="N2177" s="385"/>
      <c r="O2177" s="190"/>
    </row>
    <row r="2178" spans="2:15" ht="16" x14ac:dyDescent="0.2">
      <c r="C2178" s="119">
        <v>25</v>
      </c>
      <c r="D2178" s="383"/>
      <c r="E2178" s="389"/>
      <c r="F2178" s="385"/>
      <c r="G2178" s="391"/>
      <c r="H2178" s="385"/>
      <c r="I2178" s="391"/>
      <c r="J2178" s="385"/>
      <c r="K2178" s="391"/>
      <c r="L2178" s="385"/>
      <c r="M2178" s="391"/>
      <c r="N2178" s="385"/>
      <c r="O2178" s="190"/>
    </row>
    <row r="2179" spans="2:15" ht="16" x14ac:dyDescent="0.2">
      <c r="C2179" s="119">
        <v>26</v>
      </c>
      <c r="D2179" s="383"/>
      <c r="E2179" s="389"/>
      <c r="F2179" s="385"/>
      <c r="G2179" s="391"/>
      <c r="H2179" s="385"/>
      <c r="I2179" s="391"/>
      <c r="J2179" s="385"/>
      <c r="K2179" s="391"/>
      <c r="L2179" s="385"/>
      <c r="M2179" s="391"/>
      <c r="N2179" s="385"/>
      <c r="O2179" s="190"/>
    </row>
    <row r="2180" spans="2:15" ht="16" x14ac:dyDescent="0.2">
      <c r="C2180" s="119">
        <v>27</v>
      </c>
      <c r="D2180" s="383"/>
      <c r="E2180" s="389"/>
      <c r="F2180" s="385"/>
      <c r="G2180" s="391"/>
      <c r="H2180" s="385"/>
      <c r="I2180" s="391"/>
      <c r="J2180" s="385"/>
      <c r="K2180" s="391"/>
      <c r="L2180" s="385"/>
      <c r="M2180" s="391"/>
      <c r="N2180" s="385"/>
      <c r="O2180" s="190"/>
    </row>
    <row r="2181" spans="2:15" ht="16" x14ac:dyDescent="0.2">
      <c r="C2181" s="119">
        <v>28</v>
      </c>
      <c r="D2181" s="383"/>
      <c r="E2181" s="389"/>
      <c r="F2181" s="385"/>
      <c r="G2181" s="391"/>
      <c r="H2181" s="385"/>
      <c r="I2181" s="391"/>
      <c r="J2181" s="385"/>
      <c r="K2181" s="391"/>
      <c r="L2181" s="385"/>
      <c r="M2181" s="391"/>
      <c r="N2181" s="385"/>
      <c r="O2181" s="190"/>
    </row>
    <row r="2182" spans="2:15" ht="16" x14ac:dyDescent="0.2">
      <c r="C2182" s="119">
        <v>29</v>
      </c>
      <c r="D2182" s="383"/>
      <c r="E2182" s="389"/>
      <c r="F2182" s="385"/>
      <c r="G2182" s="391"/>
      <c r="H2182" s="385"/>
      <c r="I2182" s="391"/>
      <c r="J2182" s="385"/>
      <c r="K2182" s="391"/>
      <c r="L2182" s="385"/>
      <c r="M2182" s="391"/>
      <c r="N2182" s="385"/>
      <c r="O2182" s="190"/>
    </row>
    <row r="2183" spans="2:15" ht="16" x14ac:dyDescent="0.2">
      <c r="C2183" s="119">
        <v>30</v>
      </c>
      <c r="D2183" s="383"/>
      <c r="E2183" s="389"/>
      <c r="F2183" s="385"/>
      <c r="G2183" s="391"/>
      <c r="H2183" s="385"/>
      <c r="I2183" s="391"/>
      <c r="J2183" s="385"/>
      <c r="K2183" s="391"/>
      <c r="L2183" s="385"/>
      <c r="M2183" s="391"/>
      <c r="N2183" s="385"/>
      <c r="O2183" s="190"/>
    </row>
    <row r="2184" spans="2:15" ht="16" x14ac:dyDescent="0.2">
      <c r="C2184" s="120">
        <v>31</v>
      </c>
      <c r="D2184" s="383"/>
      <c r="E2184" s="389"/>
      <c r="F2184" s="384"/>
      <c r="G2184" s="390"/>
      <c r="H2184" s="384"/>
      <c r="I2184" s="390"/>
      <c r="J2184" s="384"/>
      <c r="K2184" s="390"/>
      <c r="L2184" s="384"/>
      <c r="M2184" s="390"/>
      <c r="N2184" s="384"/>
      <c r="O2184" s="190"/>
    </row>
    <row r="2185" spans="2:15" ht="16" x14ac:dyDescent="0.2">
      <c r="B2185" s="256"/>
      <c r="C2185" s="377">
        <v>32</v>
      </c>
      <c r="D2185" s="384"/>
      <c r="E2185" s="390"/>
      <c r="F2185" s="384"/>
      <c r="G2185" s="390"/>
      <c r="H2185" s="384"/>
      <c r="I2185" s="390"/>
      <c r="J2185" s="384"/>
      <c r="K2185" s="390"/>
      <c r="L2185" s="384"/>
      <c r="M2185" s="390"/>
      <c r="N2185" s="384"/>
      <c r="O2185" s="190"/>
    </row>
    <row r="2186" spans="2:15" ht="16" x14ac:dyDescent="0.2">
      <c r="B2186" s="256"/>
      <c r="C2186" s="119">
        <v>33</v>
      </c>
      <c r="D2186" s="385"/>
      <c r="E2186" s="391"/>
      <c r="F2186" s="385"/>
      <c r="G2186" s="391"/>
      <c r="H2186" s="385"/>
      <c r="I2186" s="391"/>
      <c r="J2186" s="385"/>
      <c r="K2186" s="391"/>
      <c r="L2186" s="385"/>
      <c r="M2186" s="391"/>
      <c r="N2186" s="385"/>
      <c r="O2186" s="190"/>
    </row>
    <row r="2187" spans="2:15" ht="16" x14ac:dyDescent="0.2">
      <c r="B2187" s="256"/>
      <c r="C2187" s="119">
        <v>34</v>
      </c>
      <c r="D2187" s="385"/>
      <c r="E2187" s="391"/>
      <c r="F2187" s="385"/>
      <c r="G2187" s="391"/>
      <c r="H2187" s="385"/>
      <c r="I2187" s="391"/>
      <c r="J2187" s="385"/>
      <c r="K2187" s="391"/>
      <c r="L2187" s="385"/>
      <c r="M2187" s="391"/>
      <c r="N2187" s="385"/>
      <c r="O2187" s="190"/>
    </row>
    <row r="2188" spans="2:15" ht="16" x14ac:dyDescent="0.2">
      <c r="B2188" s="256"/>
      <c r="C2188" s="119">
        <v>35</v>
      </c>
      <c r="D2188" s="385"/>
      <c r="E2188" s="391"/>
      <c r="F2188" s="385"/>
      <c r="G2188" s="391"/>
      <c r="H2188" s="385"/>
      <c r="I2188" s="391"/>
      <c r="J2188" s="385"/>
      <c r="K2188" s="391"/>
      <c r="L2188" s="385"/>
      <c r="M2188" s="391"/>
      <c r="N2188" s="385"/>
      <c r="O2188" s="190"/>
    </row>
    <row r="2189" spans="2:15" ht="16" x14ac:dyDescent="0.2">
      <c r="B2189" s="256"/>
      <c r="C2189" s="119">
        <v>36</v>
      </c>
      <c r="D2189" s="385"/>
      <c r="E2189" s="391"/>
      <c r="F2189" s="385"/>
      <c r="G2189" s="391"/>
      <c r="H2189" s="385"/>
      <c r="I2189" s="391"/>
      <c r="J2189" s="385"/>
      <c r="K2189" s="391"/>
      <c r="L2189" s="385"/>
      <c r="M2189" s="391"/>
      <c r="N2189" s="385"/>
      <c r="O2189" s="190"/>
    </row>
    <row r="2190" spans="2:15" ht="17" thickBot="1" x14ac:dyDescent="0.25">
      <c r="B2190" s="256"/>
      <c r="C2190" s="378">
        <v>37</v>
      </c>
      <c r="D2190" s="386"/>
      <c r="E2190" s="392"/>
      <c r="F2190" s="386"/>
      <c r="G2190" s="392"/>
      <c r="H2190" s="386"/>
      <c r="I2190" s="392"/>
      <c r="J2190" s="386"/>
      <c r="K2190" s="392"/>
      <c r="L2190" s="386"/>
      <c r="M2190" s="392"/>
      <c r="N2190" s="386"/>
      <c r="O2190" s="190"/>
    </row>
    <row r="2191" spans="2:15" ht="17" thickBot="1" x14ac:dyDescent="0.25">
      <c r="C2191" s="825" t="s">
        <v>19</v>
      </c>
      <c r="D2191" s="826"/>
      <c r="E2191" s="380"/>
      <c r="F2191" s="376">
        <f>(F2154+F2155+F2156+F2157+F2158+F2159+F2175+F2162+F2163+F2160+F2161+F2164+F2165+F2166+F2167+F2168+F2169+F2170+F2171+F2172+F2173+F2174+F2176+F2177+F2179+F2180+F2181+F2182+F2183+F2184+F2185+F2186+F2187+F2190)/2</f>
        <v>77</v>
      </c>
      <c r="G2191" s="397">
        <f>(G2154+G2155+G2156+G2157+G2158+G2175+G2159+G2163+G2162+G2160+G2161+G2164+G2165+G2166+G2167+G2168+G2169+G2170+G2171+G2172+G2173+G2174+G2176+G2177+G2179+G2180+G2181+G2182+G2183+G2184+G2185+G2186)/2</f>
        <v>49</v>
      </c>
      <c r="H2191" s="399">
        <f>(H2154+H2155+H2156+H2157+H2158+H2159+H2175+H2178+H2162+H2163+H2160+H2161+H2164+H2165+H2166+H2167+H2168+H2169+H2170+H2171+H2172+H2173+H2174+H2176+H2177+H2179+H2180+H2181+H2182+H2183+H2184+H2185+H2186+H2187+H2190)/2</f>
        <v>0</v>
      </c>
      <c r="I2191" s="398">
        <f>(I2154+I2155+I2156+I2157+I2158+I2188+I2189+I2159+I2175+I2162+I2178+I2163+I2160+I2161+I2164+I2165+I2166+I2167+I2168+I2169+I2170+I2171+I2172+I2173+I2174+I2176+I2177+I2179+I2180+I2181+I2182+I2183+I2184+I2185+I2186+I2187+I2190)/2</f>
        <v>44</v>
      </c>
      <c r="J2191" s="376">
        <f>(J2154+J2155+J2156+J2157+J2158+J2159+J2163+J2160+J2162+J2161+J2178+J2164+J2165+J2166+J2167+J2168+J2169+J2170+J2171+J2172+J2173+J2174+J2175+J2176+J2177+J2179+J2180+J2181+J2182+J2183+J2184+J2185+J2186)/2</f>
        <v>79</v>
      </c>
      <c r="K2191" s="397">
        <f>(K2154+K2155+K2156+K2157+K2158+K2159+K2163+K2160+K2161+K2164+K2165+K2166+K2167+K2168+K2169+K2170+K2171+K2172+K2173+K2174+K2176+K2177+K2179+K2180+K2181+K2182+K2183+K2184+K2185+K2186+K2175)</f>
        <v>0</v>
      </c>
      <c r="L2191" s="399">
        <f>SUM(L2154:L2190)</f>
        <v>0</v>
      </c>
      <c r="M2191" s="398">
        <f>(M2154+M2155+M2156+M2157+M2158+M2159+M2163+M2162+M2160+M2161+M2164+M2165+M2166+M2167+M2168+M2169+M2170+M2171+M2172+M2173+M2174+M2176+M2177+M2179+M2180+M2181+M2182+M2183+M2184+M2185+M2186)/2</f>
        <v>0</v>
      </c>
      <c r="N2191" s="376"/>
      <c r="O2191" s="41"/>
    </row>
    <row r="2192" spans="2:15" ht="17" thickBot="1" x14ac:dyDescent="0.25">
      <c r="C2192" s="825" t="s">
        <v>91</v>
      </c>
      <c r="D2192" s="826"/>
      <c r="E2192" s="381">
        <f>SUM(F2191:J2191)</f>
        <v>249</v>
      </c>
    </row>
    <row r="2193" spans="2:15" ht="16" thickBot="1" x14ac:dyDescent="0.25"/>
    <row r="2194" spans="2:15" ht="17" thickBot="1" x14ac:dyDescent="0.25">
      <c r="C2194" s="17"/>
      <c r="D2194" s="379" t="s">
        <v>83</v>
      </c>
      <c r="E2194" s="818" t="s">
        <v>64</v>
      </c>
      <c r="F2194" s="819"/>
      <c r="G2194" s="819"/>
      <c r="H2194" s="819"/>
      <c r="I2194" s="819"/>
      <c r="J2194" s="400" t="s">
        <v>76</v>
      </c>
      <c r="K2194" s="820">
        <v>45727</v>
      </c>
      <c r="L2194" s="821"/>
      <c r="M2194" s="821"/>
      <c r="N2194" s="821"/>
      <c r="O2194" s="822"/>
    </row>
    <row r="2195" spans="2:15" ht="16" thickBot="1" x14ac:dyDescent="0.25">
      <c r="B2195" s="175" t="s">
        <v>76</v>
      </c>
      <c r="C2195" s="175" t="s">
        <v>77</v>
      </c>
      <c r="D2195" s="823" t="s">
        <v>122</v>
      </c>
      <c r="E2195" s="824"/>
      <c r="F2195" s="175" t="s">
        <v>104</v>
      </c>
      <c r="G2195" s="395" t="s">
        <v>86</v>
      </c>
      <c r="H2195" s="175" t="s">
        <v>88</v>
      </c>
      <c r="I2195" s="395" t="s">
        <v>87</v>
      </c>
      <c r="J2195" s="401" t="s">
        <v>85</v>
      </c>
      <c r="K2195" s="395" t="s">
        <v>123</v>
      </c>
      <c r="L2195" s="175" t="s">
        <v>124</v>
      </c>
      <c r="M2195" s="395" t="s">
        <v>100</v>
      </c>
      <c r="N2195" s="175" t="s">
        <v>213</v>
      </c>
      <c r="O2195" s="404" t="s">
        <v>125</v>
      </c>
    </row>
    <row r="2196" spans="2:15" ht="16" thickBot="1" x14ac:dyDescent="0.25">
      <c r="B2196" s="176">
        <f>K2194</f>
        <v>45727</v>
      </c>
      <c r="C2196" s="374"/>
      <c r="D2196" s="375" t="s">
        <v>126</v>
      </c>
      <c r="E2196" s="387" t="s">
        <v>127</v>
      </c>
      <c r="F2196" s="331">
        <v>12</v>
      </c>
      <c r="G2196" s="237">
        <v>7</v>
      </c>
      <c r="H2196" s="331">
        <v>2</v>
      </c>
      <c r="I2196" s="237">
        <v>5</v>
      </c>
      <c r="J2196" s="331">
        <v>9</v>
      </c>
      <c r="K2196" s="231"/>
      <c r="L2196" s="125"/>
      <c r="M2196" s="231"/>
      <c r="N2196" s="125"/>
      <c r="O2196" s="326"/>
    </row>
    <row r="2197" spans="2:15" ht="16" x14ac:dyDescent="0.2">
      <c r="C2197" s="118">
        <v>1</v>
      </c>
      <c r="D2197" s="382">
        <v>0.2986111111111111</v>
      </c>
      <c r="E2197" s="388">
        <v>0.31944444444444448</v>
      </c>
      <c r="F2197" s="393"/>
      <c r="G2197" s="396">
        <v>28</v>
      </c>
      <c r="H2197" s="393"/>
      <c r="I2197" s="396"/>
      <c r="J2197" s="393"/>
      <c r="K2197" s="396"/>
      <c r="L2197" s="393"/>
      <c r="M2197" s="396"/>
      <c r="N2197" s="393"/>
      <c r="O2197" s="190"/>
    </row>
    <row r="2198" spans="2:15" ht="16" x14ac:dyDescent="0.2">
      <c r="C2198" s="119">
        <v>2</v>
      </c>
      <c r="D2198" s="383">
        <v>0.32291666666666669</v>
      </c>
      <c r="E2198" s="389">
        <v>0.34375</v>
      </c>
      <c r="F2198" s="385"/>
      <c r="G2198" s="391">
        <v>28</v>
      </c>
      <c r="H2198" s="385"/>
      <c r="I2198" s="391"/>
      <c r="J2198" s="385"/>
      <c r="K2198" s="391"/>
      <c r="L2198" s="385"/>
      <c r="M2198" s="391"/>
      <c r="N2198" s="385"/>
      <c r="O2198" s="190"/>
    </row>
    <row r="2199" spans="2:15" ht="16" x14ac:dyDescent="0.2">
      <c r="C2199" s="119">
        <v>3</v>
      </c>
      <c r="D2199" s="383">
        <v>0.35069444444444442</v>
      </c>
      <c r="E2199" s="389">
        <v>0.37152777777777773</v>
      </c>
      <c r="F2199" s="385"/>
      <c r="G2199" s="391">
        <v>28</v>
      </c>
      <c r="H2199" s="385"/>
      <c r="I2199" s="391"/>
      <c r="J2199" s="385"/>
      <c r="K2199" s="391"/>
      <c r="L2199" s="384"/>
      <c r="M2199" s="391"/>
      <c r="N2199" s="385"/>
      <c r="O2199" s="190"/>
    </row>
    <row r="2200" spans="2:15" ht="16" x14ac:dyDescent="0.2">
      <c r="C2200" s="119">
        <v>4</v>
      </c>
      <c r="D2200" s="383">
        <v>0.37152777777777773</v>
      </c>
      <c r="E2200" s="389">
        <v>0.3923611111111111</v>
      </c>
      <c r="F2200" s="385"/>
      <c r="G2200" s="391"/>
      <c r="H2200" s="316">
        <v>28</v>
      </c>
      <c r="I2200" s="391"/>
      <c r="J2200" s="385"/>
      <c r="K2200" s="391"/>
      <c r="L2200" s="402"/>
      <c r="M2200" s="391"/>
      <c r="N2200" s="385"/>
      <c r="O2200" s="190"/>
    </row>
    <row r="2201" spans="2:15" ht="16" x14ac:dyDescent="0.2">
      <c r="C2201" s="119">
        <v>5</v>
      </c>
      <c r="D2201" s="383">
        <v>0.38541666666666669</v>
      </c>
      <c r="E2201" s="389">
        <v>0.40625</v>
      </c>
      <c r="F2201" s="385"/>
      <c r="G2201" s="391">
        <v>14</v>
      </c>
      <c r="H2201" s="316"/>
      <c r="I2201" s="391"/>
      <c r="J2201" s="385"/>
      <c r="K2201" s="391"/>
      <c r="L2201" s="393"/>
      <c r="M2201" s="391"/>
      <c r="N2201" s="385"/>
      <c r="O2201" s="190"/>
    </row>
    <row r="2202" spans="2:15" ht="16" x14ac:dyDescent="0.2">
      <c r="C2202" s="119">
        <v>6</v>
      </c>
      <c r="D2202" s="383">
        <v>0.46527777777777773</v>
      </c>
      <c r="E2202" s="389">
        <v>0.4861111111111111</v>
      </c>
      <c r="F2202" s="385"/>
      <c r="G2202" s="391"/>
      <c r="H2202" s="316"/>
      <c r="I2202" s="391">
        <v>44</v>
      </c>
      <c r="J2202" s="385"/>
      <c r="K2202" s="391"/>
      <c r="L2202" s="393"/>
      <c r="M2202" s="391"/>
      <c r="N2202" s="385"/>
      <c r="O2202" s="190"/>
    </row>
    <row r="2203" spans="2:15" ht="16" x14ac:dyDescent="0.2">
      <c r="C2203" s="119">
        <v>7</v>
      </c>
      <c r="D2203" s="383">
        <v>0.4861111111111111</v>
      </c>
      <c r="E2203" s="389">
        <v>0.50694444444444442</v>
      </c>
      <c r="F2203" s="385">
        <v>28</v>
      </c>
      <c r="G2203" s="391"/>
      <c r="H2203" s="316"/>
      <c r="I2203" s="391"/>
      <c r="J2203" s="385"/>
      <c r="K2203" s="391"/>
      <c r="L2203" s="393"/>
      <c r="M2203" s="391"/>
      <c r="N2203" s="385"/>
      <c r="O2203" s="190"/>
    </row>
    <row r="2204" spans="2:15" ht="16" x14ac:dyDescent="0.2">
      <c r="C2204" s="119">
        <v>8</v>
      </c>
      <c r="D2204" s="383">
        <v>0.51388888888888895</v>
      </c>
      <c r="E2204" s="389">
        <v>0.53472222222222221</v>
      </c>
      <c r="F2204" s="385"/>
      <c r="G2204" s="391"/>
      <c r="H2204" s="316"/>
      <c r="I2204" s="391">
        <v>44</v>
      </c>
      <c r="J2204" s="385"/>
      <c r="K2204" s="391"/>
      <c r="L2204" s="385"/>
      <c r="M2204" s="391"/>
      <c r="N2204" s="385"/>
      <c r="O2204" s="190"/>
    </row>
    <row r="2205" spans="2:15" ht="16" x14ac:dyDescent="0.2">
      <c r="C2205" s="119">
        <v>9</v>
      </c>
      <c r="D2205" s="383">
        <v>0.54513888888888895</v>
      </c>
      <c r="E2205" s="389">
        <v>0.56597222222222221</v>
      </c>
      <c r="F2205" s="385">
        <v>28</v>
      </c>
      <c r="G2205" s="391"/>
      <c r="H2205" s="316"/>
      <c r="I2205" s="391"/>
      <c r="J2205" s="385"/>
      <c r="K2205" s="391"/>
      <c r="L2205" s="385"/>
      <c r="M2205" s="391"/>
      <c r="N2205" s="385"/>
      <c r="O2205" s="190"/>
    </row>
    <row r="2206" spans="2:15" ht="16" x14ac:dyDescent="0.2">
      <c r="C2206" s="119">
        <v>10</v>
      </c>
      <c r="D2206" s="383">
        <v>0.57291666666666663</v>
      </c>
      <c r="E2206" s="389">
        <v>0.59375</v>
      </c>
      <c r="F2206" s="385"/>
      <c r="G2206" s="391"/>
      <c r="H2206" s="316"/>
      <c r="I2206" s="391"/>
      <c r="J2206" s="385">
        <v>36</v>
      </c>
      <c r="K2206" s="391"/>
      <c r="L2206" s="385"/>
      <c r="M2206" s="391"/>
      <c r="N2206" s="385"/>
      <c r="O2206" s="190"/>
    </row>
    <row r="2207" spans="2:15" ht="16" x14ac:dyDescent="0.2">
      <c r="C2207" s="119">
        <v>11</v>
      </c>
      <c r="D2207" s="383">
        <v>0.60069444444444442</v>
      </c>
      <c r="E2207" s="389">
        <v>0.62152777777777779</v>
      </c>
      <c r="F2207" s="385">
        <v>28</v>
      </c>
      <c r="G2207" s="391"/>
      <c r="H2207" s="316"/>
      <c r="I2207" s="391"/>
      <c r="J2207" s="28"/>
      <c r="K2207" s="391"/>
      <c r="L2207" s="385"/>
      <c r="M2207" s="391"/>
      <c r="N2207" s="385"/>
      <c r="O2207" s="190"/>
    </row>
    <row r="2208" spans="2:15" ht="16" x14ac:dyDescent="0.2">
      <c r="C2208" s="193">
        <v>12</v>
      </c>
      <c r="D2208" s="383">
        <v>0.625</v>
      </c>
      <c r="E2208" s="389">
        <v>0.64583333333333337</v>
      </c>
      <c r="F2208" s="385"/>
      <c r="G2208" s="391"/>
      <c r="H2208" s="316"/>
      <c r="I2208" s="391"/>
      <c r="J2208" s="385">
        <v>36</v>
      </c>
      <c r="K2208" s="391"/>
      <c r="L2208" s="385"/>
      <c r="M2208" s="391"/>
      <c r="N2208" s="385"/>
      <c r="O2208" s="190"/>
    </row>
    <row r="2209" spans="3:15" ht="16" x14ac:dyDescent="0.2">
      <c r="C2209" s="119">
        <v>13</v>
      </c>
      <c r="D2209" s="383">
        <v>0.65277777777777779</v>
      </c>
      <c r="E2209" s="389">
        <v>0.67361111111111116</v>
      </c>
      <c r="F2209" s="385">
        <v>28</v>
      </c>
      <c r="G2209" s="391"/>
      <c r="H2209" s="316"/>
      <c r="I2209" s="391"/>
      <c r="J2209" s="385"/>
      <c r="K2209" s="391"/>
      <c r="L2209" s="385"/>
      <c r="M2209" s="391"/>
      <c r="N2209" s="385"/>
      <c r="O2209" s="190"/>
    </row>
    <row r="2210" spans="3:15" ht="16" x14ac:dyDescent="0.2">
      <c r="C2210" s="119">
        <v>14</v>
      </c>
      <c r="D2210" s="383">
        <v>0.68402777777777779</v>
      </c>
      <c r="E2210" s="389">
        <v>0.70486111111111116</v>
      </c>
      <c r="F2210" s="385"/>
      <c r="G2210" s="391"/>
      <c r="H2210" s="316"/>
      <c r="I2210" s="391"/>
      <c r="J2210" s="385">
        <v>36</v>
      </c>
      <c r="K2210" s="391"/>
      <c r="L2210" s="385"/>
      <c r="M2210" s="391"/>
      <c r="N2210" s="385"/>
      <c r="O2210" s="190"/>
    </row>
    <row r="2211" spans="3:15" ht="16" x14ac:dyDescent="0.2">
      <c r="C2211" s="119">
        <v>15</v>
      </c>
      <c r="D2211" s="383">
        <v>0.70833333333333337</v>
      </c>
      <c r="E2211" s="389">
        <v>0.72916666666666663</v>
      </c>
      <c r="F2211" s="385">
        <v>28</v>
      </c>
      <c r="G2211" s="391"/>
      <c r="H2211" s="316"/>
      <c r="I2211" s="391"/>
      <c r="J2211" s="385"/>
      <c r="K2211" s="391"/>
      <c r="L2211" s="385"/>
      <c r="M2211" s="391"/>
      <c r="N2211" s="385"/>
      <c r="O2211" s="190"/>
    </row>
    <row r="2212" spans="3:15" ht="16" x14ac:dyDescent="0.2">
      <c r="C2212" s="119">
        <v>16</v>
      </c>
      <c r="D2212" s="383">
        <v>0.74652777777777779</v>
      </c>
      <c r="E2212" s="389">
        <v>0.76736111111111116</v>
      </c>
      <c r="F2212" s="385"/>
      <c r="G2212" s="391"/>
      <c r="H2212" s="316"/>
      <c r="I2212" s="391"/>
      <c r="J2212" s="385">
        <v>32</v>
      </c>
      <c r="K2212" s="391"/>
      <c r="L2212" s="385"/>
      <c r="M2212" s="391"/>
      <c r="N2212" s="385"/>
      <c r="O2212" s="190"/>
    </row>
    <row r="2213" spans="3:15" ht="16" x14ac:dyDescent="0.2">
      <c r="C2213" s="119">
        <v>17</v>
      </c>
      <c r="D2213" s="383">
        <v>0.76736111111111116</v>
      </c>
      <c r="E2213" s="389">
        <v>0.78819444444444453</v>
      </c>
      <c r="F2213" s="384">
        <v>28</v>
      </c>
      <c r="G2213" s="33"/>
      <c r="H2213" s="316"/>
      <c r="I2213" s="390"/>
      <c r="J2213" s="385"/>
      <c r="K2213" s="391"/>
      <c r="L2213" s="385"/>
      <c r="M2213" s="391"/>
      <c r="N2213" s="385"/>
      <c r="O2213" s="190"/>
    </row>
    <row r="2214" spans="3:15" ht="16" x14ac:dyDescent="0.2">
      <c r="C2214" s="119">
        <v>18</v>
      </c>
      <c r="D2214" s="383">
        <v>0.78819444444444453</v>
      </c>
      <c r="E2214" s="389">
        <v>0.80902777777777779</v>
      </c>
      <c r="F2214" s="394"/>
      <c r="G2214" s="229"/>
      <c r="H2214" s="394"/>
      <c r="I2214" s="391">
        <v>22</v>
      </c>
      <c r="J2214" s="385"/>
      <c r="K2214" s="391"/>
      <c r="L2214" s="385"/>
      <c r="M2214" s="391"/>
      <c r="N2214" s="385"/>
      <c r="O2214" s="190"/>
    </row>
    <row r="2215" spans="3:15" ht="16" x14ac:dyDescent="0.2">
      <c r="C2215" s="119">
        <v>19</v>
      </c>
      <c r="D2215" s="383"/>
      <c r="E2215" s="389"/>
      <c r="F2215" s="385"/>
      <c r="G2215" s="391"/>
      <c r="H2215" s="385"/>
      <c r="I2215" s="391"/>
      <c r="J2215" s="385">
        <v>14</v>
      </c>
      <c r="K2215" s="391"/>
      <c r="L2215" s="403"/>
      <c r="M2215" s="391"/>
      <c r="N2215" s="385"/>
      <c r="O2215" s="190"/>
    </row>
    <row r="2216" spans="3:15" ht="16" x14ac:dyDescent="0.2">
      <c r="C2216" s="119">
        <v>20</v>
      </c>
      <c r="D2216" s="383"/>
      <c r="E2216" s="389"/>
      <c r="F2216" s="385"/>
      <c r="G2216" s="391"/>
      <c r="H2216" s="385"/>
      <c r="I2216" s="391"/>
      <c r="J2216" s="385"/>
      <c r="K2216" s="391"/>
      <c r="L2216" s="403"/>
      <c r="M2216" s="391"/>
      <c r="N2216" s="385"/>
      <c r="O2216" s="190"/>
    </row>
    <row r="2217" spans="3:15" ht="16" x14ac:dyDescent="0.2">
      <c r="C2217" s="119">
        <v>21</v>
      </c>
      <c r="D2217" s="383"/>
      <c r="E2217" s="389"/>
      <c r="F2217" s="385"/>
      <c r="G2217" s="391"/>
      <c r="H2217" s="385"/>
      <c r="I2217" s="391"/>
      <c r="J2217" s="385"/>
      <c r="K2217" s="391"/>
      <c r="L2217" s="385"/>
      <c r="M2217" s="391"/>
      <c r="N2217" s="385"/>
      <c r="O2217" s="190"/>
    </row>
    <row r="2218" spans="3:15" ht="16" x14ac:dyDescent="0.2">
      <c r="C2218" s="119">
        <v>22</v>
      </c>
      <c r="D2218" s="383"/>
      <c r="E2218" s="389"/>
      <c r="F2218" s="385"/>
      <c r="G2218" s="391"/>
      <c r="H2218" s="385"/>
      <c r="I2218" s="391"/>
      <c r="J2218" s="385"/>
      <c r="K2218" s="391"/>
      <c r="L2218" s="385"/>
      <c r="M2218" s="391"/>
      <c r="N2218" s="385"/>
      <c r="O2218" s="190"/>
    </row>
    <row r="2219" spans="3:15" ht="16" x14ac:dyDescent="0.2">
      <c r="C2219" s="119">
        <v>23</v>
      </c>
      <c r="D2219" s="383"/>
      <c r="E2219" s="389"/>
      <c r="F2219" s="385"/>
      <c r="G2219" s="391"/>
      <c r="H2219" s="385"/>
      <c r="I2219" s="391"/>
      <c r="J2219" s="385"/>
      <c r="K2219" s="391"/>
      <c r="L2219" s="385"/>
      <c r="M2219" s="391"/>
      <c r="N2219" s="385"/>
      <c r="O2219" s="190"/>
    </row>
    <row r="2220" spans="3:15" ht="16" x14ac:dyDescent="0.2">
      <c r="C2220" s="119">
        <v>24</v>
      </c>
      <c r="D2220" s="383"/>
      <c r="E2220" s="389"/>
      <c r="F2220" s="385"/>
      <c r="G2220" s="391"/>
      <c r="H2220" s="385"/>
      <c r="I2220" s="391"/>
      <c r="J2220" s="385"/>
      <c r="K2220" s="391"/>
      <c r="L2220" s="385"/>
      <c r="M2220" s="391"/>
      <c r="N2220" s="385"/>
      <c r="O2220" s="190"/>
    </row>
    <row r="2221" spans="3:15" ht="16" x14ac:dyDescent="0.2">
      <c r="C2221" s="119">
        <v>25</v>
      </c>
      <c r="D2221" s="383"/>
      <c r="E2221" s="389"/>
      <c r="F2221" s="385"/>
      <c r="G2221" s="391"/>
      <c r="H2221" s="385"/>
      <c r="I2221" s="391"/>
      <c r="J2221" s="385"/>
      <c r="K2221" s="391"/>
      <c r="L2221" s="385"/>
      <c r="M2221" s="391"/>
      <c r="N2221" s="385"/>
      <c r="O2221" s="190"/>
    </row>
    <row r="2222" spans="3:15" ht="16" x14ac:dyDescent="0.2">
      <c r="C2222" s="119">
        <v>26</v>
      </c>
      <c r="D2222" s="383"/>
      <c r="E2222" s="389"/>
      <c r="F2222" s="385"/>
      <c r="G2222" s="391"/>
      <c r="H2222" s="385"/>
      <c r="I2222" s="391"/>
      <c r="J2222" s="385"/>
      <c r="K2222" s="391"/>
      <c r="L2222" s="385"/>
      <c r="M2222" s="391"/>
      <c r="N2222" s="385"/>
      <c r="O2222" s="190"/>
    </row>
    <row r="2223" spans="3:15" ht="16" x14ac:dyDescent="0.2">
      <c r="C2223" s="119">
        <v>27</v>
      </c>
      <c r="D2223" s="383"/>
      <c r="E2223" s="389"/>
      <c r="F2223" s="385"/>
      <c r="G2223" s="391"/>
      <c r="H2223" s="385"/>
      <c r="I2223" s="391"/>
      <c r="J2223" s="385"/>
      <c r="K2223" s="391"/>
      <c r="L2223" s="385"/>
      <c r="M2223" s="391"/>
      <c r="N2223" s="385"/>
      <c r="O2223" s="190"/>
    </row>
    <row r="2224" spans="3:15" ht="16" x14ac:dyDescent="0.2">
      <c r="C2224" s="119">
        <v>28</v>
      </c>
      <c r="D2224" s="383"/>
      <c r="E2224" s="389"/>
      <c r="F2224" s="385"/>
      <c r="G2224" s="391"/>
      <c r="H2224" s="385"/>
      <c r="I2224" s="391"/>
      <c r="J2224" s="385"/>
      <c r="K2224" s="391"/>
      <c r="L2224" s="385"/>
      <c r="M2224" s="391"/>
      <c r="N2224" s="385"/>
      <c r="O2224" s="190"/>
    </row>
    <row r="2225" spans="2:15" ht="16" x14ac:dyDescent="0.2">
      <c r="C2225" s="119">
        <v>29</v>
      </c>
      <c r="D2225" s="383"/>
      <c r="E2225" s="389"/>
      <c r="F2225" s="385"/>
      <c r="G2225" s="391"/>
      <c r="H2225" s="385"/>
      <c r="I2225" s="391"/>
      <c r="J2225" s="385"/>
      <c r="K2225" s="391"/>
      <c r="L2225" s="385"/>
      <c r="M2225" s="391"/>
      <c r="N2225" s="385"/>
      <c r="O2225" s="190"/>
    </row>
    <row r="2226" spans="2:15" ht="16" x14ac:dyDescent="0.2">
      <c r="C2226" s="119">
        <v>30</v>
      </c>
      <c r="D2226" s="383"/>
      <c r="E2226" s="389"/>
      <c r="F2226" s="385"/>
      <c r="G2226" s="391"/>
      <c r="H2226" s="385"/>
      <c r="I2226" s="391"/>
      <c r="J2226" s="385"/>
      <c r="K2226" s="391"/>
      <c r="L2226" s="385"/>
      <c r="M2226" s="391"/>
      <c r="N2226" s="385"/>
      <c r="O2226" s="190"/>
    </row>
    <row r="2227" spans="2:15" ht="16" x14ac:dyDescent="0.2">
      <c r="C2227" s="120">
        <v>31</v>
      </c>
      <c r="D2227" s="383"/>
      <c r="E2227" s="389"/>
      <c r="F2227" s="384"/>
      <c r="G2227" s="390"/>
      <c r="H2227" s="384"/>
      <c r="I2227" s="390"/>
      <c r="J2227" s="384"/>
      <c r="K2227" s="390"/>
      <c r="L2227" s="384"/>
      <c r="M2227" s="390"/>
      <c r="N2227" s="384"/>
      <c r="O2227" s="190"/>
    </row>
    <row r="2228" spans="2:15" ht="16" x14ac:dyDescent="0.2">
      <c r="B2228" s="256"/>
      <c r="C2228" s="377">
        <v>32</v>
      </c>
      <c r="D2228" s="384"/>
      <c r="E2228" s="390"/>
      <c r="F2228" s="384"/>
      <c r="G2228" s="390"/>
      <c r="H2228" s="384"/>
      <c r="I2228" s="390"/>
      <c r="J2228" s="384"/>
      <c r="K2228" s="390"/>
      <c r="L2228" s="384"/>
      <c r="M2228" s="390"/>
      <c r="N2228" s="384"/>
      <c r="O2228" s="190"/>
    </row>
    <row r="2229" spans="2:15" ht="16" x14ac:dyDescent="0.2">
      <c r="B2229" s="256"/>
      <c r="C2229" s="119">
        <v>33</v>
      </c>
      <c r="D2229" s="385"/>
      <c r="E2229" s="391"/>
      <c r="F2229" s="385"/>
      <c r="G2229" s="391"/>
      <c r="H2229" s="385"/>
      <c r="I2229" s="391"/>
      <c r="J2229" s="385"/>
      <c r="K2229" s="391"/>
      <c r="L2229" s="385"/>
      <c r="M2229" s="391"/>
      <c r="N2229" s="385"/>
      <c r="O2229" s="190"/>
    </row>
    <row r="2230" spans="2:15" ht="16" x14ac:dyDescent="0.2">
      <c r="B2230" s="256"/>
      <c r="C2230" s="119">
        <v>34</v>
      </c>
      <c r="D2230" s="385"/>
      <c r="E2230" s="391"/>
      <c r="F2230" s="385"/>
      <c r="G2230" s="391"/>
      <c r="H2230" s="385"/>
      <c r="I2230" s="391"/>
      <c r="J2230" s="385"/>
      <c r="K2230" s="391"/>
      <c r="L2230" s="385"/>
      <c r="M2230" s="391"/>
      <c r="N2230" s="385"/>
      <c r="O2230" s="190"/>
    </row>
    <row r="2231" spans="2:15" ht="16" x14ac:dyDescent="0.2">
      <c r="B2231" s="256"/>
      <c r="C2231" s="119">
        <v>35</v>
      </c>
      <c r="D2231" s="385"/>
      <c r="E2231" s="391"/>
      <c r="F2231" s="385"/>
      <c r="G2231" s="391"/>
      <c r="H2231" s="385"/>
      <c r="I2231" s="391"/>
      <c r="J2231" s="385"/>
      <c r="K2231" s="391"/>
      <c r="L2231" s="385"/>
      <c r="M2231" s="391"/>
      <c r="N2231" s="385"/>
      <c r="O2231" s="190"/>
    </row>
    <row r="2232" spans="2:15" ht="16" x14ac:dyDescent="0.2">
      <c r="B2232" s="256"/>
      <c r="C2232" s="119">
        <v>36</v>
      </c>
      <c r="D2232" s="385"/>
      <c r="E2232" s="391"/>
      <c r="F2232" s="385"/>
      <c r="G2232" s="391"/>
      <c r="H2232" s="385"/>
      <c r="I2232" s="391"/>
      <c r="J2232" s="385"/>
      <c r="K2232" s="391"/>
      <c r="L2232" s="385"/>
      <c r="M2232" s="391"/>
      <c r="N2232" s="385"/>
      <c r="O2232" s="190"/>
    </row>
    <row r="2233" spans="2:15" ht="17" thickBot="1" x14ac:dyDescent="0.25">
      <c r="B2233" s="256"/>
      <c r="C2233" s="378">
        <v>37</v>
      </c>
      <c r="D2233" s="386"/>
      <c r="E2233" s="392"/>
      <c r="F2233" s="386"/>
      <c r="G2233" s="392"/>
      <c r="H2233" s="386"/>
      <c r="I2233" s="392"/>
      <c r="J2233" s="386"/>
      <c r="K2233" s="392"/>
      <c r="L2233" s="386"/>
      <c r="M2233" s="392"/>
      <c r="N2233" s="386"/>
      <c r="O2233" s="190"/>
    </row>
    <row r="2234" spans="2:15" ht="17" thickBot="1" x14ac:dyDescent="0.25">
      <c r="C2234" s="825" t="s">
        <v>19</v>
      </c>
      <c r="D2234" s="826"/>
      <c r="E2234" s="380"/>
      <c r="F2234" s="376">
        <f>(F2197+F2198+F2199+F2200+F2201+F2202+F2218+F2205+F2206+F2203+F2204+F2207+F2208+F2209+F2210+F2211+F2212+F2213+F2214+F2215+F2216+F2217+F2219+F2220+F2222+F2223+F2224+F2225+F2226+F2227+F2228+F2229+F2230+F2233)/2</f>
        <v>84</v>
      </c>
      <c r="G2234" s="397">
        <f>(G2197+G2198+G2199+G2200+G2201+G2218+G2202+G2206+G2205+G2203+G2204+G2207+G2208+G2209+G2210+G2211+G2212+G2213+G2214+G2215+G2216+G2217+G2219+G2220+G2222+G2223+G2224+G2225+G2226+G2227+G2228+G2229)/2</f>
        <v>49</v>
      </c>
      <c r="H2234" s="399">
        <f>(H2197+H2198+H2199+H2200+H2201+H2202+H2218+H2221+H2205+H2206+H2203+H2204+H2207+H2208+H2209+H2210+H2211+H2212+H2213+H2214+H2215+H2216+H2217+H2219+H2220+H2222+H2223+H2224+H2225+H2226+H2227+H2228+H2229+H2230+H2233)/2</f>
        <v>14</v>
      </c>
      <c r="I2234" s="398">
        <f>(I2197+I2198+I2199+I2200+I2201+I2231+I2232+I2202+I2218+I2205+I2221+I2206+I2203+I2204+I2207+I2208+I2209+I2210+I2211+I2212+I2213+I2214+I2215+I2216+I2217+I2219+I2220+I2222+I2223+I2224+I2225+I2226+I2227+I2228+I2229+I2230+I2233)/2</f>
        <v>55</v>
      </c>
      <c r="J2234" s="376">
        <f>(J2197+J2198+J2199+J2200+J2201+J2202+J2206+J2203+J2205+J2204+J2221+J2207+J2208+J2209+J2210+J2211+J2212+J2213+J2214+J2215+J2216+J2217+J2218+J2219+J2220+J2222+J2223+J2224+J2225+J2226+J2227+J2228+J2229)/2</f>
        <v>77</v>
      </c>
      <c r="K2234" s="397">
        <f>(K2197+K2198+K2199+K2200+K2201+K2202+K2206+K2203+K2204+K2207+K2208+K2209+K2210+K2211+K2212+K2213+K2214+K2215+K2216+K2217+K2219+K2220+K2222+K2223+K2224+K2225+K2226+K2227+K2228+K2229+K2218)</f>
        <v>0</v>
      </c>
      <c r="L2234" s="399">
        <f>SUM(L2197:L2233)</f>
        <v>0</v>
      </c>
      <c r="M2234" s="398">
        <f>(M2197+M2198+M2199+M2200+M2201+M2202+M2206+M2205+M2203+M2204+M2207+M2208+M2209+M2210+M2211+M2212+M2213+M2214+M2215+M2216+M2217+M2219+M2220+M2222+M2223+M2224+M2225+M2226+M2227+M2228+M2229)/2</f>
        <v>0</v>
      </c>
      <c r="N2234" s="376"/>
      <c r="O2234" s="41"/>
    </row>
    <row r="2235" spans="2:15" ht="17" thickBot="1" x14ac:dyDescent="0.25">
      <c r="C2235" s="825" t="s">
        <v>91</v>
      </c>
      <c r="D2235" s="826"/>
      <c r="E2235" s="381">
        <f>SUM(F2234:J2234)</f>
        <v>279</v>
      </c>
    </row>
    <row r="2236" spans="2:15" ht="16" thickBot="1" x14ac:dyDescent="0.25"/>
    <row r="2237" spans="2:15" ht="17" thickBot="1" x14ac:dyDescent="0.25">
      <c r="C2237" s="17"/>
      <c r="D2237" s="379" t="s">
        <v>83</v>
      </c>
      <c r="E2237" s="818" t="s">
        <v>66</v>
      </c>
      <c r="F2237" s="819"/>
      <c r="G2237" s="819"/>
      <c r="H2237" s="819"/>
      <c r="I2237" s="819"/>
      <c r="J2237" s="400" t="s">
        <v>76</v>
      </c>
      <c r="K2237" s="820">
        <v>45729</v>
      </c>
      <c r="L2237" s="821"/>
      <c r="M2237" s="821"/>
      <c r="N2237" s="821"/>
      <c r="O2237" s="822"/>
    </row>
    <row r="2238" spans="2:15" ht="16" thickBot="1" x14ac:dyDescent="0.25">
      <c r="B2238" s="175" t="s">
        <v>76</v>
      </c>
      <c r="C2238" s="175" t="s">
        <v>77</v>
      </c>
      <c r="D2238" s="823" t="s">
        <v>122</v>
      </c>
      <c r="E2238" s="824"/>
      <c r="F2238" s="175" t="s">
        <v>104</v>
      </c>
      <c r="G2238" s="395" t="s">
        <v>86</v>
      </c>
      <c r="H2238" s="175" t="s">
        <v>88</v>
      </c>
      <c r="I2238" s="395" t="s">
        <v>87</v>
      </c>
      <c r="J2238" s="401" t="s">
        <v>85</v>
      </c>
      <c r="K2238" s="395" t="s">
        <v>123</v>
      </c>
      <c r="L2238" s="175" t="s">
        <v>124</v>
      </c>
      <c r="M2238" s="395" t="s">
        <v>100</v>
      </c>
      <c r="N2238" s="175" t="s">
        <v>213</v>
      </c>
      <c r="O2238" s="404" t="s">
        <v>125</v>
      </c>
    </row>
    <row r="2239" spans="2:15" ht="16" thickBot="1" x14ac:dyDescent="0.25">
      <c r="B2239" s="176">
        <f>K2237</f>
        <v>45729</v>
      </c>
      <c r="C2239" s="374"/>
      <c r="D2239" s="375" t="s">
        <v>126</v>
      </c>
      <c r="E2239" s="387" t="s">
        <v>127</v>
      </c>
      <c r="F2239" s="331">
        <v>10</v>
      </c>
      <c r="G2239" s="237">
        <v>7</v>
      </c>
      <c r="H2239" s="331">
        <v>3</v>
      </c>
      <c r="I2239" s="237">
        <v>3</v>
      </c>
      <c r="J2239" s="331">
        <v>8</v>
      </c>
      <c r="K2239" s="231"/>
      <c r="L2239" s="125"/>
      <c r="M2239" s="231"/>
      <c r="N2239" s="125"/>
      <c r="O2239" s="326"/>
    </row>
    <row r="2240" spans="2:15" ht="16" x14ac:dyDescent="0.2">
      <c r="C2240" s="118">
        <v>1</v>
      </c>
      <c r="D2240" s="382">
        <v>0.30902777777777779</v>
      </c>
      <c r="E2240" s="388">
        <v>0.3298611111111111</v>
      </c>
      <c r="F2240" s="393"/>
      <c r="G2240" s="396">
        <v>28</v>
      </c>
      <c r="H2240" s="393"/>
      <c r="I2240" s="396"/>
      <c r="J2240" s="393"/>
      <c r="K2240" s="396"/>
      <c r="L2240" s="393"/>
      <c r="M2240" s="396"/>
      <c r="N2240" s="393"/>
      <c r="O2240" s="190"/>
    </row>
    <row r="2241" spans="3:15" ht="16" x14ac:dyDescent="0.2">
      <c r="C2241" s="119">
        <v>2</v>
      </c>
      <c r="D2241" s="383">
        <v>0.3298611111111111</v>
      </c>
      <c r="E2241" s="389">
        <v>0.35069444444444442</v>
      </c>
      <c r="F2241" s="385"/>
      <c r="G2241" s="391">
        <v>28</v>
      </c>
      <c r="H2241" s="385"/>
      <c r="I2241" s="391"/>
      <c r="J2241" s="385"/>
      <c r="K2241" s="391"/>
      <c r="L2241" s="385"/>
      <c r="M2241" s="391"/>
      <c r="N2241" s="385"/>
      <c r="O2241" s="190"/>
    </row>
    <row r="2242" spans="3:15" ht="16" x14ac:dyDescent="0.2">
      <c r="C2242" s="119">
        <v>3</v>
      </c>
      <c r="D2242" s="383">
        <v>0.3611111111111111</v>
      </c>
      <c r="E2242" s="389">
        <v>0.38194444444444442</v>
      </c>
      <c r="F2242" s="385"/>
      <c r="G2242" s="391">
        <v>28</v>
      </c>
      <c r="H2242" s="385"/>
      <c r="I2242" s="391"/>
      <c r="J2242" s="385"/>
      <c r="K2242" s="391"/>
      <c r="L2242" s="384"/>
      <c r="M2242" s="391"/>
      <c r="N2242" s="385"/>
      <c r="O2242" s="190"/>
    </row>
    <row r="2243" spans="3:15" ht="16" x14ac:dyDescent="0.2">
      <c r="C2243" s="119">
        <v>4</v>
      </c>
      <c r="D2243" s="383">
        <v>0.37152777777777773</v>
      </c>
      <c r="E2243" s="389">
        <v>0.3923611111111111</v>
      </c>
      <c r="F2243" s="385"/>
      <c r="G2243" s="391"/>
      <c r="H2243" s="316"/>
      <c r="I2243" s="391"/>
      <c r="J2243" s="385">
        <v>36</v>
      </c>
      <c r="K2243" s="391"/>
      <c r="L2243" s="402"/>
      <c r="M2243" s="391"/>
      <c r="N2243" s="385"/>
      <c r="O2243" s="190"/>
    </row>
    <row r="2244" spans="3:15" ht="16" x14ac:dyDescent="0.2">
      <c r="C2244" s="119">
        <v>5</v>
      </c>
      <c r="D2244" s="383">
        <v>0.40972222222222227</v>
      </c>
      <c r="E2244" s="389">
        <v>0.43055555555555558</v>
      </c>
      <c r="F2244" s="385"/>
      <c r="G2244" s="391">
        <v>6</v>
      </c>
      <c r="H2244" s="316"/>
      <c r="I2244" s="391"/>
      <c r="J2244" s="385"/>
      <c r="K2244" s="391">
        <v>1</v>
      </c>
      <c r="L2244" s="393"/>
      <c r="M2244" s="391"/>
      <c r="N2244" s="385"/>
      <c r="O2244" s="190"/>
    </row>
    <row r="2245" spans="3:15" ht="16" x14ac:dyDescent="0.2">
      <c r="C2245" s="119">
        <v>6</v>
      </c>
      <c r="D2245" s="383">
        <v>0.41319444444444442</v>
      </c>
      <c r="E2245" s="389">
        <v>0.43402777777777773</v>
      </c>
      <c r="F2245" s="385"/>
      <c r="G2245" s="391"/>
      <c r="H2245" s="316">
        <v>14</v>
      </c>
      <c r="I2245" s="391"/>
      <c r="J2245" s="385"/>
      <c r="K2245" s="391"/>
      <c r="L2245" s="393"/>
      <c r="M2245" s="391"/>
      <c r="N2245" s="385"/>
      <c r="O2245" s="190"/>
    </row>
    <row r="2246" spans="3:15" ht="16" x14ac:dyDescent="0.2">
      <c r="C2246" s="119">
        <v>7</v>
      </c>
      <c r="D2246" s="383">
        <v>0.4513888888888889</v>
      </c>
      <c r="E2246" s="389">
        <v>0.47222222222222227</v>
      </c>
      <c r="F2246" s="385"/>
      <c r="G2246" s="391"/>
      <c r="H2246" s="316"/>
      <c r="I2246" s="391">
        <v>44</v>
      </c>
      <c r="J2246" s="385"/>
      <c r="K2246" s="391"/>
      <c r="L2246" s="393"/>
      <c r="M2246" s="391"/>
      <c r="N2246" s="385"/>
      <c r="O2246" s="190"/>
    </row>
    <row r="2247" spans="3:15" ht="16" x14ac:dyDescent="0.2">
      <c r="C2247" s="119">
        <v>8</v>
      </c>
      <c r="D2247" s="383">
        <v>0.49652777777777773</v>
      </c>
      <c r="E2247" s="389">
        <v>0.51736111111111105</v>
      </c>
      <c r="F2247" s="385"/>
      <c r="G2247" s="391"/>
      <c r="H2247" s="316">
        <v>28</v>
      </c>
      <c r="I2247" s="391"/>
      <c r="J2247" s="385"/>
      <c r="K2247" s="391"/>
      <c r="L2247" s="385"/>
      <c r="M2247" s="391"/>
      <c r="N2247" s="385"/>
      <c r="O2247" s="190"/>
    </row>
    <row r="2248" spans="3:15" ht="16" x14ac:dyDescent="0.2">
      <c r="C2248" s="119">
        <v>9</v>
      </c>
      <c r="D2248" s="383">
        <v>0.52777777777777779</v>
      </c>
      <c r="E2248" s="389">
        <v>0.54861111111111105</v>
      </c>
      <c r="F2248" s="385"/>
      <c r="G2248" s="391"/>
      <c r="H2248" s="316"/>
      <c r="I2248" s="391"/>
      <c r="J2248" s="385">
        <v>36</v>
      </c>
      <c r="K2248" s="391"/>
      <c r="L2248" s="385"/>
      <c r="M2248" s="391"/>
      <c r="N2248" s="385"/>
      <c r="O2248" s="190"/>
    </row>
    <row r="2249" spans="3:15" ht="16" x14ac:dyDescent="0.2">
      <c r="C2249" s="119">
        <v>10</v>
      </c>
      <c r="D2249" s="383">
        <v>0.55555555555555558</v>
      </c>
      <c r="E2249" s="389">
        <v>0.57638888888888895</v>
      </c>
      <c r="F2249" s="385">
        <v>22</v>
      </c>
      <c r="G2249" s="391"/>
      <c r="H2249" s="316"/>
      <c r="I2249" s="391"/>
      <c r="J2249" s="385"/>
      <c r="K2249" s="391">
        <v>1</v>
      </c>
      <c r="L2249" s="385"/>
      <c r="M2249" s="391"/>
      <c r="N2249" s="385"/>
      <c r="O2249" s="190"/>
    </row>
    <row r="2250" spans="3:15" ht="16" x14ac:dyDescent="0.2">
      <c r="C2250" s="119">
        <v>11</v>
      </c>
      <c r="D2250" s="383">
        <v>0.58333333333333337</v>
      </c>
      <c r="E2250" s="389">
        <v>0.60416666666666663</v>
      </c>
      <c r="F2250" s="385"/>
      <c r="G2250" s="391"/>
      <c r="H2250" s="316"/>
      <c r="I2250" s="391"/>
      <c r="J2250" s="28">
        <v>36</v>
      </c>
      <c r="K2250" s="391"/>
      <c r="L2250" s="385"/>
      <c r="M2250" s="391"/>
      <c r="N2250" s="385"/>
      <c r="O2250" s="190"/>
    </row>
    <row r="2251" spans="3:15" ht="16" x14ac:dyDescent="0.2">
      <c r="C2251" s="193">
        <v>12</v>
      </c>
      <c r="D2251" s="383">
        <v>0.61111111111111105</v>
      </c>
      <c r="E2251" s="389">
        <v>0.63541666666666663</v>
      </c>
      <c r="F2251" s="385">
        <v>28</v>
      </c>
      <c r="G2251" s="391"/>
      <c r="H2251" s="316"/>
      <c r="I2251" s="391"/>
      <c r="J2251" s="385"/>
      <c r="K2251" s="391"/>
      <c r="L2251" s="385"/>
      <c r="M2251" s="391"/>
      <c r="N2251" s="385"/>
      <c r="O2251" s="190"/>
    </row>
    <row r="2252" spans="3:15" ht="16" x14ac:dyDescent="0.2">
      <c r="C2252" s="119">
        <v>13</v>
      </c>
      <c r="D2252" s="383">
        <v>0.63541666666666663</v>
      </c>
      <c r="E2252" s="389">
        <v>0.65625</v>
      </c>
      <c r="F2252" s="385"/>
      <c r="G2252" s="391"/>
      <c r="H2252" s="316"/>
      <c r="I2252" s="391"/>
      <c r="J2252" s="385">
        <v>36</v>
      </c>
      <c r="K2252" s="391"/>
      <c r="L2252" s="385"/>
      <c r="M2252" s="391"/>
      <c r="N2252" s="385"/>
      <c r="O2252" s="190"/>
    </row>
    <row r="2253" spans="3:15" ht="16" x14ac:dyDescent="0.2">
      <c r="C2253" s="119">
        <v>14</v>
      </c>
      <c r="D2253" s="383">
        <v>0.66666666666666663</v>
      </c>
      <c r="E2253" s="389">
        <v>0.6875</v>
      </c>
      <c r="F2253" s="385">
        <v>28</v>
      </c>
      <c r="G2253" s="391"/>
      <c r="H2253" s="316"/>
      <c r="I2253" s="391"/>
      <c r="J2253" s="385"/>
      <c r="K2253" s="391"/>
      <c r="L2253" s="385"/>
      <c r="M2253" s="391"/>
      <c r="N2253" s="385"/>
      <c r="O2253" s="190"/>
    </row>
    <row r="2254" spans="3:15" ht="16" x14ac:dyDescent="0.2">
      <c r="C2254" s="119">
        <v>15</v>
      </c>
      <c r="D2254" s="383">
        <v>0.6875</v>
      </c>
      <c r="E2254" s="389">
        <v>0.70833333333333337</v>
      </c>
      <c r="F2254" s="385">
        <v>28</v>
      </c>
      <c r="G2254" s="391"/>
      <c r="H2254" s="316"/>
      <c r="I2254" s="391"/>
      <c r="J2254" s="385"/>
      <c r="K2254" s="391"/>
      <c r="L2254" s="385"/>
      <c r="M2254" s="391"/>
      <c r="N2254" s="385"/>
      <c r="O2254" s="190"/>
    </row>
    <row r="2255" spans="3:15" ht="16" x14ac:dyDescent="0.2">
      <c r="C2255" s="119">
        <v>16</v>
      </c>
      <c r="D2255" s="383">
        <v>0.71527777777777779</v>
      </c>
      <c r="E2255" s="389">
        <v>0.73611111111111116</v>
      </c>
      <c r="F2255" s="385">
        <v>28</v>
      </c>
      <c r="G2255" s="391"/>
      <c r="H2255" s="316"/>
      <c r="I2255" s="391"/>
      <c r="J2255" s="385"/>
      <c r="K2255" s="391"/>
      <c r="L2255" s="385"/>
      <c r="M2255" s="391"/>
      <c r="N2255" s="385"/>
      <c r="O2255" s="190"/>
    </row>
    <row r="2256" spans="3:15" ht="16" x14ac:dyDescent="0.2">
      <c r="C2256" s="119">
        <v>17</v>
      </c>
      <c r="D2256" s="383">
        <v>0.73611111111111116</v>
      </c>
      <c r="E2256" s="389">
        <v>0.75694444444444453</v>
      </c>
      <c r="F2256" s="384"/>
      <c r="G2256" s="33"/>
      <c r="H2256" s="316"/>
      <c r="I2256" s="390">
        <v>22</v>
      </c>
      <c r="J2256" s="385"/>
      <c r="K2256" s="391"/>
      <c r="L2256" s="385"/>
      <c r="M2256" s="391"/>
      <c r="N2256" s="385"/>
      <c r="O2256" s="190"/>
    </row>
    <row r="2257" spans="2:15" ht="16" x14ac:dyDescent="0.2">
      <c r="C2257" s="119">
        <v>18</v>
      </c>
      <c r="D2257" s="383"/>
      <c r="E2257" s="389"/>
      <c r="F2257" s="394"/>
      <c r="G2257" s="229"/>
      <c r="H2257" s="394"/>
      <c r="I2257" s="391"/>
      <c r="J2257" s="385"/>
      <c r="K2257" s="391"/>
      <c r="L2257" s="385"/>
      <c r="M2257" s="391"/>
      <c r="N2257" s="385"/>
      <c r="O2257" s="190"/>
    </row>
    <row r="2258" spans="2:15" ht="16" x14ac:dyDescent="0.2">
      <c r="C2258" s="119">
        <v>19</v>
      </c>
      <c r="D2258" s="383"/>
      <c r="E2258" s="389"/>
      <c r="F2258" s="385"/>
      <c r="G2258" s="391"/>
      <c r="H2258" s="385"/>
      <c r="I2258" s="391"/>
      <c r="J2258" s="385"/>
      <c r="K2258" s="391"/>
      <c r="L2258" s="403"/>
      <c r="M2258" s="391"/>
      <c r="N2258" s="385"/>
      <c r="O2258" s="190"/>
    </row>
    <row r="2259" spans="2:15" ht="16" x14ac:dyDescent="0.2">
      <c r="C2259" s="119">
        <v>20</v>
      </c>
      <c r="D2259" s="383"/>
      <c r="E2259" s="389"/>
      <c r="F2259" s="385"/>
      <c r="G2259" s="391"/>
      <c r="H2259" s="385"/>
      <c r="I2259" s="391"/>
      <c r="J2259" s="385"/>
      <c r="K2259" s="391"/>
      <c r="L2259" s="403"/>
      <c r="M2259" s="391"/>
      <c r="N2259" s="385"/>
      <c r="O2259" s="190"/>
    </row>
    <row r="2260" spans="2:15" ht="16" x14ac:dyDescent="0.2">
      <c r="C2260" s="119">
        <v>21</v>
      </c>
      <c r="D2260" s="383"/>
      <c r="E2260" s="389"/>
      <c r="F2260" s="385"/>
      <c r="G2260" s="391"/>
      <c r="H2260" s="385"/>
      <c r="I2260" s="391"/>
      <c r="J2260" s="385"/>
      <c r="K2260" s="391"/>
      <c r="L2260" s="385"/>
      <c r="M2260" s="391"/>
      <c r="N2260" s="385"/>
      <c r="O2260" s="190"/>
    </row>
    <row r="2261" spans="2:15" ht="16" x14ac:dyDescent="0.2">
      <c r="C2261" s="119">
        <v>22</v>
      </c>
      <c r="D2261" s="383"/>
      <c r="E2261" s="389"/>
      <c r="F2261" s="385"/>
      <c r="G2261" s="391"/>
      <c r="H2261" s="385"/>
      <c r="I2261" s="391"/>
      <c r="J2261" s="385"/>
      <c r="K2261" s="391"/>
      <c r="L2261" s="385"/>
      <c r="M2261" s="391"/>
      <c r="N2261" s="385"/>
      <c r="O2261" s="190"/>
    </row>
    <row r="2262" spans="2:15" ht="16" x14ac:dyDescent="0.2">
      <c r="C2262" s="119">
        <v>23</v>
      </c>
      <c r="D2262" s="383"/>
      <c r="E2262" s="389"/>
      <c r="F2262" s="385"/>
      <c r="G2262" s="391"/>
      <c r="H2262" s="385"/>
      <c r="I2262" s="391"/>
      <c r="J2262" s="385"/>
      <c r="K2262" s="391"/>
      <c r="L2262" s="385"/>
      <c r="M2262" s="391"/>
      <c r="N2262" s="385"/>
      <c r="O2262" s="190"/>
    </row>
    <row r="2263" spans="2:15" ht="16" x14ac:dyDescent="0.2">
      <c r="C2263" s="119">
        <v>24</v>
      </c>
      <c r="D2263" s="383"/>
      <c r="E2263" s="389"/>
      <c r="F2263" s="385"/>
      <c r="G2263" s="391"/>
      <c r="H2263" s="385"/>
      <c r="I2263" s="391"/>
      <c r="J2263" s="385"/>
      <c r="K2263" s="391"/>
      <c r="L2263" s="385"/>
      <c r="M2263" s="391"/>
      <c r="N2263" s="385"/>
      <c r="O2263" s="190"/>
    </row>
    <row r="2264" spans="2:15" ht="16" x14ac:dyDescent="0.2">
      <c r="C2264" s="119">
        <v>25</v>
      </c>
      <c r="D2264" s="383"/>
      <c r="E2264" s="389"/>
      <c r="F2264" s="385"/>
      <c r="G2264" s="391"/>
      <c r="H2264" s="385"/>
      <c r="I2264" s="391"/>
      <c r="J2264" s="385"/>
      <c r="K2264" s="391"/>
      <c r="L2264" s="385"/>
      <c r="M2264" s="391"/>
      <c r="N2264" s="385"/>
      <c r="O2264" s="190"/>
    </row>
    <row r="2265" spans="2:15" ht="16" x14ac:dyDescent="0.2">
      <c r="C2265" s="119">
        <v>26</v>
      </c>
      <c r="D2265" s="383"/>
      <c r="E2265" s="389"/>
      <c r="F2265" s="385"/>
      <c r="G2265" s="391"/>
      <c r="H2265" s="385"/>
      <c r="I2265" s="391"/>
      <c r="J2265" s="385"/>
      <c r="K2265" s="391"/>
      <c r="L2265" s="385"/>
      <c r="M2265" s="391"/>
      <c r="N2265" s="385"/>
      <c r="O2265" s="190"/>
    </row>
    <row r="2266" spans="2:15" ht="16" x14ac:dyDescent="0.2">
      <c r="C2266" s="119">
        <v>27</v>
      </c>
      <c r="D2266" s="383"/>
      <c r="E2266" s="389"/>
      <c r="F2266" s="385"/>
      <c r="G2266" s="391"/>
      <c r="H2266" s="385"/>
      <c r="I2266" s="391"/>
      <c r="J2266" s="385"/>
      <c r="K2266" s="391"/>
      <c r="L2266" s="385"/>
      <c r="M2266" s="391"/>
      <c r="N2266" s="385"/>
      <c r="O2266" s="190"/>
    </row>
    <row r="2267" spans="2:15" ht="16" x14ac:dyDescent="0.2">
      <c r="C2267" s="119">
        <v>28</v>
      </c>
      <c r="D2267" s="383"/>
      <c r="E2267" s="389"/>
      <c r="F2267" s="385"/>
      <c r="G2267" s="391"/>
      <c r="H2267" s="385"/>
      <c r="I2267" s="391"/>
      <c r="J2267" s="385"/>
      <c r="K2267" s="391"/>
      <c r="L2267" s="385"/>
      <c r="M2267" s="391"/>
      <c r="N2267" s="385"/>
      <c r="O2267" s="190"/>
    </row>
    <row r="2268" spans="2:15" ht="16" x14ac:dyDescent="0.2">
      <c r="C2268" s="119">
        <v>29</v>
      </c>
      <c r="D2268" s="383"/>
      <c r="E2268" s="389"/>
      <c r="F2268" s="385"/>
      <c r="G2268" s="391"/>
      <c r="H2268" s="385"/>
      <c r="I2268" s="391"/>
      <c r="J2268" s="385"/>
      <c r="K2268" s="391"/>
      <c r="L2268" s="385"/>
      <c r="M2268" s="391"/>
      <c r="N2268" s="385"/>
      <c r="O2268" s="190"/>
    </row>
    <row r="2269" spans="2:15" ht="16" x14ac:dyDescent="0.2">
      <c r="C2269" s="119">
        <v>30</v>
      </c>
      <c r="D2269" s="383"/>
      <c r="E2269" s="389"/>
      <c r="F2269" s="385"/>
      <c r="G2269" s="391"/>
      <c r="H2269" s="385"/>
      <c r="I2269" s="391"/>
      <c r="J2269" s="385"/>
      <c r="K2269" s="391"/>
      <c r="L2269" s="385"/>
      <c r="M2269" s="391"/>
      <c r="N2269" s="385"/>
      <c r="O2269" s="190"/>
    </row>
    <row r="2270" spans="2:15" ht="16" x14ac:dyDescent="0.2">
      <c r="C2270" s="120">
        <v>31</v>
      </c>
      <c r="D2270" s="383"/>
      <c r="E2270" s="389"/>
      <c r="F2270" s="384"/>
      <c r="G2270" s="390"/>
      <c r="H2270" s="384"/>
      <c r="I2270" s="390"/>
      <c r="J2270" s="384"/>
      <c r="K2270" s="390"/>
      <c r="L2270" s="384"/>
      <c r="M2270" s="390"/>
      <c r="N2270" s="384"/>
      <c r="O2270" s="190"/>
    </row>
    <row r="2271" spans="2:15" ht="16" x14ac:dyDescent="0.2">
      <c r="B2271" s="256"/>
      <c r="C2271" s="377">
        <v>32</v>
      </c>
      <c r="D2271" s="384"/>
      <c r="E2271" s="390"/>
      <c r="F2271" s="384"/>
      <c r="G2271" s="390"/>
      <c r="H2271" s="384"/>
      <c r="I2271" s="390"/>
      <c r="J2271" s="384"/>
      <c r="K2271" s="390"/>
      <c r="L2271" s="384"/>
      <c r="M2271" s="390"/>
      <c r="N2271" s="384"/>
      <c r="O2271" s="190"/>
    </row>
    <row r="2272" spans="2:15" ht="16" x14ac:dyDescent="0.2">
      <c r="B2272" s="256"/>
      <c r="C2272" s="119">
        <v>33</v>
      </c>
      <c r="D2272" s="385"/>
      <c r="E2272" s="391"/>
      <c r="F2272" s="385"/>
      <c r="G2272" s="391"/>
      <c r="H2272" s="385"/>
      <c r="I2272" s="391"/>
      <c r="J2272" s="385"/>
      <c r="K2272" s="391"/>
      <c r="L2272" s="385"/>
      <c r="M2272" s="391"/>
      <c r="N2272" s="385"/>
      <c r="O2272" s="190"/>
    </row>
    <row r="2273" spans="2:15" ht="16" x14ac:dyDescent="0.2">
      <c r="B2273" s="256"/>
      <c r="C2273" s="119">
        <v>34</v>
      </c>
      <c r="D2273" s="385"/>
      <c r="E2273" s="391"/>
      <c r="F2273" s="385"/>
      <c r="G2273" s="391"/>
      <c r="H2273" s="385"/>
      <c r="I2273" s="391"/>
      <c r="J2273" s="385"/>
      <c r="K2273" s="391"/>
      <c r="L2273" s="385"/>
      <c r="M2273" s="391"/>
      <c r="N2273" s="385"/>
      <c r="O2273" s="190"/>
    </row>
    <row r="2274" spans="2:15" ht="16" x14ac:dyDescent="0.2">
      <c r="B2274" s="256"/>
      <c r="C2274" s="119">
        <v>35</v>
      </c>
      <c r="D2274" s="385"/>
      <c r="E2274" s="391"/>
      <c r="F2274" s="385"/>
      <c r="G2274" s="391"/>
      <c r="H2274" s="385"/>
      <c r="I2274" s="391"/>
      <c r="J2274" s="385"/>
      <c r="K2274" s="391"/>
      <c r="L2274" s="385"/>
      <c r="M2274" s="391"/>
      <c r="N2274" s="385"/>
      <c r="O2274" s="190"/>
    </row>
    <row r="2275" spans="2:15" ht="16" x14ac:dyDescent="0.2">
      <c r="B2275" s="256"/>
      <c r="C2275" s="119">
        <v>36</v>
      </c>
      <c r="D2275" s="385"/>
      <c r="E2275" s="391"/>
      <c r="F2275" s="385"/>
      <c r="G2275" s="391"/>
      <c r="H2275" s="385"/>
      <c r="I2275" s="391"/>
      <c r="J2275" s="385"/>
      <c r="K2275" s="391"/>
      <c r="L2275" s="385"/>
      <c r="M2275" s="391"/>
      <c r="N2275" s="385"/>
      <c r="O2275" s="190"/>
    </row>
    <row r="2276" spans="2:15" ht="17" thickBot="1" x14ac:dyDescent="0.25">
      <c r="B2276" s="256"/>
      <c r="C2276" s="378">
        <v>37</v>
      </c>
      <c r="D2276" s="386"/>
      <c r="E2276" s="392"/>
      <c r="F2276" s="386"/>
      <c r="G2276" s="392"/>
      <c r="H2276" s="386"/>
      <c r="I2276" s="392"/>
      <c r="J2276" s="386"/>
      <c r="K2276" s="392"/>
      <c r="L2276" s="386"/>
      <c r="M2276" s="392"/>
      <c r="N2276" s="386"/>
      <c r="O2276" s="190"/>
    </row>
    <row r="2277" spans="2:15" ht="17" thickBot="1" x14ac:dyDescent="0.25">
      <c r="C2277" s="825" t="s">
        <v>19</v>
      </c>
      <c r="D2277" s="826"/>
      <c r="E2277" s="380"/>
      <c r="F2277" s="376">
        <f>(F2240+F2241+F2242+F2243+F2244+F2245+F2261+F2248+F2249+F2246+F2247+F2250+F2251+F2252+F2253+F2254+F2255+F2256+F2257+F2258+F2259+F2260+F2262+F2263+F2265+F2266+F2267+F2268+F2269+F2270+F2271+F2272+F2273+F2276)/2</f>
        <v>67</v>
      </c>
      <c r="G2277" s="397">
        <f>(G2240+G2241+G2242+G2243+G2244+G2261+G2245+G2249+G2248+G2246+G2247+G2250+G2251+G2252+G2253+G2254+G2255+G2256+G2257+G2258+G2259+G2260+G2262+G2263+G2265+G2266+G2267+G2268+G2269+G2270+G2271+G2272)/2</f>
        <v>45</v>
      </c>
      <c r="H2277" s="399">
        <f>(H2240+H2241+H2242+H2243+H2244+H2245+H2261+H2264+H2248+H2249+H2246+H2247+H2250+H2251+H2252+H2253+H2254+H2255+H2256+H2257+H2258+H2259+H2260+H2262+H2263+H2265+H2266+H2267+H2268+H2269+H2270+H2271+H2272+H2273+H2276)/2</f>
        <v>21</v>
      </c>
      <c r="I2277" s="398">
        <f>(I2240+I2241+I2242+I2243+I2244+I2274+I2275+I2245+I2261+I2248+I2264+I2249+I2246+I2247+I2250+I2251+I2252+I2253+I2254+I2255+I2256+I2257+I2258+I2259+I2260+I2262+I2263+I2265+I2266+I2267+I2268+I2269+I2270+I2271+I2272+I2273+I2276)/2</f>
        <v>33</v>
      </c>
      <c r="J2277" s="376">
        <f>(J2240+J2241+J2242+J2243+J2244+J2245+J2249+J2246+J2248+J2247+J2264+J2250+J2251+J2252+J2253+J2254+J2255+J2256+J2257+J2258+J2259+J2260+J2261+J2262+J2263+J2265+J2266+J2267+J2268+J2269+J2270+J2271+J2272)/2</f>
        <v>72</v>
      </c>
      <c r="K2277" s="397">
        <f>(K2240+K2241+K2242+K2243+K2244+K2245+K2249+K2246+K2247+K2250+K2251+K2252+K2253+K2254+K2255+K2256+K2257+K2258+K2259+K2260+K2262+K2263+K2265+K2266+K2267+K2268+K2269+K2270+K2271+K2272+K2261)</f>
        <v>2</v>
      </c>
      <c r="L2277" s="399">
        <f>SUM(L2240:L2276)</f>
        <v>0</v>
      </c>
      <c r="M2277" s="398">
        <f>(M2240+M2241+M2242+M2243+M2244+M2245+M2249+M2248+M2246+M2247+M2250+M2251+M2252+M2253+M2254+M2255+M2256+M2257+M2258+M2259+M2260+M2262+M2263+M2265+M2266+M2267+M2268+M2269+M2270+M2271+M2272)/2</f>
        <v>0</v>
      </c>
      <c r="N2277" s="376"/>
      <c r="O2277" s="41"/>
    </row>
    <row r="2278" spans="2:15" ht="17" thickBot="1" x14ac:dyDescent="0.25">
      <c r="C2278" s="825" t="s">
        <v>91</v>
      </c>
      <c r="D2278" s="826"/>
      <c r="E2278" s="381">
        <f>SUM(F2277:J2277)</f>
        <v>238</v>
      </c>
    </row>
    <row r="2279" spans="2:15" ht="16" thickBot="1" x14ac:dyDescent="0.25"/>
    <row r="2280" spans="2:15" ht="17" thickBot="1" x14ac:dyDescent="0.25">
      <c r="C2280" s="17"/>
      <c r="D2280" s="379" t="s">
        <v>83</v>
      </c>
      <c r="E2280" s="818" t="s">
        <v>69</v>
      </c>
      <c r="F2280" s="819"/>
      <c r="G2280" s="819"/>
      <c r="H2280" s="819"/>
      <c r="I2280" s="819"/>
      <c r="J2280" s="400" t="s">
        <v>76</v>
      </c>
      <c r="K2280" s="820">
        <v>45732</v>
      </c>
      <c r="L2280" s="821"/>
      <c r="M2280" s="821"/>
      <c r="N2280" s="821"/>
      <c r="O2280" s="822"/>
    </row>
    <row r="2281" spans="2:15" ht="16" thickBot="1" x14ac:dyDescent="0.25">
      <c r="B2281" s="175" t="s">
        <v>76</v>
      </c>
      <c r="C2281" s="175" t="s">
        <v>77</v>
      </c>
      <c r="D2281" s="823" t="s">
        <v>122</v>
      </c>
      <c r="E2281" s="824"/>
      <c r="F2281" s="175" t="s">
        <v>104</v>
      </c>
      <c r="G2281" s="395" t="s">
        <v>86</v>
      </c>
      <c r="H2281" s="175" t="s">
        <v>88</v>
      </c>
      <c r="I2281" s="395" t="s">
        <v>87</v>
      </c>
      <c r="J2281" s="401" t="s">
        <v>85</v>
      </c>
      <c r="K2281" s="395" t="s">
        <v>123</v>
      </c>
      <c r="L2281" s="175" t="s">
        <v>124</v>
      </c>
      <c r="M2281" s="395" t="s">
        <v>100</v>
      </c>
      <c r="N2281" s="175" t="s">
        <v>213</v>
      </c>
      <c r="O2281" s="404" t="s">
        <v>125</v>
      </c>
    </row>
    <row r="2282" spans="2:15" ht="16" thickBot="1" x14ac:dyDescent="0.25">
      <c r="B2282" s="176">
        <f>K2280</f>
        <v>45732</v>
      </c>
      <c r="C2282" s="374"/>
      <c r="D2282" s="375" t="s">
        <v>126</v>
      </c>
      <c r="E2282" s="387" t="s">
        <v>127</v>
      </c>
      <c r="F2282" s="331">
        <v>14</v>
      </c>
      <c r="G2282" s="237">
        <v>8</v>
      </c>
      <c r="H2282" s="331">
        <v>4</v>
      </c>
      <c r="I2282" s="237">
        <v>5</v>
      </c>
      <c r="J2282" s="331">
        <v>11</v>
      </c>
      <c r="K2282" s="231"/>
      <c r="L2282" s="125"/>
      <c r="M2282" s="231"/>
      <c r="N2282" s="125"/>
      <c r="O2282" s="326"/>
    </row>
    <row r="2283" spans="2:15" ht="16" x14ac:dyDescent="0.2">
      <c r="C2283" s="118">
        <v>1</v>
      </c>
      <c r="D2283" s="382">
        <v>0.30902777777777779</v>
      </c>
      <c r="E2283" s="388">
        <v>0.3298611111111111</v>
      </c>
      <c r="F2283" s="393"/>
      <c r="G2283" s="396">
        <v>28</v>
      </c>
      <c r="H2283" s="393"/>
      <c r="I2283" s="396"/>
      <c r="J2283" s="393"/>
      <c r="K2283" s="396"/>
      <c r="L2283" s="393"/>
      <c r="M2283" s="396"/>
      <c r="N2283" s="393"/>
      <c r="O2283" s="190"/>
    </row>
    <row r="2284" spans="2:15" ht="16" x14ac:dyDescent="0.2">
      <c r="C2284" s="119">
        <v>2</v>
      </c>
      <c r="D2284" s="383">
        <v>0.3298611111111111</v>
      </c>
      <c r="E2284" s="389">
        <v>0.35069444444444442</v>
      </c>
      <c r="F2284" s="385"/>
      <c r="G2284" s="391">
        <v>28</v>
      </c>
      <c r="H2284" s="385"/>
      <c r="I2284" s="391"/>
      <c r="J2284" s="385"/>
      <c r="K2284" s="391"/>
      <c r="L2284" s="385"/>
      <c r="M2284" s="391"/>
      <c r="N2284" s="385"/>
      <c r="O2284" s="190"/>
    </row>
    <row r="2285" spans="2:15" ht="16" x14ac:dyDescent="0.2">
      <c r="C2285" s="119">
        <v>3</v>
      </c>
      <c r="D2285" s="383">
        <v>0.3576388888888889</v>
      </c>
      <c r="E2285" s="389">
        <v>0.37847222222222227</v>
      </c>
      <c r="F2285" s="385"/>
      <c r="G2285" s="391">
        <v>28</v>
      </c>
      <c r="H2285" s="385"/>
      <c r="I2285" s="391"/>
      <c r="J2285" s="385"/>
      <c r="K2285" s="391"/>
      <c r="L2285" s="384"/>
      <c r="M2285" s="391"/>
      <c r="N2285" s="385"/>
      <c r="O2285" s="190"/>
    </row>
    <row r="2286" spans="2:15" ht="16" x14ac:dyDescent="0.2">
      <c r="C2286" s="119">
        <v>4</v>
      </c>
      <c r="D2286" s="383">
        <v>0.37847222222222227</v>
      </c>
      <c r="E2286" s="389">
        <v>0.39930555555555558</v>
      </c>
      <c r="F2286" s="385"/>
      <c r="G2286" s="391">
        <v>28</v>
      </c>
      <c r="H2286" s="316"/>
      <c r="I2286" s="391"/>
      <c r="J2286" s="385"/>
      <c r="K2286" s="391"/>
      <c r="L2286" s="402"/>
      <c r="M2286" s="391"/>
      <c r="N2286" s="385"/>
      <c r="O2286" s="190"/>
    </row>
    <row r="2287" spans="2:15" ht="16" x14ac:dyDescent="0.2">
      <c r="C2287" s="119">
        <v>5</v>
      </c>
      <c r="D2287" s="383">
        <v>0.40277777777777773</v>
      </c>
      <c r="E2287" s="389">
        <v>0.4236111111111111</v>
      </c>
      <c r="F2287" s="385"/>
      <c r="G2287" s="391"/>
      <c r="H2287" s="316">
        <v>28</v>
      </c>
      <c r="I2287" s="391"/>
      <c r="J2287" s="385"/>
      <c r="K2287" s="391"/>
      <c r="L2287" s="393"/>
      <c r="M2287" s="391"/>
      <c r="N2287" s="385"/>
      <c r="O2287" s="190"/>
    </row>
    <row r="2288" spans="2:15" ht="16" x14ac:dyDescent="0.2">
      <c r="C2288" s="119">
        <v>6</v>
      </c>
      <c r="D2288" s="383">
        <v>0.43055555555555558</v>
      </c>
      <c r="E2288" s="389">
        <v>0.4513888888888889</v>
      </c>
      <c r="F2288" s="385"/>
      <c r="G2288" s="391"/>
      <c r="H2288" s="316">
        <v>28</v>
      </c>
      <c r="I2288" s="391"/>
      <c r="J2288" s="385"/>
      <c r="K2288" s="391"/>
      <c r="L2288" s="393"/>
      <c r="M2288" s="391"/>
      <c r="N2288" s="385"/>
      <c r="O2288" s="190"/>
    </row>
    <row r="2289" spans="3:15" ht="16" x14ac:dyDescent="0.2">
      <c r="C2289" s="119">
        <v>7</v>
      </c>
      <c r="D2289" s="383">
        <v>0.4548611111111111</v>
      </c>
      <c r="E2289" s="389">
        <v>0.47569444444444442</v>
      </c>
      <c r="F2289" s="385">
        <v>28</v>
      </c>
      <c r="G2289" s="391"/>
      <c r="H2289" s="316"/>
      <c r="I2289" s="391"/>
      <c r="J2289" s="385"/>
      <c r="K2289" s="391"/>
      <c r="L2289" s="393"/>
      <c r="M2289" s="391"/>
      <c r="N2289" s="385"/>
      <c r="O2289" s="190"/>
    </row>
    <row r="2290" spans="3:15" ht="16" x14ac:dyDescent="0.2">
      <c r="C2290" s="119">
        <v>8</v>
      </c>
      <c r="D2290" s="383">
        <v>0.4826388888888889</v>
      </c>
      <c r="E2290" s="389">
        <v>0.50347222222222221</v>
      </c>
      <c r="F2290" s="385"/>
      <c r="G2290" s="391"/>
      <c r="H2290" s="316"/>
      <c r="I2290" s="391">
        <v>44</v>
      </c>
      <c r="J2290" s="385"/>
      <c r="K2290" s="391"/>
      <c r="L2290" s="385"/>
      <c r="M2290" s="391"/>
      <c r="N2290" s="385"/>
      <c r="O2290" s="190"/>
    </row>
    <row r="2291" spans="3:15" ht="16" x14ac:dyDescent="0.2">
      <c r="C2291" s="119">
        <v>9</v>
      </c>
      <c r="D2291" s="383">
        <v>0.54513888888888895</v>
      </c>
      <c r="E2291" s="389">
        <v>0.56597222222222221</v>
      </c>
      <c r="F2291" s="385">
        <v>28</v>
      </c>
      <c r="G2291" s="391"/>
      <c r="H2291" s="316"/>
      <c r="I2291" s="391"/>
      <c r="J2291" s="385"/>
      <c r="K2291" s="391"/>
      <c r="L2291" s="385"/>
      <c r="M2291" s="391"/>
      <c r="N2291" s="385"/>
      <c r="O2291" s="190"/>
    </row>
    <row r="2292" spans="3:15" ht="16" x14ac:dyDescent="0.2">
      <c r="C2292" s="119">
        <v>10</v>
      </c>
      <c r="D2292" s="383">
        <v>0.57291666666666663</v>
      </c>
      <c r="E2292" s="389">
        <v>0.59375</v>
      </c>
      <c r="F2292" s="385"/>
      <c r="G2292" s="391"/>
      <c r="H2292" s="316"/>
      <c r="I2292" s="391">
        <v>44</v>
      </c>
      <c r="J2292" s="385"/>
      <c r="K2292" s="391"/>
      <c r="L2292" s="385"/>
      <c r="M2292" s="391"/>
      <c r="N2292" s="385"/>
      <c r="O2292" s="190"/>
    </row>
    <row r="2293" spans="3:15" ht="16" x14ac:dyDescent="0.2">
      <c r="C2293" s="119">
        <v>11</v>
      </c>
      <c r="D2293" s="383">
        <v>0.61458333333333337</v>
      </c>
      <c r="E2293" s="389">
        <v>0.63541666666666663</v>
      </c>
      <c r="F2293" s="385">
        <v>28</v>
      </c>
      <c r="G2293" s="391"/>
      <c r="H2293" s="316"/>
      <c r="I2293" s="391"/>
      <c r="J2293" s="28"/>
      <c r="K2293" s="391"/>
      <c r="L2293" s="385"/>
      <c r="M2293" s="391"/>
      <c r="N2293" s="385"/>
      <c r="O2293" s="190"/>
    </row>
    <row r="2294" spans="3:15" ht="16" x14ac:dyDescent="0.2">
      <c r="C2294" s="193">
        <v>12</v>
      </c>
      <c r="D2294" s="383">
        <v>0.64236111111111105</v>
      </c>
      <c r="E2294" s="389">
        <v>0.66319444444444442</v>
      </c>
      <c r="F2294" s="385"/>
      <c r="G2294" s="391"/>
      <c r="H2294" s="316"/>
      <c r="I2294" s="391"/>
      <c r="J2294" s="385">
        <v>36</v>
      </c>
      <c r="K2294" s="391"/>
      <c r="L2294" s="385"/>
      <c r="M2294" s="391"/>
      <c r="N2294" s="385"/>
      <c r="O2294" s="190"/>
    </row>
    <row r="2295" spans="3:15" ht="16" x14ac:dyDescent="0.2">
      <c r="C2295" s="119">
        <v>13</v>
      </c>
      <c r="D2295" s="383">
        <v>0.67013888888888884</v>
      </c>
      <c r="E2295" s="389">
        <v>0.69097222222222221</v>
      </c>
      <c r="F2295" s="385"/>
      <c r="G2295" s="391"/>
      <c r="H2295" s="316"/>
      <c r="I2295" s="391">
        <v>22</v>
      </c>
      <c r="J2295" s="385"/>
      <c r="K2295" s="391"/>
      <c r="L2295" s="385"/>
      <c r="M2295" s="391"/>
      <c r="N2295" s="385"/>
      <c r="O2295" s="190"/>
    </row>
    <row r="2296" spans="3:15" ht="16" x14ac:dyDescent="0.2">
      <c r="C2296" s="119">
        <v>14</v>
      </c>
      <c r="D2296" s="383">
        <v>0.68402777777777779</v>
      </c>
      <c r="E2296" s="389">
        <v>0.70486111111111116</v>
      </c>
      <c r="F2296" s="385"/>
      <c r="G2296" s="391"/>
      <c r="H2296" s="316"/>
      <c r="I2296" s="391"/>
      <c r="J2296" s="385">
        <v>18</v>
      </c>
      <c r="K2296" s="391"/>
      <c r="L2296" s="385"/>
      <c r="M2296" s="391"/>
      <c r="N2296" s="385"/>
      <c r="O2296" s="190"/>
    </row>
    <row r="2297" spans="3:15" ht="16" x14ac:dyDescent="0.2">
      <c r="C2297" s="119">
        <v>15</v>
      </c>
      <c r="D2297" s="383">
        <v>0.70833333333333337</v>
      </c>
      <c r="E2297" s="389">
        <v>0.72916666666666663</v>
      </c>
      <c r="F2297" s="385"/>
      <c r="G2297" s="391"/>
      <c r="H2297" s="316"/>
      <c r="I2297" s="391"/>
      <c r="J2297" s="385">
        <v>36</v>
      </c>
      <c r="K2297" s="391"/>
      <c r="L2297" s="385"/>
      <c r="M2297" s="391"/>
      <c r="N2297" s="385"/>
      <c r="O2297" s="190"/>
    </row>
    <row r="2298" spans="3:15" ht="16" x14ac:dyDescent="0.2">
      <c r="C2298" s="119">
        <v>16</v>
      </c>
      <c r="D2298" s="383">
        <v>0.73958333333333337</v>
      </c>
      <c r="E2298" s="389">
        <v>0.76041666666666663</v>
      </c>
      <c r="F2298" s="385">
        <v>28</v>
      </c>
      <c r="G2298" s="391"/>
      <c r="H2298" s="316"/>
      <c r="I2298" s="391"/>
      <c r="J2298" s="385"/>
      <c r="K2298" s="391"/>
      <c r="L2298" s="385"/>
      <c r="M2298" s="391"/>
      <c r="N2298" s="385"/>
      <c r="O2298" s="190"/>
    </row>
    <row r="2299" spans="3:15" ht="16" x14ac:dyDescent="0.2">
      <c r="C2299" s="119">
        <v>17</v>
      </c>
      <c r="D2299" s="383">
        <v>0.76736111111111116</v>
      </c>
      <c r="E2299" s="389">
        <v>0.78819444444444453</v>
      </c>
      <c r="F2299" s="384"/>
      <c r="G2299" s="33"/>
      <c r="H2299" s="316"/>
      <c r="I2299" s="390"/>
      <c r="J2299" s="385">
        <v>36</v>
      </c>
      <c r="K2299" s="391"/>
      <c r="L2299" s="385"/>
      <c r="M2299" s="391"/>
      <c r="N2299" s="385"/>
      <c r="O2299" s="190"/>
    </row>
    <row r="2300" spans="3:15" ht="16" x14ac:dyDescent="0.2">
      <c r="C2300" s="119">
        <v>18</v>
      </c>
      <c r="D2300" s="383">
        <v>0.79513888888888884</v>
      </c>
      <c r="E2300" s="389">
        <v>0.81597222222222221</v>
      </c>
      <c r="F2300" s="394">
        <v>28</v>
      </c>
      <c r="G2300" s="229"/>
      <c r="H2300" s="394"/>
      <c r="I2300" s="391"/>
      <c r="J2300" s="385"/>
      <c r="K2300" s="391"/>
      <c r="L2300" s="385"/>
      <c r="M2300" s="391"/>
      <c r="N2300" s="385"/>
      <c r="O2300" s="190"/>
    </row>
    <row r="2301" spans="3:15" ht="16" x14ac:dyDescent="0.2">
      <c r="C2301" s="119">
        <v>19</v>
      </c>
      <c r="D2301" s="383">
        <v>0.82291666666666663</v>
      </c>
      <c r="E2301" s="389">
        <v>0.84375</v>
      </c>
      <c r="F2301" s="385"/>
      <c r="G2301" s="391"/>
      <c r="H2301" s="385"/>
      <c r="I2301" s="391"/>
      <c r="J2301" s="385">
        <v>36</v>
      </c>
      <c r="K2301" s="391"/>
      <c r="L2301" s="403"/>
      <c r="M2301" s="391"/>
      <c r="N2301" s="385"/>
      <c r="O2301" s="190"/>
    </row>
    <row r="2302" spans="3:15" ht="16" x14ac:dyDescent="0.2">
      <c r="C2302" s="119">
        <v>20</v>
      </c>
      <c r="D2302" s="383">
        <v>0.85069444444444453</v>
      </c>
      <c r="E2302" s="389">
        <v>0.87152777777777779</v>
      </c>
      <c r="F2302" s="385">
        <v>28</v>
      </c>
      <c r="G2302" s="391"/>
      <c r="H2302" s="385"/>
      <c r="I2302" s="391"/>
      <c r="J2302" s="385"/>
      <c r="K2302" s="391"/>
      <c r="L2302" s="403"/>
      <c r="M2302" s="391"/>
      <c r="N2302" s="385"/>
      <c r="O2302" s="190"/>
    </row>
    <row r="2303" spans="3:15" ht="16" x14ac:dyDescent="0.2">
      <c r="C2303" s="119">
        <v>21</v>
      </c>
      <c r="D2303" s="383">
        <v>0.875</v>
      </c>
      <c r="E2303" s="389">
        <v>0.89583333333333337</v>
      </c>
      <c r="F2303" s="385"/>
      <c r="G2303" s="391"/>
      <c r="H2303" s="385"/>
      <c r="I2303" s="391"/>
      <c r="J2303" s="385">
        <v>32</v>
      </c>
      <c r="K2303" s="391"/>
      <c r="L2303" s="385"/>
      <c r="M2303" s="391"/>
      <c r="N2303" s="385"/>
      <c r="O2303" s="190"/>
    </row>
    <row r="2304" spans="3:15" ht="16" x14ac:dyDescent="0.2">
      <c r="C2304" s="119">
        <v>22</v>
      </c>
      <c r="D2304" s="383">
        <v>0.90277777777777779</v>
      </c>
      <c r="E2304" s="389">
        <v>0.92361111111111116</v>
      </c>
      <c r="F2304" s="385">
        <v>28</v>
      </c>
      <c r="G2304" s="391"/>
      <c r="H2304" s="385"/>
      <c r="I2304" s="391"/>
      <c r="J2304" s="385"/>
      <c r="K2304" s="391"/>
      <c r="L2304" s="385"/>
      <c r="M2304" s="391"/>
      <c r="N2304" s="385"/>
      <c r="O2304" s="190"/>
    </row>
    <row r="2305" spans="2:15" ht="16" x14ac:dyDescent="0.2">
      <c r="C2305" s="119">
        <v>23</v>
      </c>
      <c r="D2305" s="383"/>
      <c r="E2305" s="389"/>
      <c r="F2305" s="385"/>
      <c r="G2305" s="391"/>
      <c r="H2305" s="385"/>
      <c r="I2305" s="391"/>
      <c r="J2305" s="385"/>
      <c r="K2305" s="391"/>
      <c r="L2305" s="385"/>
      <c r="M2305" s="391"/>
      <c r="N2305" s="385"/>
      <c r="O2305" s="190"/>
    </row>
    <row r="2306" spans="2:15" ht="16" x14ac:dyDescent="0.2">
      <c r="C2306" s="119">
        <v>24</v>
      </c>
      <c r="D2306" s="383"/>
      <c r="E2306" s="389"/>
      <c r="F2306" s="385"/>
      <c r="G2306" s="391"/>
      <c r="H2306" s="385"/>
      <c r="I2306" s="391"/>
      <c r="J2306" s="385"/>
      <c r="K2306" s="391"/>
      <c r="L2306" s="385"/>
      <c r="M2306" s="391"/>
      <c r="N2306" s="385"/>
      <c r="O2306" s="190"/>
    </row>
    <row r="2307" spans="2:15" ht="16" x14ac:dyDescent="0.2">
      <c r="C2307" s="119">
        <v>25</v>
      </c>
      <c r="D2307" s="383"/>
      <c r="E2307" s="389"/>
      <c r="F2307" s="385"/>
      <c r="G2307" s="391"/>
      <c r="H2307" s="385"/>
      <c r="I2307" s="391"/>
      <c r="J2307" s="385"/>
      <c r="K2307" s="391"/>
      <c r="L2307" s="385"/>
      <c r="M2307" s="391"/>
      <c r="N2307" s="385"/>
      <c r="O2307" s="190"/>
    </row>
    <row r="2308" spans="2:15" ht="16" x14ac:dyDescent="0.2">
      <c r="C2308" s="119">
        <v>26</v>
      </c>
      <c r="D2308" s="383"/>
      <c r="E2308" s="389"/>
      <c r="F2308" s="385"/>
      <c r="G2308" s="391"/>
      <c r="H2308" s="385"/>
      <c r="I2308" s="391"/>
      <c r="J2308" s="385"/>
      <c r="K2308" s="391"/>
      <c r="L2308" s="385"/>
      <c r="M2308" s="391"/>
      <c r="N2308" s="385"/>
      <c r="O2308" s="190"/>
    </row>
    <row r="2309" spans="2:15" ht="16" x14ac:dyDescent="0.2">
      <c r="C2309" s="119">
        <v>27</v>
      </c>
      <c r="D2309" s="383"/>
      <c r="E2309" s="389"/>
      <c r="F2309" s="385"/>
      <c r="G2309" s="391"/>
      <c r="H2309" s="385"/>
      <c r="I2309" s="391"/>
      <c r="J2309" s="385"/>
      <c r="K2309" s="391"/>
      <c r="L2309" s="385"/>
      <c r="M2309" s="391"/>
      <c r="N2309" s="385"/>
      <c r="O2309" s="190"/>
    </row>
    <row r="2310" spans="2:15" ht="16" x14ac:dyDescent="0.2">
      <c r="C2310" s="119">
        <v>28</v>
      </c>
      <c r="D2310" s="383"/>
      <c r="E2310" s="389"/>
      <c r="F2310" s="385"/>
      <c r="G2310" s="391"/>
      <c r="H2310" s="385"/>
      <c r="I2310" s="391"/>
      <c r="J2310" s="385"/>
      <c r="K2310" s="391"/>
      <c r="L2310" s="385"/>
      <c r="M2310" s="391"/>
      <c r="N2310" s="385"/>
      <c r="O2310" s="190"/>
    </row>
    <row r="2311" spans="2:15" ht="16" x14ac:dyDescent="0.2">
      <c r="C2311" s="119">
        <v>29</v>
      </c>
      <c r="D2311" s="383"/>
      <c r="E2311" s="389"/>
      <c r="F2311" s="385"/>
      <c r="G2311" s="391"/>
      <c r="H2311" s="385"/>
      <c r="I2311" s="391"/>
      <c r="J2311" s="385"/>
      <c r="K2311" s="391"/>
      <c r="L2311" s="385"/>
      <c r="M2311" s="391"/>
      <c r="N2311" s="385"/>
      <c r="O2311" s="190"/>
    </row>
    <row r="2312" spans="2:15" ht="16" x14ac:dyDescent="0.2">
      <c r="C2312" s="119">
        <v>30</v>
      </c>
      <c r="D2312" s="383"/>
      <c r="E2312" s="389"/>
      <c r="F2312" s="385"/>
      <c r="G2312" s="391"/>
      <c r="H2312" s="385"/>
      <c r="I2312" s="391"/>
      <c r="J2312" s="385"/>
      <c r="K2312" s="391"/>
      <c r="L2312" s="385"/>
      <c r="M2312" s="391"/>
      <c r="N2312" s="385"/>
      <c r="O2312" s="190"/>
    </row>
    <row r="2313" spans="2:15" ht="16" x14ac:dyDescent="0.2">
      <c r="C2313" s="120">
        <v>31</v>
      </c>
      <c r="D2313" s="383"/>
      <c r="E2313" s="389"/>
      <c r="F2313" s="384"/>
      <c r="G2313" s="390"/>
      <c r="H2313" s="384"/>
      <c r="I2313" s="390"/>
      <c r="J2313" s="384"/>
      <c r="K2313" s="390"/>
      <c r="L2313" s="384"/>
      <c r="M2313" s="390"/>
      <c r="N2313" s="384"/>
      <c r="O2313" s="190"/>
    </row>
    <row r="2314" spans="2:15" ht="16" x14ac:dyDescent="0.2">
      <c r="B2314" s="256"/>
      <c r="C2314" s="377">
        <v>32</v>
      </c>
      <c r="D2314" s="384"/>
      <c r="E2314" s="390"/>
      <c r="F2314" s="384"/>
      <c r="G2314" s="390"/>
      <c r="H2314" s="384"/>
      <c r="I2314" s="390"/>
      <c r="J2314" s="384"/>
      <c r="K2314" s="390"/>
      <c r="L2314" s="384"/>
      <c r="M2314" s="390"/>
      <c r="N2314" s="384"/>
      <c r="O2314" s="190"/>
    </row>
    <row r="2315" spans="2:15" ht="16" x14ac:dyDescent="0.2">
      <c r="B2315" s="256"/>
      <c r="C2315" s="119">
        <v>33</v>
      </c>
      <c r="D2315" s="385"/>
      <c r="E2315" s="391"/>
      <c r="F2315" s="385"/>
      <c r="G2315" s="391"/>
      <c r="H2315" s="385"/>
      <c r="I2315" s="391"/>
      <c r="J2315" s="385"/>
      <c r="K2315" s="391"/>
      <c r="L2315" s="385"/>
      <c r="M2315" s="391"/>
      <c r="N2315" s="385"/>
      <c r="O2315" s="190"/>
    </row>
    <row r="2316" spans="2:15" ht="16" x14ac:dyDescent="0.2">
      <c r="B2316" s="256"/>
      <c r="C2316" s="119">
        <v>34</v>
      </c>
      <c r="D2316" s="385"/>
      <c r="E2316" s="391"/>
      <c r="F2316" s="385"/>
      <c r="G2316" s="391"/>
      <c r="H2316" s="385"/>
      <c r="I2316" s="391"/>
      <c r="J2316" s="385"/>
      <c r="K2316" s="391"/>
      <c r="L2316" s="385"/>
      <c r="M2316" s="391"/>
      <c r="N2316" s="385"/>
      <c r="O2316" s="190"/>
    </row>
    <row r="2317" spans="2:15" ht="16" x14ac:dyDescent="0.2">
      <c r="B2317" s="256"/>
      <c r="C2317" s="119">
        <v>35</v>
      </c>
      <c r="D2317" s="385"/>
      <c r="E2317" s="391"/>
      <c r="F2317" s="385"/>
      <c r="G2317" s="391"/>
      <c r="H2317" s="385"/>
      <c r="I2317" s="391"/>
      <c r="J2317" s="385"/>
      <c r="K2317" s="391"/>
      <c r="L2317" s="385"/>
      <c r="M2317" s="391"/>
      <c r="N2317" s="385"/>
      <c r="O2317" s="190"/>
    </row>
    <row r="2318" spans="2:15" ht="16" x14ac:dyDescent="0.2">
      <c r="B2318" s="256"/>
      <c r="C2318" s="119">
        <v>36</v>
      </c>
      <c r="D2318" s="385"/>
      <c r="E2318" s="391"/>
      <c r="F2318" s="385"/>
      <c r="G2318" s="391"/>
      <c r="H2318" s="385"/>
      <c r="I2318" s="391"/>
      <c r="J2318" s="385"/>
      <c r="K2318" s="391"/>
      <c r="L2318" s="385"/>
      <c r="M2318" s="391"/>
      <c r="N2318" s="385"/>
      <c r="O2318" s="190"/>
    </row>
    <row r="2319" spans="2:15" ht="17" thickBot="1" x14ac:dyDescent="0.25">
      <c r="B2319" s="256"/>
      <c r="C2319" s="378">
        <v>37</v>
      </c>
      <c r="D2319" s="386"/>
      <c r="E2319" s="392"/>
      <c r="F2319" s="386"/>
      <c r="G2319" s="392"/>
      <c r="H2319" s="386"/>
      <c r="I2319" s="392"/>
      <c r="J2319" s="386"/>
      <c r="K2319" s="392"/>
      <c r="L2319" s="386"/>
      <c r="M2319" s="392"/>
      <c r="N2319" s="386"/>
      <c r="O2319" s="190"/>
    </row>
    <row r="2320" spans="2:15" ht="17" thickBot="1" x14ac:dyDescent="0.25">
      <c r="C2320" s="825" t="s">
        <v>19</v>
      </c>
      <c r="D2320" s="826"/>
      <c r="E2320" s="380"/>
      <c r="F2320" s="376">
        <f>(F2283+F2284+F2285+F2286+F2287+F2288+F2304+F2291+F2292+F2289+F2290+F2293+F2294+F2295+F2296+F2297+F2298+F2299+F2300+F2301+F2302+F2303+F2305+F2306+F2308+F2309+F2310+F2311+F2312+F2313+F2314+F2315+F2316+F2319)/2</f>
        <v>98</v>
      </c>
      <c r="G2320" s="397">
        <f>(G2283+G2284+G2285+G2286+G2287+G2304+G2288+G2292+G2291+G2289+G2290+G2293+G2294+G2295+G2296+G2297+G2298+G2299+G2300+G2301+G2302+G2303+G2305+G2306+G2308+G2309+G2310+G2311+G2312+G2313+G2314+G2315)/2</f>
        <v>56</v>
      </c>
      <c r="H2320" s="399">
        <f>(H2283+H2284+H2285+H2286+H2287+H2288+H2304+H2307+H2291+H2292+H2289+H2290+H2293+H2294+H2295+H2296+H2297+H2298+H2299+H2300+H2301+H2302+H2303+H2305+H2306+H2308+H2309+H2310+H2311+H2312+H2313+H2314+H2315+H2316+H2319)/2</f>
        <v>28</v>
      </c>
      <c r="I2320" s="398">
        <f>(I2283+I2284+I2285+I2286+I2287+I2317+I2318+I2288+I2304+I2291+I2307+I2292+I2289+I2290+I2293+I2294+I2295+I2296+I2297+I2298+I2299+I2300+I2301+I2302+I2303+I2305+I2306+I2308+I2309+I2310+I2311+I2312+I2313+I2314+I2315+I2316+I2319)/2</f>
        <v>55</v>
      </c>
      <c r="J2320" s="376">
        <f>(J2283+J2284+J2285+J2286+J2287+J2288+J2292+J2289+J2291+J2290+J2307+J2293+J2294+J2295+J2296+J2297+J2298+J2299+J2300+J2301+J2302+J2303+J2304+J2305+J2306+J2308+J2309+J2310+J2311+J2312+J2313+J2314+J2315)/2</f>
        <v>97</v>
      </c>
      <c r="K2320" s="397">
        <f>(K2283+K2284+K2285+K2286+K2287+K2288+K2292+K2289+K2290+K2293+K2294+K2295+K2296+K2297+K2298+K2299+K2300+K2301+K2302+K2303+K2305+K2306+K2308+K2309+K2310+K2311+K2312+K2313+K2314+K2315+K2304)</f>
        <v>0</v>
      </c>
      <c r="L2320" s="399">
        <f>SUM(L2283:L2319)</f>
        <v>0</v>
      </c>
      <c r="M2320" s="398">
        <f>(M2283+M2284+M2285+M2286+M2287+M2288+M2292+M2291+M2289+M2290+M2293+M2294+M2295+M2296+M2297+M2298+M2299+M2300+M2301+M2302+M2303+M2305+M2306+M2308+M2309+M2310+M2311+M2312+M2313+M2314+M2315)/2</f>
        <v>0</v>
      </c>
      <c r="N2320" s="376"/>
      <c r="O2320" s="41"/>
    </row>
    <row r="2321" spans="2:15" ht="17" thickBot="1" x14ac:dyDescent="0.25">
      <c r="C2321" s="825" t="s">
        <v>91</v>
      </c>
      <c r="D2321" s="826"/>
      <c r="E2321" s="381">
        <f>SUM(F2320:J2320)</f>
        <v>334</v>
      </c>
    </row>
    <row r="2322" spans="2:15" ht="16" thickBot="1" x14ac:dyDescent="0.25"/>
    <row r="2323" spans="2:15" ht="17" thickBot="1" x14ac:dyDescent="0.25">
      <c r="C2323" s="17"/>
      <c r="D2323" s="379" t="s">
        <v>83</v>
      </c>
      <c r="E2323" s="818" t="s">
        <v>63</v>
      </c>
      <c r="F2323" s="819"/>
      <c r="G2323" s="819"/>
      <c r="H2323" s="819"/>
      <c r="I2323" s="819"/>
      <c r="J2323" s="400" t="s">
        <v>76</v>
      </c>
      <c r="K2323" s="820">
        <v>45733</v>
      </c>
      <c r="L2323" s="821"/>
      <c r="M2323" s="821"/>
      <c r="N2323" s="821"/>
      <c r="O2323" s="822"/>
    </row>
    <row r="2324" spans="2:15" ht="16" thickBot="1" x14ac:dyDescent="0.25">
      <c r="B2324" s="175" t="s">
        <v>76</v>
      </c>
      <c r="C2324" s="175" t="s">
        <v>77</v>
      </c>
      <c r="D2324" s="823" t="s">
        <v>122</v>
      </c>
      <c r="E2324" s="824"/>
      <c r="F2324" s="175" t="s">
        <v>104</v>
      </c>
      <c r="G2324" s="395" t="s">
        <v>86</v>
      </c>
      <c r="H2324" s="175" t="s">
        <v>88</v>
      </c>
      <c r="I2324" s="395" t="s">
        <v>87</v>
      </c>
      <c r="J2324" s="401" t="s">
        <v>85</v>
      </c>
      <c r="K2324" s="395" t="s">
        <v>123</v>
      </c>
      <c r="L2324" s="175" t="s">
        <v>124</v>
      </c>
      <c r="M2324" s="395" t="s">
        <v>100</v>
      </c>
      <c r="N2324" s="175" t="s">
        <v>213</v>
      </c>
      <c r="O2324" s="404" t="s">
        <v>125</v>
      </c>
    </row>
    <row r="2325" spans="2:15" ht="16" thickBot="1" x14ac:dyDescent="0.25">
      <c r="B2325" s="176">
        <f>K2323</f>
        <v>45733</v>
      </c>
      <c r="C2325" s="374"/>
      <c r="D2325" s="375" t="s">
        <v>126</v>
      </c>
      <c r="E2325" s="387" t="s">
        <v>127</v>
      </c>
      <c r="F2325" s="331">
        <v>11</v>
      </c>
      <c r="G2325" s="237">
        <v>8</v>
      </c>
      <c r="H2325" s="331">
        <v>0</v>
      </c>
      <c r="I2325" s="237">
        <v>5</v>
      </c>
      <c r="J2325" s="331">
        <v>7</v>
      </c>
      <c r="K2325" s="231"/>
      <c r="L2325" s="125"/>
      <c r="M2325" s="231"/>
      <c r="N2325" s="125"/>
      <c r="O2325" s="326"/>
    </row>
    <row r="2326" spans="2:15" ht="16" x14ac:dyDescent="0.2">
      <c r="C2326" s="118">
        <v>1</v>
      </c>
      <c r="D2326" s="382">
        <v>0.2951388888888889</v>
      </c>
      <c r="E2326" s="388">
        <v>0.31597222222222221</v>
      </c>
      <c r="F2326" s="393"/>
      <c r="G2326" s="396">
        <v>28</v>
      </c>
      <c r="H2326" s="393"/>
      <c r="I2326" s="396"/>
      <c r="J2326" s="393"/>
      <c r="K2326" s="396"/>
      <c r="L2326" s="393"/>
      <c r="M2326" s="396"/>
      <c r="N2326" s="393"/>
      <c r="O2326" s="190"/>
    </row>
    <row r="2327" spans="2:15" ht="16" x14ac:dyDescent="0.2">
      <c r="C2327" s="119">
        <v>2</v>
      </c>
      <c r="D2327" s="383">
        <v>0.31597222222222221</v>
      </c>
      <c r="E2327" s="389">
        <v>0.33680555555555558</v>
      </c>
      <c r="F2327" s="385"/>
      <c r="G2327" s="391">
        <v>28</v>
      </c>
      <c r="H2327" s="385"/>
      <c r="I2327" s="391"/>
      <c r="J2327" s="385"/>
      <c r="K2327" s="391"/>
      <c r="L2327" s="385"/>
      <c r="M2327" s="391"/>
      <c r="N2327" s="385"/>
      <c r="O2327" s="190"/>
    </row>
    <row r="2328" spans="2:15" ht="16" x14ac:dyDescent="0.2">
      <c r="C2328" s="119">
        <v>3</v>
      </c>
      <c r="D2328" s="383">
        <v>0.33680555555555558</v>
      </c>
      <c r="E2328" s="389">
        <v>0.3576388888888889</v>
      </c>
      <c r="F2328" s="385"/>
      <c r="G2328" s="391">
        <v>28</v>
      </c>
      <c r="H2328" s="385"/>
      <c r="I2328" s="391"/>
      <c r="J2328" s="385"/>
      <c r="K2328" s="391"/>
      <c r="L2328" s="384"/>
      <c r="M2328" s="391"/>
      <c r="N2328" s="385"/>
      <c r="O2328" s="190"/>
    </row>
    <row r="2329" spans="2:15" ht="16" x14ac:dyDescent="0.2">
      <c r="C2329" s="119">
        <v>4</v>
      </c>
      <c r="D2329" s="383">
        <v>0.3611111111111111</v>
      </c>
      <c r="E2329" s="389">
        <v>0.38194444444444442</v>
      </c>
      <c r="F2329" s="385"/>
      <c r="G2329" s="391">
        <v>28</v>
      </c>
      <c r="H2329" s="316"/>
      <c r="I2329" s="391"/>
      <c r="J2329" s="385"/>
      <c r="K2329" s="391"/>
      <c r="L2329" s="402"/>
      <c r="M2329" s="391"/>
      <c r="N2329" s="385"/>
      <c r="O2329" s="190"/>
    </row>
    <row r="2330" spans="2:15" ht="16" x14ac:dyDescent="0.2">
      <c r="C2330" s="119">
        <v>5</v>
      </c>
      <c r="D2330" s="383">
        <v>0.38541666666666669</v>
      </c>
      <c r="E2330" s="389">
        <v>0.40625</v>
      </c>
      <c r="F2330" s="385">
        <v>28</v>
      </c>
      <c r="G2330" s="391"/>
      <c r="H2330" s="316"/>
      <c r="I2330" s="391"/>
      <c r="J2330" s="385"/>
      <c r="K2330" s="391"/>
      <c r="L2330" s="393"/>
      <c r="M2330" s="391"/>
      <c r="N2330" s="385"/>
      <c r="O2330" s="190"/>
    </row>
    <row r="2331" spans="2:15" ht="16" x14ac:dyDescent="0.2">
      <c r="C2331" s="119">
        <v>6</v>
      </c>
      <c r="D2331" s="383">
        <v>0.40972222222222227</v>
      </c>
      <c r="E2331" s="389">
        <v>0.43055555555555558</v>
      </c>
      <c r="F2331" s="385">
        <v>24</v>
      </c>
      <c r="G2331" s="391"/>
      <c r="H2331" s="316"/>
      <c r="I2331" s="391"/>
      <c r="J2331" s="385"/>
      <c r="K2331" s="391"/>
      <c r="L2331" s="393"/>
      <c r="M2331" s="391"/>
      <c r="N2331" s="385"/>
      <c r="O2331" s="190"/>
    </row>
    <row r="2332" spans="2:15" ht="16" x14ac:dyDescent="0.2">
      <c r="C2332" s="119">
        <v>7</v>
      </c>
      <c r="D2332" s="383">
        <v>0.42708333333333331</v>
      </c>
      <c r="E2332" s="389">
        <v>0.44791666666666669</v>
      </c>
      <c r="F2332" s="385">
        <v>14</v>
      </c>
      <c r="G2332" s="391"/>
      <c r="H2332" s="316"/>
      <c r="I2332" s="391"/>
      <c r="J2332" s="385"/>
      <c r="K2332" s="391"/>
      <c r="L2332" s="393"/>
      <c r="M2332" s="391"/>
      <c r="N2332" s="385"/>
      <c r="O2332" s="190"/>
    </row>
    <row r="2333" spans="2:15" ht="16" x14ac:dyDescent="0.2">
      <c r="C2333" s="119">
        <v>8</v>
      </c>
      <c r="D2333" s="383">
        <v>0.4548611111111111</v>
      </c>
      <c r="E2333" s="389">
        <v>0.47569444444444442</v>
      </c>
      <c r="F2333" s="385"/>
      <c r="G2333" s="391"/>
      <c r="H2333" s="316"/>
      <c r="I2333" s="391">
        <v>44</v>
      </c>
      <c r="J2333" s="385"/>
      <c r="K2333" s="391"/>
      <c r="L2333" s="385"/>
      <c r="M2333" s="391"/>
      <c r="N2333" s="385"/>
      <c r="O2333" s="190"/>
    </row>
    <row r="2334" spans="2:15" ht="16" x14ac:dyDescent="0.2">
      <c r="C2334" s="119">
        <v>9</v>
      </c>
      <c r="D2334" s="383">
        <v>0.48958333333333331</v>
      </c>
      <c r="E2334" s="389">
        <v>0.51041666666666663</v>
      </c>
      <c r="F2334" s="385">
        <v>28</v>
      </c>
      <c r="G2334" s="391"/>
      <c r="H2334" s="316"/>
      <c r="I2334" s="391"/>
      <c r="J2334" s="385"/>
      <c r="K2334" s="391"/>
      <c r="L2334" s="385"/>
      <c r="M2334" s="391"/>
      <c r="N2334" s="385"/>
      <c r="O2334" s="190"/>
    </row>
    <row r="2335" spans="2:15" ht="16" x14ac:dyDescent="0.2">
      <c r="C2335" s="119">
        <v>10</v>
      </c>
      <c r="D2335" s="383">
        <v>0.51736111111111105</v>
      </c>
      <c r="E2335" s="389">
        <v>0.53819444444444442</v>
      </c>
      <c r="F2335" s="385"/>
      <c r="G2335" s="391"/>
      <c r="H2335" s="316"/>
      <c r="I2335" s="391">
        <v>44</v>
      </c>
      <c r="J2335" s="385"/>
      <c r="K2335" s="391"/>
      <c r="L2335" s="385"/>
      <c r="M2335" s="391"/>
      <c r="N2335" s="385"/>
      <c r="O2335" s="190"/>
    </row>
    <row r="2336" spans="2:15" ht="16" x14ac:dyDescent="0.2">
      <c r="C2336" s="119">
        <v>11</v>
      </c>
      <c r="D2336" s="383">
        <v>0.54861111111111105</v>
      </c>
      <c r="E2336" s="389">
        <v>0.56944444444444442</v>
      </c>
      <c r="F2336" s="385">
        <v>28</v>
      </c>
      <c r="G2336" s="391"/>
      <c r="H2336" s="316"/>
      <c r="I2336" s="391"/>
      <c r="J2336" s="28"/>
      <c r="K2336" s="391"/>
      <c r="L2336" s="385"/>
      <c r="M2336" s="391"/>
      <c r="N2336" s="385"/>
      <c r="O2336" s="190"/>
    </row>
    <row r="2337" spans="3:15" ht="16" x14ac:dyDescent="0.2">
      <c r="C2337" s="193">
        <v>12</v>
      </c>
      <c r="D2337" s="383">
        <v>0.56944444444444442</v>
      </c>
      <c r="E2337" s="389">
        <v>0.59027777777777779</v>
      </c>
      <c r="F2337" s="385"/>
      <c r="G2337" s="391"/>
      <c r="H2337" s="316"/>
      <c r="I2337" s="391">
        <v>22</v>
      </c>
      <c r="J2337" s="385"/>
      <c r="K2337" s="391"/>
      <c r="L2337" s="385"/>
      <c r="M2337" s="391"/>
      <c r="N2337" s="385"/>
      <c r="O2337" s="190"/>
    </row>
    <row r="2338" spans="3:15" ht="16" x14ac:dyDescent="0.2">
      <c r="C2338" s="119">
        <v>13</v>
      </c>
      <c r="D2338" s="383">
        <v>0.58333333333333337</v>
      </c>
      <c r="E2338" s="389">
        <v>0.60416666666666663</v>
      </c>
      <c r="F2338" s="385"/>
      <c r="G2338" s="391"/>
      <c r="H2338" s="316"/>
      <c r="I2338" s="391"/>
      <c r="J2338" s="385">
        <v>18</v>
      </c>
      <c r="K2338" s="391"/>
      <c r="L2338" s="385"/>
      <c r="M2338" s="391"/>
      <c r="N2338" s="385"/>
      <c r="O2338" s="190"/>
    </row>
    <row r="2339" spans="3:15" ht="16" x14ac:dyDescent="0.2">
      <c r="C2339" s="119">
        <v>14</v>
      </c>
      <c r="D2339" s="383">
        <v>0.61805555555555558</v>
      </c>
      <c r="E2339" s="389">
        <v>0.63888888888888895</v>
      </c>
      <c r="F2339" s="385"/>
      <c r="G2339" s="391"/>
      <c r="H2339" s="316"/>
      <c r="I2339" s="391"/>
      <c r="J2339" s="385">
        <v>28</v>
      </c>
      <c r="K2339" s="391"/>
      <c r="L2339" s="385"/>
      <c r="M2339" s="391"/>
      <c r="N2339" s="385"/>
      <c r="O2339" s="190"/>
    </row>
    <row r="2340" spans="3:15" ht="16" x14ac:dyDescent="0.2">
      <c r="C2340" s="119">
        <v>15</v>
      </c>
      <c r="D2340" s="383">
        <v>0.63888888888888895</v>
      </c>
      <c r="E2340" s="389">
        <v>0.65972222222222221</v>
      </c>
      <c r="F2340" s="385">
        <v>28</v>
      </c>
      <c r="G2340" s="391"/>
      <c r="H2340" s="316"/>
      <c r="I2340" s="391"/>
      <c r="J2340" s="385"/>
      <c r="K2340" s="391"/>
      <c r="L2340" s="385"/>
      <c r="M2340" s="391"/>
      <c r="N2340" s="385"/>
      <c r="O2340" s="190"/>
    </row>
    <row r="2341" spans="3:15" ht="16" x14ac:dyDescent="0.2">
      <c r="C2341" s="119">
        <v>16</v>
      </c>
      <c r="D2341" s="383">
        <v>0.66666666666666663</v>
      </c>
      <c r="E2341" s="389">
        <v>0.6875</v>
      </c>
      <c r="F2341" s="385"/>
      <c r="G2341" s="391"/>
      <c r="H2341" s="316"/>
      <c r="I2341" s="391"/>
      <c r="J2341" s="385">
        <v>36</v>
      </c>
      <c r="K2341" s="391"/>
      <c r="L2341" s="385"/>
      <c r="M2341" s="391"/>
      <c r="N2341" s="385"/>
      <c r="O2341" s="190"/>
    </row>
    <row r="2342" spans="3:15" ht="16" x14ac:dyDescent="0.2">
      <c r="C2342" s="119">
        <v>17</v>
      </c>
      <c r="D2342" s="383">
        <v>0.70833333333333337</v>
      </c>
      <c r="E2342" s="389">
        <v>0.72916666666666663</v>
      </c>
      <c r="F2342" s="384"/>
      <c r="G2342" s="33"/>
      <c r="H2342" s="316"/>
      <c r="I2342" s="390"/>
      <c r="J2342" s="385">
        <v>32</v>
      </c>
      <c r="K2342" s="391"/>
      <c r="L2342" s="385"/>
      <c r="M2342" s="391"/>
      <c r="N2342" s="385"/>
      <c r="O2342" s="190"/>
    </row>
    <row r="2343" spans="3:15" ht="16" x14ac:dyDescent="0.2">
      <c r="C2343" s="119">
        <v>18</v>
      </c>
      <c r="D2343" s="383"/>
      <c r="E2343" s="389"/>
      <c r="F2343" s="394"/>
      <c r="G2343" s="229"/>
      <c r="H2343" s="394"/>
      <c r="I2343" s="391"/>
      <c r="J2343" s="385"/>
      <c r="K2343" s="391"/>
      <c r="L2343" s="385"/>
      <c r="M2343" s="391"/>
      <c r="N2343" s="385"/>
      <c r="O2343" s="190"/>
    </row>
    <row r="2344" spans="3:15" ht="16" x14ac:dyDescent="0.2">
      <c r="C2344" s="119">
        <v>19</v>
      </c>
      <c r="D2344" s="383"/>
      <c r="E2344" s="389"/>
      <c r="F2344" s="385"/>
      <c r="G2344" s="391"/>
      <c r="H2344" s="385"/>
      <c r="I2344" s="391"/>
      <c r="J2344" s="385"/>
      <c r="K2344" s="391"/>
      <c r="L2344" s="403"/>
      <c r="M2344" s="391"/>
      <c r="N2344" s="385"/>
      <c r="O2344" s="190"/>
    </row>
    <row r="2345" spans="3:15" ht="16" x14ac:dyDescent="0.2">
      <c r="C2345" s="119">
        <v>20</v>
      </c>
      <c r="D2345" s="383"/>
      <c r="E2345" s="389"/>
      <c r="F2345" s="385"/>
      <c r="G2345" s="391"/>
      <c r="H2345" s="385"/>
      <c r="I2345" s="391"/>
      <c r="J2345" s="385"/>
      <c r="K2345" s="391"/>
      <c r="L2345" s="403"/>
      <c r="M2345" s="391"/>
      <c r="N2345" s="385"/>
      <c r="O2345" s="190"/>
    </row>
    <row r="2346" spans="3:15" ht="16" x14ac:dyDescent="0.2">
      <c r="C2346" s="119">
        <v>21</v>
      </c>
      <c r="D2346" s="383"/>
      <c r="E2346" s="389"/>
      <c r="F2346" s="385"/>
      <c r="G2346" s="391"/>
      <c r="H2346" s="385"/>
      <c r="I2346" s="391"/>
      <c r="J2346" s="385"/>
      <c r="K2346" s="391"/>
      <c r="L2346" s="385"/>
      <c r="M2346" s="391"/>
      <c r="N2346" s="385"/>
      <c r="O2346" s="190"/>
    </row>
    <row r="2347" spans="3:15" ht="16" x14ac:dyDescent="0.2">
      <c r="C2347" s="119">
        <v>22</v>
      </c>
      <c r="D2347" s="383"/>
      <c r="E2347" s="389"/>
      <c r="F2347" s="385"/>
      <c r="G2347" s="391"/>
      <c r="H2347" s="385"/>
      <c r="I2347" s="391"/>
      <c r="J2347" s="385"/>
      <c r="K2347" s="391"/>
      <c r="L2347" s="385"/>
      <c r="M2347" s="391"/>
      <c r="N2347" s="385"/>
      <c r="O2347" s="190"/>
    </row>
    <row r="2348" spans="3:15" ht="16" x14ac:dyDescent="0.2">
      <c r="C2348" s="119">
        <v>23</v>
      </c>
      <c r="D2348" s="383"/>
      <c r="E2348" s="389"/>
      <c r="F2348" s="385"/>
      <c r="G2348" s="391"/>
      <c r="H2348" s="385"/>
      <c r="I2348" s="391"/>
      <c r="J2348" s="385"/>
      <c r="K2348" s="391"/>
      <c r="L2348" s="385"/>
      <c r="M2348" s="391"/>
      <c r="N2348" s="385"/>
      <c r="O2348" s="190"/>
    </row>
    <row r="2349" spans="3:15" ht="16" x14ac:dyDescent="0.2">
      <c r="C2349" s="119">
        <v>24</v>
      </c>
      <c r="D2349" s="383"/>
      <c r="E2349" s="389"/>
      <c r="F2349" s="385"/>
      <c r="G2349" s="391"/>
      <c r="H2349" s="385"/>
      <c r="I2349" s="391"/>
      <c r="J2349" s="385"/>
      <c r="K2349" s="391"/>
      <c r="L2349" s="385"/>
      <c r="M2349" s="391"/>
      <c r="N2349" s="385"/>
      <c r="O2349" s="190"/>
    </row>
    <row r="2350" spans="3:15" ht="16" x14ac:dyDescent="0.2">
      <c r="C2350" s="119">
        <v>25</v>
      </c>
      <c r="D2350" s="383"/>
      <c r="E2350" s="389"/>
      <c r="F2350" s="385"/>
      <c r="G2350" s="391"/>
      <c r="H2350" s="385"/>
      <c r="I2350" s="391"/>
      <c r="J2350" s="385"/>
      <c r="K2350" s="391"/>
      <c r="L2350" s="385"/>
      <c r="M2350" s="391"/>
      <c r="N2350" s="385"/>
      <c r="O2350" s="190"/>
    </row>
    <row r="2351" spans="3:15" ht="16" x14ac:dyDescent="0.2">
      <c r="C2351" s="119">
        <v>26</v>
      </c>
      <c r="D2351" s="383"/>
      <c r="E2351" s="389"/>
      <c r="F2351" s="385"/>
      <c r="G2351" s="391"/>
      <c r="H2351" s="385"/>
      <c r="I2351" s="391"/>
      <c r="J2351" s="385"/>
      <c r="K2351" s="391"/>
      <c r="L2351" s="385"/>
      <c r="M2351" s="391"/>
      <c r="N2351" s="385"/>
      <c r="O2351" s="190"/>
    </row>
    <row r="2352" spans="3:15" ht="16" x14ac:dyDescent="0.2">
      <c r="C2352" s="119">
        <v>27</v>
      </c>
      <c r="D2352" s="383"/>
      <c r="E2352" s="389"/>
      <c r="F2352" s="385"/>
      <c r="G2352" s="391"/>
      <c r="H2352" s="385"/>
      <c r="I2352" s="391"/>
      <c r="J2352" s="385"/>
      <c r="K2352" s="391"/>
      <c r="L2352" s="385"/>
      <c r="M2352" s="391"/>
      <c r="N2352" s="385"/>
      <c r="O2352" s="190"/>
    </row>
    <row r="2353" spans="2:15" ht="16" x14ac:dyDescent="0.2">
      <c r="C2353" s="119">
        <v>28</v>
      </c>
      <c r="D2353" s="383"/>
      <c r="E2353" s="389"/>
      <c r="F2353" s="385"/>
      <c r="G2353" s="391"/>
      <c r="H2353" s="385"/>
      <c r="I2353" s="391"/>
      <c r="J2353" s="385"/>
      <c r="K2353" s="391"/>
      <c r="L2353" s="385"/>
      <c r="M2353" s="391"/>
      <c r="N2353" s="385"/>
      <c r="O2353" s="190"/>
    </row>
    <row r="2354" spans="2:15" ht="16" x14ac:dyDescent="0.2">
      <c r="C2354" s="119">
        <v>29</v>
      </c>
      <c r="D2354" s="383"/>
      <c r="E2354" s="389"/>
      <c r="F2354" s="385"/>
      <c r="G2354" s="391"/>
      <c r="H2354" s="385"/>
      <c r="I2354" s="391"/>
      <c r="J2354" s="385"/>
      <c r="K2354" s="391"/>
      <c r="L2354" s="385"/>
      <c r="M2354" s="391"/>
      <c r="N2354" s="385"/>
      <c r="O2354" s="190"/>
    </row>
    <row r="2355" spans="2:15" ht="16" x14ac:dyDescent="0.2">
      <c r="C2355" s="119">
        <v>30</v>
      </c>
      <c r="D2355" s="383"/>
      <c r="E2355" s="389"/>
      <c r="F2355" s="385"/>
      <c r="G2355" s="391"/>
      <c r="H2355" s="385"/>
      <c r="I2355" s="391"/>
      <c r="J2355" s="385"/>
      <c r="K2355" s="391"/>
      <c r="L2355" s="385"/>
      <c r="M2355" s="391"/>
      <c r="N2355" s="385"/>
      <c r="O2355" s="190"/>
    </row>
    <row r="2356" spans="2:15" ht="16" x14ac:dyDescent="0.2">
      <c r="C2356" s="120">
        <v>31</v>
      </c>
      <c r="D2356" s="383"/>
      <c r="E2356" s="389"/>
      <c r="F2356" s="384"/>
      <c r="G2356" s="390"/>
      <c r="H2356" s="384"/>
      <c r="I2356" s="390"/>
      <c r="J2356" s="384"/>
      <c r="K2356" s="390"/>
      <c r="L2356" s="384"/>
      <c r="M2356" s="390"/>
      <c r="N2356" s="384"/>
      <c r="O2356" s="190"/>
    </row>
    <row r="2357" spans="2:15" ht="16" x14ac:dyDescent="0.2">
      <c r="B2357" s="256"/>
      <c r="C2357" s="377">
        <v>32</v>
      </c>
      <c r="D2357" s="384"/>
      <c r="E2357" s="390"/>
      <c r="F2357" s="384"/>
      <c r="G2357" s="390"/>
      <c r="H2357" s="384"/>
      <c r="I2357" s="390"/>
      <c r="J2357" s="384"/>
      <c r="K2357" s="390"/>
      <c r="L2357" s="384"/>
      <c r="M2357" s="390"/>
      <c r="N2357" s="384"/>
      <c r="O2357" s="190"/>
    </row>
    <row r="2358" spans="2:15" ht="16" x14ac:dyDescent="0.2">
      <c r="B2358" s="256"/>
      <c r="C2358" s="119">
        <v>33</v>
      </c>
      <c r="D2358" s="385"/>
      <c r="E2358" s="391"/>
      <c r="F2358" s="385"/>
      <c r="G2358" s="391"/>
      <c r="H2358" s="385"/>
      <c r="I2358" s="391"/>
      <c r="J2358" s="385"/>
      <c r="K2358" s="391"/>
      <c r="L2358" s="385"/>
      <c r="M2358" s="391"/>
      <c r="N2358" s="385"/>
      <c r="O2358" s="190"/>
    </row>
    <row r="2359" spans="2:15" ht="16" x14ac:dyDescent="0.2">
      <c r="B2359" s="256"/>
      <c r="C2359" s="119">
        <v>34</v>
      </c>
      <c r="D2359" s="385"/>
      <c r="E2359" s="391"/>
      <c r="F2359" s="385"/>
      <c r="G2359" s="391"/>
      <c r="H2359" s="385"/>
      <c r="I2359" s="391"/>
      <c r="J2359" s="385"/>
      <c r="K2359" s="391"/>
      <c r="L2359" s="385"/>
      <c r="M2359" s="391"/>
      <c r="N2359" s="385"/>
      <c r="O2359" s="190"/>
    </row>
    <row r="2360" spans="2:15" ht="16" x14ac:dyDescent="0.2">
      <c r="B2360" s="256"/>
      <c r="C2360" s="119">
        <v>35</v>
      </c>
      <c r="D2360" s="385"/>
      <c r="E2360" s="391"/>
      <c r="F2360" s="385"/>
      <c r="G2360" s="391"/>
      <c r="H2360" s="385"/>
      <c r="I2360" s="391"/>
      <c r="J2360" s="385"/>
      <c r="K2360" s="391"/>
      <c r="L2360" s="385"/>
      <c r="M2360" s="391"/>
      <c r="N2360" s="385"/>
      <c r="O2360" s="190"/>
    </row>
    <row r="2361" spans="2:15" ht="16" x14ac:dyDescent="0.2">
      <c r="B2361" s="256"/>
      <c r="C2361" s="119">
        <v>36</v>
      </c>
      <c r="D2361" s="385"/>
      <c r="E2361" s="391"/>
      <c r="F2361" s="385"/>
      <c r="G2361" s="391"/>
      <c r="H2361" s="385"/>
      <c r="I2361" s="391"/>
      <c r="J2361" s="385"/>
      <c r="K2361" s="391"/>
      <c r="L2361" s="385"/>
      <c r="M2361" s="391"/>
      <c r="N2361" s="385"/>
      <c r="O2361" s="190"/>
    </row>
    <row r="2362" spans="2:15" ht="17" thickBot="1" x14ac:dyDescent="0.25">
      <c r="B2362" s="256"/>
      <c r="C2362" s="378">
        <v>37</v>
      </c>
      <c r="D2362" s="386"/>
      <c r="E2362" s="392"/>
      <c r="F2362" s="386"/>
      <c r="G2362" s="392"/>
      <c r="H2362" s="386"/>
      <c r="I2362" s="392"/>
      <c r="J2362" s="386"/>
      <c r="K2362" s="392"/>
      <c r="L2362" s="386"/>
      <c r="M2362" s="392"/>
      <c r="N2362" s="386"/>
      <c r="O2362" s="190"/>
    </row>
    <row r="2363" spans="2:15" ht="17" thickBot="1" x14ac:dyDescent="0.25">
      <c r="C2363" s="825" t="s">
        <v>19</v>
      </c>
      <c r="D2363" s="826"/>
      <c r="E2363" s="380"/>
      <c r="F2363" s="376">
        <f>(F2326+F2327+F2328+F2329+F2330+F2331+F2347+F2334+F2335+F2332+F2333+F2336+F2337+F2338+F2339+F2340+F2341+F2342+F2343+F2344+F2345+F2346+F2348+F2349+F2351+F2352+F2353+F2354+F2355+F2356+F2357+F2358+F2359+F2362)/2</f>
        <v>75</v>
      </c>
      <c r="G2363" s="397">
        <f>(G2326+G2327+G2328+G2329+G2330+G2347+G2331+G2335+G2334+G2332+G2333+G2336+G2337+G2338+G2339+G2340+G2341+G2342+G2343+G2344+G2345+G2346+G2348+G2349+G2351+G2352+G2353+G2354+G2355+G2356+G2357+G2358)/2</f>
        <v>56</v>
      </c>
      <c r="H2363" s="399">
        <f>(H2326+H2327+H2328+H2329+H2330+H2331+H2347+H2350+H2334+H2335+H2332+H2333+H2336+H2337+H2338+H2339+H2340+H2341+H2342+H2343+H2344+H2345+H2346+H2348+H2349+H2351+H2352+H2353+H2354+H2355+H2356+H2357+H2358+H2359+H2362)/2</f>
        <v>0</v>
      </c>
      <c r="I2363" s="398">
        <f>(I2326+I2327+I2328+I2329+I2330+I2360+I2361+I2331+I2347+I2334+I2350+I2335+I2332+I2333+I2336+I2337+I2338+I2339+I2340+I2341+I2342+I2343+I2344+I2345+I2346+I2348+I2349+I2351+I2352+I2353+I2354+I2355+I2356+I2357+I2358+I2359+I2362)/2</f>
        <v>55</v>
      </c>
      <c r="J2363" s="376">
        <f>(J2326+J2327+J2328+J2329+J2330+J2331+J2335+J2332+J2334+J2333+J2350+J2336+J2337+J2338+J2339+J2340+J2341+J2342+J2343+J2344+J2345+J2346+J2347+J2348+J2349+J2351+J2352+J2353+J2354+J2355+J2356+J2357+J2358)/2</f>
        <v>57</v>
      </c>
      <c r="K2363" s="397">
        <f>(K2326+K2327+K2328+K2329+K2330+K2331+K2335+K2332+K2333+K2336+K2337+K2338+K2339+K2340+K2341+K2342+K2343+K2344+K2345+K2346+K2348+K2349+K2351+K2352+K2353+K2354+K2355+K2356+K2357+K2358+K2347)</f>
        <v>0</v>
      </c>
      <c r="L2363" s="399">
        <f>SUM(L2326:L2362)</f>
        <v>0</v>
      </c>
      <c r="M2363" s="398">
        <f>(M2326+M2327+M2328+M2329+M2330+M2331+M2335+M2334+M2332+M2333+M2336+M2337+M2338+M2339+M2340+M2341+M2342+M2343+M2344+M2345+M2346+M2348+M2349+M2351+M2352+M2353+M2354+M2355+M2356+M2357+M2358)/2</f>
        <v>0</v>
      </c>
      <c r="N2363" s="376"/>
      <c r="O2363" s="41"/>
    </row>
    <row r="2364" spans="2:15" ht="17" thickBot="1" x14ac:dyDescent="0.25">
      <c r="C2364" s="825" t="s">
        <v>91</v>
      </c>
      <c r="D2364" s="826"/>
      <c r="E2364" s="381">
        <f>SUM(F2363:J2363)</f>
        <v>243</v>
      </c>
    </row>
    <row r="2365" spans="2:15" ht="16" thickBot="1" x14ac:dyDescent="0.25"/>
    <row r="2366" spans="2:15" ht="17" thickBot="1" x14ac:dyDescent="0.25">
      <c r="C2366" s="17"/>
      <c r="D2366" s="379" t="s">
        <v>83</v>
      </c>
      <c r="E2366" s="818" t="s">
        <v>64</v>
      </c>
      <c r="F2366" s="819"/>
      <c r="G2366" s="819"/>
      <c r="H2366" s="819"/>
      <c r="I2366" s="819"/>
      <c r="J2366" s="400" t="s">
        <v>76</v>
      </c>
      <c r="K2366" s="820">
        <v>45734</v>
      </c>
      <c r="L2366" s="821"/>
      <c r="M2366" s="821"/>
      <c r="N2366" s="821"/>
      <c r="O2366" s="822"/>
    </row>
    <row r="2367" spans="2:15" ht="16" thickBot="1" x14ac:dyDescent="0.25">
      <c r="B2367" s="175" t="s">
        <v>76</v>
      </c>
      <c r="C2367" s="175" t="s">
        <v>77</v>
      </c>
      <c r="D2367" s="823" t="s">
        <v>122</v>
      </c>
      <c r="E2367" s="824"/>
      <c r="F2367" s="175" t="s">
        <v>104</v>
      </c>
      <c r="G2367" s="395" t="s">
        <v>86</v>
      </c>
      <c r="H2367" s="175" t="s">
        <v>88</v>
      </c>
      <c r="I2367" s="395" t="s">
        <v>87</v>
      </c>
      <c r="J2367" s="401" t="s">
        <v>85</v>
      </c>
      <c r="K2367" s="395" t="s">
        <v>123</v>
      </c>
      <c r="L2367" s="175" t="s">
        <v>124</v>
      </c>
      <c r="M2367" s="395" t="s">
        <v>100</v>
      </c>
      <c r="N2367" s="175" t="s">
        <v>213</v>
      </c>
      <c r="O2367" s="404" t="s">
        <v>125</v>
      </c>
    </row>
    <row r="2368" spans="2:15" ht="16" thickBot="1" x14ac:dyDescent="0.25">
      <c r="B2368" s="176">
        <f>K2366</f>
        <v>45734</v>
      </c>
      <c r="C2368" s="374"/>
      <c r="D2368" s="375" t="s">
        <v>126</v>
      </c>
      <c r="E2368" s="387" t="s">
        <v>127</v>
      </c>
      <c r="F2368" s="331">
        <v>11</v>
      </c>
      <c r="G2368" s="237">
        <v>6</v>
      </c>
      <c r="H2368" s="331">
        <v>2</v>
      </c>
      <c r="I2368" s="237">
        <v>3</v>
      </c>
      <c r="J2368" s="331">
        <v>8</v>
      </c>
      <c r="K2368" s="231"/>
      <c r="L2368" s="125"/>
      <c r="M2368" s="231"/>
      <c r="N2368" s="125"/>
      <c r="O2368" s="326"/>
    </row>
    <row r="2369" spans="3:15" ht="16" x14ac:dyDescent="0.2">
      <c r="C2369" s="118">
        <v>1</v>
      </c>
      <c r="D2369" s="382">
        <v>0.375</v>
      </c>
      <c r="E2369" s="388">
        <v>0.39583333333333331</v>
      </c>
      <c r="F2369" s="393"/>
      <c r="G2369" s="396">
        <v>25</v>
      </c>
      <c r="H2369" s="393"/>
      <c r="I2369" s="396"/>
      <c r="J2369" s="393"/>
      <c r="K2369" s="396">
        <v>1</v>
      </c>
      <c r="L2369" s="393"/>
      <c r="M2369" s="396"/>
      <c r="N2369" s="393"/>
      <c r="O2369" s="190"/>
    </row>
    <row r="2370" spans="3:15" ht="16" x14ac:dyDescent="0.2">
      <c r="C2370" s="119">
        <v>2</v>
      </c>
      <c r="D2370" s="383">
        <v>0.39583333333333331</v>
      </c>
      <c r="E2370" s="389">
        <v>0.41666666666666669</v>
      </c>
      <c r="F2370" s="385"/>
      <c r="G2370" s="391">
        <v>28</v>
      </c>
      <c r="H2370" s="385"/>
      <c r="I2370" s="391"/>
      <c r="J2370" s="385"/>
      <c r="K2370" s="391"/>
      <c r="L2370" s="385"/>
      <c r="M2370" s="391"/>
      <c r="N2370" s="385"/>
      <c r="O2370" s="190"/>
    </row>
    <row r="2371" spans="3:15" ht="16" x14ac:dyDescent="0.2">
      <c r="C2371" s="119">
        <v>3</v>
      </c>
      <c r="D2371" s="383">
        <v>0.41666666666666669</v>
      </c>
      <c r="E2371" s="389">
        <v>0.4375</v>
      </c>
      <c r="F2371" s="385"/>
      <c r="G2371" s="391">
        <v>28</v>
      </c>
      <c r="H2371" s="385"/>
      <c r="I2371" s="391"/>
      <c r="J2371" s="385"/>
      <c r="K2371" s="391"/>
      <c r="L2371" s="384"/>
      <c r="M2371" s="391"/>
      <c r="N2371" s="385"/>
      <c r="O2371" s="190"/>
    </row>
    <row r="2372" spans="3:15" ht="16" x14ac:dyDescent="0.2">
      <c r="C2372" s="119">
        <v>4</v>
      </c>
      <c r="D2372" s="383">
        <v>0.4375</v>
      </c>
      <c r="E2372" s="389">
        <v>0.45833333333333331</v>
      </c>
      <c r="F2372" s="385"/>
      <c r="G2372" s="391"/>
      <c r="H2372" s="316">
        <v>28</v>
      </c>
      <c r="I2372" s="391"/>
      <c r="J2372" s="385"/>
      <c r="K2372" s="391"/>
      <c r="L2372" s="402"/>
      <c r="M2372" s="391"/>
      <c r="N2372" s="385"/>
      <c r="O2372" s="190"/>
    </row>
    <row r="2373" spans="3:15" ht="16" x14ac:dyDescent="0.2">
      <c r="C2373" s="119">
        <v>5</v>
      </c>
      <c r="D2373" s="383">
        <v>0.45833333333333331</v>
      </c>
      <c r="E2373" s="389">
        <v>0.47916666666666669</v>
      </c>
      <c r="F2373" s="385">
        <v>28</v>
      </c>
      <c r="G2373" s="391"/>
      <c r="H2373" s="316"/>
      <c r="I2373" s="391"/>
      <c r="J2373" s="385"/>
      <c r="K2373" s="391"/>
      <c r="L2373" s="393"/>
      <c r="M2373" s="391"/>
      <c r="N2373" s="385"/>
      <c r="O2373" s="190"/>
    </row>
    <row r="2374" spans="3:15" ht="16" x14ac:dyDescent="0.2">
      <c r="C2374" s="119">
        <v>6</v>
      </c>
      <c r="D2374" s="383">
        <v>0.46180555555555558</v>
      </c>
      <c r="E2374" s="389">
        <v>0.4826388888888889</v>
      </c>
      <c r="F2374" s="385">
        <v>14</v>
      </c>
      <c r="G2374" s="391"/>
      <c r="H2374" s="316"/>
      <c r="I2374" s="391"/>
      <c r="J2374" s="385"/>
      <c r="K2374" s="391"/>
      <c r="L2374" s="393"/>
      <c r="M2374" s="391"/>
      <c r="N2374" s="385"/>
      <c r="O2374" s="190"/>
    </row>
    <row r="2375" spans="3:15" ht="16" x14ac:dyDescent="0.2">
      <c r="C2375" s="119">
        <v>7</v>
      </c>
      <c r="D2375" s="383">
        <v>0.47916666666666669</v>
      </c>
      <c r="E2375" s="389">
        <v>0.5</v>
      </c>
      <c r="F2375" s="385">
        <v>28</v>
      </c>
      <c r="G2375" s="391"/>
      <c r="H2375" s="316"/>
      <c r="I2375" s="391"/>
      <c r="J2375" s="385"/>
      <c r="K2375" s="391"/>
      <c r="L2375" s="393"/>
      <c r="M2375" s="391"/>
      <c r="N2375" s="385"/>
      <c r="O2375" s="190"/>
    </row>
    <row r="2376" spans="3:15" ht="16" x14ac:dyDescent="0.2">
      <c r="C2376" s="119">
        <v>8</v>
      </c>
      <c r="D2376" s="383">
        <v>0.5</v>
      </c>
      <c r="E2376" s="389">
        <v>0.52083333333333337</v>
      </c>
      <c r="F2376" s="385">
        <v>28</v>
      </c>
      <c r="G2376" s="391"/>
      <c r="H2376" s="316"/>
      <c r="I2376" s="391"/>
      <c r="J2376" s="385"/>
      <c r="K2376" s="391"/>
      <c r="L2376" s="385"/>
      <c r="M2376" s="391"/>
      <c r="N2376" s="385"/>
      <c r="O2376" s="190"/>
    </row>
    <row r="2377" spans="3:15" ht="16" x14ac:dyDescent="0.2">
      <c r="C2377" s="119">
        <v>9</v>
      </c>
      <c r="D2377" s="383">
        <v>0.52083333333333337</v>
      </c>
      <c r="E2377" s="389">
        <v>0.54166666666666663</v>
      </c>
      <c r="F2377" s="385">
        <v>25</v>
      </c>
      <c r="G2377" s="391"/>
      <c r="H2377" s="316"/>
      <c r="I2377" s="391"/>
      <c r="J2377" s="385"/>
      <c r="K2377" s="391">
        <v>1</v>
      </c>
      <c r="L2377" s="385"/>
      <c r="M2377" s="391"/>
      <c r="N2377" s="385"/>
      <c r="O2377" s="190"/>
    </row>
    <row r="2378" spans="3:15" ht="16" x14ac:dyDescent="0.2">
      <c r="C2378" s="119">
        <v>10</v>
      </c>
      <c r="D2378" s="383">
        <v>0.54166666666666663</v>
      </c>
      <c r="E2378" s="389">
        <v>0.5625</v>
      </c>
      <c r="F2378" s="385">
        <v>28</v>
      </c>
      <c r="G2378" s="391"/>
      <c r="H2378" s="316"/>
      <c r="I2378" s="391"/>
      <c r="J2378" s="385"/>
      <c r="K2378" s="391"/>
      <c r="L2378" s="385"/>
      <c r="M2378" s="391"/>
      <c r="N2378" s="385"/>
      <c r="O2378" s="190"/>
    </row>
    <row r="2379" spans="3:15" ht="16" x14ac:dyDescent="0.2">
      <c r="C2379" s="119">
        <v>11</v>
      </c>
      <c r="D2379" s="383">
        <v>0.5625</v>
      </c>
      <c r="E2379" s="389">
        <v>0.58333333333333337</v>
      </c>
      <c r="F2379" s="385"/>
      <c r="G2379" s="391"/>
      <c r="H2379" s="316"/>
      <c r="I2379" s="391"/>
      <c r="J2379" s="28">
        <v>36</v>
      </c>
      <c r="K2379" s="391"/>
      <c r="L2379" s="385"/>
      <c r="M2379" s="391"/>
      <c r="N2379" s="385"/>
      <c r="O2379" s="190"/>
    </row>
    <row r="2380" spans="3:15" ht="16" x14ac:dyDescent="0.2">
      <c r="C2380" s="193">
        <v>12</v>
      </c>
      <c r="D2380" s="383">
        <v>0.58333333333333337</v>
      </c>
      <c r="E2380" s="389">
        <v>0.60416666666666663</v>
      </c>
      <c r="F2380" s="385"/>
      <c r="G2380" s="391"/>
      <c r="H2380" s="316"/>
      <c r="I2380" s="391"/>
      <c r="J2380" s="385">
        <v>36</v>
      </c>
      <c r="K2380" s="391"/>
      <c r="L2380" s="385"/>
      <c r="M2380" s="391"/>
      <c r="N2380" s="385"/>
      <c r="O2380" s="190"/>
    </row>
    <row r="2381" spans="3:15" ht="16" x14ac:dyDescent="0.2">
      <c r="C2381" s="119">
        <v>13</v>
      </c>
      <c r="D2381" s="383">
        <v>0.60416666666666663</v>
      </c>
      <c r="E2381" s="389">
        <v>0.625</v>
      </c>
      <c r="F2381" s="385"/>
      <c r="G2381" s="391"/>
      <c r="H2381" s="316"/>
      <c r="I2381" s="391"/>
      <c r="J2381" s="385">
        <v>36</v>
      </c>
      <c r="K2381" s="391"/>
      <c r="L2381" s="385"/>
      <c r="M2381" s="391"/>
      <c r="N2381" s="385"/>
      <c r="O2381" s="190"/>
    </row>
    <row r="2382" spans="3:15" ht="16" x14ac:dyDescent="0.2">
      <c r="C2382" s="119">
        <v>14</v>
      </c>
      <c r="D2382" s="383">
        <v>0.625</v>
      </c>
      <c r="E2382" s="389">
        <v>0.64583333333333337</v>
      </c>
      <c r="F2382" s="385"/>
      <c r="G2382" s="391"/>
      <c r="H2382" s="316"/>
      <c r="I2382" s="391"/>
      <c r="J2382" s="385">
        <v>32</v>
      </c>
      <c r="K2382" s="391"/>
      <c r="L2382" s="385"/>
      <c r="M2382" s="391"/>
      <c r="N2382" s="385"/>
      <c r="O2382" s="190"/>
    </row>
    <row r="2383" spans="3:15" ht="16" x14ac:dyDescent="0.2">
      <c r="C2383" s="119">
        <v>15</v>
      </c>
      <c r="D2383" s="383">
        <v>0.64930555555555558</v>
      </c>
      <c r="E2383" s="389">
        <v>0.67013888888888884</v>
      </c>
      <c r="F2383" s="385"/>
      <c r="G2383" s="391"/>
      <c r="H2383" s="316"/>
      <c r="I2383" s="391">
        <v>44</v>
      </c>
      <c r="J2383" s="385"/>
      <c r="K2383" s="391"/>
      <c r="L2383" s="385"/>
      <c r="M2383" s="391"/>
      <c r="N2383" s="385"/>
      <c r="O2383" s="190"/>
    </row>
    <row r="2384" spans="3:15" ht="16" x14ac:dyDescent="0.2">
      <c r="C2384" s="119">
        <v>16</v>
      </c>
      <c r="D2384" s="383">
        <v>0.6875</v>
      </c>
      <c r="E2384" s="389">
        <v>0.70833333333333337</v>
      </c>
      <c r="F2384" s="385"/>
      <c r="G2384" s="391"/>
      <c r="H2384" s="316"/>
      <c r="I2384" s="391">
        <v>22</v>
      </c>
      <c r="J2384" s="385"/>
      <c r="K2384" s="391"/>
      <c r="L2384" s="385"/>
      <c r="M2384" s="391"/>
      <c r="N2384" s="385"/>
      <c r="O2384" s="190"/>
    </row>
    <row r="2385" spans="2:15" ht="16" x14ac:dyDescent="0.2">
      <c r="C2385" s="119">
        <v>17</v>
      </c>
      <c r="D2385" s="383"/>
      <c r="E2385" s="389"/>
      <c r="F2385" s="384"/>
      <c r="G2385" s="33"/>
      <c r="H2385" s="316"/>
      <c r="I2385" s="390"/>
      <c r="J2385" s="385"/>
      <c r="K2385" s="391"/>
      <c r="L2385" s="385"/>
      <c r="M2385" s="391"/>
      <c r="N2385" s="385"/>
      <c r="O2385" s="190"/>
    </row>
    <row r="2386" spans="2:15" ht="16" x14ac:dyDescent="0.2">
      <c r="C2386" s="119">
        <v>18</v>
      </c>
      <c r="D2386" s="383"/>
      <c r="E2386" s="389"/>
      <c r="F2386" s="394"/>
      <c r="G2386" s="229"/>
      <c r="H2386" s="394"/>
      <c r="I2386" s="391"/>
      <c r="J2386" s="385"/>
      <c r="K2386" s="391"/>
      <c r="L2386" s="385"/>
      <c r="M2386" s="391"/>
      <c r="N2386" s="385"/>
      <c r="O2386" s="190"/>
    </row>
    <row r="2387" spans="2:15" ht="16" x14ac:dyDescent="0.2">
      <c r="C2387" s="119">
        <v>19</v>
      </c>
      <c r="D2387" s="383"/>
      <c r="E2387" s="389"/>
      <c r="F2387" s="385"/>
      <c r="G2387" s="391"/>
      <c r="H2387" s="385"/>
      <c r="I2387" s="391"/>
      <c r="J2387" s="385"/>
      <c r="K2387" s="391"/>
      <c r="L2387" s="403"/>
      <c r="M2387" s="391"/>
      <c r="N2387" s="385"/>
      <c r="O2387" s="190"/>
    </row>
    <row r="2388" spans="2:15" ht="16" x14ac:dyDescent="0.2">
      <c r="C2388" s="119">
        <v>20</v>
      </c>
      <c r="D2388" s="383"/>
      <c r="E2388" s="389"/>
      <c r="F2388" s="385"/>
      <c r="G2388" s="391"/>
      <c r="H2388" s="385"/>
      <c r="I2388" s="391"/>
      <c r="J2388" s="385"/>
      <c r="K2388" s="391"/>
      <c r="L2388" s="403"/>
      <c r="M2388" s="391"/>
      <c r="N2388" s="385"/>
      <c r="O2388" s="190"/>
    </row>
    <row r="2389" spans="2:15" ht="16" x14ac:dyDescent="0.2">
      <c r="C2389" s="119">
        <v>21</v>
      </c>
      <c r="D2389" s="383"/>
      <c r="E2389" s="389"/>
      <c r="F2389" s="385"/>
      <c r="G2389" s="391"/>
      <c r="H2389" s="385"/>
      <c r="I2389" s="391"/>
      <c r="J2389" s="385"/>
      <c r="K2389" s="391"/>
      <c r="L2389" s="385"/>
      <c r="M2389" s="391"/>
      <c r="N2389" s="385"/>
      <c r="O2389" s="190"/>
    </row>
    <row r="2390" spans="2:15" ht="16" x14ac:dyDescent="0.2">
      <c r="C2390" s="119">
        <v>22</v>
      </c>
      <c r="D2390" s="383"/>
      <c r="E2390" s="389"/>
      <c r="F2390" s="385"/>
      <c r="G2390" s="391"/>
      <c r="H2390" s="385"/>
      <c r="I2390" s="391"/>
      <c r="J2390" s="385"/>
      <c r="K2390" s="391"/>
      <c r="L2390" s="385"/>
      <c r="M2390" s="391"/>
      <c r="N2390" s="385"/>
      <c r="O2390" s="190"/>
    </row>
    <row r="2391" spans="2:15" ht="16" x14ac:dyDescent="0.2">
      <c r="C2391" s="119">
        <v>23</v>
      </c>
      <c r="D2391" s="383"/>
      <c r="E2391" s="389"/>
      <c r="F2391" s="385"/>
      <c r="G2391" s="391"/>
      <c r="H2391" s="385"/>
      <c r="I2391" s="391"/>
      <c r="J2391" s="385"/>
      <c r="K2391" s="391"/>
      <c r="L2391" s="385"/>
      <c r="M2391" s="391"/>
      <c r="N2391" s="385"/>
      <c r="O2391" s="190"/>
    </row>
    <row r="2392" spans="2:15" ht="16" x14ac:dyDescent="0.2">
      <c r="C2392" s="119">
        <v>24</v>
      </c>
      <c r="D2392" s="383"/>
      <c r="E2392" s="389"/>
      <c r="F2392" s="385"/>
      <c r="G2392" s="391"/>
      <c r="H2392" s="385"/>
      <c r="I2392" s="391"/>
      <c r="J2392" s="385"/>
      <c r="K2392" s="391"/>
      <c r="L2392" s="385"/>
      <c r="M2392" s="391"/>
      <c r="N2392" s="385"/>
      <c r="O2392" s="190"/>
    </row>
    <row r="2393" spans="2:15" ht="16" x14ac:dyDescent="0.2">
      <c r="C2393" s="119">
        <v>25</v>
      </c>
      <c r="D2393" s="383"/>
      <c r="E2393" s="389"/>
      <c r="F2393" s="385"/>
      <c r="G2393" s="391"/>
      <c r="H2393" s="385"/>
      <c r="I2393" s="391"/>
      <c r="J2393" s="385"/>
      <c r="K2393" s="391"/>
      <c r="L2393" s="385"/>
      <c r="M2393" s="391"/>
      <c r="N2393" s="385"/>
      <c r="O2393" s="190"/>
    </row>
    <row r="2394" spans="2:15" ht="16" x14ac:dyDescent="0.2">
      <c r="C2394" s="119">
        <v>26</v>
      </c>
      <c r="D2394" s="383"/>
      <c r="E2394" s="389"/>
      <c r="F2394" s="385"/>
      <c r="G2394" s="391"/>
      <c r="H2394" s="385"/>
      <c r="I2394" s="391"/>
      <c r="J2394" s="385"/>
      <c r="K2394" s="391"/>
      <c r="L2394" s="385"/>
      <c r="M2394" s="391"/>
      <c r="N2394" s="385"/>
      <c r="O2394" s="190"/>
    </row>
    <row r="2395" spans="2:15" ht="16" x14ac:dyDescent="0.2">
      <c r="C2395" s="119">
        <v>27</v>
      </c>
      <c r="D2395" s="383"/>
      <c r="E2395" s="389"/>
      <c r="F2395" s="385"/>
      <c r="G2395" s="391"/>
      <c r="H2395" s="385"/>
      <c r="I2395" s="391"/>
      <c r="J2395" s="385"/>
      <c r="K2395" s="391"/>
      <c r="L2395" s="385"/>
      <c r="M2395" s="391"/>
      <c r="N2395" s="385"/>
      <c r="O2395" s="190"/>
    </row>
    <row r="2396" spans="2:15" ht="16" x14ac:dyDescent="0.2">
      <c r="C2396" s="119">
        <v>28</v>
      </c>
      <c r="D2396" s="383"/>
      <c r="E2396" s="389"/>
      <c r="F2396" s="385"/>
      <c r="G2396" s="391"/>
      <c r="H2396" s="385"/>
      <c r="I2396" s="391"/>
      <c r="J2396" s="385"/>
      <c r="K2396" s="391"/>
      <c r="L2396" s="385"/>
      <c r="M2396" s="391"/>
      <c r="N2396" s="385"/>
      <c r="O2396" s="190"/>
    </row>
    <row r="2397" spans="2:15" ht="16" x14ac:dyDescent="0.2">
      <c r="C2397" s="119">
        <v>29</v>
      </c>
      <c r="D2397" s="383"/>
      <c r="E2397" s="389"/>
      <c r="F2397" s="385"/>
      <c r="G2397" s="391"/>
      <c r="H2397" s="385"/>
      <c r="I2397" s="391"/>
      <c r="J2397" s="385"/>
      <c r="K2397" s="391"/>
      <c r="L2397" s="385"/>
      <c r="M2397" s="391"/>
      <c r="N2397" s="385"/>
      <c r="O2397" s="190"/>
    </row>
    <row r="2398" spans="2:15" ht="16" x14ac:dyDescent="0.2">
      <c r="C2398" s="119">
        <v>30</v>
      </c>
      <c r="D2398" s="383"/>
      <c r="E2398" s="389"/>
      <c r="F2398" s="385"/>
      <c r="G2398" s="391"/>
      <c r="H2398" s="385"/>
      <c r="I2398" s="391"/>
      <c r="J2398" s="385"/>
      <c r="K2398" s="391"/>
      <c r="L2398" s="385"/>
      <c r="M2398" s="391"/>
      <c r="N2398" s="385"/>
      <c r="O2398" s="190"/>
    </row>
    <row r="2399" spans="2:15" ht="16" x14ac:dyDescent="0.2">
      <c r="C2399" s="120">
        <v>31</v>
      </c>
      <c r="D2399" s="383"/>
      <c r="E2399" s="389"/>
      <c r="F2399" s="384"/>
      <c r="G2399" s="390"/>
      <c r="H2399" s="384"/>
      <c r="I2399" s="390"/>
      <c r="J2399" s="384"/>
      <c r="K2399" s="390"/>
      <c r="L2399" s="384"/>
      <c r="M2399" s="390"/>
      <c r="N2399" s="384"/>
      <c r="O2399" s="190"/>
    </row>
    <row r="2400" spans="2:15" ht="16" x14ac:dyDescent="0.2">
      <c r="B2400" s="256"/>
      <c r="C2400" s="377">
        <v>32</v>
      </c>
      <c r="D2400" s="384"/>
      <c r="E2400" s="390"/>
      <c r="F2400" s="384"/>
      <c r="G2400" s="390"/>
      <c r="H2400" s="384"/>
      <c r="I2400" s="390"/>
      <c r="J2400" s="384"/>
      <c r="K2400" s="390"/>
      <c r="L2400" s="384"/>
      <c r="M2400" s="390"/>
      <c r="N2400" s="384"/>
      <c r="O2400" s="190"/>
    </row>
    <row r="2401" spans="2:15" ht="16" x14ac:dyDescent="0.2">
      <c r="B2401" s="256"/>
      <c r="C2401" s="119">
        <v>33</v>
      </c>
      <c r="D2401" s="385"/>
      <c r="E2401" s="391"/>
      <c r="F2401" s="385"/>
      <c r="G2401" s="391"/>
      <c r="H2401" s="385"/>
      <c r="I2401" s="391"/>
      <c r="J2401" s="385"/>
      <c r="K2401" s="391"/>
      <c r="L2401" s="385"/>
      <c r="M2401" s="391"/>
      <c r="N2401" s="385"/>
      <c r="O2401" s="190"/>
    </row>
    <row r="2402" spans="2:15" ht="16" x14ac:dyDescent="0.2">
      <c r="B2402" s="256"/>
      <c r="C2402" s="119">
        <v>34</v>
      </c>
      <c r="D2402" s="385"/>
      <c r="E2402" s="391"/>
      <c r="F2402" s="385"/>
      <c r="G2402" s="391"/>
      <c r="H2402" s="385"/>
      <c r="I2402" s="391"/>
      <c r="J2402" s="385"/>
      <c r="K2402" s="391"/>
      <c r="L2402" s="385"/>
      <c r="M2402" s="391"/>
      <c r="N2402" s="385"/>
      <c r="O2402" s="190"/>
    </row>
    <row r="2403" spans="2:15" ht="16" x14ac:dyDescent="0.2">
      <c r="B2403" s="256"/>
      <c r="C2403" s="119">
        <v>35</v>
      </c>
      <c r="D2403" s="385"/>
      <c r="E2403" s="391"/>
      <c r="F2403" s="385"/>
      <c r="G2403" s="391"/>
      <c r="H2403" s="385"/>
      <c r="I2403" s="391"/>
      <c r="J2403" s="385"/>
      <c r="K2403" s="391"/>
      <c r="L2403" s="385"/>
      <c r="M2403" s="391"/>
      <c r="N2403" s="385"/>
      <c r="O2403" s="190"/>
    </row>
    <row r="2404" spans="2:15" ht="16" x14ac:dyDescent="0.2">
      <c r="B2404" s="256"/>
      <c r="C2404" s="119">
        <v>36</v>
      </c>
      <c r="D2404" s="385"/>
      <c r="E2404" s="391"/>
      <c r="F2404" s="385"/>
      <c r="G2404" s="391"/>
      <c r="H2404" s="385"/>
      <c r="I2404" s="391"/>
      <c r="J2404" s="385"/>
      <c r="K2404" s="391"/>
      <c r="L2404" s="385"/>
      <c r="M2404" s="391"/>
      <c r="N2404" s="385"/>
      <c r="O2404" s="190"/>
    </row>
    <row r="2405" spans="2:15" ht="17" thickBot="1" x14ac:dyDescent="0.25">
      <c r="B2405" s="256"/>
      <c r="C2405" s="378">
        <v>37</v>
      </c>
      <c r="D2405" s="386"/>
      <c r="E2405" s="392"/>
      <c r="F2405" s="386"/>
      <c r="G2405" s="392"/>
      <c r="H2405" s="386"/>
      <c r="I2405" s="392"/>
      <c r="J2405" s="386"/>
      <c r="K2405" s="392"/>
      <c r="L2405" s="386"/>
      <c r="M2405" s="392"/>
      <c r="N2405" s="386"/>
      <c r="O2405" s="190"/>
    </row>
    <row r="2406" spans="2:15" ht="17" thickBot="1" x14ac:dyDescent="0.25">
      <c r="C2406" s="825" t="s">
        <v>19</v>
      </c>
      <c r="D2406" s="826"/>
      <c r="E2406" s="380"/>
      <c r="F2406" s="376">
        <f>(F2369+F2370+F2371+F2372+F2373+F2374+F2390+F2377+F2378+F2375+F2376+F2379+F2380+F2381+F2382+F2383+F2384+F2385+F2386+F2387+F2388+F2389+F2391+F2392+F2394+F2395+F2396+F2397+F2398+F2399+F2400+F2401+F2402+F2405)/2</f>
        <v>75.5</v>
      </c>
      <c r="G2406" s="397">
        <f>(G2369+G2370+G2371+G2372+G2373+G2390+G2374+G2378+G2377+G2375+G2376+G2379+G2380+G2381+G2382+G2383+G2384+G2385+G2386+G2387+G2388+G2389+G2391+G2392+G2394+G2395+G2396+G2397+G2398+G2399+G2400+G2401)/2</f>
        <v>40.5</v>
      </c>
      <c r="H2406" s="399">
        <f>(H2369+H2370+H2371+H2372+H2373+H2374+H2390+H2393+H2377+H2378+H2375+H2376+H2379+H2380+H2381+H2382+H2383+H2384+H2385+H2386+H2387+H2388+H2389+H2391+H2392+H2394+H2395+H2396+H2397+H2398+H2399+H2400+H2401+H2402+H2405)/2</f>
        <v>14</v>
      </c>
      <c r="I2406" s="398">
        <f>(I2369+I2370+I2371+I2372+I2373+I2403+I2404+I2374+I2390+I2377+I2393+I2378+I2375+I2376+I2379+I2380+I2381+I2382+I2383+I2384+I2385+I2386+I2387+I2388+I2389+I2391+I2392+I2394+I2395+I2396+I2397+I2398+I2399+I2400+I2401+I2402+I2405)/2</f>
        <v>33</v>
      </c>
      <c r="J2406" s="376">
        <f>(J2369+J2370+J2371+J2372+J2373+J2374+J2378+J2375+J2377+J2376+J2393+J2379+J2380+J2381+J2382+J2383+J2384+J2385+J2386+J2387+J2388+J2389+J2390+J2391+J2392+J2394+J2395+J2396+J2397+J2398+J2399+J2400+J2401)/2</f>
        <v>70</v>
      </c>
      <c r="K2406" s="397">
        <f>(K2369+K2370+K2371+K2372+K2373+K2374+K2378+K2375+K2376+K2379+K2380+K2381+K2382+K2383+K2384+K2385+K2386+K2387+K2388+K2389+K2391+K2392+K2394+K2395+K2396+K2397+K2398+K2399+K2400+K2401+K2390)</f>
        <v>1</v>
      </c>
      <c r="L2406" s="399">
        <f>SUM(L2369:L2405)</f>
        <v>0</v>
      </c>
      <c r="M2406" s="398">
        <f>(M2369+M2370+M2371+M2372+M2373+M2374+M2378+M2377+M2375+M2376+M2379+M2380+M2381+M2382+M2383+M2384+M2385+M2386+M2387+M2388+M2389+M2391+M2392+M2394+M2395+M2396+M2397+M2398+M2399+M2400+M2401)/2</f>
        <v>0</v>
      </c>
      <c r="N2406" s="376"/>
      <c r="O2406" s="41"/>
    </row>
    <row r="2407" spans="2:15" ht="17" thickBot="1" x14ac:dyDescent="0.25">
      <c r="C2407" s="825" t="s">
        <v>91</v>
      </c>
      <c r="D2407" s="826"/>
      <c r="E2407" s="381">
        <f>SUM(F2406:J2406)</f>
        <v>233</v>
      </c>
    </row>
    <row r="2408" spans="2:15" ht="16" thickBot="1" x14ac:dyDescent="0.25"/>
    <row r="2409" spans="2:15" ht="17" thickBot="1" x14ac:dyDescent="0.25">
      <c r="C2409" s="17"/>
      <c r="D2409" s="379" t="s">
        <v>83</v>
      </c>
      <c r="E2409" s="818" t="s">
        <v>66</v>
      </c>
      <c r="F2409" s="819"/>
      <c r="G2409" s="819"/>
      <c r="H2409" s="819"/>
      <c r="I2409" s="819"/>
      <c r="J2409" s="400" t="s">
        <v>76</v>
      </c>
      <c r="K2409" s="820">
        <v>45736</v>
      </c>
      <c r="L2409" s="821"/>
      <c r="M2409" s="821"/>
      <c r="N2409" s="821"/>
      <c r="O2409" s="822"/>
    </row>
    <row r="2410" spans="2:15" ht="16" thickBot="1" x14ac:dyDescent="0.25">
      <c r="B2410" s="175" t="s">
        <v>76</v>
      </c>
      <c r="C2410" s="175" t="s">
        <v>77</v>
      </c>
      <c r="D2410" s="823" t="s">
        <v>122</v>
      </c>
      <c r="E2410" s="824"/>
      <c r="F2410" s="175" t="s">
        <v>104</v>
      </c>
      <c r="G2410" s="395" t="s">
        <v>86</v>
      </c>
      <c r="H2410" s="175" t="s">
        <v>88</v>
      </c>
      <c r="I2410" s="395" t="s">
        <v>87</v>
      </c>
      <c r="J2410" s="401" t="s">
        <v>85</v>
      </c>
      <c r="K2410" s="395" t="s">
        <v>123</v>
      </c>
      <c r="L2410" s="175" t="s">
        <v>124</v>
      </c>
      <c r="M2410" s="395" t="s">
        <v>100</v>
      </c>
      <c r="N2410" s="175" t="s">
        <v>213</v>
      </c>
      <c r="O2410" s="404" t="s">
        <v>125</v>
      </c>
    </row>
    <row r="2411" spans="2:15" ht="16" thickBot="1" x14ac:dyDescent="0.25">
      <c r="B2411" s="176">
        <f>K2409</f>
        <v>45736</v>
      </c>
      <c r="C2411" s="374"/>
      <c r="D2411" s="375" t="s">
        <v>126</v>
      </c>
      <c r="E2411" s="387" t="s">
        <v>127</v>
      </c>
      <c r="F2411" s="331">
        <v>15</v>
      </c>
      <c r="G2411" s="237">
        <v>8</v>
      </c>
      <c r="H2411" s="331">
        <v>4</v>
      </c>
      <c r="I2411" s="237">
        <v>5</v>
      </c>
      <c r="J2411" s="331">
        <v>10</v>
      </c>
      <c r="K2411" s="231"/>
      <c r="L2411" s="125"/>
      <c r="M2411" s="231"/>
      <c r="N2411" s="125"/>
      <c r="O2411" s="326"/>
    </row>
    <row r="2412" spans="2:15" ht="16" x14ac:dyDescent="0.2">
      <c r="C2412" s="118">
        <v>1</v>
      </c>
      <c r="D2412" s="382">
        <v>0.375</v>
      </c>
      <c r="E2412" s="388">
        <v>0.39583333333333331</v>
      </c>
      <c r="F2412" s="393"/>
      <c r="G2412" s="396">
        <v>28</v>
      </c>
      <c r="H2412" s="393"/>
      <c r="I2412" s="396"/>
      <c r="J2412" s="393"/>
      <c r="K2412" s="396"/>
      <c r="L2412" s="393"/>
      <c r="M2412" s="396"/>
      <c r="N2412" s="393"/>
      <c r="O2412" s="190"/>
    </row>
    <row r="2413" spans="2:15" ht="16" x14ac:dyDescent="0.2">
      <c r="C2413" s="119">
        <v>2</v>
      </c>
      <c r="D2413" s="383">
        <v>0.39583333333333331</v>
      </c>
      <c r="E2413" s="389">
        <v>0.41666666666666669</v>
      </c>
      <c r="F2413" s="385"/>
      <c r="G2413" s="391">
        <v>24</v>
      </c>
      <c r="H2413" s="385"/>
      <c r="I2413" s="391"/>
      <c r="J2413" s="385"/>
      <c r="K2413" s="391"/>
      <c r="L2413" s="385"/>
      <c r="M2413" s="391"/>
      <c r="N2413" s="385"/>
      <c r="O2413" s="190"/>
    </row>
    <row r="2414" spans="2:15" ht="16" x14ac:dyDescent="0.2">
      <c r="C2414" s="119">
        <v>3</v>
      </c>
      <c r="D2414" s="383">
        <v>0.41666666666666669</v>
      </c>
      <c r="E2414" s="389">
        <v>0.4375</v>
      </c>
      <c r="F2414" s="385"/>
      <c r="G2414" s="391">
        <v>28</v>
      </c>
      <c r="H2414" s="385"/>
      <c r="I2414" s="391"/>
      <c r="J2414" s="385"/>
      <c r="K2414" s="391"/>
      <c r="L2414" s="384"/>
      <c r="M2414" s="391"/>
      <c r="N2414" s="385"/>
      <c r="O2414" s="190"/>
    </row>
    <row r="2415" spans="2:15" ht="16" x14ac:dyDescent="0.2">
      <c r="C2415" s="119">
        <v>4</v>
      </c>
      <c r="D2415" s="383">
        <v>0.4375</v>
      </c>
      <c r="E2415" s="389">
        <v>0.45833333333333331</v>
      </c>
      <c r="F2415" s="385"/>
      <c r="G2415" s="391">
        <v>28</v>
      </c>
      <c r="H2415" s="316"/>
      <c r="I2415" s="391"/>
      <c r="J2415" s="385"/>
      <c r="K2415" s="391"/>
      <c r="L2415" s="402"/>
      <c r="M2415" s="391"/>
      <c r="N2415" s="385"/>
      <c r="O2415" s="190"/>
    </row>
    <row r="2416" spans="2:15" ht="16" x14ac:dyDescent="0.2">
      <c r="C2416" s="119">
        <v>5</v>
      </c>
      <c r="D2416" s="383">
        <v>0.45833333333333331</v>
      </c>
      <c r="E2416" s="389">
        <v>0.47916666666666669</v>
      </c>
      <c r="F2416" s="385"/>
      <c r="G2416" s="391"/>
      <c r="H2416" s="316">
        <v>28</v>
      </c>
      <c r="I2416" s="391"/>
      <c r="J2416" s="385"/>
      <c r="K2416" s="391"/>
      <c r="L2416" s="393"/>
      <c r="M2416" s="391"/>
      <c r="N2416" s="385"/>
      <c r="O2416" s="190"/>
    </row>
    <row r="2417" spans="3:15" ht="16" x14ac:dyDescent="0.2">
      <c r="C2417" s="119">
        <v>6</v>
      </c>
      <c r="D2417" s="383">
        <v>0.47916666666666669</v>
      </c>
      <c r="E2417" s="389">
        <v>0.5</v>
      </c>
      <c r="F2417" s="385"/>
      <c r="G2417" s="391"/>
      <c r="H2417" s="316">
        <v>28</v>
      </c>
      <c r="I2417" s="391"/>
      <c r="J2417" s="385"/>
      <c r="K2417" s="391"/>
      <c r="L2417" s="393"/>
      <c r="M2417" s="391"/>
      <c r="N2417" s="385"/>
      <c r="O2417" s="190"/>
    </row>
    <row r="2418" spans="3:15" ht="16" x14ac:dyDescent="0.2">
      <c r="C2418" s="119">
        <v>7</v>
      </c>
      <c r="D2418" s="383">
        <v>0.4861111111111111</v>
      </c>
      <c r="E2418" s="389">
        <v>0.50694444444444442</v>
      </c>
      <c r="F2418" s="385">
        <v>14</v>
      </c>
      <c r="G2418" s="391"/>
      <c r="H2418" s="316"/>
      <c r="I2418" s="391"/>
      <c r="J2418" s="385"/>
      <c r="K2418" s="391"/>
      <c r="L2418" s="393"/>
      <c r="M2418" s="391"/>
      <c r="N2418" s="385"/>
      <c r="O2418" s="190"/>
    </row>
    <row r="2419" spans="3:15" ht="16" x14ac:dyDescent="0.2">
      <c r="C2419" s="119">
        <v>8</v>
      </c>
      <c r="D2419" s="383">
        <v>0.53125</v>
      </c>
      <c r="E2419" s="389">
        <v>0.55208333333333337</v>
      </c>
      <c r="F2419" s="385">
        <v>28</v>
      </c>
      <c r="G2419" s="391"/>
      <c r="H2419" s="316"/>
      <c r="I2419" s="391"/>
      <c r="J2419" s="385"/>
      <c r="K2419" s="391"/>
      <c r="L2419" s="385"/>
      <c r="M2419" s="391"/>
      <c r="N2419" s="385"/>
      <c r="O2419" s="190"/>
    </row>
    <row r="2420" spans="3:15" ht="16" x14ac:dyDescent="0.2">
      <c r="C2420" s="119">
        <v>9</v>
      </c>
      <c r="D2420" s="383">
        <v>0.55208333333333337</v>
      </c>
      <c r="E2420" s="389">
        <v>0.57291666666666663</v>
      </c>
      <c r="F2420" s="385">
        <v>28</v>
      </c>
      <c r="G2420" s="391"/>
      <c r="H2420" s="316"/>
      <c r="I2420" s="391"/>
      <c r="J2420" s="385"/>
      <c r="K2420" s="391"/>
      <c r="L2420" s="385"/>
      <c r="M2420" s="391"/>
      <c r="N2420" s="385"/>
      <c r="O2420" s="190"/>
    </row>
    <row r="2421" spans="3:15" ht="16" x14ac:dyDescent="0.2">
      <c r="C2421" s="119">
        <v>10</v>
      </c>
      <c r="D2421" s="383">
        <v>0.57291666666666663</v>
      </c>
      <c r="E2421" s="389">
        <v>0.59375</v>
      </c>
      <c r="F2421" s="385">
        <v>28</v>
      </c>
      <c r="G2421" s="391"/>
      <c r="H2421" s="316"/>
      <c r="I2421" s="391"/>
      <c r="J2421" s="385"/>
      <c r="K2421" s="391"/>
      <c r="L2421" s="385"/>
      <c r="M2421" s="391"/>
      <c r="N2421" s="385"/>
      <c r="O2421" s="190"/>
    </row>
    <row r="2422" spans="3:15" ht="16" x14ac:dyDescent="0.2">
      <c r="C2422" s="119">
        <v>11</v>
      </c>
      <c r="D2422" s="383">
        <v>0.59375</v>
      </c>
      <c r="E2422" s="389">
        <v>0.61458333333333337</v>
      </c>
      <c r="F2422" s="385">
        <v>28</v>
      </c>
      <c r="G2422" s="391"/>
      <c r="H2422" s="316"/>
      <c r="I2422" s="391"/>
      <c r="J2422" s="28"/>
      <c r="K2422" s="391"/>
      <c r="L2422" s="385"/>
      <c r="M2422" s="391"/>
      <c r="N2422" s="385"/>
      <c r="O2422" s="190"/>
    </row>
    <row r="2423" spans="3:15" ht="16" x14ac:dyDescent="0.2">
      <c r="C2423" s="193">
        <v>12</v>
      </c>
      <c r="D2423" s="383">
        <v>0.61111111111111105</v>
      </c>
      <c r="E2423" s="389">
        <v>0.63194444444444442</v>
      </c>
      <c r="F2423" s="385">
        <v>28</v>
      </c>
      <c r="G2423" s="391"/>
      <c r="H2423" s="316"/>
      <c r="I2423" s="391"/>
      <c r="J2423" s="385"/>
      <c r="K2423" s="391"/>
      <c r="L2423" s="385"/>
      <c r="M2423" s="391"/>
      <c r="N2423" s="385"/>
      <c r="O2423" s="190"/>
    </row>
    <row r="2424" spans="3:15" ht="16" x14ac:dyDescent="0.2">
      <c r="C2424" s="119">
        <v>13</v>
      </c>
      <c r="D2424" s="383">
        <v>0.63194444444444442</v>
      </c>
      <c r="E2424" s="389">
        <v>0.65277777777777779</v>
      </c>
      <c r="F2424" s="385">
        <v>28</v>
      </c>
      <c r="G2424" s="391"/>
      <c r="H2424" s="316"/>
      <c r="I2424" s="391"/>
      <c r="J2424" s="385"/>
      <c r="K2424" s="391"/>
      <c r="L2424" s="385"/>
      <c r="M2424" s="391"/>
      <c r="N2424" s="385"/>
      <c r="O2424" s="190"/>
    </row>
    <row r="2425" spans="3:15" ht="16" x14ac:dyDescent="0.2">
      <c r="C2425" s="119">
        <v>14</v>
      </c>
      <c r="D2425" s="383">
        <v>0.65277777777777779</v>
      </c>
      <c r="E2425" s="389">
        <v>0.67361111111111116</v>
      </c>
      <c r="F2425" s="385">
        <v>28</v>
      </c>
      <c r="G2425" s="391"/>
      <c r="H2425" s="316"/>
      <c r="I2425" s="391"/>
      <c r="J2425" s="385"/>
      <c r="K2425" s="391"/>
      <c r="L2425" s="385"/>
      <c r="M2425" s="391"/>
      <c r="N2425" s="385"/>
      <c r="O2425" s="190"/>
    </row>
    <row r="2426" spans="3:15" ht="16" x14ac:dyDescent="0.2">
      <c r="C2426" s="119">
        <v>15</v>
      </c>
      <c r="D2426" s="383">
        <v>0.65972222222222221</v>
      </c>
      <c r="E2426" s="389">
        <v>0.68055555555555547</v>
      </c>
      <c r="F2426" s="385"/>
      <c r="G2426" s="391"/>
      <c r="H2426" s="316"/>
      <c r="I2426" s="391"/>
      <c r="J2426" s="385">
        <v>36</v>
      </c>
      <c r="K2426" s="391"/>
      <c r="L2426" s="385"/>
      <c r="M2426" s="391"/>
      <c r="N2426" s="385"/>
      <c r="O2426" s="190"/>
    </row>
    <row r="2427" spans="3:15" ht="16" x14ac:dyDescent="0.2">
      <c r="C2427" s="119">
        <v>16</v>
      </c>
      <c r="D2427" s="383">
        <v>0.68055555555555547</v>
      </c>
      <c r="E2427" s="389">
        <v>0.70138888888888884</v>
      </c>
      <c r="F2427" s="385"/>
      <c r="G2427" s="391"/>
      <c r="H2427" s="316"/>
      <c r="I2427" s="391"/>
      <c r="J2427" s="385">
        <v>36</v>
      </c>
      <c r="K2427" s="391"/>
      <c r="L2427" s="385"/>
      <c r="M2427" s="391"/>
      <c r="N2427" s="385"/>
      <c r="O2427" s="190"/>
    </row>
    <row r="2428" spans="3:15" ht="16" x14ac:dyDescent="0.2">
      <c r="C2428" s="119">
        <v>17</v>
      </c>
      <c r="D2428" s="383">
        <v>0.70138888888888884</v>
      </c>
      <c r="E2428" s="389">
        <v>0.72222222222222221</v>
      </c>
      <c r="F2428" s="384"/>
      <c r="G2428" s="33"/>
      <c r="H2428" s="316"/>
      <c r="I2428" s="390"/>
      <c r="J2428" s="385">
        <v>28</v>
      </c>
      <c r="K2428" s="391"/>
      <c r="L2428" s="385"/>
      <c r="M2428" s="391"/>
      <c r="N2428" s="385"/>
      <c r="O2428" s="190"/>
    </row>
    <row r="2429" spans="3:15" ht="16" x14ac:dyDescent="0.2">
      <c r="C2429" s="119">
        <v>18</v>
      </c>
      <c r="D2429" s="383">
        <v>0.72222222222222221</v>
      </c>
      <c r="E2429" s="389">
        <v>0.74305555555555547</v>
      </c>
      <c r="F2429" s="394"/>
      <c r="G2429" s="229"/>
      <c r="H2429" s="394"/>
      <c r="I2429" s="391"/>
      <c r="J2429" s="385">
        <v>36</v>
      </c>
      <c r="K2429" s="391"/>
      <c r="L2429" s="385"/>
      <c r="M2429" s="391"/>
      <c r="N2429" s="385"/>
      <c r="O2429" s="190"/>
    </row>
    <row r="2430" spans="3:15" ht="16" x14ac:dyDescent="0.2">
      <c r="C2430" s="119">
        <v>19</v>
      </c>
      <c r="D2430" s="383">
        <v>0.75</v>
      </c>
      <c r="E2430" s="389">
        <v>0.77083333333333337</v>
      </c>
      <c r="F2430" s="385"/>
      <c r="G2430" s="391"/>
      <c r="H2430" s="385"/>
      <c r="I2430" s="391"/>
      <c r="J2430" s="385">
        <v>36</v>
      </c>
      <c r="K2430" s="391"/>
      <c r="L2430" s="403"/>
      <c r="M2430" s="391"/>
      <c r="N2430" s="385"/>
      <c r="O2430" s="190"/>
    </row>
    <row r="2431" spans="3:15" ht="16" x14ac:dyDescent="0.2">
      <c r="C2431" s="119">
        <v>20</v>
      </c>
      <c r="D2431" s="383">
        <v>0.85416666666666663</v>
      </c>
      <c r="E2431" s="389">
        <v>0.875</v>
      </c>
      <c r="F2431" s="385"/>
      <c r="G2431" s="391"/>
      <c r="H2431" s="385"/>
      <c r="I2431" s="391">
        <v>44</v>
      </c>
      <c r="J2431" s="385"/>
      <c r="K2431" s="391"/>
      <c r="L2431" s="403"/>
      <c r="M2431" s="391"/>
      <c r="N2431" s="385"/>
      <c r="O2431" s="190"/>
    </row>
    <row r="2432" spans="3:15" ht="16" x14ac:dyDescent="0.2">
      <c r="C2432" s="119">
        <v>21</v>
      </c>
      <c r="D2432" s="383">
        <v>0.875</v>
      </c>
      <c r="E2432" s="389">
        <v>0.89583333333333337</v>
      </c>
      <c r="F2432" s="385"/>
      <c r="G2432" s="391"/>
      <c r="H2432" s="385"/>
      <c r="I2432" s="391">
        <v>44</v>
      </c>
      <c r="J2432" s="385"/>
      <c r="K2432" s="391"/>
      <c r="L2432" s="385"/>
      <c r="M2432" s="391"/>
      <c r="N2432" s="385"/>
      <c r="O2432" s="190"/>
    </row>
    <row r="2433" spans="2:15" ht="16" x14ac:dyDescent="0.2">
      <c r="C2433" s="119">
        <v>22</v>
      </c>
      <c r="D2433" s="383">
        <v>0.89583333333333337</v>
      </c>
      <c r="E2433" s="389">
        <v>0.91666666666666663</v>
      </c>
      <c r="F2433" s="385"/>
      <c r="G2433" s="391"/>
      <c r="H2433" s="385"/>
      <c r="I2433" s="391">
        <v>22</v>
      </c>
      <c r="J2433" s="385"/>
      <c r="K2433" s="391"/>
      <c r="L2433" s="385"/>
      <c r="M2433" s="391"/>
      <c r="N2433" s="385"/>
      <c r="O2433" s="190"/>
    </row>
    <row r="2434" spans="2:15" ht="16" x14ac:dyDescent="0.2">
      <c r="C2434" s="119">
        <v>23</v>
      </c>
      <c r="D2434" s="383"/>
      <c r="E2434" s="389"/>
      <c r="F2434" s="385"/>
      <c r="G2434" s="391"/>
      <c r="H2434" s="385"/>
      <c r="I2434" s="391"/>
      <c r="J2434" s="385"/>
      <c r="K2434" s="391"/>
      <c r="L2434" s="385"/>
      <c r="M2434" s="391"/>
      <c r="N2434" s="385"/>
      <c r="O2434" s="190"/>
    </row>
    <row r="2435" spans="2:15" ht="16" x14ac:dyDescent="0.2">
      <c r="C2435" s="119">
        <v>24</v>
      </c>
      <c r="D2435" s="383"/>
      <c r="E2435" s="389"/>
      <c r="F2435" s="385"/>
      <c r="G2435" s="391"/>
      <c r="H2435" s="385"/>
      <c r="I2435" s="391"/>
      <c r="J2435" s="385"/>
      <c r="K2435" s="391"/>
      <c r="L2435" s="385"/>
      <c r="M2435" s="391"/>
      <c r="N2435" s="385"/>
      <c r="O2435" s="190"/>
    </row>
    <row r="2436" spans="2:15" ht="16" x14ac:dyDescent="0.2">
      <c r="C2436" s="119">
        <v>25</v>
      </c>
      <c r="D2436" s="383"/>
      <c r="E2436" s="389"/>
      <c r="F2436" s="385"/>
      <c r="G2436" s="391"/>
      <c r="H2436" s="385"/>
      <c r="I2436" s="391"/>
      <c r="J2436" s="385"/>
      <c r="K2436" s="391"/>
      <c r="L2436" s="385"/>
      <c r="M2436" s="391"/>
      <c r="N2436" s="385"/>
      <c r="O2436" s="190"/>
    </row>
    <row r="2437" spans="2:15" ht="16" x14ac:dyDescent="0.2">
      <c r="C2437" s="119">
        <v>26</v>
      </c>
      <c r="D2437" s="383"/>
      <c r="E2437" s="389"/>
      <c r="F2437" s="385"/>
      <c r="G2437" s="391"/>
      <c r="H2437" s="385"/>
      <c r="I2437" s="391"/>
      <c r="J2437" s="385"/>
      <c r="K2437" s="391"/>
      <c r="L2437" s="385"/>
      <c r="M2437" s="391"/>
      <c r="N2437" s="385"/>
      <c r="O2437" s="190"/>
    </row>
    <row r="2438" spans="2:15" ht="16" x14ac:dyDescent="0.2">
      <c r="C2438" s="119">
        <v>27</v>
      </c>
      <c r="D2438" s="383"/>
      <c r="E2438" s="389"/>
      <c r="F2438" s="385"/>
      <c r="G2438" s="391"/>
      <c r="H2438" s="385"/>
      <c r="I2438" s="391"/>
      <c r="J2438" s="385"/>
      <c r="K2438" s="391"/>
      <c r="L2438" s="385"/>
      <c r="M2438" s="391"/>
      <c r="N2438" s="385"/>
      <c r="O2438" s="190"/>
    </row>
    <row r="2439" spans="2:15" ht="16" x14ac:dyDescent="0.2">
      <c r="C2439" s="119">
        <v>28</v>
      </c>
      <c r="D2439" s="383"/>
      <c r="E2439" s="389"/>
      <c r="F2439" s="385"/>
      <c r="G2439" s="391"/>
      <c r="H2439" s="385"/>
      <c r="I2439" s="391"/>
      <c r="J2439" s="385"/>
      <c r="K2439" s="391"/>
      <c r="L2439" s="385"/>
      <c r="M2439" s="391"/>
      <c r="N2439" s="385"/>
      <c r="O2439" s="190"/>
    </row>
    <row r="2440" spans="2:15" ht="16" x14ac:dyDescent="0.2">
      <c r="C2440" s="119">
        <v>29</v>
      </c>
      <c r="D2440" s="383"/>
      <c r="E2440" s="389"/>
      <c r="F2440" s="385"/>
      <c r="G2440" s="391"/>
      <c r="H2440" s="385"/>
      <c r="I2440" s="391"/>
      <c r="J2440" s="385"/>
      <c r="K2440" s="391"/>
      <c r="L2440" s="385"/>
      <c r="M2440" s="391"/>
      <c r="N2440" s="385"/>
      <c r="O2440" s="190"/>
    </row>
    <row r="2441" spans="2:15" ht="16" x14ac:dyDescent="0.2">
      <c r="C2441" s="119">
        <v>30</v>
      </c>
      <c r="D2441" s="383"/>
      <c r="E2441" s="389"/>
      <c r="F2441" s="385"/>
      <c r="G2441" s="391"/>
      <c r="H2441" s="385"/>
      <c r="I2441" s="391"/>
      <c r="J2441" s="385"/>
      <c r="K2441" s="391"/>
      <c r="L2441" s="385"/>
      <c r="M2441" s="391"/>
      <c r="N2441" s="385"/>
      <c r="O2441" s="190"/>
    </row>
    <row r="2442" spans="2:15" ht="16" x14ac:dyDescent="0.2">
      <c r="C2442" s="120">
        <v>31</v>
      </c>
      <c r="D2442" s="383"/>
      <c r="E2442" s="389"/>
      <c r="F2442" s="384"/>
      <c r="G2442" s="390"/>
      <c r="H2442" s="384"/>
      <c r="I2442" s="390"/>
      <c r="J2442" s="384"/>
      <c r="K2442" s="390"/>
      <c r="L2442" s="384"/>
      <c r="M2442" s="390"/>
      <c r="N2442" s="384"/>
      <c r="O2442" s="190"/>
    </row>
    <row r="2443" spans="2:15" ht="16" x14ac:dyDescent="0.2">
      <c r="B2443" s="256"/>
      <c r="C2443" s="377">
        <v>32</v>
      </c>
      <c r="D2443" s="384"/>
      <c r="E2443" s="390"/>
      <c r="F2443" s="384"/>
      <c r="G2443" s="390"/>
      <c r="H2443" s="384"/>
      <c r="I2443" s="390"/>
      <c r="J2443" s="384"/>
      <c r="K2443" s="390"/>
      <c r="L2443" s="384"/>
      <c r="M2443" s="390"/>
      <c r="N2443" s="384"/>
      <c r="O2443" s="190"/>
    </row>
    <row r="2444" spans="2:15" ht="16" x14ac:dyDescent="0.2">
      <c r="B2444" s="256"/>
      <c r="C2444" s="119">
        <v>33</v>
      </c>
      <c r="D2444" s="385"/>
      <c r="E2444" s="391"/>
      <c r="F2444" s="385"/>
      <c r="G2444" s="391"/>
      <c r="H2444" s="385"/>
      <c r="I2444" s="391"/>
      <c r="J2444" s="385"/>
      <c r="K2444" s="391"/>
      <c r="L2444" s="385"/>
      <c r="M2444" s="391"/>
      <c r="N2444" s="385"/>
      <c r="O2444" s="190"/>
    </row>
    <row r="2445" spans="2:15" ht="16" x14ac:dyDescent="0.2">
      <c r="B2445" s="256"/>
      <c r="C2445" s="119">
        <v>34</v>
      </c>
      <c r="D2445" s="385"/>
      <c r="E2445" s="391"/>
      <c r="F2445" s="385"/>
      <c r="G2445" s="391"/>
      <c r="H2445" s="385"/>
      <c r="I2445" s="391"/>
      <c r="J2445" s="385"/>
      <c r="K2445" s="391"/>
      <c r="L2445" s="385"/>
      <c r="M2445" s="391"/>
      <c r="N2445" s="385"/>
      <c r="O2445" s="190"/>
    </row>
    <row r="2446" spans="2:15" ht="16" x14ac:dyDescent="0.2">
      <c r="B2446" s="256"/>
      <c r="C2446" s="119">
        <v>35</v>
      </c>
      <c r="D2446" s="385"/>
      <c r="E2446" s="391"/>
      <c r="F2446" s="385"/>
      <c r="G2446" s="391"/>
      <c r="H2446" s="385"/>
      <c r="I2446" s="391"/>
      <c r="J2446" s="385"/>
      <c r="K2446" s="391"/>
      <c r="L2446" s="385"/>
      <c r="M2446" s="391"/>
      <c r="N2446" s="385"/>
      <c r="O2446" s="190"/>
    </row>
    <row r="2447" spans="2:15" ht="16" x14ac:dyDescent="0.2">
      <c r="B2447" s="256"/>
      <c r="C2447" s="119">
        <v>36</v>
      </c>
      <c r="D2447" s="385"/>
      <c r="E2447" s="391"/>
      <c r="F2447" s="385"/>
      <c r="G2447" s="391"/>
      <c r="H2447" s="385"/>
      <c r="I2447" s="391"/>
      <c r="J2447" s="385"/>
      <c r="K2447" s="391"/>
      <c r="L2447" s="385"/>
      <c r="M2447" s="391"/>
      <c r="N2447" s="385"/>
      <c r="O2447" s="190"/>
    </row>
    <row r="2448" spans="2:15" ht="17" thickBot="1" x14ac:dyDescent="0.25">
      <c r="B2448" s="256"/>
      <c r="C2448" s="378">
        <v>37</v>
      </c>
      <c r="D2448" s="386"/>
      <c r="E2448" s="392"/>
      <c r="F2448" s="386"/>
      <c r="G2448" s="392"/>
      <c r="H2448" s="386"/>
      <c r="I2448" s="392"/>
      <c r="J2448" s="386"/>
      <c r="K2448" s="392"/>
      <c r="L2448" s="386"/>
      <c r="M2448" s="392"/>
      <c r="N2448" s="386"/>
      <c r="O2448" s="190"/>
    </row>
    <row r="2449" spans="2:15" ht="17" thickBot="1" x14ac:dyDescent="0.25">
      <c r="C2449" s="825" t="s">
        <v>19</v>
      </c>
      <c r="D2449" s="826"/>
      <c r="E2449" s="380"/>
      <c r="F2449" s="376">
        <f>(F2412+F2413+F2414+F2415+F2416+F2417+F2433+F2420+F2421+F2418+F2419+F2422+F2423+F2424+F2425+F2426+F2427+F2428+F2429+F2430+F2431+F2432+F2434+F2435+F2437+F2438+F2439+F2440+F2441+F2442+F2443+F2444+F2445+F2448)/2</f>
        <v>105</v>
      </c>
      <c r="G2449" s="397">
        <f>(G2412+G2413+G2414+G2415+G2416+G2433+G2417+G2421+G2420+G2418+G2419+G2422+G2423+G2424+G2425+G2426+G2427+G2428+G2429+G2430+G2431+G2432+G2434+G2435+G2437+G2438+G2439+G2440+G2441+G2442+G2443+G2444)/2</f>
        <v>54</v>
      </c>
      <c r="H2449" s="399">
        <f>(H2412+H2413+H2414+H2415+H2416+H2417+H2433+H2436+H2420+H2421+H2418+H2419+H2422+H2423+H2424+H2425+H2426+H2427+H2428+H2429+H2430+H2431+H2432+H2434+H2435+H2437+H2438+H2439+H2440+H2441+H2442+H2443+H2444+H2445+H2448)/2</f>
        <v>28</v>
      </c>
      <c r="I2449" s="398">
        <f>(I2412+I2413+I2414+I2415+I2416+I2446+I2447+I2417+I2433+I2420+I2436+I2421+I2418+I2419+I2422+I2423+I2424+I2425+I2426+I2427+I2428+I2429+I2430+I2431+I2432+I2434+I2435+I2437+I2438+I2439+I2440+I2441+I2442+I2443+I2444+I2445+I2448)/2</f>
        <v>55</v>
      </c>
      <c r="J2449" s="376">
        <f>(J2412+J2413+J2414+J2415+J2416+J2417+J2421+J2418+J2420+J2419+J2436+J2422+J2423+J2424+J2425+J2426+J2427+J2428+J2429+J2430+J2431+J2432+J2433+J2434+J2435+J2437+J2438+J2439+J2440+J2441+J2442+J2443+J2444)/2</f>
        <v>86</v>
      </c>
      <c r="K2449" s="397">
        <f>(K2412+K2413+K2414+K2415+K2416+K2417+K2421+K2418+K2419+K2422+K2423+K2424+K2425+K2426+K2427+K2428+K2429+K2430+K2431+K2432+K2434+K2435+K2437+K2438+K2439+K2440+K2441+K2442+K2443+K2444+K2433)</f>
        <v>0</v>
      </c>
      <c r="L2449" s="399">
        <f>SUM(L2412:L2448)</f>
        <v>0</v>
      </c>
      <c r="M2449" s="398">
        <f>(M2412+M2413+M2414+M2415+M2416+M2417+M2421+M2420+M2418+M2419+M2422+M2423+M2424+M2425+M2426+M2427+M2428+M2429+M2430+M2431+M2432+M2434+M2435+M2437+M2438+M2439+M2440+M2441+M2442+M2443+M2444)/2</f>
        <v>0</v>
      </c>
      <c r="N2449" s="376"/>
      <c r="O2449" s="41"/>
    </row>
    <row r="2450" spans="2:15" ht="17" thickBot="1" x14ac:dyDescent="0.25">
      <c r="C2450" s="825" t="s">
        <v>91</v>
      </c>
      <c r="D2450" s="826"/>
      <c r="E2450" s="381">
        <f>SUM(F2449:J2449)</f>
        <v>328</v>
      </c>
    </row>
    <row r="2451" spans="2:15" ht="16" thickBot="1" x14ac:dyDescent="0.25"/>
    <row r="2452" spans="2:15" ht="17" thickBot="1" x14ac:dyDescent="0.25">
      <c r="C2452" s="17"/>
      <c r="D2452" s="379" t="s">
        <v>83</v>
      </c>
      <c r="E2452" s="818" t="s">
        <v>69</v>
      </c>
      <c r="F2452" s="819"/>
      <c r="G2452" s="819"/>
      <c r="H2452" s="819"/>
      <c r="I2452" s="819"/>
      <c r="J2452" s="400" t="s">
        <v>76</v>
      </c>
      <c r="K2452" s="820">
        <v>45739</v>
      </c>
      <c r="L2452" s="821"/>
      <c r="M2452" s="821"/>
      <c r="N2452" s="821"/>
      <c r="O2452" s="822"/>
    </row>
    <row r="2453" spans="2:15" ht="16" thickBot="1" x14ac:dyDescent="0.25">
      <c r="B2453" s="175" t="s">
        <v>76</v>
      </c>
      <c r="C2453" s="175" t="s">
        <v>77</v>
      </c>
      <c r="D2453" s="823" t="s">
        <v>122</v>
      </c>
      <c r="E2453" s="824"/>
      <c r="F2453" s="175" t="s">
        <v>104</v>
      </c>
      <c r="G2453" s="395" t="s">
        <v>86</v>
      </c>
      <c r="H2453" s="175" t="s">
        <v>88</v>
      </c>
      <c r="I2453" s="395" t="s">
        <v>87</v>
      </c>
      <c r="J2453" s="401" t="s">
        <v>85</v>
      </c>
      <c r="K2453" s="395" t="s">
        <v>123</v>
      </c>
      <c r="L2453" s="175" t="s">
        <v>124</v>
      </c>
      <c r="M2453" s="395" t="s">
        <v>100</v>
      </c>
      <c r="N2453" s="175" t="s">
        <v>213</v>
      </c>
      <c r="O2453" s="404" t="s">
        <v>125</v>
      </c>
    </row>
    <row r="2454" spans="2:15" ht="16" thickBot="1" x14ac:dyDescent="0.25">
      <c r="B2454" s="176">
        <f>K2452</f>
        <v>45739</v>
      </c>
      <c r="C2454" s="374"/>
      <c r="D2454" s="375" t="s">
        <v>126</v>
      </c>
      <c r="E2454" s="387" t="s">
        <v>127</v>
      </c>
      <c r="F2454" s="331">
        <v>14</v>
      </c>
      <c r="G2454" s="237">
        <v>8</v>
      </c>
      <c r="H2454" s="331">
        <v>4</v>
      </c>
      <c r="I2454" s="237">
        <v>5</v>
      </c>
      <c r="J2454" s="331">
        <v>11</v>
      </c>
      <c r="K2454" s="231"/>
      <c r="L2454" s="125"/>
      <c r="M2454" s="231"/>
      <c r="N2454" s="125"/>
      <c r="O2454" s="326"/>
    </row>
    <row r="2455" spans="2:15" ht="16" x14ac:dyDescent="0.2">
      <c r="C2455" s="118">
        <v>1</v>
      </c>
      <c r="D2455" s="382">
        <v>0.39930555555555558</v>
      </c>
      <c r="E2455" s="388">
        <v>0.4201388888888889</v>
      </c>
      <c r="F2455" s="393"/>
      <c r="G2455" s="396">
        <v>28</v>
      </c>
      <c r="H2455" s="393"/>
      <c r="I2455" s="396"/>
      <c r="J2455" s="393"/>
      <c r="K2455" s="396"/>
      <c r="L2455" s="393"/>
      <c r="M2455" s="396"/>
      <c r="N2455" s="393"/>
      <c r="O2455" s="190"/>
    </row>
    <row r="2456" spans="2:15" ht="16" x14ac:dyDescent="0.2">
      <c r="C2456" s="119">
        <v>2</v>
      </c>
      <c r="D2456" s="383">
        <v>0.4236111111111111</v>
      </c>
      <c r="E2456" s="389">
        <v>0.44444444444444442</v>
      </c>
      <c r="F2456" s="385"/>
      <c r="G2456" s="391">
        <v>28</v>
      </c>
      <c r="H2456" s="385"/>
      <c r="I2456" s="391"/>
      <c r="J2456" s="385"/>
      <c r="K2456" s="391"/>
      <c r="L2456" s="385"/>
      <c r="M2456" s="391"/>
      <c r="N2456" s="385"/>
      <c r="O2456" s="190"/>
    </row>
    <row r="2457" spans="2:15" ht="16" x14ac:dyDescent="0.2">
      <c r="C2457" s="119">
        <v>3</v>
      </c>
      <c r="D2457" s="383">
        <v>0.49652777777777773</v>
      </c>
      <c r="E2457" s="389">
        <v>0.51736111111111105</v>
      </c>
      <c r="F2457" s="385"/>
      <c r="G2457" s="391">
        <v>28</v>
      </c>
      <c r="H2457" s="385"/>
      <c r="I2457" s="391"/>
      <c r="J2457" s="385"/>
      <c r="K2457" s="391"/>
      <c r="L2457" s="384"/>
      <c r="M2457" s="391"/>
      <c r="N2457" s="385"/>
      <c r="O2457" s="190"/>
    </row>
    <row r="2458" spans="2:15" ht="16" x14ac:dyDescent="0.2">
      <c r="C2458" s="119">
        <v>4</v>
      </c>
      <c r="D2458" s="383">
        <v>0.52083333333333337</v>
      </c>
      <c r="E2458" s="389">
        <v>0.54166666666666663</v>
      </c>
      <c r="F2458" s="385"/>
      <c r="G2458" s="391">
        <v>28</v>
      </c>
      <c r="H2458" s="316"/>
      <c r="I2458" s="391"/>
      <c r="J2458" s="385"/>
      <c r="K2458" s="391"/>
      <c r="L2458" s="402"/>
      <c r="M2458" s="391"/>
      <c r="N2458" s="385"/>
      <c r="O2458" s="190"/>
    </row>
    <row r="2459" spans="2:15" ht="16" x14ac:dyDescent="0.2">
      <c r="C2459" s="119">
        <v>5</v>
      </c>
      <c r="D2459" s="383">
        <v>0.54166666666666663</v>
      </c>
      <c r="E2459" s="389">
        <v>0.5625</v>
      </c>
      <c r="F2459" s="385"/>
      <c r="G2459" s="391"/>
      <c r="H2459" s="316">
        <v>28</v>
      </c>
      <c r="I2459" s="391"/>
      <c r="J2459" s="385"/>
      <c r="K2459" s="391"/>
      <c r="L2459" s="393"/>
      <c r="M2459" s="391"/>
      <c r="N2459" s="385"/>
      <c r="O2459" s="190"/>
    </row>
    <row r="2460" spans="2:15" ht="16" x14ac:dyDescent="0.2">
      <c r="C2460" s="119">
        <v>6</v>
      </c>
      <c r="D2460" s="383">
        <v>0.5625</v>
      </c>
      <c r="E2460" s="389">
        <v>0.58333333333333337</v>
      </c>
      <c r="F2460" s="385"/>
      <c r="G2460" s="391"/>
      <c r="H2460" s="316">
        <v>28</v>
      </c>
      <c r="I2460" s="391"/>
      <c r="J2460" s="385"/>
      <c r="K2460" s="391"/>
      <c r="L2460" s="393"/>
      <c r="M2460" s="391"/>
      <c r="N2460" s="385"/>
      <c r="O2460" s="190"/>
    </row>
    <row r="2461" spans="2:15" ht="16" x14ac:dyDescent="0.2">
      <c r="C2461" s="119">
        <v>7</v>
      </c>
      <c r="D2461" s="383">
        <v>0.56944444444444442</v>
      </c>
      <c r="E2461" s="389">
        <v>0.59027777777777779</v>
      </c>
      <c r="F2461" s="385">
        <v>28</v>
      </c>
      <c r="G2461" s="391"/>
      <c r="H2461" s="316"/>
      <c r="I2461" s="391"/>
      <c r="J2461" s="385"/>
      <c r="K2461" s="391"/>
      <c r="L2461" s="393"/>
      <c r="M2461" s="391"/>
      <c r="N2461" s="385"/>
      <c r="O2461" s="190"/>
    </row>
    <row r="2462" spans="2:15" ht="16" x14ac:dyDescent="0.2">
      <c r="C2462" s="119">
        <v>8</v>
      </c>
      <c r="D2462" s="383">
        <v>0.59375</v>
      </c>
      <c r="E2462" s="389">
        <v>0.61458333333333337</v>
      </c>
      <c r="F2462" s="385">
        <v>28</v>
      </c>
      <c r="G2462" s="391"/>
      <c r="H2462" s="316"/>
      <c r="I2462" s="391"/>
      <c r="J2462" s="385"/>
      <c r="K2462" s="391"/>
      <c r="L2462" s="385"/>
      <c r="M2462" s="391"/>
      <c r="N2462" s="385"/>
      <c r="O2462" s="190"/>
    </row>
    <row r="2463" spans="2:15" ht="16" x14ac:dyDescent="0.2">
      <c r="C2463" s="119">
        <v>9</v>
      </c>
      <c r="D2463" s="383">
        <v>0.61458333333333337</v>
      </c>
      <c r="E2463" s="389">
        <v>0.63541666666666663</v>
      </c>
      <c r="F2463" s="385">
        <v>28</v>
      </c>
      <c r="G2463" s="391"/>
      <c r="H2463" s="316"/>
      <c r="I2463" s="391"/>
      <c r="J2463" s="385"/>
      <c r="K2463" s="391"/>
      <c r="L2463" s="385"/>
      <c r="M2463" s="391"/>
      <c r="N2463" s="385"/>
      <c r="O2463" s="190"/>
    </row>
    <row r="2464" spans="2:15" ht="16" x14ac:dyDescent="0.2">
      <c r="C2464" s="119">
        <v>10</v>
      </c>
      <c r="D2464" s="383">
        <v>0.61805555555555558</v>
      </c>
      <c r="E2464" s="389">
        <v>0.63888888888888895</v>
      </c>
      <c r="F2464" s="385">
        <v>28</v>
      </c>
      <c r="G2464" s="391"/>
      <c r="H2464" s="316"/>
      <c r="I2464" s="391"/>
      <c r="J2464" s="385"/>
      <c r="K2464" s="391"/>
      <c r="L2464" s="385"/>
      <c r="M2464" s="391"/>
      <c r="N2464" s="385"/>
      <c r="O2464" s="190"/>
    </row>
    <row r="2465" spans="3:15" ht="16" x14ac:dyDescent="0.2">
      <c r="C2465" s="119">
        <v>11</v>
      </c>
      <c r="D2465" s="383">
        <v>0.63888888888888895</v>
      </c>
      <c r="E2465" s="389">
        <v>0.65972222222222221</v>
      </c>
      <c r="F2465" s="385">
        <v>28</v>
      </c>
      <c r="G2465" s="391"/>
      <c r="H2465" s="316"/>
      <c r="I2465" s="391"/>
      <c r="J2465" s="28"/>
      <c r="K2465" s="391"/>
      <c r="L2465" s="385"/>
      <c r="M2465" s="391"/>
      <c r="N2465" s="385"/>
      <c r="O2465" s="190"/>
    </row>
    <row r="2466" spans="3:15" ht="16" x14ac:dyDescent="0.2">
      <c r="C2466" s="193">
        <v>12</v>
      </c>
      <c r="D2466" s="383">
        <v>0.65972222222222221</v>
      </c>
      <c r="E2466" s="389">
        <v>0.68055555555555547</v>
      </c>
      <c r="F2466" s="385">
        <v>28</v>
      </c>
      <c r="G2466" s="391"/>
      <c r="H2466" s="316"/>
      <c r="I2466" s="391"/>
      <c r="J2466" s="385"/>
      <c r="K2466" s="391"/>
      <c r="L2466" s="385"/>
      <c r="M2466" s="391"/>
      <c r="N2466" s="385"/>
      <c r="O2466" s="190"/>
    </row>
    <row r="2467" spans="3:15" ht="16" x14ac:dyDescent="0.2">
      <c r="C2467" s="119">
        <v>13</v>
      </c>
      <c r="D2467" s="383">
        <v>0.66666666666666663</v>
      </c>
      <c r="E2467" s="389">
        <v>0.6875</v>
      </c>
      <c r="F2467" s="385">
        <v>28</v>
      </c>
      <c r="G2467" s="391"/>
      <c r="H2467" s="316"/>
      <c r="I2467" s="391"/>
      <c r="J2467" s="385"/>
      <c r="K2467" s="391"/>
      <c r="L2467" s="385"/>
      <c r="M2467" s="391"/>
      <c r="N2467" s="385"/>
      <c r="O2467" s="190"/>
    </row>
    <row r="2468" spans="3:15" ht="16" x14ac:dyDescent="0.2">
      <c r="C2468" s="119">
        <v>14</v>
      </c>
      <c r="D2468" s="383">
        <v>0.68402777777777779</v>
      </c>
      <c r="E2468" s="389">
        <v>0.70486111111111116</v>
      </c>
      <c r="F2468" s="385"/>
      <c r="G2468" s="391"/>
      <c r="H2468" s="316"/>
      <c r="I2468" s="391"/>
      <c r="J2468" s="385">
        <v>36</v>
      </c>
      <c r="K2468" s="391"/>
      <c r="L2468" s="385"/>
      <c r="M2468" s="391"/>
      <c r="N2468" s="385"/>
      <c r="O2468" s="190"/>
    </row>
    <row r="2469" spans="3:15" ht="16" x14ac:dyDescent="0.2">
      <c r="C2469" s="119">
        <v>15</v>
      </c>
      <c r="D2469" s="383">
        <v>0.70833333333333337</v>
      </c>
      <c r="E2469" s="389">
        <v>0.72916666666666663</v>
      </c>
      <c r="F2469" s="385"/>
      <c r="G2469" s="391"/>
      <c r="H2469" s="316"/>
      <c r="I2469" s="391"/>
      <c r="J2469" s="385">
        <v>36</v>
      </c>
      <c r="K2469" s="391"/>
      <c r="L2469" s="385"/>
      <c r="M2469" s="391"/>
      <c r="N2469" s="385"/>
      <c r="O2469" s="190"/>
    </row>
    <row r="2470" spans="3:15" ht="16" x14ac:dyDescent="0.2">
      <c r="C2470" s="119">
        <v>16</v>
      </c>
      <c r="D2470" s="383">
        <v>0.74305555555555547</v>
      </c>
      <c r="E2470" s="389">
        <v>0.76388888888888884</v>
      </c>
      <c r="F2470" s="385"/>
      <c r="G2470" s="391"/>
      <c r="H2470" s="316"/>
      <c r="I2470" s="391"/>
      <c r="J2470" s="385">
        <v>36</v>
      </c>
      <c r="K2470" s="391"/>
      <c r="L2470" s="385"/>
      <c r="M2470" s="391"/>
      <c r="N2470" s="385"/>
      <c r="O2470" s="190"/>
    </row>
    <row r="2471" spans="3:15" ht="16" x14ac:dyDescent="0.2">
      <c r="C2471" s="119">
        <v>17</v>
      </c>
      <c r="D2471" s="383">
        <v>0.76388888888888884</v>
      </c>
      <c r="E2471" s="389">
        <v>0.78472222222222221</v>
      </c>
      <c r="F2471" s="384"/>
      <c r="G2471" s="33"/>
      <c r="H2471" s="316"/>
      <c r="I2471" s="390"/>
      <c r="J2471" s="385">
        <v>36</v>
      </c>
      <c r="K2471" s="391"/>
      <c r="L2471" s="385"/>
      <c r="M2471" s="391"/>
      <c r="N2471" s="385"/>
      <c r="O2471" s="190"/>
    </row>
    <row r="2472" spans="3:15" ht="16" x14ac:dyDescent="0.2">
      <c r="C2472" s="119">
        <v>18</v>
      </c>
      <c r="D2472" s="383">
        <v>0.78472222222222221</v>
      </c>
      <c r="E2472" s="389">
        <v>0.80555555555555547</v>
      </c>
      <c r="F2472" s="394"/>
      <c r="G2472" s="229"/>
      <c r="H2472" s="394"/>
      <c r="I2472" s="391"/>
      <c r="J2472" s="385">
        <v>32</v>
      </c>
      <c r="K2472" s="391"/>
      <c r="L2472" s="385"/>
      <c r="M2472" s="391"/>
      <c r="N2472" s="385"/>
      <c r="O2472" s="190"/>
    </row>
    <row r="2473" spans="3:15" ht="16" x14ac:dyDescent="0.2">
      <c r="C2473" s="119">
        <v>19</v>
      </c>
      <c r="D2473" s="383">
        <v>0.80902777777777779</v>
      </c>
      <c r="E2473" s="389">
        <v>0.82986111111111116</v>
      </c>
      <c r="F2473" s="385"/>
      <c r="G2473" s="391"/>
      <c r="H2473" s="385"/>
      <c r="I2473" s="391"/>
      <c r="J2473" s="385">
        <v>18</v>
      </c>
      <c r="K2473" s="391"/>
      <c r="L2473" s="403"/>
      <c r="M2473" s="391"/>
      <c r="N2473" s="385"/>
      <c r="O2473" s="190"/>
    </row>
    <row r="2474" spans="3:15" ht="16" x14ac:dyDescent="0.2">
      <c r="C2474" s="119">
        <v>20</v>
      </c>
      <c r="D2474" s="383">
        <v>0.80902777777777779</v>
      </c>
      <c r="E2474" s="389">
        <v>0.82986111111111116</v>
      </c>
      <c r="F2474" s="385"/>
      <c r="G2474" s="391"/>
      <c r="H2474" s="385"/>
      <c r="I2474" s="391">
        <v>22</v>
      </c>
      <c r="J2474" s="385"/>
      <c r="K2474" s="391"/>
      <c r="L2474" s="403"/>
      <c r="M2474" s="391"/>
      <c r="N2474" s="385"/>
      <c r="O2474" s="190"/>
    </row>
    <row r="2475" spans="3:15" ht="16" x14ac:dyDescent="0.2">
      <c r="C2475" s="119">
        <v>21</v>
      </c>
      <c r="D2475" s="383">
        <v>0.83333333333333337</v>
      </c>
      <c r="E2475" s="389">
        <v>0.85416666666666663</v>
      </c>
      <c r="F2475" s="385"/>
      <c r="G2475" s="391"/>
      <c r="H2475" s="385"/>
      <c r="I2475" s="391">
        <v>44</v>
      </c>
      <c r="J2475" s="385"/>
      <c r="K2475" s="391"/>
      <c r="L2475" s="385"/>
      <c r="M2475" s="391"/>
      <c r="N2475" s="385"/>
      <c r="O2475" s="190"/>
    </row>
    <row r="2476" spans="3:15" ht="16" x14ac:dyDescent="0.2">
      <c r="C2476" s="119">
        <v>22</v>
      </c>
      <c r="D2476" s="383">
        <v>0.85416666666666663</v>
      </c>
      <c r="E2476" s="389">
        <v>0.875</v>
      </c>
      <c r="F2476" s="385"/>
      <c r="G2476" s="391"/>
      <c r="H2476" s="385"/>
      <c r="I2476" s="391">
        <v>44</v>
      </c>
      <c r="J2476" s="385"/>
      <c r="K2476" s="391"/>
      <c r="L2476" s="385"/>
      <c r="M2476" s="391"/>
      <c r="N2476" s="385"/>
      <c r="O2476" s="190"/>
    </row>
    <row r="2477" spans="3:15" ht="16" x14ac:dyDescent="0.2">
      <c r="C2477" s="119">
        <v>23</v>
      </c>
      <c r="D2477" s="383"/>
      <c r="E2477" s="389"/>
      <c r="F2477" s="385"/>
      <c r="G2477" s="391"/>
      <c r="H2477" s="385"/>
      <c r="I2477" s="391"/>
      <c r="J2477" s="385"/>
      <c r="K2477" s="391"/>
      <c r="L2477" s="385"/>
      <c r="M2477" s="391"/>
      <c r="N2477" s="385"/>
      <c r="O2477" s="190"/>
    </row>
    <row r="2478" spans="3:15" ht="16" x14ac:dyDescent="0.2">
      <c r="C2478" s="119">
        <v>24</v>
      </c>
      <c r="D2478" s="383"/>
      <c r="E2478" s="389"/>
      <c r="F2478" s="385"/>
      <c r="G2478" s="391"/>
      <c r="H2478" s="385"/>
      <c r="I2478" s="391"/>
      <c r="J2478" s="385"/>
      <c r="K2478" s="391"/>
      <c r="L2478" s="385"/>
      <c r="M2478" s="391"/>
      <c r="N2478" s="385"/>
      <c r="O2478" s="190"/>
    </row>
    <row r="2479" spans="3:15" ht="16" x14ac:dyDescent="0.2">
      <c r="C2479" s="119">
        <v>25</v>
      </c>
      <c r="D2479" s="383"/>
      <c r="E2479" s="389"/>
      <c r="F2479" s="385"/>
      <c r="G2479" s="391"/>
      <c r="H2479" s="385"/>
      <c r="I2479" s="391"/>
      <c r="J2479" s="385"/>
      <c r="K2479" s="391"/>
      <c r="L2479" s="385"/>
      <c r="M2479" s="391"/>
      <c r="N2479" s="385"/>
      <c r="O2479" s="190"/>
    </row>
    <row r="2480" spans="3:15" ht="16" x14ac:dyDescent="0.2">
      <c r="C2480" s="119">
        <v>26</v>
      </c>
      <c r="D2480" s="383"/>
      <c r="E2480" s="389"/>
      <c r="F2480" s="385"/>
      <c r="G2480" s="391"/>
      <c r="H2480" s="385"/>
      <c r="I2480" s="391"/>
      <c r="J2480" s="385"/>
      <c r="K2480" s="391"/>
      <c r="L2480" s="385"/>
      <c r="M2480" s="391"/>
      <c r="N2480" s="385"/>
      <c r="O2480" s="190"/>
    </row>
    <row r="2481" spans="2:15" ht="16" x14ac:dyDescent="0.2">
      <c r="C2481" s="119">
        <v>27</v>
      </c>
      <c r="D2481" s="383"/>
      <c r="E2481" s="389"/>
      <c r="F2481" s="385"/>
      <c r="G2481" s="391"/>
      <c r="H2481" s="385"/>
      <c r="I2481" s="391"/>
      <c r="J2481" s="385"/>
      <c r="K2481" s="391"/>
      <c r="L2481" s="385"/>
      <c r="M2481" s="391"/>
      <c r="N2481" s="385"/>
      <c r="O2481" s="190"/>
    </row>
    <row r="2482" spans="2:15" ht="16" x14ac:dyDescent="0.2">
      <c r="C2482" s="119">
        <v>28</v>
      </c>
      <c r="D2482" s="383"/>
      <c r="E2482" s="389"/>
      <c r="F2482" s="385"/>
      <c r="G2482" s="391"/>
      <c r="H2482" s="385"/>
      <c r="I2482" s="391"/>
      <c r="J2482" s="385"/>
      <c r="K2482" s="391"/>
      <c r="L2482" s="385"/>
      <c r="M2482" s="391"/>
      <c r="N2482" s="385"/>
      <c r="O2482" s="190"/>
    </row>
    <row r="2483" spans="2:15" ht="16" x14ac:dyDescent="0.2">
      <c r="C2483" s="119">
        <v>29</v>
      </c>
      <c r="D2483" s="383"/>
      <c r="E2483" s="389"/>
      <c r="F2483" s="385"/>
      <c r="G2483" s="391"/>
      <c r="H2483" s="385"/>
      <c r="I2483" s="391"/>
      <c r="J2483" s="385"/>
      <c r="K2483" s="391"/>
      <c r="L2483" s="385"/>
      <c r="M2483" s="391"/>
      <c r="N2483" s="385"/>
      <c r="O2483" s="190"/>
    </row>
    <row r="2484" spans="2:15" ht="16" x14ac:dyDescent="0.2">
      <c r="C2484" s="119">
        <v>30</v>
      </c>
      <c r="D2484" s="383"/>
      <c r="E2484" s="389"/>
      <c r="F2484" s="385"/>
      <c r="G2484" s="391"/>
      <c r="H2484" s="385"/>
      <c r="I2484" s="391"/>
      <c r="J2484" s="385"/>
      <c r="K2484" s="391"/>
      <c r="L2484" s="385"/>
      <c r="M2484" s="391"/>
      <c r="N2484" s="385"/>
      <c r="O2484" s="190"/>
    </row>
    <row r="2485" spans="2:15" ht="16" x14ac:dyDescent="0.2">
      <c r="C2485" s="120">
        <v>31</v>
      </c>
      <c r="D2485" s="383"/>
      <c r="E2485" s="389"/>
      <c r="F2485" s="384"/>
      <c r="G2485" s="390"/>
      <c r="H2485" s="384"/>
      <c r="I2485" s="390"/>
      <c r="J2485" s="384"/>
      <c r="K2485" s="390"/>
      <c r="L2485" s="384"/>
      <c r="M2485" s="390"/>
      <c r="N2485" s="384"/>
      <c r="O2485" s="190"/>
    </row>
    <row r="2486" spans="2:15" ht="16" x14ac:dyDescent="0.2">
      <c r="B2486" s="256"/>
      <c r="C2486" s="377">
        <v>32</v>
      </c>
      <c r="D2486" s="384"/>
      <c r="E2486" s="390"/>
      <c r="F2486" s="384"/>
      <c r="G2486" s="390"/>
      <c r="H2486" s="384"/>
      <c r="I2486" s="390"/>
      <c r="J2486" s="384"/>
      <c r="K2486" s="390"/>
      <c r="L2486" s="384"/>
      <c r="M2486" s="390"/>
      <c r="N2486" s="384"/>
      <c r="O2486" s="190"/>
    </row>
    <row r="2487" spans="2:15" ht="16" x14ac:dyDescent="0.2">
      <c r="B2487" s="256"/>
      <c r="C2487" s="119">
        <v>33</v>
      </c>
      <c r="D2487" s="385"/>
      <c r="E2487" s="391"/>
      <c r="F2487" s="385"/>
      <c r="G2487" s="391"/>
      <c r="H2487" s="385"/>
      <c r="I2487" s="391"/>
      <c r="J2487" s="385"/>
      <c r="K2487" s="391"/>
      <c r="L2487" s="385"/>
      <c r="M2487" s="391"/>
      <c r="N2487" s="385"/>
      <c r="O2487" s="190"/>
    </row>
    <row r="2488" spans="2:15" ht="16" x14ac:dyDescent="0.2">
      <c r="B2488" s="256"/>
      <c r="C2488" s="119">
        <v>34</v>
      </c>
      <c r="D2488" s="385"/>
      <c r="E2488" s="391"/>
      <c r="F2488" s="385"/>
      <c r="G2488" s="391"/>
      <c r="H2488" s="385"/>
      <c r="I2488" s="391"/>
      <c r="J2488" s="385"/>
      <c r="K2488" s="391"/>
      <c r="L2488" s="385"/>
      <c r="M2488" s="391"/>
      <c r="N2488" s="385"/>
      <c r="O2488" s="190"/>
    </row>
    <row r="2489" spans="2:15" ht="16" x14ac:dyDescent="0.2">
      <c r="B2489" s="256"/>
      <c r="C2489" s="119">
        <v>35</v>
      </c>
      <c r="D2489" s="385"/>
      <c r="E2489" s="391"/>
      <c r="F2489" s="385"/>
      <c r="G2489" s="391"/>
      <c r="H2489" s="385"/>
      <c r="I2489" s="391"/>
      <c r="J2489" s="385"/>
      <c r="K2489" s="391"/>
      <c r="L2489" s="385"/>
      <c r="M2489" s="391"/>
      <c r="N2489" s="385"/>
      <c r="O2489" s="190"/>
    </row>
    <row r="2490" spans="2:15" ht="16" x14ac:dyDescent="0.2">
      <c r="B2490" s="256"/>
      <c r="C2490" s="119">
        <v>36</v>
      </c>
      <c r="D2490" s="385"/>
      <c r="E2490" s="391"/>
      <c r="F2490" s="385"/>
      <c r="G2490" s="391"/>
      <c r="H2490" s="385"/>
      <c r="I2490" s="391"/>
      <c r="J2490" s="385"/>
      <c r="K2490" s="391"/>
      <c r="L2490" s="385"/>
      <c r="M2490" s="391"/>
      <c r="N2490" s="385"/>
      <c r="O2490" s="190"/>
    </row>
    <row r="2491" spans="2:15" ht="17" thickBot="1" x14ac:dyDescent="0.25">
      <c r="B2491" s="256"/>
      <c r="C2491" s="378">
        <v>37</v>
      </c>
      <c r="D2491" s="386"/>
      <c r="E2491" s="392"/>
      <c r="F2491" s="386"/>
      <c r="G2491" s="392"/>
      <c r="H2491" s="386"/>
      <c r="I2491" s="392"/>
      <c r="J2491" s="386"/>
      <c r="K2491" s="392"/>
      <c r="L2491" s="386"/>
      <c r="M2491" s="392"/>
      <c r="N2491" s="386"/>
      <c r="O2491" s="190"/>
    </row>
    <row r="2492" spans="2:15" ht="17" thickBot="1" x14ac:dyDescent="0.25">
      <c r="C2492" s="825" t="s">
        <v>19</v>
      </c>
      <c r="D2492" s="826"/>
      <c r="E2492" s="380"/>
      <c r="F2492" s="376">
        <f>(F2455+F2456+F2457+F2458+F2459+F2460+F2476+F2463+F2464+F2461+F2462+F2465+F2466+F2467+F2468+F2469+F2470+F2471+F2472+F2473+F2474+F2475+F2477+F2478+F2480+F2481+F2482+F2483+F2484+F2485+F2486+F2487+F2488+F2491)/2</f>
        <v>98</v>
      </c>
      <c r="G2492" s="397">
        <f>(G2455+G2456+G2457+G2458+G2459+G2476+G2460+G2464+G2463+G2461+G2462+G2465+G2466+G2467+G2468+G2469+G2470+G2471+G2472+G2473+G2474+G2475+G2477+G2478+G2480+G2481+G2482+G2483+G2484+G2485+G2486+G2487)/2</f>
        <v>56</v>
      </c>
      <c r="H2492" s="399">
        <f>(H2455+H2456+H2457+H2458+H2459+H2460+H2476+H2479+H2463+H2464+H2461+H2462+H2465+H2466+H2467+H2468+H2469+H2470+H2471+H2472+H2473+H2474+H2475+H2477+H2478+H2480+H2481+H2482+H2483+H2484+H2485+H2486+H2487+H2488+H2491)/2</f>
        <v>28</v>
      </c>
      <c r="I2492" s="398">
        <f>(I2455+I2456+I2457+I2458+I2459+I2489+I2490+I2460+I2476+I2463+I2479+I2464+I2461+I2462+I2465+I2466+I2467+I2468+I2469+I2470+I2471+I2472+I2473+I2474+I2475+I2477+I2478+I2480+I2481+I2482+I2483+I2484+I2485+I2486+I2487+I2488+I2491)/2</f>
        <v>55</v>
      </c>
      <c r="J2492" s="376">
        <f>(J2455+J2456+J2457+J2458+J2459+J2460+J2464+J2461+J2463+J2462+J2479+J2465+J2466+J2467+J2468+J2469+J2470+J2471+J2472+J2473+J2474+J2475+J2476+J2477+J2478+J2480+J2481+J2482+J2483+J2484+J2485+J2486+J2487)/2</f>
        <v>97</v>
      </c>
      <c r="K2492" s="397">
        <f>(K2455+K2456+K2457+K2458+K2459+K2460+K2464+K2461+K2462+K2465+K2466+K2467+K2468+K2469+K2470+K2471+K2472+K2473+K2474+K2475+K2477+K2478+K2480+K2481+K2482+K2483+K2484+K2485+K2486+K2487+K2476)</f>
        <v>0</v>
      </c>
      <c r="L2492" s="399">
        <f>SUM(L2455:L2491)</f>
        <v>0</v>
      </c>
      <c r="M2492" s="398">
        <f>(M2455+M2456+M2457+M2458+M2459+M2460+M2464+M2463+M2461+M2462+M2465+M2466+M2467+M2468+M2469+M2470+M2471+M2472+M2473+M2474+M2475+M2477+M2478+M2480+M2481+M2482+M2483+M2484+M2485+M2486+M2487)/2</f>
        <v>0</v>
      </c>
      <c r="N2492" s="376"/>
      <c r="O2492" s="41"/>
    </row>
    <row r="2493" spans="2:15" ht="17" thickBot="1" x14ac:dyDescent="0.25">
      <c r="C2493" s="825" t="s">
        <v>91</v>
      </c>
      <c r="D2493" s="826"/>
      <c r="E2493" s="381">
        <f>SUM(F2492:J2492)</f>
        <v>334</v>
      </c>
    </row>
    <row r="2494" spans="2:15" ht="16" thickBot="1" x14ac:dyDescent="0.25"/>
    <row r="2495" spans="2:15" ht="17" thickBot="1" x14ac:dyDescent="0.25">
      <c r="C2495" s="17"/>
      <c r="D2495" s="379" t="s">
        <v>83</v>
      </c>
      <c r="E2495" s="818" t="s">
        <v>63</v>
      </c>
      <c r="F2495" s="819"/>
      <c r="G2495" s="819"/>
      <c r="H2495" s="819"/>
      <c r="I2495" s="819"/>
      <c r="J2495" s="400" t="s">
        <v>76</v>
      </c>
      <c r="K2495" s="820">
        <v>45740</v>
      </c>
      <c r="L2495" s="821"/>
      <c r="M2495" s="821"/>
      <c r="N2495" s="821"/>
      <c r="O2495" s="822"/>
    </row>
    <row r="2496" spans="2:15" ht="16" thickBot="1" x14ac:dyDescent="0.25">
      <c r="B2496" s="175" t="s">
        <v>76</v>
      </c>
      <c r="C2496" s="175" t="s">
        <v>77</v>
      </c>
      <c r="D2496" s="823" t="s">
        <v>122</v>
      </c>
      <c r="E2496" s="824"/>
      <c r="F2496" s="175" t="s">
        <v>104</v>
      </c>
      <c r="G2496" s="395" t="s">
        <v>86</v>
      </c>
      <c r="H2496" s="175" t="s">
        <v>88</v>
      </c>
      <c r="I2496" s="395" t="s">
        <v>87</v>
      </c>
      <c r="J2496" s="401" t="s">
        <v>85</v>
      </c>
      <c r="K2496" s="395" t="s">
        <v>123</v>
      </c>
      <c r="L2496" s="175" t="s">
        <v>124</v>
      </c>
      <c r="M2496" s="395" t="s">
        <v>100</v>
      </c>
      <c r="N2496" s="175" t="s">
        <v>213</v>
      </c>
      <c r="O2496" s="404" t="s">
        <v>125</v>
      </c>
    </row>
    <row r="2497" spans="2:15" ht="16" thickBot="1" x14ac:dyDescent="0.25">
      <c r="B2497" s="176">
        <f>K2495</f>
        <v>45740</v>
      </c>
      <c r="C2497" s="374"/>
      <c r="D2497" s="375" t="s">
        <v>126</v>
      </c>
      <c r="E2497" s="387" t="s">
        <v>127</v>
      </c>
      <c r="F2497" s="331">
        <v>11</v>
      </c>
      <c r="G2497" s="237">
        <v>9</v>
      </c>
      <c r="H2497" s="331">
        <v>0</v>
      </c>
      <c r="I2497" s="237">
        <v>5</v>
      </c>
      <c r="J2497" s="331">
        <v>9</v>
      </c>
      <c r="K2497" s="231"/>
      <c r="L2497" s="125"/>
      <c r="M2497" s="231"/>
      <c r="N2497" s="125"/>
      <c r="O2497" s="326"/>
    </row>
    <row r="2498" spans="2:15" ht="16" x14ac:dyDescent="0.2">
      <c r="C2498" s="118">
        <v>1</v>
      </c>
      <c r="D2498" s="382">
        <v>0.75</v>
      </c>
      <c r="E2498" s="388">
        <v>0.77083333333333337</v>
      </c>
      <c r="F2498" s="393"/>
      <c r="G2498" s="396">
        <v>28</v>
      </c>
      <c r="H2498" s="393"/>
      <c r="I2498" s="396"/>
      <c r="J2498" s="393"/>
      <c r="K2498" s="396"/>
      <c r="L2498" s="393"/>
      <c r="M2498" s="396"/>
      <c r="N2498" s="393"/>
      <c r="O2498" s="190"/>
    </row>
    <row r="2499" spans="2:15" ht="16" x14ac:dyDescent="0.2">
      <c r="C2499" s="119">
        <v>2</v>
      </c>
      <c r="D2499" s="383">
        <v>0.77083333333333337</v>
      </c>
      <c r="E2499" s="389">
        <v>0.79166666666666663</v>
      </c>
      <c r="F2499" s="385"/>
      <c r="G2499" s="391">
        <v>28</v>
      </c>
      <c r="H2499" s="385"/>
      <c r="I2499" s="391"/>
      <c r="J2499" s="385"/>
      <c r="K2499" s="391"/>
      <c r="L2499" s="385"/>
      <c r="M2499" s="391"/>
      <c r="N2499" s="385"/>
      <c r="O2499" s="190"/>
    </row>
    <row r="2500" spans="2:15" ht="16" x14ac:dyDescent="0.2">
      <c r="C2500" s="119">
        <v>3</v>
      </c>
      <c r="D2500" s="383">
        <v>0.79166666666666663</v>
      </c>
      <c r="E2500" s="389">
        <v>0.8125</v>
      </c>
      <c r="F2500" s="385"/>
      <c r="G2500" s="391">
        <v>28</v>
      </c>
      <c r="H2500" s="385"/>
      <c r="I2500" s="391"/>
      <c r="J2500" s="385"/>
      <c r="K2500" s="391"/>
      <c r="L2500" s="384"/>
      <c r="M2500" s="391"/>
      <c r="N2500" s="385"/>
      <c r="O2500" s="190"/>
    </row>
    <row r="2501" spans="2:15" ht="16" x14ac:dyDescent="0.2">
      <c r="C2501" s="119">
        <v>4</v>
      </c>
      <c r="D2501" s="383">
        <v>0.8125</v>
      </c>
      <c r="E2501" s="389">
        <v>0.83333333333333337</v>
      </c>
      <c r="F2501" s="385"/>
      <c r="G2501" s="391">
        <v>28</v>
      </c>
      <c r="H2501" s="316"/>
      <c r="I2501" s="391"/>
      <c r="J2501" s="385"/>
      <c r="K2501" s="391"/>
      <c r="L2501" s="402"/>
      <c r="M2501" s="391"/>
      <c r="N2501" s="385"/>
      <c r="O2501" s="190"/>
    </row>
    <row r="2502" spans="2:15" ht="16" x14ac:dyDescent="0.2">
      <c r="C2502" s="119">
        <v>5</v>
      </c>
      <c r="D2502" s="383">
        <v>0.83333333333333337</v>
      </c>
      <c r="E2502" s="389">
        <v>0.85416666666666663</v>
      </c>
      <c r="F2502" s="385"/>
      <c r="G2502" s="391">
        <v>14</v>
      </c>
      <c r="H2502" s="316"/>
      <c r="I2502" s="391"/>
      <c r="J2502" s="385"/>
      <c r="K2502" s="391"/>
      <c r="L2502" s="393"/>
      <c r="M2502" s="391"/>
      <c r="N2502" s="385"/>
      <c r="O2502" s="190"/>
    </row>
    <row r="2503" spans="2:15" ht="16" x14ac:dyDescent="0.2">
      <c r="C2503" s="119">
        <v>6</v>
      </c>
      <c r="D2503" s="383">
        <v>0.85763888888888884</v>
      </c>
      <c r="E2503" s="389">
        <v>0.87847222222222221</v>
      </c>
      <c r="F2503" s="385">
        <v>14</v>
      </c>
      <c r="G2503" s="391"/>
      <c r="H2503" s="316"/>
      <c r="I2503" s="391"/>
      <c r="J2503" s="385"/>
      <c r="K2503" s="391"/>
      <c r="L2503" s="393"/>
      <c r="M2503" s="391"/>
      <c r="N2503" s="385"/>
      <c r="O2503" s="190"/>
    </row>
    <row r="2504" spans="2:15" ht="16" x14ac:dyDescent="0.2">
      <c r="C2504" s="119">
        <v>7</v>
      </c>
      <c r="D2504" s="383">
        <v>0.88541666666666663</v>
      </c>
      <c r="E2504" s="389">
        <v>0.90625</v>
      </c>
      <c r="F2504" s="385">
        <v>28</v>
      </c>
      <c r="G2504" s="391"/>
      <c r="H2504" s="316"/>
      <c r="I2504" s="391"/>
      <c r="J2504" s="385"/>
      <c r="K2504" s="391"/>
      <c r="L2504" s="393"/>
      <c r="M2504" s="391"/>
      <c r="N2504" s="385"/>
      <c r="O2504" s="190"/>
    </row>
    <row r="2505" spans="2:15" ht="16" x14ac:dyDescent="0.2">
      <c r="C2505" s="119">
        <v>8</v>
      </c>
      <c r="D2505" s="383">
        <v>0.90625</v>
      </c>
      <c r="E2505" s="389">
        <v>0.92708333333333337</v>
      </c>
      <c r="F2505" s="385">
        <v>28</v>
      </c>
      <c r="G2505" s="391"/>
      <c r="H2505" s="316"/>
      <c r="I2505" s="391"/>
      <c r="J2505" s="385"/>
      <c r="K2505" s="391"/>
      <c r="L2505" s="385"/>
      <c r="M2505" s="391"/>
      <c r="N2505" s="385"/>
      <c r="O2505" s="190"/>
    </row>
    <row r="2506" spans="2:15" ht="16" x14ac:dyDescent="0.2">
      <c r="C2506" s="119">
        <v>9</v>
      </c>
      <c r="D2506" s="383">
        <v>0.92708333333333337</v>
      </c>
      <c r="E2506" s="389">
        <v>0.94791666666666663</v>
      </c>
      <c r="F2506" s="385">
        <v>28</v>
      </c>
      <c r="G2506" s="391"/>
      <c r="H2506" s="316"/>
      <c r="I2506" s="391"/>
      <c r="J2506" s="385"/>
      <c r="K2506" s="391"/>
      <c r="L2506" s="385"/>
      <c r="M2506" s="391"/>
      <c r="N2506" s="385"/>
      <c r="O2506" s="190"/>
    </row>
    <row r="2507" spans="2:15" ht="16" x14ac:dyDescent="0.2">
      <c r="C2507" s="119">
        <v>10</v>
      </c>
      <c r="D2507" s="383">
        <v>0.94791666666666663</v>
      </c>
      <c r="E2507" s="389">
        <v>0.96875</v>
      </c>
      <c r="F2507" s="385">
        <v>28</v>
      </c>
      <c r="G2507" s="391"/>
      <c r="H2507" s="316"/>
      <c r="I2507" s="391"/>
      <c r="J2507" s="385"/>
      <c r="K2507" s="391"/>
      <c r="L2507" s="385"/>
      <c r="M2507" s="391"/>
      <c r="N2507" s="385"/>
      <c r="O2507" s="190"/>
    </row>
    <row r="2508" spans="2:15" ht="16" x14ac:dyDescent="0.2">
      <c r="C2508" s="119">
        <v>11</v>
      </c>
      <c r="D2508" s="383">
        <v>0.96875</v>
      </c>
      <c r="E2508" s="389">
        <v>0.98958333333333337</v>
      </c>
      <c r="F2508" s="385">
        <v>28</v>
      </c>
      <c r="G2508" s="391"/>
      <c r="H2508" s="316"/>
      <c r="I2508" s="391"/>
      <c r="J2508" s="28"/>
      <c r="K2508" s="391"/>
      <c r="L2508" s="385"/>
      <c r="M2508" s="391"/>
      <c r="N2508" s="385"/>
      <c r="O2508" s="190"/>
    </row>
    <row r="2509" spans="2:15" ht="16" x14ac:dyDescent="0.2">
      <c r="C2509" s="193">
        <v>12</v>
      </c>
      <c r="D2509" s="383">
        <v>0.98958333333333337</v>
      </c>
      <c r="E2509" s="389">
        <v>1.0416666666666666E-2</v>
      </c>
      <c r="F2509" s="385"/>
      <c r="G2509" s="391"/>
      <c r="H2509" s="316"/>
      <c r="I2509" s="391"/>
      <c r="J2509" s="385">
        <v>36</v>
      </c>
      <c r="K2509" s="391"/>
      <c r="L2509" s="385"/>
      <c r="M2509" s="391"/>
      <c r="N2509" s="385"/>
      <c r="O2509" s="190"/>
    </row>
    <row r="2510" spans="2:15" ht="16" x14ac:dyDescent="0.2">
      <c r="C2510" s="119">
        <v>13</v>
      </c>
      <c r="D2510" s="383">
        <v>1.3888888888888888E-2</v>
      </c>
      <c r="E2510" s="389">
        <v>3.4722222222222224E-2</v>
      </c>
      <c r="F2510" s="385"/>
      <c r="G2510" s="391"/>
      <c r="H2510" s="316"/>
      <c r="I2510" s="391"/>
      <c r="J2510" s="385">
        <v>36</v>
      </c>
      <c r="K2510" s="391"/>
      <c r="L2510" s="385"/>
      <c r="M2510" s="391"/>
      <c r="N2510" s="385"/>
      <c r="O2510" s="190"/>
    </row>
    <row r="2511" spans="2:15" ht="16" x14ac:dyDescent="0.2">
      <c r="C2511" s="119">
        <v>14</v>
      </c>
      <c r="D2511" s="383">
        <v>3.4722222222222224E-2</v>
      </c>
      <c r="E2511" s="389">
        <v>5.5555555555555552E-2</v>
      </c>
      <c r="F2511" s="385"/>
      <c r="G2511" s="391"/>
      <c r="H2511" s="316"/>
      <c r="I2511" s="391"/>
      <c r="J2511" s="385">
        <v>36</v>
      </c>
      <c r="K2511" s="391"/>
      <c r="L2511" s="385"/>
      <c r="M2511" s="391"/>
      <c r="N2511" s="385"/>
      <c r="O2511" s="190"/>
    </row>
    <row r="2512" spans="2:15" ht="16" x14ac:dyDescent="0.2">
      <c r="C2512" s="119">
        <v>15</v>
      </c>
      <c r="D2512" s="383">
        <v>5.5555555555555552E-2</v>
      </c>
      <c r="E2512" s="389">
        <v>7.6388888888888895E-2</v>
      </c>
      <c r="F2512" s="385"/>
      <c r="G2512" s="391"/>
      <c r="H2512" s="316"/>
      <c r="I2512" s="391"/>
      <c r="J2512" s="385">
        <v>32</v>
      </c>
      <c r="K2512" s="391"/>
      <c r="L2512" s="385"/>
      <c r="M2512" s="391"/>
      <c r="N2512" s="385"/>
      <c r="O2512" s="190"/>
    </row>
    <row r="2513" spans="3:15" ht="16" x14ac:dyDescent="0.2">
      <c r="C2513" s="119">
        <v>16</v>
      </c>
      <c r="D2513" s="383">
        <v>7.6388888888888895E-2</v>
      </c>
      <c r="E2513" s="389">
        <v>9.7222222222222224E-2</v>
      </c>
      <c r="F2513" s="385"/>
      <c r="G2513" s="391"/>
      <c r="H2513" s="316"/>
      <c r="I2513" s="391"/>
      <c r="J2513" s="385">
        <v>18</v>
      </c>
      <c r="K2513" s="391"/>
      <c r="L2513" s="385"/>
      <c r="M2513" s="391"/>
      <c r="N2513" s="385"/>
      <c r="O2513" s="190"/>
    </row>
    <row r="2514" spans="3:15" ht="16" x14ac:dyDescent="0.2">
      <c r="C2514" s="119">
        <v>17</v>
      </c>
      <c r="D2514" s="383">
        <v>7.6388888888888895E-2</v>
      </c>
      <c r="E2514" s="389">
        <v>9.7222222222222224E-2</v>
      </c>
      <c r="F2514" s="384"/>
      <c r="G2514" s="33"/>
      <c r="H2514" s="316"/>
      <c r="I2514" s="390">
        <v>22</v>
      </c>
      <c r="J2514" s="385"/>
      <c r="K2514" s="391"/>
      <c r="L2514" s="385"/>
      <c r="M2514" s="391"/>
      <c r="N2514" s="385"/>
      <c r="O2514" s="190"/>
    </row>
    <row r="2515" spans="3:15" ht="16" x14ac:dyDescent="0.2">
      <c r="C2515" s="119">
        <v>18</v>
      </c>
      <c r="D2515" s="383">
        <v>0.10416666666666667</v>
      </c>
      <c r="E2515" s="389">
        <v>0.125</v>
      </c>
      <c r="F2515" s="394"/>
      <c r="G2515" s="229"/>
      <c r="H2515" s="394"/>
      <c r="I2515" s="391">
        <v>44</v>
      </c>
      <c r="J2515" s="385"/>
      <c r="K2515" s="391"/>
      <c r="L2515" s="385"/>
      <c r="M2515" s="391"/>
      <c r="N2515" s="385"/>
      <c r="O2515" s="190"/>
    </row>
    <row r="2516" spans="3:15" ht="16" x14ac:dyDescent="0.2">
      <c r="C2516" s="119">
        <v>19</v>
      </c>
      <c r="D2516" s="383">
        <v>0.125</v>
      </c>
      <c r="E2516" s="389">
        <v>0.14583333333333334</v>
      </c>
      <c r="F2516" s="385"/>
      <c r="G2516" s="391"/>
      <c r="H2516" s="385"/>
      <c r="I2516" s="391">
        <v>44</v>
      </c>
      <c r="J2516" s="385"/>
      <c r="K2516" s="391"/>
      <c r="L2516" s="403"/>
      <c r="M2516" s="391"/>
      <c r="N2516" s="385"/>
      <c r="O2516" s="190"/>
    </row>
    <row r="2517" spans="3:15" ht="16" x14ac:dyDescent="0.2">
      <c r="C2517" s="119">
        <v>20</v>
      </c>
      <c r="D2517" s="383"/>
      <c r="E2517" s="389"/>
      <c r="F2517" s="385"/>
      <c r="G2517" s="391"/>
      <c r="H2517" s="385"/>
      <c r="I2517" s="391"/>
      <c r="J2517" s="385"/>
      <c r="K2517" s="391"/>
      <c r="L2517" s="403"/>
      <c r="M2517" s="391"/>
      <c r="N2517" s="385"/>
      <c r="O2517" s="190"/>
    </row>
    <row r="2518" spans="3:15" ht="16" x14ac:dyDescent="0.2">
      <c r="C2518" s="119">
        <v>21</v>
      </c>
      <c r="D2518" s="383"/>
      <c r="E2518" s="389"/>
      <c r="F2518" s="385"/>
      <c r="G2518" s="391"/>
      <c r="H2518" s="385"/>
      <c r="I2518" s="391"/>
      <c r="J2518" s="385"/>
      <c r="K2518" s="391"/>
      <c r="L2518" s="385"/>
      <c r="M2518" s="391"/>
      <c r="N2518" s="385"/>
      <c r="O2518" s="190"/>
    </row>
    <row r="2519" spans="3:15" ht="16" x14ac:dyDescent="0.2">
      <c r="C2519" s="119">
        <v>22</v>
      </c>
      <c r="D2519" s="383"/>
      <c r="E2519" s="389"/>
      <c r="F2519" s="385"/>
      <c r="G2519" s="391"/>
      <c r="H2519" s="385"/>
      <c r="I2519" s="391"/>
      <c r="J2519" s="385"/>
      <c r="K2519" s="391"/>
      <c r="L2519" s="385"/>
      <c r="M2519" s="391"/>
      <c r="N2519" s="385"/>
      <c r="O2519" s="190"/>
    </row>
    <row r="2520" spans="3:15" ht="16" x14ac:dyDescent="0.2">
      <c r="C2520" s="119">
        <v>23</v>
      </c>
      <c r="D2520" s="383"/>
      <c r="E2520" s="389"/>
      <c r="F2520" s="385"/>
      <c r="G2520" s="391"/>
      <c r="H2520" s="385"/>
      <c r="I2520" s="391"/>
      <c r="J2520" s="385"/>
      <c r="K2520" s="391"/>
      <c r="L2520" s="385"/>
      <c r="M2520" s="391"/>
      <c r="N2520" s="385"/>
      <c r="O2520" s="190"/>
    </row>
    <row r="2521" spans="3:15" ht="16" x14ac:dyDescent="0.2">
      <c r="C2521" s="119">
        <v>24</v>
      </c>
      <c r="D2521" s="383"/>
      <c r="E2521" s="389"/>
      <c r="F2521" s="385"/>
      <c r="G2521" s="391"/>
      <c r="H2521" s="385"/>
      <c r="I2521" s="391"/>
      <c r="J2521" s="385"/>
      <c r="K2521" s="391"/>
      <c r="L2521" s="385"/>
      <c r="M2521" s="391"/>
      <c r="N2521" s="385"/>
      <c r="O2521" s="190"/>
    </row>
    <row r="2522" spans="3:15" ht="16" x14ac:dyDescent="0.2">
      <c r="C2522" s="119">
        <v>25</v>
      </c>
      <c r="D2522" s="383"/>
      <c r="E2522" s="389"/>
      <c r="F2522" s="385"/>
      <c r="G2522" s="391"/>
      <c r="H2522" s="385"/>
      <c r="I2522" s="391"/>
      <c r="J2522" s="385"/>
      <c r="K2522" s="391"/>
      <c r="L2522" s="385"/>
      <c r="M2522" s="391"/>
      <c r="N2522" s="385"/>
      <c r="O2522" s="190"/>
    </row>
    <row r="2523" spans="3:15" ht="16" x14ac:dyDescent="0.2">
      <c r="C2523" s="119">
        <v>26</v>
      </c>
      <c r="D2523" s="383"/>
      <c r="E2523" s="389"/>
      <c r="F2523" s="385"/>
      <c r="G2523" s="391"/>
      <c r="H2523" s="385"/>
      <c r="I2523" s="391"/>
      <c r="J2523" s="385"/>
      <c r="K2523" s="391"/>
      <c r="L2523" s="385"/>
      <c r="M2523" s="391"/>
      <c r="N2523" s="385"/>
      <c r="O2523" s="190"/>
    </row>
    <row r="2524" spans="3:15" ht="16" x14ac:dyDescent="0.2">
      <c r="C2524" s="119">
        <v>27</v>
      </c>
      <c r="D2524" s="383"/>
      <c r="E2524" s="389"/>
      <c r="F2524" s="385"/>
      <c r="G2524" s="391"/>
      <c r="H2524" s="385"/>
      <c r="I2524" s="391"/>
      <c r="J2524" s="385"/>
      <c r="K2524" s="391"/>
      <c r="L2524" s="385"/>
      <c r="M2524" s="391"/>
      <c r="N2524" s="385"/>
      <c r="O2524" s="190"/>
    </row>
    <row r="2525" spans="3:15" ht="16" x14ac:dyDescent="0.2">
      <c r="C2525" s="119">
        <v>28</v>
      </c>
      <c r="D2525" s="383"/>
      <c r="E2525" s="389"/>
      <c r="F2525" s="385"/>
      <c r="G2525" s="391"/>
      <c r="H2525" s="385"/>
      <c r="I2525" s="391"/>
      <c r="J2525" s="385"/>
      <c r="K2525" s="391"/>
      <c r="L2525" s="385"/>
      <c r="M2525" s="391"/>
      <c r="N2525" s="385"/>
      <c r="O2525" s="190"/>
    </row>
    <row r="2526" spans="3:15" ht="16" x14ac:dyDescent="0.2">
      <c r="C2526" s="119">
        <v>29</v>
      </c>
      <c r="D2526" s="383"/>
      <c r="E2526" s="389"/>
      <c r="F2526" s="385"/>
      <c r="G2526" s="391"/>
      <c r="H2526" s="385"/>
      <c r="I2526" s="391"/>
      <c r="J2526" s="385"/>
      <c r="K2526" s="391"/>
      <c r="L2526" s="385"/>
      <c r="M2526" s="391"/>
      <c r="N2526" s="385"/>
      <c r="O2526" s="190"/>
    </row>
    <row r="2527" spans="3:15" ht="16" x14ac:dyDescent="0.2">
      <c r="C2527" s="119">
        <v>30</v>
      </c>
      <c r="D2527" s="383"/>
      <c r="E2527" s="389"/>
      <c r="F2527" s="385"/>
      <c r="G2527" s="391"/>
      <c r="H2527" s="385"/>
      <c r="I2527" s="391"/>
      <c r="J2527" s="385"/>
      <c r="K2527" s="391"/>
      <c r="L2527" s="385"/>
      <c r="M2527" s="391"/>
      <c r="N2527" s="385"/>
      <c r="O2527" s="190"/>
    </row>
    <row r="2528" spans="3:15" ht="16" x14ac:dyDescent="0.2">
      <c r="C2528" s="120">
        <v>31</v>
      </c>
      <c r="D2528" s="383"/>
      <c r="E2528" s="389"/>
      <c r="F2528" s="384"/>
      <c r="G2528" s="390"/>
      <c r="H2528" s="384"/>
      <c r="I2528" s="390"/>
      <c r="J2528" s="384"/>
      <c r="K2528" s="390"/>
      <c r="L2528" s="384"/>
      <c r="M2528" s="390"/>
      <c r="N2528" s="384"/>
      <c r="O2528" s="190"/>
    </row>
    <row r="2529" spans="2:15" ht="16" x14ac:dyDescent="0.2">
      <c r="B2529" s="256"/>
      <c r="C2529" s="377">
        <v>32</v>
      </c>
      <c r="D2529" s="384"/>
      <c r="E2529" s="390"/>
      <c r="F2529" s="384"/>
      <c r="G2529" s="390"/>
      <c r="H2529" s="384"/>
      <c r="I2529" s="390"/>
      <c r="J2529" s="384"/>
      <c r="K2529" s="390"/>
      <c r="L2529" s="384"/>
      <c r="M2529" s="390"/>
      <c r="N2529" s="384"/>
      <c r="O2529" s="190"/>
    </row>
    <row r="2530" spans="2:15" ht="16" x14ac:dyDescent="0.2">
      <c r="B2530" s="256"/>
      <c r="C2530" s="119">
        <v>33</v>
      </c>
      <c r="D2530" s="385"/>
      <c r="E2530" s="391"/>
      <c r="F2530" s="385"/>
      <c r="G2530" s="391"/>
      <c r="H2530" s="385"/>
      <c r="I2530" s="391"/>
      <c r="J2530" s="385"/>
      <c r="K2530" s="391"/>
      <c r="L2530" s="385"/>
      <c r="M2530" s="391"/>
      <c r="N2530" s="385"/>
      <c r="O2530" s="190"/>
    </row>
    <row r="2531" spans="2:15" ht="16" x14ac:dyDescent="0.2">
      <c r="B2531" s="256"/>
      <c r="C2531" s="119">
        <v>34</v>
      </c>
      <c r="D2531" s="385"/>
      <c r="E2531" s="391"/>
      <c r="F2531" s="385"/>
      <c r="G2531" s="391"/>
      <c r="H2531" s="385"/>
      <c r="I2531" s="391"/>
      <c r="J2531" s="385"/>
      <c r="K2531" s="391"/>
      <c r="L2531" s="385"/>
      <c r="M2531" s="391"/>
      <c r="N2531" s="385"/>
      <c r="O2531" s="190"/>
    </row>
    <row r="2532" spans="2:15" ht="16" x14ac:dyDescent="0.2">
      <c r="B2532" s="256"/>
      <c r="C2532" s="119">
        <v>35</v>
      </c>
      <c r="D2532" s="385"/>
      <c r="E2532" s="391"/>
      <c r="F2532" s="385"/>
      <c r="G2532" s="391"/>
      <c r="H2532" s="385"/>
      <c r="I2532" s="391"/>
      <c r="J2532" s="385"/>
      <c r="K2532" s="391"/>
      <c r="L2532" s="385"/>
      <c r="M2532" s="391"/>
      <c r="N2532" s="385"/>
      <c r="O2532" s="190"/>
    </row>
    <row r="2533" spans="2:15" ht="16" x14ac:dyDescent="0.2">
      <c r="B2533" s="256"/>
      <c r="C2533" s="119">
        <v>36</v>
      </c>
      <c r="D2533" s="385"/>
      <c r="E2533" s="391"/>
      <c r="F2533" s="385"/>
      <c r="G2533" s="391"/>
      <c r="H2533" s="385"/>
      <c r="I2533" s="391"/>
      <c r="J2533" s="385"/>
      <c r="K2533" s="391"/>
      <c r="L2533" s="385"/>
      <c r="M2533" s="391"/>
      <c r="N2533" s="385"/>
      <c r="O2533" s="190"/>
    </row>
    <row r="2534" spans="2:15" ht="17" thickBot="1" x14ac:dyDescent="0.25">
      <c r="B2534" s="256"/>
      <c r="C2534" s="378">
        <v>37</v>
      </c>
      <c r="D2534" s="386"/>
      <c r="E2534" s="392"/>
      <c r="F2534" s="386"/>
      <c r="G2534" s="392"/>
      <c r="H2534" s="386"/>
      <c r="I2534" s="392"/>
      <c r="J2534" s="386"/>
      <c r="K2534" s="392"/>
      <c r="L2534" s="386"/>
      <c r="M2534" s="392"/>
      <c r="N2534" s="386"/>
      <c r="O2534" s="190"/>
    </row>
    <row r="2535" spans="2:15" ht="17" thickBot="1" x14ac:dyDescent="0.25">
      <c r="C2535" s="825" t="s">
        <v>19</v>
      </c>
      <c r="D2535" s="826"/>
      <c r="E2535" s="380"/>
      <c r="F2535" s="376">
        <f>(F2498+F2499+F2500+F2501+F2502+F2503+F2519+F2506+F2507+F2504+F2505+F2508+F2509+F2510+F2511+F2512+F2513+F2514+F2515+F2516+F2517+F2518+F2520+F2521+F2523+F2524+F2525+F2526+F2527+F2528+F2529+F2530+F2531+F2534)/2</f>
        <v>77</v>
      </c>
      <c r="G2535" s="397">
        <f>(G2498+G2499+G2500+G2501+G2502+G2519+G2503+G2507+G2506+G2504+G2505+G2508+G2509+G2510+G2511+G2512+G2513+G2514+G2515+G2516+G2517+G2518+G2520+G2521+G2523+G2524+G2525+G2526+G2527+G2528+G2529+G2530)/2</f>
        <v>63</v>
      </c>
      <c r="H2535" s="399">
        <f>(H2498+H2499+H2500+H2501+H2502+H2503+H2519+H2522+H2506+H2507+H2504+H2505+H2508+H2509+H2510+H2511+H2512+H2513+H2514+H2515+H2516+H2517+H2518+H2520+H2521+H2523+H2524+H2525+H2526+H2527+H2528+H2529+H2530+H2531+H2534)/2</f>
        <v>0</v>
      </c>
      <c r="I2535" s="398">
        <f>(I2498+I2499+I2500+I2501+I2502+I2532+I2533+I2503+I2519+I2506+I2522+I2507+I2504+I2505+I2508+I2509+I2510+I2511+I2512+I2513+I2514+I2515+I2516+I2517+I2518+I2520+I2521+I2523+I2524+I2525+I2526+I2527+I2528+I2529+I2530+I2531+I2534)/2</f>
        <v>55</v>
      </c>
      <c r="J2535" s="376">
        <f>(J2498+J2499+J2500+J2501+J2502+J2503+J2507+J2504+J2506+J2505+J2522+J2508+J2509+J2510+J2511+J2512+J2513+J2514+J2515+J2516+J2517+J2518+J2519+J2520+J2521+J2523+J2524+J2525+J2526+J2527+J2528+J2529+J2530)/2</f>
        <v>79</v>
      </c>
      <c r="K2535" s="397">
        <f>(K2498+K2499+K2500+K2501+K2502+K2503+K2507+K2504+K2505+K2508+K2509+K2510+K2511+K2512+K2513+K2514+K2515+K2516+K2517+K2518+K2520+K2521+K2523+K2524+K2525+K2526+K2527+K2528+K2529+K2530+K2519)</f>
        <v>0</v>
      </c>
      <c r="L2535" s="399">
        <f>SUM(L2498:L2534)</f>
        <v>0</v>
      </c>
      <c r="M2535" s="398">
        <f>(M2498+M2499+M2500+M2501+M2502+M2503+M2507+M2506+M2504+M2505+M2508+M2509+M2510+M2511+M2512+M2513+M2514+M2515+M2516+M2517+M2518+M2520+M2521+M2523+M2524+M2525+M2526+M2527+M2528+M2529+M2530)/2</f>
        <v>0</v>
      </c>
      <c r="N2535" s="376"/>
      <c r="O2535" s="41"/>
    </row>
    <row r="2536" spans="2:15" ht="17" thickBot="1" x14ac:dyDescent="0.25">
      <c r="C2536" s="825" t="s">
        <v>91</v>
      </c>
      <c r="D2536" s="826"/>
      <c r="E2536" s="381">
        <f>SUM(F2535:J2535)</f>
        <v>274</v>
      </c>
    </row>
    <row r="2537" spans="2:15" ht="16" thickBot="1" x14ac:dyDescent="0.25"/>
    <row r="2538" spans="2:15" ht="17" thickBot="1" x14ac:dyDescent="0.25">
      <c r="C2538" s="17"/>
      <c r="D2538" s="379" t="s">
        <v>83</v>
      </c>
      <c r="E2538" s="818" t="s">
        <v>64</v>
      </c>
      <c r="F2538" s="819"/>
      <c r="G2538" s="819"/>
      <c r="H2538" s="819"/>
      <c r="I2538" s="819"/>
      <c r="J2538" s="400" t="s">
        <v>76</v>
      </c>
      <c r="K2538" s="820">
        <v>45741</v>
      </c>
      <c r="L2538" s="821"/>
      <c r="M2538" s="821"/>
      <c r="N2538" s="821"/>
      <c r="O2538" s="822"/>
    </row>
    <row r="2539" spans="2:15" ht="16" thickBot="1" x14ac:dyDescent="0.25">
      <c r="B2539" s="175" t="s">
        <v>76</v>
      </c>
      <c r="C2539" s="175" t="s">
        <v>77</v>
      </c>
      <c r="D2539" s="823" t="s">
        <v>122</v>
      </c>
      <c r="E2539" s="824"/>
      <c r="F2539" s="175" t="s">
        <v>104</v>
      </c>
      <c r="G2539" s="395" t="s">
        <v>86</v>
      </c>
      <c r="H2539" s="175" t="s">
        <v>88</v>
      </c>
      <c r="I2539" s="395" t="s">
        <v>87</v>
      </c>
      <c r="J2539" s="401" t="s">
        <v>85</v>
      </c>
      <c r="K2539" s="395" t="s">
        <v>123</v>
      </c>
      <c r="L2539" s="175" t="s">
        <v>124</v>
      </c>
      <c r="M2539" s="395" t="s">
        <v>100</v>
      </c>
      <c r="N2539" s="175" t="s">
        <v>213</v>
      </c>
      <c r="O2539" s="404" t="s">
        <v>125</v>
      </c>
    </row>
    <row r="2540" spans="2:15" ht="16" thickBot="1" x14ac:dyDescent="0.25">
      <c r="B2540" s="176">
        <f>K2538</f>
        <v>45741</v>
      </c>
      <c r="C2540" s="374"/>
      <c r="D2540" s="375" t="s">
        <v>126</v>
      </c>
      <c r="E2540" s="387" t="s">
        <v>127</v>
      </c>
      <c r="F2540" s="331">
        <v>14</v>
      </c>
      <c r="G2540" s="237">
        <v>6</v>
      </c>
      <c r="H2540" s="331">
        <v>2</v>
      </c>
      <c r="I2540" s="237">
        <v>5</v>
      </c>
      <c r="J2540" s="331">
        <v>8</v>
      </c>
      <c r="K2540" s="231"/>
      <c r="L2540" s="125"/>
      <c r="M2540" s="231"/>
      <c r="N2540" s="125"/>
      <c r="O2540" s="326"/>
    </row>
    <row r="2541" spans="2:15" ht="16" x14ac:dyDescent="0.2">
      <c r="C2541" s="118">
        <v>1</v>
      </c>
      <c r="D2541" s="382">
        <v>0.31944444444444448</v>
      </c>
      <c r="E2541" s="388">
        <v>0.34027777777777773</v>
      </c>
      <c r="F2541" s="393"/>
      <c r="G2541" s="396">
        <v>28</v>
      </c>
      <c r="H2541" s="393"/>
      <c r="I2541" s="396"/>
      <c r="J2541" s="393"/>
      <c r="K2541" s="396"/>
      <c r="L2541" s="393"/>
      <c r="M2541" s="396"/>
      <c r="N2541" s="393"/>
      <c r="O2541" s="190"/>
    </row>
    <row r="2542" spans="2:15" ht="16" x14ac:dyDescent="0.2">
      <c r="C2542" s="119">
        <v>2</v>
      </c>
      <c r="D2542" s="383">
        <v>0.34722222222222227</v>
      </c>
      <c r="E2542" s="389">
        <v>0.36805555555555558</v>
      </c>
      <c r="F2542" s="385"/>
      <c r="G2542" s="391"/>
      <c r="H2542" s="385"/>
      <c r="I2542" s="391"/>
      <c r="J2542" s="385">
        <v>36</v>
      </c>
      <c r="K2542" s="391"/>
      <c r="L2542" s="385"/>
      <c r="M2542" s="391"/>
      <c r="N2542" s="385"/>
      <c r="O2542" s="190"/>
    </row>
    <row r="2543" spans="2:15" ht="16" x14ac:dyDescent="0.2">
      <c r="C2543" s="119">
        <v>3</v>
      </c>
      <c r="D2543" s="383">
        <v>0.45833333333333331</v>
      </c>
      <c r="E2543" s="389">
        <v>0.47916666666666669</v>
      </c>
      <c r="F2543" s="385"/>
      <c r="G2543" s="391">
        <v>28</v>
      </c>
      <c r="H2543" s="385"/>
      <c r="I2543" s="391"/>
      <c r="J2543" s="385"/>
      <c r="K2543" s="391"/>
      <c r="L2543" s="384"/>
      <c r="M2543" s="391"/>
      <c r="N2543" s="385"/>
      <c r="O2543" s="190"/>
    </row>
    <row r="2544" spans="2:15" ht="16" x14ac:dyDescent="0.2">
      <c r="C2544" s="119">
        <v>4</v>
      </c>
      <c r="D2544" s="383">
        <v>0.4861111111111111</v>
      </c>
      <c r="E2544" s="389">
        <v>0.50694444444444442</v>
      </c>
      <c r="F2544" s="385"/>
      <c r="G2544" s="391"/>
      <c r="H2544" s="316"/>
      <c r="I2544" s="391">
        <v>44</v>
      </c>
      <c r="J2544" s="385"/>
      <c r="K2544" s="391"/>
      <c r="L2544" s="402"/>
      <c r="M2544" s="391"/>
      <c r="N2544" s="385"/>
      <c r="O2544" s="190"/>
    </row>
    <row r="2545" spans="3:15" ht="16" x14ac:dyDescent="0.2">
      <c r="C2545" s="119">
        <v>5</v>
      </c>
      <c r="D2545" s="383">
        <v>0.51736111111111105</v>
      </c>
      <c r="E2545" s="389">
        <v>0.53819444444444442</v>
      </c>
      <c r="F2545" s="385"/>
      <c r="G2545" s="391">
        <v>28</v>
      </c>
      <c r="H2545" s="316"/>
      <c r="I2545" s="391"/>
      <c r="J2545" s="385"/>
      <c r="K2545" s="391"/>
      <c r="L2545" s="393"/>
      <c r="M2545" s="391"/>
      <c r="N2545" s="385"/>
      <c r="O2545" s="190"/>
    </row>
    <row r="2546" spans="3:15" ht="16" x14ac:dyDescent="0.2">
      <c r="C2546" s="119">
        <v>6</v>
      </c>
      <c r="D2546" s="383">
        <v>0.55555555555555558</v>
      </c>
      <c r="E2546" s="389">
        <v>0.57638888888888895</v>
      </c>
      <c r="F2546" s="385"/>
      <c r="G2546" s="391"/>
      <c r="H2546" s="316"/>
      <c r="I2546" s="391">
        <v>44</v>
      </c>
      <c r="J2546" s="385"/>
      <c r="K2546" s="391"/>
      <c r="L2546" s="393"/>
      <c r="M2546" s="391"/>
      <c r="N2546" s="385"/>
      <c r="O2546" s="190"/>
    </row>
    <row r="2547" spans="3:15" ht="16" x14ac:dyDescent="0.2">
      <c r="C2547" s="119">
        <v>7</v>
      </c>
      <c r="D2547" s="383">
        <v>0.57638888888888895</v>
      </c>
      <c r="E2547" s="389">
        <v>0.59722222222222221</v>
      </c>
      <c r="F2547" s="385"/>
      <c r="G2547" s="391"/>
      <c r="H2547" s="316">
        <v>28</v>
      </c>
      <c r="I2547" s="391"/>
      <c r="J2547" s="385"/>
      <c r="K2547" s="391"/>
      <c r="L2547" s="393"/>
      <c r="M2547" s="391"/>
      <c r="N2547" s="385"/>
      <c r="O2547" s="190"/>
    </row>
    <row r="2548" spans="3:15" ht="16" x14ac:dyDescent="0.2">
      <c r="C2548" s="119">
        <v>8</v>
      </c>
      <c r="D2548" s="383">
        <v>0.60069444444444442</v>
      </c>
      <c r="E2548" s="389">
        <v>0.62152777777777779</v>
      </c>
      <c r="F2548" s="385"/>
      <c r="G2548" s="391"/>
      <c r="H2548" s="316"/>
      <c r="I2548" s="391"/>
      <c r="J2548" s="385">
        <v>36</v>
      </c>
      <c r="K2548" s="391"/>
      <c r="L2548" s="385"/>
      <c r="M2548" s="391"/>
      <c r="N2548" s="385"/>
      <c r="O2548" s="190"/>
    </row>
    <row r="2549" spans="3:15" ht="16" x14ac:dyDescent="0.2">
      <c r="C2549" s="119">
        <v>9</v>
      </c>
      <c r="D2549" s="383">
        <v>0.62847222222222221</v>
      </c>
      <c r="E2549" s="389">
        <v>0.64930555555555558</v>
      </c>
      <c r="F2549" s="385">
        <v>28</v>
      </c>
      <c r="G2549" s="391"/>
      <c r="H2549" s="316"/>
      <c r="I2549" s="391"/>
      <c r="J2549" s="385"/>
      <c r="K2549" s="391"/>
      <c r="L2549" s="385"/>
      <c r="M2549" s="391"/>
      <c r="N2549" s="385"/>
      <c r="O2549" s="190"/>
    </row>
    <row r="2550" spans="3:15" ht="16" x14ac:dyDescent="0.2">
      <c r="C2550" s="119">
        <v>10</v>
      </c>
      <c r="D2550" s="383">
        <v>0.65625</v>
      </c>
      <c r="E2550" s="389">
        <v>0.67708333333333337</v>
      </c>
      <c r="F2550" s="385"/>
      <c r="G2550" s="391"/>
      <c r="H2550" s="316"/>
      <c r="I2550" s="391"/>
      <c r="J2550" s="385">
        <v>36</v>
      </c>
      <c r="K2550" s="391"/>
      <c r="L2550" s="385"/>
      <c r="M2550" s="391"/>
      <c r="N2550" s="385"/>
      <c r="O2550" s="190"/>
    </row>
    <row r="2551" spans="3:15" ht="16" x14ac:dyDescent="0.2">
      <c r="C2551" s="119">
        <v>11</v>
      </c>
      <c r="D2551" s="383">
        <v>0.68055555555555547</v>
      </c>
      <c r="E2551" s="389">
        <v>0.70138888888888884</v>
      </c>
      <c r="F2551" s="385">
        <v>28</v>
      </c>
      <c r="G2551" s="391"/>
      <c r="H2551" s="316"/>
      <c r="I2551" s="391"/>
      <c r="J2551" s="28"/>
      <c r="K2551" s="391"/>
      <c r="L2551" s="385"/>
      <c r="M2551" s="391"/>
      <c r="N2551" s="385"/>
      <c r="O2551" s="190"/>
    </row>
    <row r="2552" spans="3:15" ht="16" x14ac:dyDescent="0.2">
      <c r="C2552" s="193">
        <v>12</v>
      </c>
      <c r="D2552" s="383">
        <v>0.70486111111111116</v>
      </c>
      <c r="E2552" s="389">
        <v>0.72569444444444453</v>
      </c>
      <c r="F2552" s="385"/>
      <c r="G2552" s="391"/>
      <c r="H2552" s="316"/>
      <c r="I2552" s="391"/>
      <c r="J2552" s="385">
        <v>32</v>
      </c>
      <c r="K2552" s="391"/>
      <c r="L2552" s="385"/>
      <c r="M2552" s="391"/>
      <c r="N2552" s="385"/>
      <c r="O2552" s="190"/>
    </row>
    <row r="2553" spans="3:15" ht="16" x14ac:dyDescent="0.2">
      <c r="C2553" s="119">
        <v>13</v>
      </c>
      <c r="D2553" s="383">
        <v>0.73611111111111116</v>
      </c>
      <c r="E2553" s="389">
        <v>0.75694444444444453</v>
      </c>
      <c r="F2553" s="385">
        <v>28</v>
      </c>
      <c r="G2553" s="391"/>
      <c r="H2553" s="316"/>
      <c r="I2553" s="391"/>
      <c r="J2553" s="385"/>
      <c r="K2553" s="391"/>
      <c r="L2553" s="385"/>
      <c r="M2553" s="391"/>
      <c r="N2553" s="385"/>
      <c r="O2553" s="190"/>
    </row>
    <row r="2554" spans="3:15" ht="16" x14ac:dyDescent="0.2">
      <c r="C2554" s="119">
        <v>14</v>
      </c>
      <c r="D2554" s="383">
        <v>0.75694444444444453</v>
      </c>
      <c r="E2554" s="389">
        <v>0.77777777777777779</v>
      </c>
      <c r="F2554" s="385">
        <v>28</v>
      </c>
      <c r="G2554" s="391"/>
      <c r="H2554" s="316"/>
      <c r="I2554" s="391"/>
      <c r="J2554" s="385"/>
      <c r="K2554" s="391"/>
      <c r="L2554" s="385"/>
      <c r="M2554" s="391"/>
      <c r="N2554" s="385"/>
      <c r="O2554" s="190"/>
    </row>
    <row r="2555" spans="3:15" ht="16" x14ac:dyDescent="0.2">
      <c r="C2555" s="119">
        <v>15</v>
      </c>
      <c r="D2555" s="383">
        <v>0.77777777777777779</v>
      </c>
      <c r="E2555" s="389">
        <v>0.79861111111111116</v>
      </c>
      <c r="F2555" s="385">
        <v>28</v>
      </c>
      <c r="G2555" s="391"/>
      <c r="H2555" s="316"/>
      <c r="I2555" s="391"/>
      <c r="J2555" s="385"/>
      <c r="K2555" s="391"/>
      <c r="L2555" s="385"/>
      <c r="M2555" s="391"/>
      <c r="N2555" s="385"/>
      <c r="O2555" s="190"/>
    </row>
    <row r="2556" spans="3:15" ht="16" x14ac:dyDescent="0.2">
      <c r="C2556" s="119">
        <v>16</v>
      </c>
      <c r="D2556" s="383">
        <v>0.79861111111111116</v>
      </c>
      <c r="E2556" s="389">
        <v>0.81944444444444453</v>
      </c>
      <c r="F2556" s="385"/>
      <c r="G2556" s="391"/>
      <c r="H2556" s="316"/>
      <c r="I2556" s="391">
        <v>22</v>
      </c>
      <c r="J2556" s="385"/>
      <c r="K2556" s="391"/>
      <c r="L2556" s="385"/>
      <c r="M2556" s="391"/>
      <c r="N2556" s="385"/>
      <c r="O2556" s="190"/>
    </row>
    <row r="2557" spans="3:15" ht="16" x14ac:dyDescent="0.2">
      <c r="C2557" s="119">
        <v>17</v>
      </c>
      <c r="D2557" s="383">
        <v>0.82638888888888884</v>
      </c>
      <c r="E2557" s="389">
        <v>0.84722222222222221</v>
      </c>
      <c r="F2557" s="384">
        <v>28</v>
      </c>
      <c r="G2557" s="33"/>
      <c r="H2557" s="316"/>
      <c r="I2557" s="390"/>
      <c r="J2557" s="385"/>
      <c r="K2557" s="391"/>
      <c r="L2557" s="385"/>
      <c r="M2557" s="391"/>
      <c r="N2557" s="385"/>
      <c r="O2557" s="190"/>
    </row>
    <row r="2558" spans="3:15" ht="16" x14ac:dyDescent="0.2">
      <c r="C2558" s="119">
        <v>18</v>
      </c>
      <c r="D2558" s="383">
        <v>0.85763888888888884</v>
      </c>
      <c r="E2558" s="389">
        <v>0.87847222222222221</v>
      </c>
      <c r="F2558" s="394">
        <v>28</v>
      </c>
      <c r="G2558" s="229"/>
      <c r="H2558" s="394"/>
      <c r="I2558" s="391"/>
      <c r="J2558" s="385"/>
      <c r="K2558" s="391"/>
      <c r="L2558" s="385"/>
      <c r="M2558" s="391"/>
      <c r="N2558" s="385"/>
      <c r="O2558" s="190"/>
    </row>
    <row r="2559" spans="3:15" ht="16" x14ac:dyDescent="0.2">
      <c r="C2559" s="119">
        <v>19</v>
      </c>
      <c r="D2559" s="383"/>
      <c r="E2559" s="389"/>
      <c r="F2559" s="385"/>
      <c r="G2559" s="391"/>
      <c r="H2559" s="385"/>
      <c r="I2559" s="391"/>
      <c r="J2559" s="385"/>
      <c r="K2559" s="391"/>
      <c r="L2559" s="403"/>
      <c r="M2559" s="391"/>
      <c r="N2559" s="385"/>
      <c r="O2559" s="190"/>
    </row>
    <row r="2560" spans="3:15" ht="16" x14ac:dyDescent="0.2">
      <c r="C2560" s="119">
        <v>20</v>
      </c>
      <c r="D2560" s="383"/>
      <c r="E2560" s="389"/>
      <c r="F2560" s="385"/>
      <c r="G2560" s="391"/>
      <c r="H2560" s="385"/>
      <c r="I2560" s="391"/>
      <c r="J2560" s="385"/>
      <c r="K2560" s="391"/>
      <c r="L2560" s="403"/>
      <c r="M2560" s="391"/>
      <c r="N2560" s="385"/>
      <c r="O2560" s="190"/>
    </row>
    <row r="2561" spans="2:15" ht="16" x14ac:dyDescent="0.2">
      <c r="C2561" s="119">
        <v>21</v>
      </c>
      <c r="D2561" s="383"/>
      <c r="E2561" s="389"/>
      <c r="F2561" s="385"/>
      <c r="G2561" s="391"/>
      <c r="H2561" s="385"/>
      <c r="I2561" s="391"/>
      <c r="J2561" s="385"/>
      <c r="K2561" s="391"/>
      <c r="L2561" s="385"/>
      <c r="M2561" s="391"/>
      <c r="N2561" s="385"/>
      <c r="O2561" s="190"/>
    </row>
    <row r="2562" spans="2:15" ht="16" x14ac:dyDescent="0.2">
      <c r="C2562" s="119">
        <v>22</v>
      </c>
      <c r="D2562" s="383"/>
      <c r="E2562" s="389"/>
      <c r="F2562" s="385"/>
      <c r="G2562" s="391"/>
      <c r="H2562" s="385"/>
      <c r="I2562" s="391"/>
      <c r="J2562" s="385"/>
      <c r="K2562" s="391"/>
      <c r="L2562" s="385"/>
      <c r="M2562" s="391"/>
      <c r="N2562" s="385"/>
      <c r="O2562" s="190"/>
    </row>
    <row r="2563" spans="2:15" ht="16" x14ac:dyDescent="0.2">
      <c r="C2563" s="119">
        <v>23</v>
      </c>
      <c r="D2563" s="383"/>
      <c r="E2563" s="389"/>
      <c r="F2563" s="385"/>
      <c r="G2563" s="391"/>
      <c r="H2563" s="385"/>
      <c r="I2563" s="391"/>
      <c r="J2563" s="385"/>
      <c r="K2563" s="391"/>
      <c r="L2563" s="385"/>
      <c r="M2563" s="391"/>
      <c r="N2563" s="385"/>
      <c r="O2563" s="190"/>
    </row>
    <row r="2564" spans="2:15" ht="16" x14ac:dyDescent="0.2">
      <c r="C2564" s="119">
        <v>24</v>
      </c>
      <c r="D2564" s="383"/>
      <c r="E2564" s="389"/>
      <c r="F2564" s="385"/>
      <c r="G2564" s="391"/>
      <c r="H2564" s="385"/>
      <c r="I2564" s="391"/>
      <c r="J2564" s="385"/>
      <c r="K2564" s="391"/>
      <c r="L2564" s="385"/>
      <c r="M2564" s="391"/>
      <c r="N2564" s="385"/>
      <c r="O2564" s="190"/>
    </row>
    <row r="2565" spans="2:15" ht="16" x14ac:dyDescent="0.2">
      <c r="C2565" s="119">
        <v>25</v>
      </c>
      <c r="D2565" s="383"/>
      <c r="E2565" s="389"/>
      <c r="F2565" s="385"/>
      <c r="G2565" s="391"/>
      <c r="H2565" s="385"/>
      <c r="I2565" s="391"/>
      <c r="J2565" s="385"/>
      <c r="K2565" s="391"/>
      <c r="L2565" s="385"/>
      <c r="M2565" s="391"/>
      <c r="N2565" s="385"/>
      <c r="O2565" s="190"/>
    </row>
    <row r="2566" spans="2:15" ht="16" x14ac:dyDescent="0.2">
      <c r="C2566" s="119">
        <v>26</v>
      </c>
      <c r="D2566" s="383"/>
      <c r="E2566" s="389"/>
      <c r="F2566" s="385"/>
      <c r="G2566" s="391"/>
      <c r="H2566" s="385"/>
      <c r="I2566" s="391"/>
      <c r="J2566" s="385"/>
      <c r="K2566" s="391"/>
      <c r="L2566" s="385"/>
      <c r="M2566" s="391"/>
      <c r="N2566" s="385"/>
      <c r="O2566" s="190"/>
    </row>
    <row r="2567" spans="2:15" ht="16" x14ac:dyDescent="0.2">
      <c r="C2567" s="119">
        <v>27</v>
      </c>
      <c r="D2567" s="383"/>
      <c r="E2567" s="389"/>
      <c r="F2567" s="385"/>
      <c r="G2567" s="391"/>
      <c r="H2567" s="385"/>
      <c r="I2567" s="391"/>
      <c r="J2567" s="385"/>
      <c r="K2567" s="391"/>
      <c r="L2567" s="385"/>
      <c r="M2567" s="391"/>
      <c r="N2567" s="385"/>
      <c r="O2567" s="190"/>
    </row>
    <row r="2568" spans="2:15" ht="16" x14ac:dyDescent="0.2">
      <c r="C2568" s="119">
        <v>28</v>
      </c>
      <c r="D2568" s="383"/>
      <c r="E2568" s="389"/>
      <c r="F2568" s="385"/>
      <c r="G2568" s="391"/>
      <c r="H2568" s="385"/>
      <c r="I2568" s="391"/>
      <c r="J2568" s="385"/>
      <c r="K2568" s="391"/>
      <c r="L2568" s="385"/>
      <c r="M2568" s="391"/>
      <c r="N2568" s="385"/>
      <c r="O2568" s="190"/>
    </row>
    <row r="2569" spans="2:15" ht="16" x14ac:dyDescent="0.2">
      <c r="C2569" s="119">
        <v>29</v>
      </c>
      <c r="D2569" s="383"/>
      <c r="E2569" s="389"/>
      <c r="F2569" s="385"/>
      <c r="G2569" s="391"/>
      <c r="H2569" s="385"/>
      <c r="I2569" s="391"/>
      <c r="J2569" s="385"/>
      <c r="K2569" s="391"/>
      <c r="L2569" s="385"/>
      <c r="M2569" s="391"/>
      <c r="N2569" s="385"/>
      <c r="O2569" s="190"/>
    </row>
    <row r="2570" spans="2:15" ht="16" x14ac:dyDescent="0.2">
      <c r="C2570" s="119">
        <v>30</v>
      </c>
      <c r="D2570" s="383"/>
      <c r="E2570" s="389"/>
      <c r="F2570" s="385"/>
      <c r="G2570" s="391"/>
      <c r="H2570" s="385"/>
      <c r="I2570" s="391"/>
      <c r="J2570" s="385"/>
      <c r="K2570" s="391"/>
      <c r="L2570" s="385"/>
      <c r="M2570" s="391"/>
      <c r="N2570" s="385"/>
      <c r="O2570" s="190"/>
    </row>
    <row r="2571" spans="2:15" ht="16" x14ac:dyDescent="0.2">
      <c r="C2571" s="120">
        <v>31</v>
      </c>
      <c r="D2571" s="383"/>
      <c r="E2571" s="389"/>
      <c r="F2571" s="384"/>
      <c r="G2571" s="390"/>
      <c r="H2571" s="384"/>
      <c r="I2571" s="390"/>
      <c r="J2571" s="384"/>
      <c r="K2571" s="390"/>
      <c r="L2571" s="384"/>
      <c r="M2571" s="390"/>
      <c r="N2571" s="384"/>
      <c r="O2571" s="190"/>
    </row>
    <row r="2572" spans="2:15" ht="16" x14ac:dyDescent="0.2">
      <c r="B2572" s="256"/>
      <c r="C2572" s="377">
        <v>32</v>
      </c>
      <c r="D2572" s="384"/>
      <c r="E2572" s="390"/>
      <c r="F2572" s="384"/>
      <c r="G2572" s="390"/>
      <c r="H2572" s="384"/>
      <c r="I2572" s="390"/>
      <c r="J2572" s="384"/>
      <c r="K2572" s="390"/>
      <c r="L2572" s="384"/>
      <c r="M2572" s="390"/>
      <c r="N2572" s="384"/>
      <c r="O2572" s="190"/>
    </row>
    <row r="2573" spans="2:15" ht="16" x14ac:dyDescent="0.2">
      <c r="B2573" s="256"/>
      <c r="C2573" s="119">
        <v>33</v>
      </c>
      <c r="D2573" s="385"/>
      <c r="E2573" s="391"/>
      <c r="F2573" s="385"/>
      <c r="G2573" s="391"/>
      <c r="H2573" s="385"/>
      <c r="I2573" s="391"/>
      <c r="J2573" s="385"/>
      <c r="K2573" s="391"/>
      <c r="L2573" s="385"/>
      <c r="M2573" s="391"/>
      <c r="N2573" s="385"/>
      <c r="O2573" s="190"/>
    </row>
    <row r="2574" spans="2:15" ht="16" x14ac:dyDescent="0.2">
      <c r="B2574" s="256"/>
      <c r="C2574" s="119">
        <v>34</v>
      </c>
      <c r="D2574" s="385"/>
      <c r="E2574" s="391"/>
      <c r="F2574" s="385"/>
      <c r="G2574" s="391"/>
      <c r="H2574" s="385"/>
      <c r="I2574" s="391"/>
      <c r="J2574" s="385"/>
      <c r="K2574" s="391"/>
      <c r="L2574" s="385"/>
      <c r="M2574" s="391"/>
      <c r="N2574" s="385"/>
      <c r="O2574" s="190"/>
    </row>
    <row r="2575" spans="2:15" ht="16" x14ac:dyDescent="0.2">
      <c r="B2575" s="256"/>
      <c r="C2575" s="119">
        <v>35</v>
      </c>
      <c r="D2575" s="385"/>
      <c r="E2575" s="391"/>
      <c r="F2575" s="385"/>
      <c r="G2575" s="391"/>
      <c r="H2575" s="385"/>
      <c r="I2575" s="391"/>
      <c r="J2575" s="385"/>
      <c r="K2575" s="391"/>
      <c r="L2575" s="385"/>
      <c r="M2575" s="391"/>
      <c r="N2575" s="385"/>
      <c r="O2575" s="190"/>
    </row>
    <row r="2576" spans="2:15" ht="16" x14ac:dyDescent="0.2">
      <c r="B2576" s="256"/>
      <c r="C2576" s="119">
        <v>36</v>
      </c>
      <c r="D2576" s="385"/>
      <c r="E2576" s="391"/>
      <c r="F2576" s="385"/>
      <c r="G2576" s="391"/>
      <c r="H2576" s="385"/>
      <c r="I2576" s="391"/>
      <c r="J2576" s="385"/>
      <c r="K2576" s="391"/>
      <c r="L2576" s="385"/>
      <c r="M2576" s="391"/>
      <c r="N2576" s="385"/>
      <c r="O2576" s="190"/>
    </row>
    <row r="2577" spans="2:15" ht="17" thickBot="1" x14ac:dyDescent="0.25">
      <c r="B2577" s="256"/>
      <c r="C2577" s="378">
        <v>37</v>
      </c>
      <c r="D2577" s="386"/>
      <c r="E2577" s="392"/>
      <c r="F2577" s="386"/>
      <c r="G2577" s="392"/>
      <c r="H2577" s="386"/>
      <c r="I2577" s="392"/>
      <c r="J2577" s="386"/>
      <c r="K2577" s="392"/>
      <c r="L2577" s="386"/>
      <c r="M2577" s="392"/>
      <c r="N2577" s="386"/>
      <c r="O2577" s="190"/>
    </row>
    <row r="2578" spans="2:15" ht="17" thickBot="1" x14ac:dyDescent="0.25">
      <c r="C2578" s="825" t="s">
        <v>19</v>
      </c>
      <c r="D2578" s="826"/>
      <c r="E2578" s="380"/>
      <c r="F2578" s="376">
        <f>(F2541+F2542+F2543+F2544+F2545+F2546+F2562+F2549+F2550+F2547+F2548+F2551+F2552+F2553+F2554+F2555+F2556+F2557+F2558+F2559+F2560+F2561+F2563+F2564+F2566+F2567+F2568+F2569+F2570+F2571+F2572+F2573+F2574+F2577)/2</f>
        <v>98</v>
      </c>
      <c r="G2578" s="397">
        <f>(G2541+G2542+G2543+G2544+G2545+G2562+G2546+G2550+G2549+G2547+G2548+G2551+G2552+G2553+G2554+G2555+G2556+G2557+G2558+G2559+G2560+G2561+G2563+G2564+G2566+G2567+G2568+G2569+G2570+G2571+G2572+G2573)/2</f>
        <v>42</v>
      </c>
      <c r="H2578" s="399">
        <f>(H2541+H2542+H2543+H2544+H2545+H2546+H2562+H2565+H2549+H2550+H2547+H2548+H2551+H2552+H2553+H2554+H2555+H2556+H2557+H2558+H2559+H2560+H2561+H2563+H2564+H2566+H2567+H2568+H2569+H2570+H2571+H2572+H2573+H2574+H2577)/2</f>
        <v>14</v>
      </c>
      <c r="I2578" s="398">
        <f>(I2541+I2542+I2543+I2544+I2545+I2575+I2576+I2546+I2562+I2549+I2565+I2550+I2547+I2548+I2551+I2552+I2553+I2554+I2555+I2556+I2557+I2558+I2559+I2560+I2561+I2563+I2564+I2566+I2567+I2568+I2569+I2570+I2571+I2572+I2573+I2574+I2577)/2</f>
        <v>55</v>
      </c>
      <c r="J2578" s="376">
        <f>(J2541+J2542+J2543+J2544+J2545+J2546+J2550+J2547+J2549+J2548+J2565+J2551+J2552+J2553+J2554+J2555+J2556+J2557+J2558+J2559+J2560+J2561+J2562+J2563+J2564+J2566+J2567+J2568+J2569+J2570+J2571+J2572+J2573)/2</f>
        <v>70</v>
      </c>
      <c r="K2578" s="397">
        <f>(K2541+K2542+K2543+K2544+K2545+K2546+K2550+K2547+K2548+K2551+K2552+K2553+K2554+K2555+K2556+K2557+K2558+K2559+K2560+K2561+K2563+K2564+K2566+K2567+K2568+K2569+K2570+K2571+K2572+K2573+K2562)</f>
        <v>0</v>
      </c>
      <c r="L2578" s="399">
        <f>SUM(L2541:L2577)</f>
        <v>0</v>
      </c>
      <c r="M2578" s="398">
        <f>(M2541+M2542+M2543+M2544+M2545+M2546+M2550+M2549+M2547+M2548+M2551+M2552+M2553+M2554+M2555+M2556+M2557+M2558+M2559+M2560+M2561+M2563+M2564+M2566+M2567+M2568+M2569+M2570+M2571+M2572+M2573)/2</f>
        <v>0</v>
      </c>
      <c r="N2578" s="376"/>
      <c r="O2578" s="41"/>
    </row>
    <row r="2579" spans="2:15" ht="17" thickBot="1" x14ac:dyDescent="0.25">
      <c r="C2579" s="825" t="s">
        <v>91</v>
      </c>
      <c r="D2579" s="826"/>
      <c r="E2579" s="381">
        <f>SUM(F2578:J2578)</f>
        <v>279</v>
      </c>
    </row>
    <row r="2580" spans="2:15" ht="16" thickBot="1" x14ac:dyDescent="0.25"/>
    <row r="2581" spans="2:15" ht="17" thickBot="1" x14ac:dyDescent="0.25">
      <c r="C2581" s="17"/>
      <c r="D2581" s="379" t="s">
        <v>83</v>
      </c>
      <c r="E2581" s="818" t="s">
        <v>66</v>
      </c>
      <c r="F2581" s="819"/>
      <c r="G2581" s="819"/>
      <c r="H2581" s="819"/>
      <c r="I2581" s="819"/>
      <c r="J2581" s="400" t="s">
        <v>76</v>
      </c>
      <c r="K2581" s="820">
        <v>45743</v>
      </c>
      <c r="L2581" s="821"/>
      <c r="M2581" s="821"/>
      <c r="N2581" s="821"/>
      <c r="O2581" s="822"/>
    </row>
    <row r="2582" spans="2:15" ht="16" thickBot="1" x14ac:dyDescent="0.25">
      <c r="B2582" s="175" t="s">
        <v>76</v>
      </c>
      <c r="C2582" s="175" t="s">
        <v>77</v>
      </c>
      <c r="D2582" s="823" t="s">
        <v>122</v>
      </c>
      <c r="E2582" s="824"/>
      <c r="F2582" s="175" t="s">
        <v>104</v>
      </c>
      <c r="G2582" s="395" t="s">
        <v>86</v>
      </c>
      <c r="H2582" s="175" t="s">
        <v>88</v>
      </c>
      <c r="I2582" s="395" t="s">
        <v>87</v>
      </c>
      <c r="J2582" s="401" t="s">
        <v>85</v>
      </c>
      <c r="K2582" s="395" t="s">
        <v>123</v>
      </c>
      <c r="L2582" s="175" t="s">
        <v>124</v>
      </c>
      <c r="M2582" s="395" t="s">
        <v>100</v>
      </c>
      <c r="N2582" s="175" t="s">
        <v>213</v>
      </c>
      <c r="O2582" s="404" t="s">
        <v>125</v>
      </c>
    </row>
    <row r="2583" spans="2:15" ht="16" thickBot="1" x14ac:dyDescent="0.25">
      <c r="B2583" s="176">
        <f>K2581</f>
        <v>45743</v>
      </c>
      <c r="C2583" s="374"/>
      <c r="D2583" s="375" t="s">
        <v>126</v>
      </c>
      <c r="E2583" s="387" t="s">
        <v>127</v>
      </c>
      <c r="F2583" s="331">
        <v>15</v>
      </c>
      <c r="G2583" s="237">
        <v>9</v>
      </c>
      <c r="H2583" s="331">
        <v>4</v>
      </c>
      <c r="I2583" s="237">
        <v>5</v>
      </c>
      <c r="J2583" s="331">
        <v>10</v>
      </c>
      <c r="K2583" s="231"/>
      <c r="L2583" s="125"/>
      <c r="M2583" s="231"/>
      <c r="N2583" s="125"/>
      <c r="O2583" s="326"/>
    </row>
    <row r="2584" spans="2:15" ht="16" x14ac:dyDescent="0.2">
      <c r="C2584" s="118">
        <v>1</v>
      </c>
      <c r="D2584" s="382">
        <v>0.30902777777777779</v>
      </c>
      <c r="E2584" s="388">
        <v>0.3298611111111111</v>
      </c>
      <c r="F2584" s="393"/>
      <c r="G2584" s="396">
        <v>28</v>
      </c>
      <c r="H2584" s="393"/>
      <c r="I2584" s="396"/>
      <c r="J2584" s="393"/>
      <c r="K2584" s="396"/>
      <c r="L2584" s="393"/>
      <c r="M2584" s="396"/>
      <c r="N2584" s="393"/>
      <c r="O2584" s="190"/>
    </row>
    <row r="2585" spans="2:15" ht="16" x14ac:dyDescent="0.2">
      <c r="C2585" s="119">
        <v>2</v>
      </c>
      <c r="D2585" s="383">
        <v>0.3298611111111111</v>
      </c>
      <c r="E2585" s="389">
        <v>0.35069444444444442</v>
      </c>
      <c r="F2585" s="385"/>
      <c r="G2585" s="391">
        <v>28</v>
      </c>
      <c r="H2585" s="385"/>
      <c r="I2585" s="391"/>
      <c r="J2585" s="385"/>
      <c r="K2585" s="391"/>
      <c r="L2585" s="385"/>
      <c r="M2585" s="391"/>
      <c r="N2585" s="385"/>
      <c r="O2585" s="190"/>
    </row>
    <row r="2586" spans="2:15" ht="16" x14ac:dyDescent="0.2">
      <c r="C2586" s="119">
        <v>3</v>
      </c>
      <c r="D2586" s="383">
        <v>0.35069444444444442</v>
      </c>
      <c r="E2586" s="389">
        <v>0.37152777777777773</v>
      </c>
      <c r="F2586" s="385"/>
      <c r="G2586" s="391">
        <v>28</v>
      </c>
      <c r="H2586" s="385"/>
      <c r="I2586" s="391"/>
      <c r="J2586" s="385"/>
      <c r="K2586" s="391"/>
      <c r="L2586" s="384"/>
      <c r="M2586" s="391"/>
      <c r="N2586" s="385"/>
      <c r="O2586" s="190"/>
    </row>
    <row r="2587" spans="2:15" ht="16" x14ac:dyDescent="0.2">
      <c r="C2587" s="119">
        <v>4</v>
      </c>
      <c r="D2587" s="383">
        <v>0.37847222222222227</v>
      </c>
      <c r="E2587" s="389">
        <v>0.39930555555555558</v>
      </c>
      <c r="F2587" s="385">
        <v>14</v>
      </c>
      <c r="G2587" s="391"/>
      <c r="H2587" s="316"/>
      <c r="I2587" s="391"/>
      <c r="J2587" s="385"/>
      <c r="K2587" s="391"/>
      <c r="L2587" s="402"/>
      <c r="M2587" s="391"/>
      <c r="N2587" s="385"/>
      <c r="O2587" s="190"/>
    </row>
    <row r="2588" spans="2:15" ht="16" x14ac:dyDescent="0.2">
      <c r="C2588" s="119">
        <v>5</v>
      </c>
      <c r="D2588" s="383">
        <v>0.38194444444444442</v>
      </c>
      <c r="E2588" s="389">
        <v>0.40277777777777773</v>
      </c>
      <c r="F2588" s="385"/>
      <c r="G2588" s="391">
        <v>14</v>
      </c>
      <c r="H2588" s="316"/>
      <c r="I2588" s="391"/>
      <c r="J2588" s="385"/>
      <c r="K2588" s="391"/>
      <c r="L2588" s="393"/>
      <c r="M2588" s="391"/>
      <c r="N2588" s="385"/>
      <c r="O2588" s="190"/>
    </row>
    <row r="2589" spans="2:15" ht="16" x14ac:dyDescent="0.2">
      <c r="C2589" s="119">
        <v>6</v>
      </c>
      <c r="D2589" s="383">
        <v>0.44444444444444442</v>
      </c>
      <c r="E2589" s="389">
        <v>0.46527777777777773</v>
      </c>
      <c r="F2589" s="385"/>
      <c r="G2589" s="391">
        <v>24</v>
      </c>
      <c r="H2589" s="316"/>
      <c r="I2589" s="391"/>
      <c r="J2589" s="385"/>
      <c r="K2589" s="391">
        <v>1</v>
      </c>
      <c r="L2589" s="393"/>
      <c r="M2589" s="391"/>
      <c r="N2589" s="385"/>
      <c r="O2589" s="190"/>
    </row>
    <row r="2590" spans="2:15" ht="16" x14ac:dyDescent="0.2">
      <c r="C2590" s="119">
        <v>7</v>
      </c>
      <c r="D2590" s="383">
        <v>0.47222222222222227</v>
      </c>
      <c r="E2590" s="389">
        <v>0.49305555555555558</v>
      </c>
      <c r="F2590" s="385"/>
      <c r="G2590" s="391"/>
      <c r="H2590" s="316"/>
      <c r="I2590" s="391">
        <v>44</v>
      </c>
      <c r="J2590" s="385"/>
      <c r="K2590" s="391"/>
      <c r="L2590" s="393"/>
      <c r="M2590" s="391"/>
      <c r="N2590" s="385"/>
      <c r="O2590" s="190"/>
    </row>
    <row r="2591" spans="2:15" ht="16" x14ac:dyDescent="0.2">
      <c r="C2591" s="119">
        <v>8</v>
      </c>
      <c r="D2591" s="383">
        <v>0.5</v>
      </c>
      <c r="E2591" s="389">
        <v>0.52083333333333337</v>
      </c>
      <c r="F2591" s="385"/>
      <c r="G2591" s="391"/>
      <c r="H2591" s="316">
        <v>28</v>
      </c>
      <c r="I2591" s="391"/>
      <c r="J2591" s="385"/>
      <c r="K2591" s="391"/>
      <c r="L2591" s="385"/>
      <c r="M2591" s="391"/>
      <c r="N2591" s="385"/>
      <c r="O2591" s="190"/>
    </row>
    <row r="2592" spans="2:15" ht="16" x14ac:dyDescent="0.2">
      <c r="C2592" s="119">
        <v>9</v>
      </c>
      <c r="D2592" s="383">
        <v>0.53472222222222221</v>
      </c>
      <c r="E2592" s="389">
        <v>0.55555555555555558</v>
      </c>
      <c r="F2592" s="385"/>
      <c r="G2592" s="391"/>
      <c r="H2592" s="316"/>
      <c r="I2592" s="391">
        <v>44</v>
      </c>
      <c r="J2592" s="385"/>
      <c r="K2592" s="391"/>
      <c r="L2592" s="385"/>
      <c r="M2592" s="391"/>
      <c r="N2592" s="385"/>
      <c r="O2592" s="190"/>
    </row>
    <row r="2593" spans="3:15" ht="16" x14ac:dyDescent="0.2">
      <c r="C2593" s="119">
        <v>10</v>
      </c>
      <c r="D2593" s="383">
        <v>0.56944444444444442</v>
      </c>
      <c r="E2593" s="389">
        <v>0.59027777777777779</v>
      </c>
      <c r="F2593" s="385"/>
      <c r="G2593" s="391"/>
      <c r="H2593" s="316">
        <v>28</v>
      </c>
      <c r="I2593" s="391"/>
      <c r="J2593" s="385"/>
      <c r="K2593" s="391"/>
      <c r="L2593" s="385"/>
      <c r="M2593" s="391"/>
      <c r="N2593" s="385"/>
      <c r="O2593" s="190"/>
    </row>
    <row r="2594" spans="3:15" ht="16" x14ac:dyDescent="0.2">
      <c r="C2594" s="119">
        <v>11</v>
      </c>
      <c r="D2594" s="383">
        <v>0.60069444444444442</v>
      </c>
      <c r="E2594" s="389">
        <v>0.62152777777777779</v>
      </c>
      <c r="F2594" s="385"/>
      <c r="G2594" s="391"/>
      <c r="H2594" s="316"/>
      <c r="I2594" s="391"/>
      <c r="J2594" s="28">
        <v>36</v>
      </c>
      <c r="K2594" s="391"/>
      <c r="L2594" s="385"/>
      <c r="M2594" s="391"/>
      <c r="N2594" s="385"/>
      <c r="O2594" s="190"/>
    </row>
    <row r="2595" spans="3:15" ht="16" x14ac:dyDescent="0.2">
      <c r="C2595" s="193">
        <v>12</v>
      </c>
      <c r="D2595" s="383">
        <v>0.62847222222222221</v>
      </c>
      <c r="E2595" s="389">
        <v>0.64930555555555558</v>
      </c>
      <c r="F2595" s="385">
        <v>24</v>
      </c>
      <c r="G2595" s="391"/>
      <c r="H2595" s="316"/>
      <c r="I2595" s="391"/>
      <c r="J2595" s="385"/>
      <c r="K2595" s="391">
        <v>1</v>
      </c>
      <c r="L2595" s="385"/>
      <c r="M2595" s="391"/>
      <c r="N2595" s="385"/>
      <c r="O2595" s="190"/>
    </row>
    <row r="2596" spans="3:15" ht="16" x14ac:dyDescent="0.2">
      <c r="C2596" s="119">
        <v>13</v>
      </c>
      <c r="D2596" s="383">
        <v>0.65972222222222221</v>
      </c>
      <c r="E2596" s="389">
        <v>0.68055555555555547</v>
      </c>
      <c r="F2596" s="385"/>
      <c r="G2596" s="391"/>
      <c r="H2596" s="316"/>
      <c r="I2596" s="391"/>
      <c r="J2596" s="385">
        <v>36</v>
      </c>
      <c r="K2596" s="391"/>
      <c r="L2596" s="385"/>
      <c r="M2596" s="391"/>
      <c r="N2596" s="385"/>
      <c r="O2596" s="190"/>
    </row>
    <row r="2597" spans="3:15" ht="16" x14ac:dyDescent="0.2">
      <c r="C2597" s="119">
        <v>14</v>
      </c>
      <c r="D2597" s="383">
        <v>0.6875</v>
      </c>
      <c r="E2597" s="389">
        <v>0.70833333333333337</v>
      </c>
      <c r="F2597" s="385">
        <v>28</v>
      </c>
      <c r="G2597" s="391"/>
      <c r="H2597" s="316"/>
      <c r="I2597" s="391"/>
      <c r="J2597" s="385"/>
      <c r="K2597" s="391"/>
      <c r="L2597" s="385"/>
      <c r="M2597" s="391"/>
      <c r="N2597" s="385"/>
      <c r="O2597" s="190"/>
    </row>
    <row r="2598" spans="3:15" ht="16" x14ac:dyDescent="0.2">
      <c r="C2598" s="119">
        <v>15</v>
      </c>
      <c r="D2598" s="383">
        <v>0.71527777777777779</v>
      </c>
      <c r="E2598" s="389">
        <v>0.73611111111111116</v>
      </c>
      <c r="F2598" s="385"/>
      <c r="G2598" s="391"/>
      <c r="H2598" s="316"/>
      <c r="I2598" s="391"/>
      <c r="J2598" s="385">
        <v>36</v>
      </c>
      <c r="K2598" s="391"/>
      <c r="L2598" s="385"/>
      <c r="M2598" s="391"/>
      <c r="N2598" s="385"/>
      <c r="O2598" s="190"/>
    </row>
    <row r="2599" spans="3:15" ht="16" x14ac:dyDescent="0.2">
      <c r="C2599" s="119">
        <v>16</v>
      </c>
      <c r="D2599" s="383">
        <v>0.73958333333333337</v>
      </c>
      <c r="E2599" s="389">
        <v>0.76041666666666663</v>
      </c>
      <c r="F2599" s="385">
        <v>28</v>
      </c>
      <c r="G2599" s="391"/>
      <c r="H2599" s="316"/>
      <c r="I2599" s="391"/>
      <c r="J2599" s="385"/>
      <c r="K2599" s="391"/>
      <c r="L2599" s="385"/>
      <c r="M2599" s="391"/>
      <c r="N2599" s="385"/>
      <c r="O2599" s="190"/>
    </row>
    <row r="2600" spans="3:15" ht="16" x14ac:dyDescent="0.2">
      <c r="C2600" s="119">
        <v>17</v>
      </c>
      <c r="D2600" s="383">
        <v>0.76736111111111116</v>
      </c>
      <c r="E2600" s="389">
        <v>0.78819444444444453</v>
      </c>
      <c r="F2600" s="384"/>
      <c r="G2600" s="33"/>
      <c r="H2600" s="316"/>
      <c r="I2600" s="390"/>
      <c r="J2600" s="385">
        <v>36</v>
      </c>
      <c r="K2600" s="391"/>
      <c r="L2600" s="385"/>
      <c r="M2600" s="391"/>
      <c r="N2600" s="385"/>
      <c r="O2600" s="190"/>
    </row>
    <row r="2601" spans="3:15" ht="16" x14ac:dyDescent="0.2">
      <c r="C2601" s="119">
        <v>18</v>
      </c>
      <c r="D2601" s="383">
        <v>0.78819444444444453</v>
      </c>
      <c r="E2601" s="389">
        <v>0.80902777777777779</v>
      </c>
      <c r="F2601" s="394">
        <v>24</v>
      </c>
      <c r="G2601" s="229"/>
      <c r="H2601" s="394"/>
      <c r="I2601" s="391"/>
      <c r="J2601" s="385"/>
      <c r="K2601" s="391">
        <v>1</v>
      </c>
      <c r="L2601" s="385"/>
      <c r="M2601" s="391"/>
      <c r="N2601" s="385"/>
      <c r="O2601" s="190"/>
    </row>
    <row r="2602" spans="3:15" ht="16" x14ac:dyDescent="0.2">
      <c r="C2602" s="119">
        <v>19</v>
      </c>
      <c r="D2602" s="383">
        <v>0.84027777777777779</v>
      </c>
      <c r="E2602" s="389">
        <v>0.86111111111111116</v>
      </c>
      <c r="F2602" s="385"/>
      <c r="G2602" s="391"/>
      <c r="H2602" s="385"/>
      <c r="I2602" s="391"/>
      <c r="J2602" s="385">
        <v>28</v>
      </c>
      <c r="K2602" s="391"/>
      <c r="L2602" s="403"/>
      <c r="M2602" s="391"/>
      <c r="N2602" s="385"/>
      <c r="O2602" s="190"/>
    </row>
    <row r="2603" spans="3:15" ht="16" x14ac:dyDescent="0.2">
      <c r="C2603" s="119">
        <v>20</v>
      </c>
      <c r="D2603" s="383">
        <v>0.86111111111111116</v>
      </c>
      <c r="E2603" s="389">
        <v>0.88194444444444453</v>
      </c>
      <c r="F2603" s="385"/>
      <c r="G2603" s="391"/>
      <c r="H2603" s="385"/>
      <c r="I2603" s="391">
        <v>22</v>
      </c>
      <c r="J2603" s="385"/>
      <c r="K2603" s="391"/>
      <c r="L2603" s="403"/>
      <c r="M2603" s="391"/>
      <c r="N2603" s="385"/>
      <c r="O2603" s="190"/>
    </row>
    <row r="2604" spans="3:15" ht="16" x14ac:dyDescent="0.2">
      <c r="C2604" s="119">
        <v>21</v>
      </c>
      <c r="D2604" s="383">
        <v>0.875</v>
      </c>
      <c r="E2604" s="389">
        <v>0.89583333333333337</v>
      </c>
      <c r="F2604" s="385">
        <v>28</v>
      </c>
      <c r="G2604" s="391"/>
      <c r="H2604" s="385"/>
      <c r="I2604" s="391"/>
      <c r="J2604" s="385"/>
      <c r="K2604" s="391"/>
      <c r="L2604" s="385"/>
      <c r="M2604" s="391"/>
      <c r="N2604" s="385"/>
      <c r="O2604" s="190"/>
    </row>
    <row r="2605" spans="3:15" ht="16" x14ac:dyDescent="0.2">
      <c r="C2605" s="119">
        <v>22</v>
      </c>
      <c r="D2605" s="383">
        <v>0.89583333333333337</v>
      </c>
      <c r="E2605" s="389">
        <v>0.91666666666666663</v>
      </c>
      <c r="F2605" s="385">
        <v>28</v>
      </c>
      <c r="G2605" s="391"/>
      <c r="H2605" s="385"/>
      <c r="I2605" s="391"/>
      <c r="J2605" s="385"/>
      <c r="K2605" s="391"/>
      <c r="L2605" s="385"/>
      <c r="M2605" s="391"/>
      <c r="N2605" s="385"/>
      <c r="O2605" s="190"/>
    </row>
    <row r="2606" spans="3:15" ht="16" x14ac:dyDescent="0.2">
      <c r="C2606" s="119">
        <v>23</v>
      </c>
      <c r="D2606" s="383">
        <v>0.91666666666666663</v>
      </c>
      <c r="E2606" s="389">
        <v>0.9375</v>
      </c>
      <c r="F2606" s="385">
        <v>28</v>
      </c>
      <c r="G2606" s="391"/>
      <c r="H2606" s="385"/>
      <c r="I2606" s="391"/>
      <c r="J2606" s="385"/>
      <c r="K2606" s="391"/>
      <c r="L2606" s="385"/>
      <c r="M2606" s="391"/>
      <c r="N2606" s="385"/>
      <c r="O2606" s="190"/>
    </row>
    <row r="2607" spans="3:15" ht="16" x14ac:dyDescent="0.2">
      <c r="C2607" s="119">
        <v>24</v>
      </c>
      <c r="D2607" s="383"/>
      <c r="E2607" s="389"/>
      <c r="F2607" s="385"/>
      <c r="G2607" s="391"/>
      <c r="H2607" s="385"/>
      <c r="I2607" s="391"/>
      <c r="J2607" s="385"/>
      <c r="K2607" s="391"/>
      <c r="L2607" s="385"/>
      <c r="M2607" s="391"/>
      <c r="N2607" s="385"/>
      <c r="O2607" s="190"/>
    </row>
    <row r="2608" spans="3:15" ht="16" x14ac:dyDescent="0.2">
      <c r="C2608" s="119">
        <v>25</v>
      </c>
      <c r="D2608" s="383"/>
      <c r="E2608" s="389"/>
      <c r="F2608" s="385"/>
      <c r="G2608" s="391"/>
      <c r="H2608" s="385"/>
      <c r="I2608" s="391"/>
      <c r="J2608" s="385"/>
      <c r="K2608" s="391"/>
      <c r="L2608" s="385"/>
      <c r="M2608" s="391"/>
      <c r="N2608" s="385"/>
      <c r="O2608" s="190"/>
    </row>
    <row r="2609" spans="2:15" ht="16" x14ac:dyDescent="0.2">
      <c r="C2609" s="119">
        <v>26</v>
      </c>
      <c r="D2609" s="383"/>
      <c r="E2609" s="389"/>
      <c r="F2609" s="385"/>
      <c r="G2609" s="391"/>
      <c r="H2609" s="385"/>
      <c r="I2609" s="391"/>
      <c r="J2609" s="385"/>
      <c r="K2609" s="391"/>
      <c r="L2609" s="385"/>
      <c r="M2609" s="391"/>
      <c r="N2609" s="385"/>
      <c r="O2609" s="190"/>
    </row>
    <row r="2610" spans="2:15" ht="16" x14ac:dyDescent="0.2">
      <c r="C2610" s="119">
        <v>27</v>
      </c>
      <c r="D2610" s="383"/>
      <c r="E2610" s="389"/>
      <c r="F2610" s="385"/>
      <c r="G2610" s="391"/>
      <c r="H2610" s="385"/>
      <c r="I2610" s="391"/>
      <c r="J2610" s="385"/>
      <c r="K2610" s="391"/>
      <c r="L2610" s="385"/>
      <c r="M2610" s="391"/>
      <c r="N2610" s="385"/>
      <c r="O2610" s="190"/>
    </row>
    <row r="2611" spans="2:15" ht="16" x14ac:dyDescent="0.2">
      <c r="C2611" s="119">
        <v>28</v>
      </c>
      <c r="D2611" s="383"/>
      <c r="E2611" s="389"/>
      <c r="F2611" s="385"/>
      <c r="G2611" s="391"/>
      <c r="H2611" s="385"/>
      <c r="I2611" s="391"/>
      <c r="J2611" s="385"/>
      <c r="K2611" s="391"/>
      <c r="L2611" s="385"/>
      <c r="M2611" s="391"/>
      <c r="N2611" s="385"/>
      <c r="O2611" s="190"/>
    </row>
    <row r="2612" spans="2:15" ht="16" x14ac:dyDescent="0.2">
      <c r="C2612" s="119">
        <v>29</v>
      </c>
      <c r="D2612" s="383"/>
      <c r="E2612" s="389"/>
      <c r="F2612" s="385"/>
      <c r="G2612" s="391"/>
      <c r="H2612" s="385"/>
      <c r="I2612" s="391"/>
      <c r="J2612" s="385"/>
      <c r="K2612" s="391"/>
      <c r="L2612" s="385"/>
      <c r="M2612" s="391"/>
      <c r="N2612" s="385"/>
      <c r="O2612" s="190"/>
    </row>
    <row r="2613" spans="2:15" ht="16" x14ac:dyDescent="0.2">
      <c r="C2613" s="119">
        <v>30</v>
      </c>
      <c r="D2613" s="383"/>
      <c r="E2613" s="389"/>
      <c r="F2613" s="385"/>
      <c r="G2613" s="391"/>
      <c r="H2613" s="385"/>
      <c r="I2613" s="391"/>
      <c r="J2613" s="385"/>
      <c r="K2613" s="391"/>
      <c r="L2613" s="385"/>
      <c r="M2613" s="391"/>
      <c r="N2613" s="385"/>
      <c r="O2613" s="190"/>
    </row>
    <row r="2614" spans="2:15" ht="16" x14ac:dyDescent="0.2">
      <c r="C2614" s="120">
        <v>31</v>
      </c>
      <c r="D2614" s="383"/>
      <c r="E2614" s="389"/>
      <c r="F2614" s="384"/>
      <c r="G2614" s="390"/>
      <c r="H2614" s="384"/>
      <c r="I2614" s="390"/>
      <c r="J2614" s="384"/>
      <c r="K2614" s="390"/>
      <c r="L2614" s="384"/>
      <c r="M2614" s="390"/>
      <c r="N2614" s="384"/>
      <c r="O2614" s="190"/>
    </row>
    <row r="2615" spans="2:15" ht="16" x14ac:dyDescent="0.2">
      <c r="B2615" s="256"/>
      <c r="C2615" s="377">
        <v>32</v>
      </c>
      <c r="D2615" s="384"/>
      <c r="E2615" s="390"/>
      <c r="F2615" s="384"/>
      <c r="G2615" s="390"/>
      <c r="H2615" s="384"/>
      <c r="I2615" s="390"/>
      <c r="J2615" s="384"/>
      <c r="K2615" s="390"/>
      <c r="L2615" s="384"/>
      <c r="M2615" s="390"/>
      <c r="N2615" s="384"/>
      <c r="O2615" s="190"/>
    </row>
    <row r="2616" spans="2:15" ht="16" x14ac:dyDescent="0.2">
      <c r="B2616" s="256"/>
      <c r="C2616" s="119">
        <v>33</v>
      </c>
      <c r="D2616" s="385"/>
      <c r="E2616" s="391"/>
      <c r="F2616" s="385"/>
      <c r="G2616" s="391"/>
      <c r="H2616" s="385"/>
      <c r="I2616" s="391"/>
      <c r="J2616" s="385"/>
      <c r="K2616" s="391"/>
      <c r="L2616" s="385"/>
      <c r="M2616" s="391"/>
      <c r="N2616" s="385"/>
      <c r="O2616" s="190"/>
    </row>
    <row r="2617" spans="2:15" ht="16" x14ac:dyDescent="0.2">
      <c r="B2617" s="256"/>
      <c r="C2617" s="119">
        <v>34</v>
      </c>
      <c r="D2617" s="385"/>
      <c r="E2617" s="391"/>
      <c r="F2617" s="385"/>
      <c r="G2617" s="391"/>
      <c r="H2617" s="385"/>
      <c r="I2617" s="391"/>
      <c r="J2617" s="385"/>
      <c r="K2617" s="391"/>
      <c r="L2617" s="385"/>
      <c r="M2617" s="391"/>
      <c r="N2617" s="385"/>
      <c r="O2617" s="190"/>
    </row>
    <row r="2618" spans="2:15" ht="16" x14ac:dyDescent="0.2">
      <c r="B2618" s="256"/>
      <c r="C2618" s="119">
        <v>35</v>
      </c>
      <c r="D2618" s="385"/>
      <c r="E2618" s="391"/>
      <c r="F2618" s="385"/>
      <c r="G2618" s="391"/>
      <c r="H2618" s="385"/>
      <c r="I2618" s="391"/>
      <c r="J2618" s="385"/>
      <c r="K2618" s="391"/>
      <c r="L2618" s="385"/>
      <c r="M2618" s="391"/>
      <c r="N2618" s="385"/>
      <c r="O2618" s="190"/>
    </row>
    <row r="2619" spans="2:15" ht="16" x14ac:dyDescent="0.2">
      <c r="B2619" s="256"/>
      <c r="C2619" s="119">
        <v>36</v>
      </c>
      <c r="D2619" s="385"/>
      <c r="E2619" s="391"/>
      <c r="F2619" s="385"/>
      <c r="G2619" s="391"/>
      <c r="H2619" s="385"/>
      <c r="I2619" s="391"/>
      <c r="J2619" s="385"/>
      <c r="K2619" s="391"/>
      <c r="L2619" s="385"/>
      <c r="M2619" s="391"/>
      <c r="N2619" s="385"/>
      <c r="O2619" s="190"/>
    </row>
    <row r="2620" spans="2:15" ht="17" thickBot="1" x14ac:dyDescent="0.25">
      <c r="B2620" s="256"/>
      <c r="C2620" s="378">
        <v>37</v>
      </c>
      <c r="D2620" s="386"/>
      <c r="E2620" s="392"/>
      <c r="F2620" s="386"/>
      <c r="G2620" s="392"/>
      <c r="H2620" s="386"/>
      <c r="I2620" s="392"/>
      <c r="J2620" s="386"/>
      <c r="K2620" s="392"/>
      <c r="L2620" s="386"/>
      <c r="M2620" s="392"/>
      <c r="N2620" s="386"/>
      <c r="O2620" s="190"/>
    </row>
    <row r="2621" spans="2:15" ht="17" thickBot="1" x14ac:dyDescent="0.25">
      <c r="C2621" s="825" t="s">
        <v>19</v>
      </c>
      <c r="D2621" s="826"/>
      <c r="E2621" s="380"/>
      <c r="F2621" s="376">
        <f>(F2584+F2585+F2586+F2587+F2588+F2589+F2605+F2592+F2593+F2590+F2591+F2594+F2595+F2596+F2597+F2598+F2599+F2600+F2601+F2602+F2603+F2604+F2606+F2607+F2609+F2610+F2611+F2612+F2613+F2614+F2615+F2616+F2617+F2620)/2</f>
        <v>101</v>
      </c>
      <c r="G2621" s="397">
        <f>(G2584+G2585+G2586+G2587+G2588+G2605+G2589+G2593+G2592+G2590+G2591+G2594+G2595+G2596+G2597+G2598+G2599+G2600+G2601+G2602+G2603+G2604+G2606+G2607+G2609+G2610+G2611+G2612+G2613+G2614+G2615+G2616)/2</f>
        <v>61</v>
      </c>
      <c r="H2621" s="399">
        <f>(H2584+H2585+H2586+H2587+H2588+H2589+H2605+H2608+H2592+H2593+H2590+H2591+H2594+H2595+H2596+H2597+H2598+H2599+H2600+H2601+H2602+H2603+H2604+H2606+H2607+H2609+H2610+H2611+H2612+H2613+H2614+H2615+H2616+H2617+H2620)/2</f>
        <v>28</v>
      </c>
      <c r="I2621" s="398">
        <f>(I2584+I2585+I2586+I2587+I2588+I2618+I2619+I2589+I2605+I2592+I2608+I2593+I2590+I2591+I2594+I2595+I2596+I2597+I2598+I2599+I2600+I2601+I2602+I2603+I2604+I2606+I2607+I2609+I2610+I2611+I2612+I2613+I2614+I2615+I2616+I2617+I2620)/2</f>
        <v>55</v>
      </c>
      <c r="J2621" s="376">
        <f>(J2584+J2585+J2586+J2587+J2588+J2589+J2593+J2590+J2592+J2591+J2608+J2594+J2595+J2596+J2597+J2598+J2599+J2600+J2601+J2602+J2603+J2604+J2605+J2606+J2607+J2609+J2610+J2611+J2612+J2613+J2614+J2615+J2616)/2</f>
        <v>86</v>
      </c>
      <c r="K2621" s="397">
        <f>(K2584+K2585+K2586+K2587+K2588+K2589+K2593+K2590+K2591+K2594+K2595+K2596+K2597+K2598+K2599+K2600+K2601+K2602+K2603+K2604+K2606+K2607+K2609+K2610+K2611+K2612+K2613+K2614+K2615+K2616+K2605)</f>
        <v>3</v>
      </c>
      <c r="L2621" s="399">
        <f>SUM(L2584:L2620)</f>
        <v>0</v>
      </c>
      <c r="M2621" s="398">
        <f>(M2584+M2585+M2586+M2587+M2588+M2589+M2593+M2592+M2590+M2591+M2594+M2595+M2596+M2597+M2598+M2599+M2600+M2601+M2602+M2603+M2604+M2606+M2607+M2609+M2610+M2611+M2612+M2613+M2614+M2615+M2616)/2</f>
        <v>0</v>
      </c>
      <c r="N2621" s="376"/>
      <c r="O2621" s="41"/>
    </row>
    <row r="2622" spans="2:15" ht="17" thickBot="1" x14ac:dyDescent="0.25">
      <c r="C2622" s="825" t="s">
        <v>91</v>
      </c>
      <c r="D2622" s="826"/>
      <c r="E2622" s="381">
        <f>SUM(F2621:J2621)</f>
        <v>331</v>
      </c>
    </row>
    <row r="2623" spans="2:15" ht="16" thickBot="1" x14ac:dyDescent="0.25"/>
    <row r="2624" spans="2:15" ht="17" thickBot="1" x14ac:dyDescent="0.25">
      <c r="C2624" s="17"/>
      <c r="D2624" s="379" t="s">
        <v>83</v>
      </c>
      <c r="E2624" s="818" t="s">
        <v>68</v>
      </c>
      <c r="F2624" s="819"/>
      <c r="G2624" s="819"/>
      <c r="H2624" s="819"/>
      <c r="I2624" s="819"/>
      <c r="J2624" s="400" t="s">
        <v>76</v>
      </c>
      <c r="K2624" s="820">
        <v>45745</v>
      </c>
      <c r="L2624" s="821"/>
      <c r="M2624" s="821"/>
      <c r="N2624" s="821"/>
      <c r="O2624" s="822"/>
    </row>
    <row r="2625" spans="2:15" ht="16" thickBot="1" x14ac:dyDescent="0.25">
      <c r="B2625" s="175" t="s">
        <v>76</v>
      </c>
      <c r="C2625" s="175" t="s">
        <v>77</v>
      </c>
      <c r="D2625" s="823" t="s">
        <v>122</v>
      </c>
      <c r="E2625" s="824"/>
      <c r="F2625" s="175" t="s">
        <v>104</v>
      </c>
      <c r="G2625" s="395" t="s">
        <v>86</v>
      </c>
      <c r="H2625" s="175" t="s">
        <v>88</v>
      </c>
      <c r="I2625" s="395" t="s">
        <v>87</v>
      </c>
      <c r="J2625" s="401" t="s">
        <v>85</v>
      </c>
      <c r="K2625" s="395" t="s">
        <v>123</v>
      </c>
      <c r="L2625" s="175" t="s">
        <v>124</v>
      </c>
      <c r="M2625" s="395" t="s">
        <v>100</v>
      </c>
      <c r="N2625" s="175" t="s">
        <v>213</v>
      </c>
      <c r="O2625" s="404" t="s">
        <v>125</v>
      </c>
    </row>
    <row r="2626" spans="2:15" ht="16" thickBot="1" x14ac:dyDescent="0.25">
      <c r="B2626" s="176">
        <f>K2624</f>
        <v>45745</v>
      </c>
      <c r="C2626" s="374"/>
      <c r="D2626" s="375" t="s">
        <v>126</v>
      </c>
      <c r="E2626" s="387" t="s">
        <v>127</v>
      </c>
      <c r="F2626" s="331">
        <v>9</v>
      </c>
      <c r="G2626" s="237">
        <v>3</v>
      </c>
      <c r="H2626" s="331">
        <v>1</v>
      </c>
      <c r="I2626" s="237">
        <v>2</v>
      </c>
      <c r="J2626" s="331"/>
      <c r="K2626" s="231"/>
      <c r="L2626" s="125"/>
      <c r="M2626" s="231"/>
      <c r="N2626" s="125"/>
      <c r="O2626" s="326"/>
    </row>
    <row r="2627" spans="2:15" ht="16" x14ac:dyDescent="0.2">
      <c r="C2627" s="118">
        <v>1</v>
      </c>
      <c r="D2627" s="382">
        <v>0.30902777777777779</v>
      </c>
      <c r="E2627" s="388">
        <v>0.3298611111111111</v>
      </c>
      <c r="F2627" s="393"/>
      <c r="G2627" s="396">
        <v>28</v>
      </c>
      <c r="H2627" s="393"/>
      <c r="I2627" s="396"/>
      <c r="J2627" s="393"/>
      <c r="K2627" s="396"/>
      <c r="L2627" s="393"/>
      <c r="M2627" s="396"/>
      <c r="N2627" s="393"/>
      <c r="O2627" s="190"/>
    </row>
    <row r="2628" spans="2:15" ht="16" x14ac:dyDescent="0.2">
      <c r="C2628" s="119">
        <v>2</v>
      </c>
      <c r="D2628" s="383">
        <v>0.3298611111111111</v>
      </c>
      <c r="E2628" s="389">
        <v>0.35069444444444442</v>
      </c>
      <c r="F2628" s="385">
        <v>28</v>
      </c>
      <c r="G2628" s="391"/>
      <c r="H2628" s="385"/>
      <c r="I2628" s="391"/>
      <c r="J2628" s="385"/>
      <c r="K2628" s="391"/>
      <c r="L2628" s="385"/>
      <c r="M2628" s="391"/>
      <c r="N2628" s="385"/>
      <c r="O2628" s="190"/>
    </row>
    <row r="2629" spans="2:15" ht="16" x14ac:dyDescent="0.2">
      <c r="C2629" s="119">
        <v>3</v>
      </c>
      <c r="D2629" s="383">
        <v>0.34722222222222227</v>
      </c>
      <c r="E2629" s="389">
        <v>0.36805555555555558</v>
      </c>
      <c r="F2629" s="385"/>
      <c r="G2629" s="391">
        <v>14</v>
      </c>
      <c r="H2629" s="385"/>
      <c r="I2629" s="391"/>
      <c r="J2629" s="385"/>
      <c r="K2629" s="391"/>
      <c r="L2629" s="384"/>
      <c r="M2629" s="391"/>
      <c r="N2629" s="385"/>
      <c r="O2629" s="190"/>
    </row>
    <row r="2630" spans="2:15" ht="16" x14ac:dyDescent="0.2">
      <c r="C2630" s="119">
        <v>4</v>
      </c>
      <c r="D2630" s="383">
        <v>0.35069444444444442</v>
      </c>
      <c r="E2630" s="389">
        <v>0.37152777777777773</v>
      </c>
      <c r="F2630" s="385"/>
      <c r="G2630" s="391"/>
      <c r="H2630" s="316">
        <v>14</v>
      </c>
      <c r="I2630" s="391"/>
      <c r="J2630" s="385"/>
      <c r="K2630" s="391"/>
      <c r="L2630" s="402"/>
      <c r="M2630" s="391"/>
      <c r="N2630" s="385"/>
      <c r="O2630" s="190"/>
    </row>
    <row r="2631" spans="2:15" ht="16" x14ac:dyDescent="0.2">
      <c r="C2631" s="119">
        <v>5</v>
      </c>
      <c r="D2631" s="383">
        <v>0.37152777777777773</v>
      </c>
      <c r="E2631" s="389">
        <v>0.3923611111111111</v>
      </c>
      <c r="F2631" s="385">
        <v>14</v>
      </c>
      <c r="G2631" s="391"/>
      <c r="H2631" s="316"/>
      <c r="I2631" s="391"/>
      <c r="J2631" s="385"/>
      <c r="K2631" s="391"/>
      <c r="L2631" s="393"/>
      <c r="M2631" s="391"/>
      <c r="N2631" s="385"/>
      <c r="O2631" s="190"/>
    </row>
    <row r="2632" spans="2:15" ht="16" x14ac:dyDescent="0.2">
      <c r="C2632" s="119">
        <v>6</v>
      </c>
      <c r="D2632" s="383">
        <v>0.42708333333333331</v>
      </c>
      <c r="E2632" s="389">
        <v>0.44791666666666669</v>
      </c>
      <c r="F2632" s="385"/>
      <c r="G2632" s="391"/>
      <c r="H2632" s="316"/>
      <c r="I2632" s="391">
        <v>44</v>
      </c>
      <c r="J2632" s="385"/>
      <c r="K2632" s="391"/>
      <c r="L2632" s="393"/>
      <c r="M2632" s="391"/>
      <c r="N2632" s="385"/>
      <c r="O2632" s="190"/>
    </row>
    <row r="2633" spans="2:15" ht="16" x14ac:dyDescent="0.2">
      <c r="C2633" s="119">
        <v>7</v>
      </c>
      <c r="D2633" s="383">
        <v>0.45833333333333331</v>
      </c>
      <c r="E2633" s="389">
        <v>0.47916666666666669</v>
      </c>
      <c r="F2633" s="385">
        <v>28</v>
      </c>
      <c r="G2633" s="391"/>
      <c r="H2633" s="316"/>
      <c r="I2633" s="391"/>
      <c r="J2633" s="385"/>
      <c r="K2633" s="391"/>
      <c r="L2633" s="393"/>
      <c r="M2633" s="391"/>
      <c r="N2633" s="385"/>
      <c r="O2633" s="190"/>
    </row>
    <row r="2634" spans="2:15" ht="16" x14ac:dyDescent="0.2">
      <c r="C2634" s="119">
        <v>8</v>
      </c>
      <c r="D2634" s="383">
        <v>0.47916666666666669</v>
      </c>
      <c r="E2634" s="389">
        <v>0.5</v>
      </c>
      <c r="F2634" s="385">
        <v>28</v>
      </c>
      <c r="G2634" s="391"/>
      <c r="H2634" s="316"/>
      <c r="I2634" s="391"/>
      <c r="J2634" s="385"/>
      <c r="K2634" s="391"/>
      <c r="L2634" s="385"/>
      <c r="M2634" s="391"/>
      <c r="N2634" s="385"/>
      <c r="O2634" s="190"/>
    </row>
    <row r="2635" spans="2:15" ht="16" x14ac:dyDescent="0.2">
      <c r="C2635" s="119">
        <v>9</v>
      </c>
      <c r="D2635" s="383">
        <v>0.51041666666666663</v>
      </c>
      <c r="E2635" s="389">
        <v>0.53125</v>
      </c>
      <c r="F2635" s="385">
        <v>28</v>
      </c>
      <c r="G2635" s="391"/>
      <c r="H2635" s="316"/>
      <c r="I2635" s="391"/>
      <c r="J2635" s="385"/>
      <c r="K2635" s="391"/>
      <c r="L2635" s="385"/>
      <c r="M2635" s="391"/>
      <c r="N2635" s="385"/>
      <c r="O2635" s="190"/>
    </row>
    <row r="2636" spans="2:15" ht="16" x14ac:dyDescent="0.2">
      <c r="C2636" s="119">
        <v>10</v>
      </c>
      <c r="D2636" s="383"/>
      <c r="E2636" s="389"/>
      <c r="F2636" s="385"/>
      <c r="G2636" s="391"/>
      <c r="H2636" s="316"/>
      <c r="I2636" s="391"/>
      <c r="J2636" s="385"/>
      <c r="K2636" s="391"/>
      <c r="L2636" s="385"/>
      <c r="M2636" s="391"/>
      <c r="N2636" s="385"/>
      <c r="O2636" s="190"/>
    </row>
    <row r="2637" spans="2:15" ht="16" x14ac:dyDescent="0.2">
      <c r="C2637" s="119">
        <v>11</v>
      </c>
      <c r="D2637" s="383"/>
      <c r="E2637" s="389"/>
      <c r="F2637" s="385"/>
      <c r="G2637" s="391"/>
      <c r="H2637" s="316"/>
      <c r="I2637" s="391"/>
      <c r="J2637" s="28"/>
      <c r="K2637" s="391"/>
      <c r="L2637" s="385"/>
      <c r="M2637" s="391"/>
      <c r="N2637" s="385"/>
      <c r="O2637" s="190"/>
    </row>
    <row r="2638" spans="2:15" ht="16" x14ac:dyDescent="0.2">
      <c r="C2638" s="193">
        <v>12</v>
      </c>
      <c r="D2638" s="383"/>
      <c r="E2638" s="389"/>
      <c r="F2638" s="385"/>
      <c r="G2638" s="391"/>
      <c r="H2638" s="316"/>
      <c r="I2638" s="391"/>
      <c r="J2638" s="385"/>
      <c r="K2638" s="391"/>
      <c r="L2638" s="385"/>
      <c r="M2638" s="391"/>
      <c r="N2638" s="385"/>
      <c r="O2638" s="190"/>
    </row>
    <row r="2639" spans="2:15" ht="16" x14ac:dyDescent="0.2">
      <c r="C2639" s="119">
        <v>13</v>
      </c>
      <c r="D2639" s="383"/>
      <c r="E2639" s="389"/>
      <c r="F2639" s="385"/>
      <c r="G2639" s="391"/>
      <c r="H2639" s="316"/>
      <c r="I2639" s="391"/>
      <c r="J2639" s="385"/>
      <c r="K2639" s="391"/>
      <c r="L2639" s="385"/>
      <c r="M2639" s="391"/>
      <c r="N2639" s="385"/>
      <c r="O2639" s="190"/>
    </row>
    <row r="2640" spans="2:15" ht="16" x14ac:dyDescent="0.2">
      <c r="C2640" s="119">
        <v>14</v>
      </c>
      <c r="D2640" s="383"/>
      <c r="E2640" s="389"/>
      <c r="F2640" s="385"/>
      <c r="G2640" s="391"/>
      <c r="H2640" s="316"/>
      <c r="I2640" s="391"/>
      <c r="J2640" s="385"/>
      <c r="K2640" s="391"/>
      <c r="L2640" s="385"/>
      <c r="M2640" s="391"/>
      <c r="N2640" s="385"/>
      <c r="O2640" s="190"/>
    </row>
    <row r="2641" spans="3:15" ht="16" x14ac:dyDescent="0.2">
      <c r="C2641" s="119">
        <v>15</v>
      </c>
      <c r="D2641" s="383"/>
      <c r="E2641" s="389"/>
      <c r="F2641" s="385"/>
      <c r="G2641" s="391"/>
      <c r="H2641" s="316"/>
      <c r="I2641" s="391"/>
      <c r="J2641" s="385"/>
      <c r="K2641" s="391"/>
      <c r="L2641" s="385"/>
      <c r="M2641" s="391"/>
      <c r="N2641" s="385"/>
      <c r="O2641" s="190"/>
    </row>
    <row r="2642" spans="3:15" ht="16" x14ac:dyDescent="0.2">
      <c r="C2642" s="119">
        <v>16</v>
      </c>
      <c r="D2642" s="383"/>
      <c r="E2642" s="389"/>
      <c r="F2642" s="385"/>
      <c r="G2642" s="391"/>
      <c r="H2642" s="316"/>
      <c r="I2642" s="391"/>
      <c r="J2642" s="385"/>
      <c r="K2642" s="391"/>
      <c r="L2642" s="385"/>
      <c r="M2642" s="391"/>
      <c r="N2642" s="385"/>
      <c r="O2642" s="190"/>
    </row>
    <row r="2643" spans="3:15" ht="16" x14ac:dyDescent="0.2">
      <c r="C2643" s="119">
        <v>17</v>
      </c>
      <c r="D2643" s="383"/>
      <c r="E2643" s="389"/>
      <c r="F2643" s="384"/>
      <c r="G2643" s="33"/>
      <c r="H2643" s="316"/>
      <c r="I2643" s="390"/>
      <c r="J2643" s="385"/>
      <c r="K2643" s="391"/>
      <c r="L2643" s="385"/>
      <c r="M2643" s="391"/>
      <c r="N2643" s="385"/>
      <c r="O2643" s="190"/>
    </row>
    <row r="2644" spans="3:15" ht="16" x14ac:dyDescent="0.2">
      <c r="C2644" s="119">
        <v>18</v>
      </c>
      <c r="D2644" s="383"/>
      <c r="E2644" s="389"/>
      <c r="F2644" s="394"/>
      <c r="G2644" s="229"/>
      <c r="H2644" s="394"/>
      <c r="I2644" s="391"/>
      <c r="J2644" s="385"/>
      <c r="K2644" s="391"/>
      <c r="L2644" s="385"/>
      <c r="M2644" s="391"/>
      <c r="N2644" s="385"/>
      <c r="O2644" s="190"/>
    </row>
    <row r="2645" spans="3:15" ht="16" x14ac:dyDescent="0.2">
      <c r="C2645" s="119">
        <v>19</v>
      </c>
      <c r="D2645" s="383"/>
      <c r="E2645" s="389"/>
      <c r="F2645" s="385"/>
      <c r="G2645" s="391"/>
      <c r="H2645" s="385"/>
      <c r="I2645" s="391"/>
      <c r="J2645" s="385"/>
      <c r="K2645" s="391"/>
      <c r="L2645" s="403"/>
      <c r="M2645" s="391"/>
      <c r="N2645" s="385"/>
      <c r="O2645" s="190"/>
    </row>
    <row r="2646" spans="3:15" ht="16" x14ac:dyDescent="0.2">
      <c r="C2646" s="119">
        <v>20</v>
      </c>
      <c r="D2646" s="383"/>
      <c r="E2646" s="389"/>
      <c r="F2646" s="385"/>
      <c r="G2646" s="391"/>
      <c r="H2646" s="385"/>
      <c r="I2646" s="391"/>
      <c r="J2646" s="385"/>
      <c r="K2646" s="391"/>
      <c r="L2646" s="403"/>
      <c r="M2646" s="391"/>
      <c r="N2646" s="385"/>
      <c r="O2646" s="190"/>
    </row>
    <row r="2647" spans="3:15" ht="16" x14ac:dyDescent="0.2">
      <c r="C2647" s="119">
        <v>21</v>
      </c>
      <c r="D2647" s="383"/>
      <c r="E2647" s="389"/>
      <c r="F2647" s="385"/>
      <c r="G2647" s="391"/>
      <c r="H2647" s="385"/>
      <c r="I2647" s="391"/>
      <c r="J2647" s="385"/>
      <c r="K2647" s="391"/>
      <c r="L2647" s="385"/>
      <c r="M2647" s="391"/>
      <c r="N2647" s="385"/>
      <c r="O2647" s="190"/>
    </row>
    <row r="2648" spans="3:15" ht="16" x14ac:dyDescent="0.2">
      <c r="C2648" s="119">
        <v>22</v>
      </c>
      <c r="D2648" s="383"/>
      <c r="E2648" s="389"/>
      <c r="F2648" s="385"/>
      <c r="G2648" s="391"/>
      <c r="H2648" s="385"/>
      <c r="I2648" s="391"/>
      <c r="J2648" s="385"/>
      <c r="K2648" s="391"/>
      <c r="L2648" s="385"/>
      <c r="M2648" s="391"/>
      <c r="N2648" s="385"/>
      <c r="O2648" s="190"/>
    </row>
    <row r="2649" spans="3:15" ht="16" x14ac:dyDescent="0.2">
      <c r="C2649" s="119">
        <v>23</v>
      </c>
      <c r="D2649" s="383"/>
      <c r="E2649" s="389"/>
      <c r="F2649" s="385"/>
      <c r="G2649" s="391"/>
      <c r="H2649" s="385"/>
      <c r="I2649" s="391"/>
      <c r="J2649" s="385"/>
      <c r="K2649" s="391"/>
      <c r="L2649" s="385"/>
      <c r="M2649" s="391"/>
      <c r="N2649" s="385"/>
      <c r="O2649" s="190"/>
    </row>
    <row r="2650" spans="3:15" ht="16" x14ac:dyDescent="0.2">
      <c r="C2650" s="119">
        <v>24</v>
      </c>
      <c r="D2650" s="383"/>
      <c r="E2650" s="389"/>
      <c r="F2650" s="385"/>
      <c r="G2650" s="391"/>
      <c r="H2650" s="385"/>
      <c r="I2650" s="391"/>
      <c r="J2650" s="385"/>
      <c r="K2650" s="391"/>
      <c r="L2650" s="385"/>
      <c r="M2650" s="391"/>
      <c r="N2650" s="385"/>
      <c r="O2650" s="190"/>
    </row>
    <row r="2651" spans="3:15" ht="16" x14ac:dyDescent="0.2">
      <c r="C2651" s="119">
        <v>25</v>
      </c>
      <c r="D2651" s="383"/>
      <c r="E2651" s="389"/>
      <c r="F2651" s="385"/>
      <c r="G2651" s="391"/>
      <c r="H2651" s="385"/>
      <c r="I2651" s="391"/>
      <c r="J2651" s="385"/>
      <c r="K2651" s="391"/>
      <c r="L2651" s="385"/>
      <c r="M2651" s="391"/>
      <c r="N2651" s="385"/>
      <c r="O2651" s="190"/>
    </row>
    <row r="2652" spans="3:15" ht="16" x14ac:dyDescent="0.2">
      <c r="C2652" s="119">
        <v>26</v>
      </c>
      <c r="D2652" s="383"/>
      <c r="E2652" s="389"/>
      <c r="F2652" s="385"/>
      <c r="G2652" s="391"/>
      <c r="H2652" s="385"/>
      <c r="I2652" s="391"/>
      <c r="J2652" s="385"/>
      <c r="K2652" s="391"/>
      <c r="L2652" s="385"/>
      <c r="M2652" s="391"/>
      <c r="N2652" s="385"/>
      <c r="O2652" s="190"/>
    </row>
    <row r="2653" spans="3:15" ht="16" x14ac:dyDescent="0.2">
      <c r="C2653" s="119">
        <v>27</v>
      </c>
      <c r="D2653" s="383"/>
      <c r="E2653" s="389"/>
      <c r="F2653" s="385"/>
      <c r="G2653" s="391"/>
      <c r="H2653" s="385"/>
      <c r="I2653" s="391"/>
      <c r="J2653" s="385"/>
      <c r="K2653" s="391"/>
      <c r="L2653" s="385"/>
      <c r="M2653" s="391"/>
      <c r="N2653" s="385"/>
      <c r="O2653" s="190"/>
    </row>
    <row r="2654" spans="3:15" ht="16" x14ac:dyDescent="0.2">
      <c r="C2654" s="119">
        <v>28</v>
      </c>
      <c r="D2654" s="383"/>
      <c r="E2654" s="389"/>
      <c r="F2654" s="385"/>
      <c r="G2654" s="391"/>
      <c r="H2654" s="385"/>
      <c r="I2654" s="391"/>
      <c r="J2654" s="385"/>
      <c r="K2654" s="391"/>
      <c r="L2654" s="385"/>
      <c r="M2654" s="391"/>
      <c r="N2654" s="385"/>
      <c r="O2654" s="190"/>
    </row>
    <row r="2655" spans="3:15" ht="16" x14ac:dyDescent="0.2">
      <c r="C2655" s="119">
        <v>29</v>
      </c>
      <c r="D2655" s="383"/>
      <c r="E2655" s="389"/>
      <c r="F2655" s="385"/>
      <c r="G2655" s="391"/>
      <c r="H2655" s="385"/>
      <c r="I2655" s="391"/>
      <c r="J2655" s="385"/>
      <c r="K2655" s="391"/>
      <c r="L2655" s="385"/>
      <c r="M2655" s="391"/>
      <c r="N2655" s="385"/>
      <c r="O2655" s="190"/>
    </row>
    <row r="2656" spans="3:15" ht="16" x14ac:dyDescent="0.2">
      <c r="C2656" s="119">
        <v>30</v>
      </c>
      <c r="D2656" s="383"/>
      <c r="E2656" s="389"/>
      <c r="F2656" s="385"/>
      <c r="G2656" s="391"/>
      <c r="H2656" s="385"/>
      <c r="I2656" s="391"/>
      <c r="J2656" s="385"/>
      <c r="K2656" s="391"/>
      <c r="L2656" s="385"/>
      <c r="M2656" s="391"/>
      <c r="N2656" s="385"/>
      <c r="O2656" s="190"/>
    </row>
    <row r="2657" spans="2:15" ht="16" x14ac:dyDescent="0.2">
      <c r="C2657" s="120">
        <v>31</v>
      </c>
      <c r="D2657" s="383"/>
      <c r="E2657" s="389"/>
      <c r="F2657" s="384"/>
      <c r="G2657" s="390"/>
      <c r="H2657" s="384"/>
      <c r="I2657" s="390"/>
      <c r="J2657" s="384"/>
      <c r="K2657" s="390"/>
      <c r="L2657" s="384"/>
      <c r="M2657" s="390"/>
      <c r="N2657" s="384"/>
      <c r="O2657" s="190"/>
    </row>
    <row r="2658" spans="2:15" ht="16" x14ac:dyDescent="0.2">
      <c r="B2658" s="256"/>
      <c r="C2658" s="377">
        <v>32</v>
      </c>
      <c r="D2658" s="384"/>
      <c r="E2658" s="390"/>
      <c r="F2658" s="384"/>
      <c r="G2658" s="390"/>
      <c r="H2658" s="384"/>
      <c r="I2658" s="390"/>
      <c r="J2658" s="384"/>
      <c r="K2658" s="390"/>
      <c r="L2658" s="384"/>
      <c r="M2658" s="390"/>
      <c r="N2658" s="384"/>
      <c r="O2658" s="190"/>
    </row>
    <row r="2659" spans="2:15" ht="16" x14ac:dyDescent="0.2">
      <c r="B2659" s="256"/>
      <c r="C2659" s="119">
        <v>33</v>
      </c>
      <c r="D2659" s="385"/>
      <c r="E2659" s="391"/>
      <c r="F2659" s="385"/>
      <c r="G2659" s="391"/>
      <c r="H2659" s="385"/>
      <c r="I2659" s="391"/>
      <c r="J2659" s="385"/>
      <c r="K2659" s="391"/>
      <c r="L2659" s="385"/>
      <c r="M2659" s="391"/>
      <c r="N2659" s="385"/>
      <c r="O2659" s="190"/>
    </row>
    <row r="2660" spans="2:15" ht="16" x14ac:dyDescent="0.2">
      <c r="B2660" s="256"/>
      <c r="C2660" s="119">
        <v>34</v>
      </c>
      <c r="D2660" s="385"/>
      <c r="E2660" s="391"/>
      <c r="F2660" s="385"/>
      <c r="G2660" s="391"/>
      <c r="H2660" s="385"/>
      <c r="I2660" s="391"/>
      <c r="J2660" s="385"/>
      <c r="K2660" s="391"/>
      <c r="L2660" s="385"/>
      <c r="M2660" s="391"/>
      <c r="N2660" s="385"/>
      <c r="O2660" s="190"/>
    </row>
    <row r="2661" spans="2:15" ht="16" x14ac:dyDescent="0.2">
      <c r="B2661" s="256"/>
      <c r="C2661" s="119">
        <v>35</v>
      </c>
      <c r="D2661" s="385"/>
      <c r="E2661" s="391"/>
      <c r="F2661" s="385"/>
      <c r="G2661" s="391"/>
      <c r="H2661" s="385"/>
      <c r="I2661" s="391"/>
      <c r="J2661" s="385"/>
      <c r="K2661" s="391"/>
      <c r="L2661" s="385"/>
      <c r="M2661" s="391"/>
      <c r="N2661" s="385"/>
      <c r="O2661" s="190"/>
    </row>
    <row r="2662" spans="2:15" ht="16" x14ac:dyDescent="0.2">
      <c r="B2662" s="256"/>
      <c r="C2662" s="119">
        <v>36</v>
      </c>
      <c r="D2662" s="385"/>
      <c r="E2662" s="391"/>
      <c r="F2662" s="385"/>
      <c r="G2662" s="391"/>
      <c r="H2662" s="385"/>
      <c r="I2662" s="391"/>
      <c r="J2662" s="385"/>
      <c r="K2662" s="391"/>
      <c r="L2662" s="385"/>
      <c r="M2662" s="391"/>
      <c r="N2662" s="385"/>
      <c r="O2662" s="190"/>
    </row>
    <row r="2663" spans="2:15" ht="17" thickBot="1" x14ac:dyDescent="0.25">
      <c r="B2663" s="256"/>
      <c r="C2663" s="378">
        <v>37</v>
      </c>
      <c r="D2663" s="386"/>
      <c r="E2663" s="392"/>
      <c r="F2663" s="386"/>
      <c r="G2663" s="392"/>
      <c r="H2663" s="386"/>
      <c r="I2663" s="392"/>
      <c r="J2663" s="386"/>
      <c r="K2663" s="392"/>
      <c r="L2663" s="386"/>
      <c r="M2663" s="392"/>
      <c r="N2663" s="386"/>
      <c r="O2663" s="190"/>
    </row>
    <row r="2664" spans="2:15" ht="17" thickBot="1" x14ac:dyDescent="0.25">
      <c r="C2664" s="825" t="s">
        <v>19</v>
      </c>
      <c r="D2664" s="826"/>
      <c r="E2664" s="380"/>
      <c r="F2664" s="376">
        <f>(F2627+F2628+F2629+F2630+F2631+F2632+F2648+F2635+F2636+F2633+F2634+F2637+F2638+F2639+F2640+F2641+F2642+F2643+F2644+F2645+F2646+F2647+F2649+F2650+F2652+F2653+F2654+F2655+F2656+F2657+F2658+F2659+F2660+F2663)/2</f>
        <v>63</v>
      </c>
      <c r="G2664" s="397">
        <f>(G2627+G2628+G2629+G2630+G2631+G2648+G2632+G2636+G2635+G2633+G2634+G2637+G2638+G2639+G2640+G2641+G2642+G2643+G2644+G2645+G2646+G2647+G2649+G2650+G2652+G2653+G2654+G2655+G2656+G2657+G2658+G2659)/2</f>
        <v>21</v>
      </c>
      <c r="H2664" s="399">
        <f>(H2627+H2628+H2629+H2630+H2631+H2632+H2648+H2651+H2635+H2636+H2633+H2634+H2637+H2638+H2639+H2640+H2641+H2642+H2643+H2644+H2645+H2646+H2647+H2649+H2650+H2652+H2653+H2654+H2655+H2656+H2657+H2658+H2659+H2660+H2663)/2</f>
        <v>7</v>
      </c>
      <c r="I2664" s="398">
        <f>(I2627+I2628+I2629+I2630+I2631+I2661+I2662+I2632+I2648+I2635+I2651+I2636+I2633+I2634+I2637+I2638+I2639+I2640+I2641+I2642+I2643+I2644+I2645+I2646+I2647+I2649+I2650+I2652+I2653+I2654+I2655+I2656+I2657+I2658+I2659+I2660+I2663)/2</f>
        <v>22</v>
      </c>
      <c r="J2664" s="376">
        <f>(J2627+J2628+J2629+J2630+J2631+J2632+J2636+J2633+J2635+J2634+J2651+J2637+J2638+J2639+J2640+J2641+J2642+J2643+J2644+J2645+J2646+J2647+J2648+J2649+J2650+J2652+J2653+J2654+J2655+J2656+J2657+J2658+J2659)/2</f>
        <v>0</v>
      </c>
      <c r="K2664" s="397">
        <f>(K2627+K2628+K2629+K2630+K2631+K2632+K2636+K2633+K2634+K2637+K2638+K2639+K2640+K2641+K2642+K2643+K2644+K2645+K2646+K2647+K2649+K2650+K2652+K2653+K2654+K2655+K2656+K2657+K2658+K2659+K2648)</f>
        <v>0</v>
      </c>
      <c r="L2664" s="399">
        <f>SUM(L2627:L2663)</f>
        <v>0</v>
      </c>
      <c r="M2664" s="398">
        <f>(M2627+M2628+M2629+M2630+M2631+M2632+M2636+M2635+M2633+M2634+M2637+M2638+M2639+M2640+M2641+M2642+M2643+M2644+M2645+M2646+M2647+M2649+M2650+M2652+M2653+M2654+M2655+M2656+M2657+M2658+M2659)/2</f>
        <v>0</v>
      </c>
      <c r="N2664" s="376"/>
      <c r="O2664" s="41"/>
    </row>
    <row r="2665" spans="2:15" ht="17" thickBot="1" x14ac:dyDescent="0.25">
      <c r="C2665" s="825" t="s">
        <v>91</v>
      </c>
      <c r="D2665" s="826"/>
      <c r="E2665" s="381">
        <f>SUM(F2664:J2664)</f>
        <v>113</v>
      </c>
    </row>
    <row r="2666" spans="2:15" ht="16" thickBot="1" x14ac:dyDescent="0.25"/>
    <row r="2667" spans="2:15" ht="17" thickBot="1" x14ac:dyDescent="0.25">
      <c r="C2667" s="17"/>
      <c r="D2667" s="379" t="s">
        <v>83</v>
      </c>
      <c r="E2667" s="818" t="s">
        <v>69</v>
      </c>
      <c r="F2667" s="819"/>
      <c r="G2667" s="819"/>
      <c r="H2667" s="819"/>
      <c r="I2667" s="819"/>
      <c r="J2667" s="400" t="s">
        <v>76</v>
      </c>
      <c r="K2667" s="820">
        <v>45746</v>
      </c>
      <c r="L2667" s="821"/>
      <c r="M2667" s="821"/>
      <c r="N2667" s="821"/>
      <c r="O2667" s="822"/>
    </row>
    <row r="2668" spans="2:15" ht="16" thickBot="1" x14ac:dyDescent="0.25">
      <c r="B2668" s="175" t="s">
        <v>76</v>
      </c>
      <c r="C2668" s="175" t="s">
        <v>77</v>
      </c>
      <c r="D2668" s="823" t="s">
        <v>122</v>
      </c>
      <c r="E2668" s="824"/>
      <c r="F2668" s="175" t="s">
        <v>104</v>
      </c>
      <c r="G2668" s="395" t="s">
        <v>86</v>
      </c>
      <c r="H2668" s="175" t="s">
        <v>88</v>
      </c>
      <c r="I2668" s="395" t="s">
        <v>87</v>
      </c>
      <c r="J2668" s="401" t="s">
        <v>85</v>
      </c>
      <c r="K2668" s="395" t="s">
        <v>123</v>
      </c>
      <c r="L2668" s="175" t="s">
        <v>124</v>
      </c>
      <c r="M2668" s="395" t="s">
        <v>100</v>
      </c>
      <c r="N2668" s="175" t="s">
        <v>213</v>
      </c>
      <c r="O2668" s="404" t="s">
        <v>125</v>
      </c>
    </row>
    <row r="2669" spans="2:15" ht="16" thickBot="1" x14ac:dyDescent="0.25">
      <c r="B2669" s="176">
        <f>K2667</f>
        <v>45746</v>
      </c>
      <c r="C2669" s="374"/>
      <c r="D2669" s="375" t="s">
        <v>126</v>
      </c>
      <c r="E2669" s="387" t="s">
        <v>127</v>
      </c>
      <c r="F2669" s="331">
        <v>13</v>
      </c>
      <c r="G2669" s="237">
        <v>8</v>
      </c>
      <c r="H2669" s="331">
        <v>3</v>
      </c>
      <c r="I2669" s="237">
        <v>5</v>
      </c>
      <c r="J2669" s="331">
        <v>9</v>
      </c>
      <c r="K2669" s="231"/>
      <c r="L2669" s="125"/>
      <c r="M2669" s="231"/>
      <c r="N2669" s="125"/>
      <c r="O2669" s="326"/>
    </row>
    <row r="2670" spans="2:15" ht="16" x14ac:dyDescent="0.2">
      <c r="C2670" s="118">
        <v>1</v>
      </c>
      <c r="D2670" s="382">
        <v>0.3125</v>
      </c>
      <c r="E2670" s="388">
        <v>0.34027777777777773</v>
      </c>
      <c r="F2670" s="393"/>
      <c r="G2670" s="396">
        <v>28</v>
      </c>
      <c r="H2670" s="393"/>
      <c r="I2670" s="396"/>
      <c r="J2670" s="393"/>
      <c r="K2670" s="396"/>
      <c r="L2670" s="393"/>
      <c r="M2670" s="396"/>
      <c r="N2670" s="393"/>
      <c r="O2670" s="190"/>
    </row>
    <row r="2671" spans="2:15" ht="16" x14ac:dyDescent="0.2">
      <c r="C2671" s="119">
        <v>2</v>
      </c>
      <c r="D2671" s="383">
        <v>0.34375</v>
      </c>
      <c r="E2671" s="389">
        <v>0.3611111111111111</v>
      </c>
      <c r="F2671" s="385"/>
      <c r="G2671" s="391">
        <v>28</v>
      </c>
      <c r="H2671" s="385"/>
      <c r="I2671" s="391"/>
      <c r="J2671" s="385"/>
      <c r="K2671" s="391"/>
      <c r="L2671" s="385"/>
      <c r="M2671" s="391"/>
      <c r="N2671" s="385"/>
      <c r="O2671" s="190"/>
    </row>
    <row r="2672" spans="2:15" ht="16" x14ac:dyDescent="0.2">
      <c r="C2672" s="119">
        <v>3</v>
      </c>
      <c r="D2672" s="383">
        <v>0.36874999999999997</v>
      </c>
      <c r="E2672" s="389">
        <v>0.39583333333333331</v>
      </c>
      <c r="F2672" s="385"/>
      <c r="G2672" s="391">
        <v>28</v>
      </c>
      <c r="H2672" s="385"/>
      <c r="I2672" s="391"/>
      <c r="J2672" s="385"/>
      <c r="K2672" s="391"/>
      <c r="L2672" s="384"/>
      <c r="M2672" s="391"/>
      <c r="N2672" s="385"/>
      <c r="O2672" s="190"/>
    </row>
    <row r="2673" spans="3:15" ht="16" x14ac:dyDescent="0.2">
      <c r="C2673" s="119">
        <v>4</v>
      </c>
      <c r="D2673" s="383">
        <v>0.40277777777777773</v>
      </c>
      <c r="E2673" s="389">
        <v>0.43055555555555558</v>
      </c>
      <c r="F2673" s="385"/>
      <c r="G2673" s="391">
        <v>28</v>
      </c>
      <c r="H2673" s="316"/>
      <c r="I2673" s="391"/>
      <c r="J2673" s="385"/>
      <c r="K2673" s="391"/>
      <c r="L2673" s="402"/>
      <c r="M2673" s="391"/>
      <c r="N2673" s="385"/>
      <c r="O2673" s="190"/>
    </row>
    <row r="2674" spans="3:15" ht="16" x14ac:dyDescent="0.2">
      <c r="C2674" s="119">
        <v>5</v>
      </c>
      <c r="D2674" s="383">
        <v>0.43333333333333335</v>
      </c>
      <c r="E2674" s="389">
        <v>0.4597222222222222</v>
      </c>
      <c r="F2674" s="385"/>
      <c r="G2674" s="391"/>
      <c r="H2674" s="316">
        <v>28</v>
      </c>
      <c r="I2674" s="391"/>
      <c r="J2674" s="385"/>
      <c r="K2674" s="391"/>
      <c r="L2674" s="393"/>
      <c r="M2674" s="391"/>
      <c r="N2674" s="385"/>
      <c r="O2674" s="190"/>
    </row>
    <row r="2675" spans="3:15" ht="16" x14ac:dyDescent="0.2">
      <c r="C2675" s="119">
        <v>6</v>
      </c>
      <c r="D2675" s="383">
        <v>0.46180555555555558</v>
      </c>
      <c r="E2675" s="389">
        <v>0.49305555555555558</v>
      </c>
      <c r="F2675" s="385"/>
      <c r="G2675" s="391"/>
      <c r="H2675" s="316">
        <v>14</v>
      </c>
      <c r="I2675" s="391"/>
      <c r="J2675" s="385"/>
      <c r="K2675" s="391"/>
      <c r="L2675" s="393"/>
      <c r="M2675" s="391"/>
      <c r="N2675" s="385"/>
      <c r="O2675" s="190"/>
    </row>
    <row r="2676" spans="3:15" ht="16" x14ac:dyDescent="0.2">
      <c r="C2676" s="119">
        <v>7</v>
      </c>
      <c r="D2676" s="383">
        <v>0.46180555555555558</v>
      </c>
      <c r="E2676" s="389">
        <v>0.49305555555555558</v>
      </c>
      <c r="F2676" s="385">
        <v>14</v>
      </c>
      <c r="G2676" s="391"/>
      <c r="H2676" s="316"/>
      <c r="I2676" s="391"/>
      <c r="J2676" s="385"/>
      <c r="K2676" s="391"/>
      <c r="L2676" s="393"/>
      <c r="M2676" s="391"/>
      <c r="N2676" s="385"/>
      <c r="O2676" s="190"/>
    </row>
    <row r="2677" spans="3:15" ht="16" x14ac:dyDescent="0.2">
      <c r="C2677" s="119">
        <v>8</v>
      </c>
      <c r="D2677" s="383">
        <v>0.50347222222222221</v>
      </c>
      <c r="E2677" s="389">
        <v>0.52430555555555558</v>
      </c>
      <c r="F2677" s="385"/>
      <c r="G2677" s="391"/>
      <c r="H2677" s="316"/>
      <c r="I2677" s="391">
        <v>44</v>
      </c>
      <c r="J2677" s="385"/>
      <c r="K2677" s="391"/>
      <c r="L2677" s="385"/>
      <c r="M2677" s="391"/>
      <c r="N2677" s="385"/>
      <c r="O2677" s="190"/>
    </row>
    <row r="2678" spans="3:15" ht="16" x14ac:dyDescent="0.2">
      <c r="C2678" s="119">
        <v>9</v>
      </c>
      <c r="D2678" s="383">
        <v>0.55208333333333337</v>
      </c>
      <c r="E2678" s="389">
        <v>0.57291666666666663</v>
      </c>
      <c r="F2678" s="385">
        <v>28</v>
      </c>
      <c r="G2678" s="391"/>
      <c r="H2678" s="316"/>
      <c r="I2678" s="391"/>
      <c r="J2678" s="385"/>
      <c r="K2678" s="391"/>
      <c r="L2678" s="385"/>
      <c r="M2678" s="391"/>
      <c r="N2678" s="385"/>
      <c r="O2678" s="190"/>
    </row>
    <row r="2679" spans="3:15" ht="16" x14ac:dyDescent="0.2">
      <c r="C2679" s="119">
        <v>10</v>
      </c>
      <c r="D2679" s="383">
        <v>0.58333333333333337</v>
      </c>
      <c r="E2679" s="389">
        <v>0.60416666666666663</v>
      </c>
      <c r="F2679" s="385"/>
      <c r="G2679" s="391"/>
      <c r="H2679" s="316"/>
      <c r="I2679" s="391">
        <v>44</v>
      </c>
      <c r="J2679" s="385"/>
      <c r="K2679" s="391"/>
      <c r="L2679" s="385"/>
      <c r="M2679" s="391"/>
      <c r="N2679" s="385"/>
      <c r="O2679" s="190"/>
    </row>
    <row r="2680" spans="3:15" ht="16" x14ac:dyDescent="0.2">
      <c r="C2680" s="119">
        <v>11</v>
      </c>
      <c r="D2680" s="383">
        <v>0.60416666666666663</v>
      </c>
      <c r="E2680" s="389">
        <v>0.625</v>
      </c>
      <c r="F2680" s="385">
        <v>28</v>
      </c>
      <c r="G2680" s="391"/>
      <c r="H2680" s="316"/>
      <c r="I2680" s="391"/>
      <c r="J2680" s="28"/>
      <c r="K2680" s="391"/>
      <c r="L2680" s="385"/>
      <c r="M2680" s="391"/>
      <c r="N2680" s="385"/>
      <c r="O2680" s="190"/>
    </row>
    <row r="2681" spans="3:15" ht="16" x14ac:dyDescent="0.2">
      <c r="C2681" s="193">
        <v>12</v>
      </c>
      <c r="D2681" s="383">
        <v>0.63194444444444442</v>
      </c>
      <c r="E2681" s="389">
        <v>0.65277777777777779</v>
      </c>
      <c r="F2681" s="385"/>
      <c r="G2681" s="391"/>
      <c r="H2681" s="316"/>
      <c r="I2681" s="391">
        <v>22</v>
      </c>
      <c r="J2681" s="385"/>
      <c r="K2681" s="391"/>
      <c r="L2681" s="385"/>
      <c r="M2681" s="391"/>
      <c r="N2681" s="385"/>
      <c r="O2681" s="190"/>
    </row>
    <row r="2682" spans="3:15" ht="16" x14ac:dyDescent="0.2">
      <c r="C2682" s="119">
        <v>13</v>
      </c>
      <c r="D2682" s="383">
        <v>0.66666666666666663</v>
      </c>
      <c r="E2682" s="389">
        <v>0.6875</v>
      </c>
      <c r="F2682" s="385">
        <v>28</v>
      </c>
      <c r="G2682" s="391"/>
      <c r="H2682" s="316"/>
      <c r="I2682" s="391"/>
      <c r="J2682" s="385"/>
      <c r="K2682" s="391"/>
      <c r="L2682" s="385"/>
      <c r="M2682" s="391"/>
      <c r="N2682" s="385"/>
      <c r="O2682" s="190"/>
    </row>
    <row r="2683" spans="3:15" ht="16" x14ac:dyDescent="0.2">
      <c r="C2683" s="119">
        <v>14</v>
      </c>
      <c r="D2683" s="383">
        <v>0.69097222222222221</v>
      </c>
      <c r="E2683" s="389">
        <v>0.71180555555555547</v>
      </c>
      <c r="F2683" s="385"/>
      <c r="G2683" s="391"/>
      <c r="H2683" s="316"/>
      <c r="I2683" s="391"/>
      <c r="J2683" s="385">
        <v>36</v>
      </c>
      <c r="K2683" s="391"/>
      <c r="L2683" s="385"/>
      <c r="M2683" s="391"/>
      <c r="N2683" s="385"/>
      <c r="O2683" s="190"/>
    </row>
    <row r="2684" spans="3:15" ht="16" x14ac:dyDescent="0.2">
      <c r="C2684" s="119">
        <v>15</v>
      </c>
      <c r="D2684" s="383">
        <v>0.71180555555555547</v>
      </c>
      <c r="E2684" s="389">
        <v>0.73263888888888884</v>
      </c>
      <c r="F2684" s="385">
        <v>28</v>
      </c>
      <c r="G2684" s="391"/>
      <c r="H2684" s="316"/>
      <c r="I2684" s="391"/>
      <c r="J2684" s="385"/>
      <c r="K2684" s="391"/>
      <c r="L2684" s="385"/>
      <c r="M2684" s="391"/>
      <c r="N2684" s="385"/>
      <c r="O2684" s="190"/>
    </row>
    <row r="2685" spans="3:15" ht="16" x14ac:dyDescent="0.2">
      <c r="C2685" s="119">
        <v>16</v>
      </c>
      <c r="D2685" s="383">
        <v>0.73958333333333337</v>
      </c>
      <c r="E2685" s="389">
        <v>0.76041666666666663</v>
      </c>
      <c r="F2685" s="385"/>
      <c r="G2685" s="391"/>
      <c r="H2685" s="316"/>
      <c r="I2685" s="391"/>
      <c r="J2685" s="385">
        <v>36</v>
      </c>
      <c r="K2685" s="391"/>
      <c r="L2685" s="385"/>
      <c r="M2685" s="391"/>
      <c r="N2685" s="385"/>
      <c r="O2685" s="190"/>
    </row>
    <row r="2686" spans="3:15" ht="16" x14ac:dyDescent="0.2">
      <c r="C2686" s="119">
        <v>17</v>
      </c>
      <c r="D2686" s="383">
        <v>0.76388888888888884</v>
      </c>
      <c r="E2686" s="389">
        <v>0.78472222222222221</v>
      </c>
      <c r="F2686" s="384">
        <v>28</v>
      </c>
      <c r="G2686" s="33"/>
      <c r="H2686" s="316"/>
      <c r="I2686" s="390"/>
      <c r="J2686" s="385"/>
      <c r="K2686" s="391"/>
      <c r="L2686" s="385"/>
      <c r="M2686" s="391"/>
      <c r="N2686" s="385"/>
      <c r="O2686" s="190"/>
    </row>
    <row r="2687" spans="3:15" ht="16" x14ac:dyDescent="0.2">
      <c r="C2687" s="119">
        <v>18</v>
      </c>
      <c r="D2687" s="383">
        <v>0.78819444444444453</v>
      </c>
      <c r="E2687" s="389">
        <v>0.80902777777777779</v>
      </c>
      <c r="F2687" s="394"/>
      <c r="G2687" s="229"/>
      <c r="H2687" s="394"/>
      <c r="I2687" s="391"/>
      <c r="J2687" s="385">
        <v>36</v>
      </c>
      <c r="K2687" s="391"/>
      <c r="L2687" s="385"/>
      <c r="M2687" s="391"/>
      <c r="N2687" s="385"/>
      <c r="O2687" s="190"/>
    </row>
    <row r="2688" spans="3:15" ht="16" x14ac:dyDescent="0.2">
      <c r="C2688" s="119">
        <v>19</v>
      </c>
      <c r="D2688" s="383">
        <v>0.81597222222222221</v>
      </c>
      <c r="E2688" s="389">
        <v>0.83680555555555547</v>
      </c>
      <c r="F2688" s="385">
        <v>28</v>
      </c>
      <c r="G2688" s="391"/>
      <c r="H2688" s="385"/>
      <c r="I2688" s="391"/>
      <c r="J2688" s="385"/>
      <c r="K2688" s="391"/>
      <c r="L2688" s="403"/>
      <c r="M2688" s="391"/>
      <c r="N2688" s="385"/>
      <c r="O2688" s="190"/>
    </row>
    <row r="2689" spans="2:15" ht="16" x14ac:dyDescent="0.2">
      <c r="C2689" s="119">
        <v>20</v>
      </c>
      <c r="D2689" s="383">
        <v>0.84027777777777779</v>
      </c>
      <c r="E2689" s="389">
        <v>0.86111111111111116</v>
      </c>
      <c r="F2689" s="385"/>
      <c r="G2689" s="391"/>
      <c r="H2689" s="385"/>
      <c r="I2689" s="391"/>
      <c r="J2689" s="385">
        <v>36</v>
      </c>
      <c r="K2689" s="391"/>
      <c r="L2689" s="403"/>
      <c r="M2689" s="391"/>
      <c r="N2689" s="385"/>
      <c r="O2689" s="190"/>
    </row>
    <row r="2690" spans="2:15" ht="16" x14ac:dyDescent="0.2">
      <c r="C2690" s="119">
        <v>21</v>
      </c>
      <c r="D2690" s="383">
        <v>0.86805555555555547</v>
      </c>
      <c r="E2690" s="389">
        <v>0.88888888888888884</v>
      </c>
      <c r="F2690" s="385"/>
      <c r="G2690" s="391"/>
      <c r="H2690" s="385"/>
      <c r="I2690" s="391"/>
      <c r="J2690" s="385">
        <v>14</v>
      </c>
      <c r="K2690" s="391"/>
      <c r="L2690" s="385"/>
      <c r="M2690" s="391"/>
      <c r="N2690" s="385"/>
      <c r="O2690" s="190"/>
    </row>
    <row r="2691" spans="2:15" ht="16" x14ac:dyDescent="0.2">
      <c r="C2691" s="119">
        <v>22</v>
      </c>
      <c r="D2691" s="383"/>
      <c r="E2691" s="389"/>
      <c r="F2691" s="385"/>
      <c r="G2691" s="391"/>
      <c r="H2691" s="385"/>
      <c r="I2691" s="391"/>
      <c r="J2691" s="385"/>
      <c r="K2691" s="391"/>
      <c r="L2691" s="385"/>
      <c r="M2691" s="391"/>
      <c r="N2691" s="385"/>
      <c r="O2691" s="190"/>
    </row>
    <row r="2692" spans="2:15" ht="16" x14ac:dyDescent="0.2">
      <c r="C2692" s="119">
        <v>23</v>
      </c>
      <c r="D2692" s="383"/>
      <c r="E2692" s="389"/>
      <c r="F2692" s="385"/>
      <c r="G2692" s="391"/>
      <c r="H2692" s="385"/>
      <c r="I2692" s="391"/>
      <c r="J2692" s="385"/>
      <c r="K2692" s="391"/>
      <c r="L2692" s="385"/>
      <c r="M2692" s="391"/>
      <c r="N2692" s="385"/>
      <c r="O2692" s="190"/>
    </row>
    <row r="2693" spans="2:15" ht="16" x14ac:dyDescent="0.2">
      <c r="C2693" s="119">
        <v>24</v>
      </c>
      <c r="D2693" s="383"/>
      <c r="E2693" s="389"/>
      <c r="F2693" s="385"/>
      <c r="G2693" s="391"/>
      <c r="H2693" s="385"/>
      <c r="I2693" s="391"/>
      <c r="J2693" s="385"/>
      <c r="K2693" s="391"/>
      <c r="L2693" s="385"/>
      <c r="M2693" s="391"/>
      <c r="N2693" s="385"/>
      <c r="O2693" s="190"/>
    </row>
    <row r="2694" spans="2:15" ht="16" x14ac:dyDescent="0.2">
      <c r="C2694" s="119">
        <v>25</v>
      </c>
      <c r="D2694" s="383"/>
      <c r="E2694" s="389"/>
      <c r="F2694" s="385"/>
      <c r="G2694" s="391"/>
      <c r="H2694" s="385"/>
      <c r="I2694" s="391"/>
      <c r="J2694" s="385"/>
      <c r="K2694" s="391"/>
      <c r="L2694" s="385"/>
      <c r="M2694" s="391"/>
      <c r="N2694" s="385"/>
      <c r="O2694" s="190"/>
    </row>
    <row r="2695" spans="2:15" ht="16" x14ac:dyDescent="0.2">
      <c r="C2695" s="119">
        <v>26</v>
      </c>
      <c r="D2695" s="383"/>
      <c r="E2695" s="389"/>
      <c r="F2695" s="385"/>
      <c r="G2695" s="391"/>
      <c r="H2695" s="385"/>
      <c r="I2695" s="391"/>
      <c r="J2695" s="385"/>
      <c r="K2695" s="391"/>
      <c r="L2695" s="385"/>
      <c r="M2695" s="391"/>
      <c r="N2695" s="385"/>
      <c r="O2695" s="190"/>
    </row>
    <row r="2696" spans="2:15" ht="16" x14ac:dyDescent="0.2">
      <c r="C2696" s="119">
        <v>27</v>
      </c>
      <c r="D2696" s="383"/>
      <c r="E2696" s="389"/>
      <c r="F2696" s="385"/>
      <c r="G2696" s="391"/>
      <c r="H2696" s="385"/>
      <c r="I2696" s="391"/>
      <c r="J2696" s="385"/>
      <c r="K2696" s="391"/>
      <c r="L2696" s="385"/>
      <c r="M2696" s="391"/>
      <c r="N2696" s="385"/>
      <c r="O2696" s="190"/>
    </row>
    <row r="2697" spans="2:15" ht="16" x14ac:dyDescent="0.2">
      <c r="C2697" s="119">
        <v>28</v>
      </c>
      <c r="D2697" s="383"/>
      <c r="E2697" s="389"/>
      <c r="F2697" s="385"/>
      <c r="G2697" s="391"/>
      <c r="H2697" s="385"/>
      <c r="I2697" s="391"/>
      <c r="J2697" s="385"/>
      <c r="K2697" s="391"/>
      <c r="L2697" s="385"/>
      <c r="M2697" s="391"/>
      <c r="N2697" s="385"/>
      <c r="O2697" s="190"/>
    </row>
    <row r="2698" spans="2:15" ht="16" x14ac:dyDescent="0.2">
      <c r="C2698" s="119">
        <v>29</v>
      </c>
      <c r="D2698" s="383"/>
      <c r="E2698" s="389"/>
      <c r="F2698" s="385"/>
      <c r="G2698" s="391"/>
      <c r="H2698" s="385"/>
      <c r="I2698" s="391"/>
      <c r="J2698" s="385"/>
      <c r="K2698" s="391"/>
      <c r="L2698" s="385"/>
      <c r="M2698" s="391"/>
      <c r="N2698" s="385"/>
      <c r="O2698" s="190"/>
    </row>
    <row r="2699" spans="2:15" ht="16" x14ac:dyDescent="0.2">
      <c r="C2699" s="119">
        <v>30</v>
      </c>
      <c r="D2699" s="383"/>
      <c r="E2699" s="389"/>
      <c r="F2699" s="385"/>
      <c r="G2699" s="391"/>
      <c r="H2699" s="385"/>
      <c r="I2699" s="391"/>
      <c r="J2699" s="385"/>
      <c r="K2699" s="391"/>
      <c r="L2699" s="385"/>
      <c r="M2699" s="391"/>
      <c r="N2699" s="385"/>
      <c r="O2699" s="190"/>
    </row>
    <row r="2700" spans="2:15" ht="16" x14ac:dyDescent="0.2">
      <c r="C2700" s="120">
        <v>31</v>
      </c>
      <c r="D2700" s="383"/>
      <c r="E2700" s="389"/>
      <c r="F2700" s="384"/>
      <c r="G2700" s="390"/>
      <c r="H2700" s="384"/>
      <c r="I2700" s="390"/>
      <c r="J2700" s="384"/>
      <c r="K2700" s="390"/>
      <c r="L2700" s="384"/>
      <c r="M2700" s="390"/>
      <c r="N2700" s="384"/>
      <c r="O2700" s="190"/>
    </row>
    <row r="2701" spans="2:15" ht="16" x14ac:dyDescent="0.2">
      <c r="B2701" s="256"/>
      <c r="C2701" s="377">
        <v>32</v>
      </c>
      <c r="D2701" s="384"/>
      <c r="E2701" s="390"/>
      <c r="F2701" s="384"/>
      <c r="G2701" s="390"/>
      <c r="H2701" s="384"/>
      <c r="I2701" s="390"/>
      <c r="J2701" s="384"/>
      <c r="K2701" s="390"/>
      <c r="L2701" s="384"/>
      <c r="M2701" s="390"/>
      <c r="N2701" s="384"/>
      <c r="O2701" s="190"/>
    </row>
    <row r="2702" spans="2:15" ht="16" x14ac:dyDescent="0.2">
      <c r="B2702" s="256"/>
      <c r="C2702" s="119">
        <v>33</v>
      </c>
      <c r="D2702" s="385"/>
      <c r="E2702" s="391"/>
      <c r="F2702" s="385"/>
      <c r="G2702" s="391"/>
      <c r="H2702" s="385"/>
      <c r="I2702" s="391"/>
      <c r="J2702" s="385"/>
      <c r="K2702" s="391"/>
      <c r="L2702" s="385"/>
      <c r="M2702" s="391"/>
      <c r="N2702" s="385"/>
      <c r="O2702" s="190"/>
    </row>
    <row r="2703" spans="2:15" ht="16" x14ac:dyDescent="0.2">
      <c r="B2703" s="256"/>
      <c r="C2703" s="119">
        <v>34</v>
      </c>
      <c r="D2703" s="385"/>
      <c r="E2703" s="391"/>
      <c r="F2703" s="385"/>
      <c r="G2703" s="391"/>
      <c r="H2703" s="385"/>
      <c r="I2703" s="391"/>
      <c r="J2703" s="385"/>
      <c r="K2703" s="391"/>
      <c r="L2703" s="385"/>
      <c r="M2703" s="391"/>
      <c r="N2703" s="385"/>
      <c r="O2703" s="190"/>
    </row>
    <row r="2704" spans="2:15" ht="16" x14ac:dyDescent="0.2">
      <c r="B2704" s="256"/>
      <c r="C2704" s="119">
        <v>35</v>
      </c>
      <c r="D2704" s="385"/>
      <c r="E2704" s="391"/>
      <c r="F2704" s="385"/>
      <c r="G2704" s="391"/>
      <c r="H2704" s="385"/>
      <c r="I2704" s="391"/>
      <c r="J2704" s="385"/>
      <c r="K2704" s="391"/>
      <c r="L2704" s="385"/>
      <c r="M2704" s="391"/>
      <c r="N2704" s="385"/>
      <c r="O2704" s="190"/>
    </row>
    <row r="2705" spans="2:15" ht="16" x14ac:dyDescent="0.2">
      <c r="B2705" s="256"/>
      <c r="C2705" s="119">
        <v>36</v>
      </c>
      <c r="D2705" s="385"/>
      <c r="E2705" s="391"/>
      <c r="F2705" s="385"/>
      <c r="G2705" s="391"/>
      <c r="H2705" s="385"/>
      <c r="I2705" s="391"/>
      <c r="J2705" s="385"/>
      <c r="K2705" s="391"/>
      <c r="L2705" s="385"/>
      <c r="M2705" s="391"/>
      <c r="N2705" s="385"/>
      <c r="O2705" s="190"/>
    </row>
    <row r="2706" spans="2:15" ht="17" thickBot="1" x14ac:dyDescent="0.25">
      <c r="B2706" s="256"/>
      <c r="C2706" s="378">
        <v>37</v>
      </c>
      <c r="D2706" s="386"/>
      <c r="E2706" s="392"/>
      <c r="F2706" s="386"/>
      <c r="G2706" s="392"/>
      <c r="H2706" s="386"/>
      <c r="I2706" s="392"/>
      <c r="J2706" s="386"/>
      <c r="K2706" s="392"/>
      <c r="L2706" s="386"/>
      <c r="M2706" s="392"/>
      <c r="N2706" s="386"/>
      <c r="O2706" s="190"/>
    </row>
    <row r="2707" spans="2:15" ht="17" thickBot="1" x14ac:dyDescent="0.25">
      <c r="C2707" s="825" t="s">
        <v>19</v>
      </c>
      <c r="D2707" s="826"/>
      <c r="E2707" s="380"/>
      <c r="F2707" s="376">
        <f>(F2670+F2671+F2672+F2673+F2674+F2675+F2691+F2678+F2679+F2676+F2677+F2680+F2681+F2682+F2683+F2684+F2685+F2686+F2687+F2688+F2689+F2690+F2692+F2693+F2695+F2696+F2697+F2698+F2699+F2700+F2701+F2702+F2703+F2706)/2</f>
        <v>91</v>
      </c>
      <c r="G2707" s="397">
        <f>(G2670+G2671+G2672+G2673+G2674+G2691+G2675+G2679+G2678+G2676+G2677+G2680+G2681+G2682+G2683+G2684+G2685+G2686+G2687+G2688+G2689+G2690+G2692+G2693+G2695+G2696+G2697+G2698+G2699+G2700+G2701+G2702)/2</f>
        <v>56</v>
      </c>
      <c r="H2707" s="399">
        <f>(H2670+H2671+H2672+H2673+H2674+H2675+H2691+H2694+H2678+H2679+H2676+H2677+H2680+H2681+H2682+H2683+H2684+H2685+H2686+H2687+H2688+H2689+H2690+H2692+H2693+H2695+H2696+H2697+H2698+H2699+H2700+H2701+H2702+H2703+H2706)/2</f>
        <v>21</v>
      </c>
      <c r="I2707" s="398">
        <f>(I2670+I2671+I2672+I2673+I2674+I2704+I2705+I2675+I2691+I2678+I2694+I2679+I2676+I2677+I2680+I2681+I2682+I2683+I2684+I2685+I2686+I2687+I2688+I2689+I2690+I2692+I2693+I2695+I2696+I2697+I2698+I2699+I2700+I2701+I2702+I2703+I2706)/2</f>
        <v>55</v>
      </c>
      <c r="J2707" s="376">
        <f>(J2670+J2671+J2672+J2673+J2674+J2675+J2679+J2676+J2678+J2677+J2694+J2680+J2681+J2682+J2683+J2684+J2685+J2686+J2687+J2688+J2689+J2690+J2691+J2692+J2693+J2695+J2696+J2697+J2698+J2699+J2700+J2701+J2702)/2</f>
        <v>79</v>
      </c>
      <c r="K2707" s="397">
        <f>(K2670+K2671+K2672+K2673+K2674+K2675+K2679+K2676+K2677+K2680+K2681+K2682+K2683+K2684+K2685+K2686+K2687+K2688+K2689+K2690+K2692+K2693+K2695+K2696+K2697+K2698+K2699+K2700+K2701+K2702+K2691)</f>
        <v>0</v>
      </c>
      <c r="L2707" s="399">
        <f>SUM(L2670:L2706)</f>
        <v>0</v>
      </c>
      <c r="M2707" s="398">
        <f>(M2670+M2671+M2672+M2673+M2674+M2675+M2679+M2678+M2676+M2677+M2680+M2681+M2682+M2683+M2684+M2685+M2686+M2687+M2688+M2689+M2690+M2692+M2693+M2695+M2696+M2697+M2698+M2699+M2700+M2701+M2702)/2</f>
        <v>0</v>
      </c>
      <c r="N2707" s="376"/>
      <c r="O2707" s="41"/>
    </row>
    <row r="2708" spans="2:15" ht="17" thickBot="1" x14ac:dyDescent="0.25">
      <c r="C2708" s="825" t="s">
        <v>91</v>
      </c>
      <c r="D2708" s="826"/>
      <c r="E2708" s="381">
        <f>SUM(F2707:J2707)</f>
        <v>302</v>
      </c>
    </row>
    <row r="2709" spans="2:15" ht="16" thickBot="1" x14ac:dyDescent="0.25"/>
    <row r="2710" spans="2:15" ht="17" thickBot="1" x14ac:dyDescent="0.25">
      <c r="C2710" s="17"/>
      <c r="D2710" s="379" t="s">
        <v>83</v>
      </c>
      <c r="E2710" s="818" t="s">
        <v>63</v>
      </c>
      <c r="F2710" s="819"/>
      <c r="G2710" s="819"/>
      <c r="H2710" s="819"/>
      <c r="I2710" s="819"/>
      <c r="J2710" s="400" t="s">
        <v>76</v>
      </c>
      <c r="K2710" s="820">
        <v>45747</v>
      </c>
      <c r="L2710" s="821"/>
      <c r="M2710" s="821"/>
      <c r="N2710" s="821"/>
      <c r="O2710" s="822"/>
    </row>
    <row r="2711" spans="2:15" ht="16" thickBot="1" x14ac:dyDescent="0.25">
      <c r="B2711" s="175" t="s">
        <v>76</v>
      </c>
      <c r="C2711" s="175" t="s">
        <v>77</v>
      </c>
      <c r="D2711" s="823" t="s">
        <v>122</v>
      </c>
      <c r="E2711" s="824"/>
      <c r="F2711" s="175" t="s">
        <v>104</v>
      </c>
      <c r="G2711" s="395" t="s">
        <v>86</v>
      </c>
      <c r="H2711" s="175" t="s">
        <v>88</v>
      </c>
      <c r="I2711" s="395" t="s">
        <v>87</v>
      </c>
      <c r="J2711" s="401" t="s">
        <v>85</v>
      </c>
      <c r="K2711" s="395" t="s">
        <v>123</v>
      </c>
      <c r="L2711" s="175" t="s">
        <v>124</v>
      </c>
      <c r="M2711" s="395" t="s">
        <v>100</v>
      </c>
      <c r="N2711" s="175" t="s">
        <v>213</v>
      </c>
      <c r="O2711" s="404" t="s">
        <v>125</v>
      </c>
    </row>
    <row r="2712" spans="2:15" ht="16" thickBot="1" x14ac:dyDescent="0.25">
      <c r="B2712" s="176">
        <f>K2710</f>
        <v>45747</v>
      </c>
      <c r="C2712" s="374"/>
      <c r="D2712" s="375" t="s">
        <v>126</v>
      </c>
      <c r="E2712" s="387" t="s">
        <v>127</v>
      </c>
      <c r="F2712" s="331">
        <v>13</v>
      </c>
      <c r="G2712" s="237">
        <v>8</v>
      </c>
      <c r="H2712" s="331">
        <v>0</v>
      </c>
      <c r="I2712" s="237">
        <v>5</v>
      </c>
      <c r="J2712" s="331">
        <v>12</v>
      </c>
      <c r="K2712" s="231"/>
      <c r="L2712" s="125"/>
      <c r="M2712" s="231"/>
      <c r="N2712" s="125"/>
      <c r="O2712" s="326"/>
    </row>
    <row r="2713" spans="2:15" ht="16" x14ac:dyDescent="0.2">
      <c r="C2713" s="118">
        <v>1</v>
      </c>
      <c r="D2713" s="382">
        <v>0.30208333333333331</v>
      </c>
      <c r="E2713" s="388">
        <v>0.32291666666666669</v>
      </c>
      <c r="F2713" s="393"/>
      <c r="G2713" s="396">
        <v>28</v>
      </c>
      <c r="H2713" s="393"/>
      <c r="I2713" s="396"/>
      <c r="J2713" s="393"/>
      <c r="K2713" s="396"/>
      <c r="L2713" s="393"/>
      <c r="M2713" s="396"/>
      <c r="N2713" s="393"/>
      <c r="O2713" s="190"/>
    </row>
    <row r="2714" spans="2:15" ht="16" x14ac:dyDescent="0.2">
      <c r="C2714" s="119">
        <v>2</v>
      </c>
      <c r="D2714" s="383">
        <v>0.3263888888888889</v>
      </c>
      <c r="E2714" s="389">
        <v>0.34722222222222227</v>
      </c>
      <c r="F2714" s="385"/>
      <c r="G2714" s="391">
        <v>28</v>
      </c>
      <c r="H2714" s="385"/>
      <c r="I2714" s="391"/>
      <c r="J2714" s="385"/>
      <c r="K2714" s="391"/>
      <c r="L2714" s="385"/>
      <c r="M2714" s="391"/>
      <c r="N2714" s="385"/>
      <c r="O2714" s="190"/>
    </row>
    <row r="2715" spans="2:15" ht="16" x14ac:dyDescent="0.2">
      <c r="C2715" s="119">
        <v>3</v>
      </c>
      <c r="D2715" s="383">
        <v>0.34722222222222227</v>
      </c>
      <c r="E2715" s="389">
        <v>0.36805555555555558</v>
      </c>
      <c r="F2715" s="385"/>
      <c r="G2715" s="391">
        <v>28</v>
      </c>
      <c r="H2715" s="385"/>
      <c r="I2715" s="391"/>
      <c r="J2715" s="385"/>
      <c r="K2715" s="391"/>
      <c r="L2715" s="384"/>
      <c r="M2715" s="391"/>
      <c r="N2715" s="385"/>
      <c r="O2715" s="190"/>
    </row>
    <row r="2716" spans="2:15" ht="16" x14ac:dyDescent="0.2">
      <c r="C2716" s="119">
        <v>4</v>
      </c>
      <c r="D2716" s="383">
        <v>0.3611111111111111</v>
      </c>
      <c r="E2716" s="389">
        <v>0.38194444444444442</v>
      </c>
      <c r="F2716" s="385">
        <v>14</v>
      </c>
      <c r="G2716" s="391"/>
      <c r="H2716" s="316"/>
      <c r="I2716" s="391"/>
      <c r="J2716" s="385"/>
      <c r="K2716" s="391"/>
      <c r="L2716" s="402"/>
      <c r="M2716" s="391"/>
      <c r="N2716" s="385"/>
      <c r="O2716" s="190"/>
    </row>
    <row r="2717" spans="2:15" ht="16" x14ac:dyDescent="0.2">
      <c r="C2717" s="119">
        <v>5</v>
      </c>
      <c r="D2717" s="383">
        <v>0.45833333333333331</v>
      </c>
      <c r="E2717" s="389">
        <v>0.47916666666666669</v>
      </c>
      <c r="F2717" s="385"/>
      <c r="G2717" s="391">
        <v>28</v>
      </c>
      <c r="H2717" s="316"/>
      <c r="I2717" s="391"/>
      <c r="J2717" s="385"/>
      <c r="K2717" s="391"/>
      <c r="L2717" s="393"/>
      <c r="M2717" s="391"/>
      <c r="N2717" s="385"/>
      <c r="O2717" s="190"/>
    </row>
    <row r="2718" spans="2:15" ht="16" x14ac:dyDescent="0.2">
      <c r="C2718" s="119">
        <v>6</v>
      </c>
      <c r="D2718" s="383">
        <v>0.49305555555555558</v>
      </c>
      <c r="E2718" s="389">
        <v>0.51388888888888895</v>
      </c>
      <c r="F2718" s="385"/>
      <c r="G2718" s="391"/>
      <c r="H2718" s="316"/>
      <c r="I2718" s="391">
        <v>44</v>
      </c>
      <c r="J2718" s="385"/>
      <c r="K2718" s="391"/>
      <c r="L2718" s="393"/>
      <c r="M2718" s="391"/>
      <c r="N2718" s="385"/>
      <c r="O2718" s="190"/>
    </row>
    <row r="2719" spans="2:15" ht="16" x14ac:dyDescent="0.2">
      <c r="C2719" s="119">
        <v>7</v>
      </c>
      <c r="D2719" s="383">
        <v>0.52083333333333337</v>
      </c>
      <c r="E2719" s="389">
        <v>0.54166666666666663</v>
      </c>
      <c r="F2719" s="385">
        <v>28</v>
      </c>
      <c r="G2719" s="391"/>
      <c r="H2719" s="316"/>
      <c r="I2719" s="391"/>
      <c r="J2719" s="385"/>
      <c r="K2719" s="391"/>
      <c r="L2719" s="393"/>
      <c r="M2719" s="391"/>
      <c r="N2719" s="385"/>
      <c r="O2719" s="190"/>
    </row>
    <row r="2720" spans="2:15" ht="16" x14ac:dyDescent="0.2">
      <c r="C2720" s="119">
        <v>8</v>
      </c>
      <c r="D2720" s="383">
        <v>0.54513888888888895</v>
      </c>
      <c r="E2720" s="389">
        <v>0.56597222222222221</v>
      </c>
      <c r="F2720" s="385"/>
      <c r="G2720" s="391"/>
      <c r="H2720" s="316"/>
      <c r="I2720" s="391">
        <v>44</v>
      </c>
      <c r="J2720" s="385"/>
      <c r="K2720" s="391"/>
      <c r="L2720" s="385"/>
      <c r="M2720" s="391"/>
      <c r="N2720" s="385"/>
      <c r="O2720" s="190"/>
    </row>
    <row r="2721" spans="3:15" ht="16" x14ac:dyDescent="0.2">
      <c r="C2721" s="119">
        <v>9</v>
      </c>
      <c r="D2721" s="383">
        <v>0.57638888888888895</v>
      </c>
      <c r="E2721" s="389">
        <v>0.59722222222222221</v>
      </c>
      <c r="F2721" s="385">
        <v>28</v>
      </c>
      <c r="G2721" s="391"/>
      <c r="H2721" s="316"/>
      <c r="I2721" s="391"/>
      <c r="J2721" s="385"/>
      <c r="K2721" s="391"/>
      <c r="L2721" s="385"/>
      <c r="M2721" s="391"/>
      <c r="N2721" s="385"/>
      <c r="O2721" s="190"/>
    </row>
    <row r="2722" spans="3:15" ht="16" x14ac:dyDescent="0.2">
      <c r="C2722" s="119">
        <v>10</v>
      </c>
      <c r="D2722" s="383">
        <v>0.60763888888888895</v>
      </c>
      <c r="E2722" s="389">
        <v>0.62847222222222221</v>
      </c>
      <c r="F2722" s="385"/>
      <c r="G2722" s="391"/>
      <c r="H2722" s="316"/>
      <c r="I2722" s="391"/>
      <c r="J2722" s="385">
        <v>36</v>
      </c>
      <c r="K2722" s="391"/>
      <c r="L2722" s="385"/>
      <c r="M2722" s="391"/>
      <c r="N2722" s="385"/>
      <c r="O2722" s="190"/>
    </row>
    <row r="2723" spans="3:15" ht="16" x14ac:dyDescent="0.2">
      <c r="C2723" s="119">
        <v>11</v>
      </c>
      <c r="D2723" s="383">
        <v>0.62847222222222221</v>
      </c>
      <c r="E2723" s="389">
        <v>0.64930555555555558</v>
      </c>
      <c r="F2723" s="385">
        <v>28</v>
      </c>
      <c r="G2723" s="391"/>
      <c r="H2723" s="316"/>
      <c r="I2723" s="391"/>
      <c r="J2723" s="28"/>
      <c r="K2723" s="391"/>
      <c r="L2723" s="385"/>
      <c r="M2723" s="391"/>
      <c r="N2723" s="385"/>
      <c r="O2723" s="190"/>
    </row>
    <row r="2724" spans="3:15" ht="16" x14ac:dyDescent="0.2">
      <c r="C2724" s="193">
        <v>12</v>
      </c>
      <c r="D2724" s="383">
        <v>0.65625</v>
      </c>
      <c r="E2724" s="389">
        <v>0.67708333333333337</v>
      </c>
      <c r="F2724" s="385"/>
      <c r="G2724" s="391"/>
      <c r="H2724" s="316"/>
      <c r="I2724" s="391"/>
      <c r="J2724" s="385">
        <v>36</v>
      </c>
      <c r="K2724" s="391"/>
      <c r="L2724" s="385"/>
      <c r="M2724" s="391"/>
      <c r="N2724" s="385"/>
      <c r="O2724" s="190"/>
    </row>
    <row r="2725" spans="3:15" ht="16" x14ac:dyDescent="0.2">
      <c r="C2725" s="119">
        <v>13</v>
      </c>
      <c r="D2725" s="383">
        <v>0.68055555555555547</v>
      </c>
      <c r="E2725" s="389">
        <v>0.70138888888888884</v>
      </c>
      <c r="F2725" s="385">
        <v>28</v>
      </c>
      <c r="G2725" s="391"/>
      <c r="H2725" s="316"/>
      <c r="I2725" s="391"/>
      <c r="J2725" s="385"/>
      <c r="K2725" s="391"/>
      <c r="L2725" s="385"/>
      <c r="M2725" s="391"/>
      <c r="N2725" s="385"/>
      <c r="O2725" s="190"/>
    </row>
    <row r="2726" spans="3:15" ht="16" x14ac:dyDescent="0.2">
      <c r="C2726" s="119">
        <v>14</v>
      </c>
      <c r="D2726" s="383">
        <v>0.70833333333333337</v>
      </c>
      <c r="E2726" s="389">
        <v>0.72916666666666663</v>
      </c>
      <c r="F2726" s="385"/>
      <c r="G2726" s="391"/>
      <c r="H2726" s="316"/>
      <c r="I2726" s="391"/>
      <c r="J2726" s="385">
        <v>36</v>
      </c>
      <c r="K2726" s="391"/>
      <c r="L2726" s="385"/>
      <c r="M2726" s="391"/>
      <c r="N2726" s="385"/>
      <c r="O2726" s="190"/>
    </row>
    <row r="2727" spans="3:15" ht="16" x14ac:dyDescent="0.2">
      <c r="C2727" s="119">
        <v>15</v>
      </c>
      <c r="D2727" s="383">
        <v>0.72916666666666663</v>
      </c>
      <c r="E2727" s="389">
        <v>0.75</v>
      </c>
      <c r="F2727" s="385">
        <v>28</v>
      </c>
      <c r="G2727" s="391"/>
      <c r="H2727" s="316"/>
      <c r="I2727" s="391"/>
      <c r="J2727" s="385"/>
      <c r="K2727" s="391"/>
      <c r="L2727" s="385"/>
      <c r="M2727" s="391"/>
      <c r="N2727" s="385"/>
      <c r="O2727" s="190"/>
    </row>
    <row r="2728" spans="3:15" ht="16" x14ac:dyDescent="0.2">
      <c r="C2728" s="119">
        <v>16</v>
      </c>
      <c r="D2728" s="383">
        <v>0.76388888888888884</v>
      </c>
      <c r="E2728" s="389">
        <v>0.78472222222222221</v>
      </c>
      <c r="F2728" s="385"/>
      <c r="G2728" s="391"/>
      <c r="H2728" s="316"/>
      <c r="I2728" s="391"/>
      <c r="J2728" s="385">
        <v>36</v>
      </c>
      <c r="K2728" s="391"/>
      <c r="L2728" s="385"/>
      <c r="M2728" s="391"/>
      <c r="N2728" s="385"/>
      <c r="O2728" s="190"/>
    </row>
    <row r="2729" spans="3:15" ht="16" x14ac:dyDescent="0.2">
      <c r="C2729" s="119">
        <v>17</v>
      </c>
      <c r="D2729" s="383">
        <v>0.78472222222222221</v>
      </c>
      <c r="E2729" s="389">
        <v>0.80555555555555547</v>
      </c>
      <c r="F2729" s="384">
        <v>28</v>
      </c>
      <c r="G2729" s="33"/>
      <c r="H2729" s="316"/>
      <c r="I2729" s="390"/>
      <c r="J2729" s="385"/>
      <c r="K2729" s="391"/>
      <c r="L2729" s="385"/>
      <c r="M2729" s="391"/>
      <c r="N2729" s="385"/>
      <c r="O2729" s="190"/>
    </row>
    <row r="2730" spans="3:15" ht="16" x14ac:dyDescent="0.2">
      <c r="C2730" s="119">
        <v>18</v>
      </c>
      <c r="D2730" s="383">
        <v>0.80902777777777779</v>
      </c>
      <c r="E2730" s="389">
        <v>0.82986111111111116</v>
      </c>
      <c r="F2730" s="394"/>
      <c r="G2730" s="229"/>
      <c r="H2730" s="394"/>
      <c r="I2730" s="391"/>
      <c r="J2730" s="385">
        <v>36</v>
      </c>
      <c r="K2730" s="391"/>
      <c r="L2730" s="385"/>
      <c r="M2730" s="391"/>
      <c r="N2730" s="385"/>
      <c r="O2730" s="190"/>
    </row>
    <row r="2731" spans="3:15" ht="16" x14ac:dyDescent="0.2">
      <c r="C2731" s="119">
        <v>19</v>
      </c>
      <c r="D2731" s="383">
        <v>0.82986111111111116</v>
      </c>
      <c r="E2731" s="389">
        <v>0.85069444444444453</v>
      </c>
      <c r="F2731" s="385"/>
      <c r="G2731" s="391"/>
      <c r="H2731" s="385"/>
      <c r="I2731" s="391">
        <v>22</v>
      </c>
      <c r="J2731" s="385"/>
      <c r="K2731" s="391"/>
      <c r="L2731" s="403"/>
      <c r="M2731" s="391"/>
      <c r="N2731" s="385"/>
      <c r="O2731" s="190"/>
    </row>
    <row r="2732" spans="3:15" ht="16" x14ac:dyDescent="0.2">
      <c r="C2732" s="119">
        <v>20</v>
      </c>
      <c r="D2732" s="383">
        <v>0.87152777777777779</v>
      </c>
      <c r="E2732" s="389">
        <v>0.89236111111111116</v>
      </c>
      <c r="F2732" s="385"/>
      <c r="G2732" s="391"/>
      <c r="H2732" s="385"/>
      <c r="I2732" s="391"/>
      <c r="J2732" s="385">
        <v>30</v>
      </c>
      <c r="K2732" s="391"/>
      <c r="L2732" s="403"/>
      <c r="M2732" s="391"/>
      <c r="N2732" s="385"/>
      <c r="O2732" s="190"/>
    </row>
    <row r="2733" spans="3:15" ht="16" x14ac:dyDescent="0.2">
      <c r="C2733" s="119">
        <v>21</v>
      </c>
      <c r="D2733" s="383"/>
      <c r="E2733" s="389"/>
      <c r="F2733" s="385"/>
      <c r="G2733" s="391"/>
      <c r="H2733" s="385"/>
      <c r="I2733" s="391"/>
      <c r="J2733" s="385"/>
      <c r="K2733" s="391"/>
      <c r="L2733" s="385"/>
      <c r="M2733" s="391"/>
      <c r="N2733" s="385"/>
      <c r="O2733" s="190"/>
    </row>
    <row r="2734" spans="3:15" ht="16" x14ac:dyDescent="0.2">
      <c r="C2734" s="119">
        <v>22</v>
      </c>
      <c r="D2734" s="383"/>
      <c r="E2734" s="389"/>
      <c r="F2734" s="385"/>
      <c r="G2734" s="391"/>
      <c r="H2734" s="385"/>
      <c r="I2734" s="391"/>
      <c r="J2734" s="385"/>
      <c r="K2734" s="391"/>
      <c r="L2734" s="385"/>
      <c r="M2734" s="391"/>
      <c r="N2734" s="385"/>
      <c r="O2734" s="190"/>
    </row>
    <row r="2735" spans="3:15" ht="16" x14ac:dyDescent="0.2">
      <c r="C2735" s="119">
        <v>23</v>
      </c>
      <c r="D2735" s="383"/>
      <c r="E2735" s="389"/>
      <c r="F2735" s="385"/>
      <c r="G2735" s="391"/>
      <c r="H2735" s="385"/>
      <c r="I2735" s="391"/>
      <c r="J2735" s="385"/>
      <c r="K2735" s="391"/>
      <c r="L2735" s="385"/>
      <c r="M2735" s="391"/>
      <c r="N2735" s="385"/>
      <c r="O2735" s="190"/>
    </row>
    <row r="2736" spans="3:15" ht="16" x14ac:dyDescent="0.2">
      <c r="C2736" s="119">
        <v>24</v>
      </c>
      <c r="D2736" s="383"/>
      <c r="E2736" s="389"/>
      <c r="F2736" s="385"/>
      <c r="G2736" s="391"/>
      <c r="H2736" s="385"/>
      <c r="I2736" s="391"/>
      <c r="J2736" s="385"/>
      <c r="K2736" s="391"/>
      <c r="L2736" s="385"/>
      <c r="M2736" s="391"/>
      <c r="N2736" s="385"/>
      <c r="O2736" s="190"/>
    </row>
    <row r="2737" spans="2:15" ht="16" x14ac:dyDescent="0.2">
      <c r="C2737" s="119">
        <v>25</v>
      </c>
      <c r="D2737" s="383"/>
      <c r="E2737" s="389"/>
      <c r="F2737" s="385"/>
      <c r="G2737" s="391"/>
      <c r="H2737" s="385"/>
      <c r="I2737" s="391"/>
      <c r="J2737" s="385"/>
      <c r="K2737" s="391"/>
      <c r="L2737" s="385"/>
      <c r="M2737" s="391"/>
      <c r="N2737" s="385"/>
      <c r="O2737" s="190"/>
    </row>
    <row r="2738" spans="2:15" ht="16" x14ac:dyDescent="0.2">
      <c r="C2738" s="119">
        <v>26</v>
      </c>
      <c r="D2738" s="383"/>
      <c r="E2738" s="389"/>
      <c r="F2738" s="385"/>
      <c r="G2738" s="391"/>
      <c r="H2738" s="385"/>
      <c r="I2738" s="391"/>
      <c r="J2738" s="385"/>
      <c r="K2738" s="391"/>
      <c r="L2738" s="385"/>
      <c r="M2738" s="391"/>
      <c r="N2738" s="385"/>
      <c r="O2738" s="190"/>
    </row>
    <row r="2739" spans="2:15" ht="16" x14ac:dyDescent="0.2">
      <c r="C2739" s="119">
        <v>27</v>
      </c>
      <c r="D2739" s="383"/>
      <c r="E2739" s="389"/>
      <c r="F2739" s="385"/>
      <c r="G2739" s="391"/>
      <c r="H2739" s="385"/>
      <c r="I2739" s="391"/>
      <c r="J2739" s="385"/>
      <c r="K2739" s="391"/>
      <c r="L2739" s="385"/>
      <c r="M2739" s="391"/>
      <c r="N2739" s="385"/>
      <c r="O2739" s="190"/>
    </row>
    <row r="2740" spans="2:15" ht="16" x14ac:dyDescent="0.2">
      <c r="C2740" s="119">
        <v>28</v>
      </c>
      <c r="D2740" s="383"/>
      <c r="E2740" s="389"/>
      <c r="F2740" s="385"/>
      <c r="G2740" s="391"/>
      <c r="H2740" s="385"/>
      <c r="I2740" s="391"/>
      <c r="J2740" s="385"/>
      <c r="K2740" s="391"/>
      <c r="L2740" s="385"/>
      <c r="M2740" s="391"/>
      <c r="N2740" s="385"/>
      <c r="O2740" s="190"/>
    </row>
    <row r="2741" spans="2:15" ht="16" x14ac:dyDescent="0.2">
      <c r="C2741" s="119">
        <v>29</v>
      </c>
      <c r="D2741" s="383"/>
      <c r="E2741" s="389"/>
      <c r="F2741" s="385"/>
      <c r="G2741" s="391"/>
      <c r="H2741" s="385"/>
      <c r="I2741" s="391"/>
      <c r="J2741" s="385"/>
      <c r="K2741" s="391"/>
      <c r="L2741" s="385"/>
      <c r="M2741" s="391"/>
      <c r="N2741" s="385"/>
      <c r="O2741" s="190"/>
    </row>
    <row r="2742" spans="2:15" ht="16" x14ac:dyDescent="0.2">
      <c r="C2742" s="119">
        <v>30</v>
      </c>
      <c r="D2742" s="383"/>
      <c r="E2742" s="389"/>
      <c r="F2742" s="385"/>
      <c r="G2742" s="391"/>
      <c r="H2742" s="385"/>
      <c r="I2742" s="391"/>
      <c r="J2742" s="385"/>
      <c r="K2742" s="391"/>
      <c r="L2742" s="385"/>
      <c r="M2742" s="391"/>
      <c r="N2742" s="385"/>
      <c r="O2742" s="190"/>
    </row>
    <row r="2743" spans="2:15" ht="16" x14ac:dyDescent="0.2">
      <c r="C2743" s="120">
        <v>31</v>
      </c>
      <c r="D2743" s="383"/>
      <c r="E2743" s="389"/>
      <c r="F2743" s="384"/>
      <c r="G2743" s="390"/>
      <c r="H2743" s="384"/>
      <c r="I2743" s="390"/>
      <c r="J2743" s="384"/>
      <c r="K2743" s="390"/>
      <c r="L2743" s="384"/>
      <c r="M2743" s="390"/>
      <c r="N2743" s="384"/>
      <c r="O2743" s="190"/>
    </row>
    <row r="2744" spans="2:15" ht="16" x14ac:dyDescent="0.2">
      <c r="B2744" s="256"/>
      <c r="C2744" s="377">
        <v>32</v>
      </c>
      <c r="D2744" s="384"/>
      <c r="E2744" s="390"/>
      <c r="F2744" s="384"/>
      <c r="G2744" s="390"/>
      <c r="H2744" s="384"/>
      <c r="I2744" s="390"/>
      <c r="J2744" s="384"/>
      <c r="K2744" s="390"/>
      <c r="L2744" s="384"/>
      <c r="M2744" s="390"/>
      <c r="N2744" s="384"/>
      <c r="O2744" s="190"/>
    </row>
    <row r="2745" spans="2:15" ht="16" x14ac:dyDescent="0.2">
      <c r="B2745" s="256"/>
      <c r="C2745" s="119">
        <v>33</v>
      </c>
      <c r="D2745" s="385"/>
      <c r="E2745" s="391"/>
      <c r="F2745" s="385"/>
      <c r="G2745" s="391"/>
      <c r="H2745" s="385"/>
      <c r="I2745" s="391"/>
      <c r="J2745" s="385"/>
      <c r="K2745" s="391"/>
      <c r="L2745" s="385"/>
      <c r="M2745" s="391"/>
      <c r="N2745" s="385"/>
      <c r="O2745" s="190"/>
    </row>
    <row r="2746" spans="2:15" ht="16" x14ac:dyDescent="0.2">
      <c r="B2746" s="256"/>
      <c r="C2746" s="119">
        <v>34</v>
      </c>
      <c r="D2746" s="385"/>
      <c r="E2746" s="391"/>
      <c r="F2746" s="385"/>
      <c r="G2746" s="391"/>
      <c r="H2746" s="385"/>
      <c r="I2746" s="391"/>
      <c r="J2746" s="385"/>
      <c r="K2746" s="391"/>
      <c r="L2746" s="385"/>
      <c r="M2746" s="391"/>
      <c r="N2746" s="385"/>
      <c r="O2746" s="190"/>
    </row>
    <row r="2747" spans="2:15" ht="16" x14ac:dyDescent="0.2">
      <c r="B2747" s="256"/>
      <c r="C2747" s="119">
        <v>35</v>
      </c>
      <c r="D2747" s="385"/>
      <c r="E2747" s="391"/>
      <c r="F2747" s="385"/>
      <c r="G2747" s="391"/>
      <c r="H2747" s="385"/>
      <c r="I2747" s="391"/>
      <c r="J2747" s="385"/>
      <c r="K2747" s="391"/>
      <c r="L2747" s="385"/>
      <c r="M2747" s="391"/>
      <c r="N2747" s="385"/>
      <c r="O2747" s="190"/>
    </row>
    <row r="2748" spans="2:15" ht="16" x14ac:dyDescent="0.2">
      <c r="B2748" s="256"/>
      <c r="C2748" s="119">
        <v>36</v>
      </c>
      <c r="D2748" s="385"/>
      <c r="E2748" s="391"/>
      <c r="F2748" s="385"/>
      <c r="G2748" s="391"/>
      <c r="H2748" s="385"/>
      <c r="I2748" s="391"/>
      <c r="J2748" s="385"/>
      <c r="K2748" s="391"/>
      <c r="L2748" s="385"/>
      <c r="M2748" s="391"/>
      <c r="N2748" s="385"/>
      <c r="O2748" s="190"/>
    </row>
    <row r="2749" spans="2:15" ht="17" thickBot="1" x14ac:dyDescent="0.25">
      <c r="B2749" s="256"/>
      <c r="C2749" s="378">
        <v>37</v>
      </c>
      <c r="D2749" s="386"/>
      <c r="E2749" s="392"/>
      <c r="F2749" s="386"/>
      <c r="G2749" s="392"/>
      <c r="H2749" s="386"/>
      <c r="I2749" s="392"/>
      <c r="J2749" s="386"/>
      <c r="K2749" s="392"/>
      <c r="L2749" s="386"/>
      <c r="M2749" s="392"/>
      <c r="N2749" s="386"/>
      <c r="O2749" s="190"/>
    </row>
    <row r="2750" spans="2:15" ht="17" thickBot="1" x14ac:dyDescent="0.25">
      <c r="C2750" s="825" t="s">
        <v>19</v>
      </c>
      <c r="D2750" s="826"/>
      <c r="E2750" s="380"/>
      <c r="F2750" s="376">
        <f>(F2713+F2714+F2715+F2716+F2717+F2718+F2734+F2721+F2722+F2719+F2720+F2723+F2724+F2725+F2726+F2727+F2728+F2729+F2730+F2731+F2732+F2733+F2735+F2736+F2738+F2739+F2740+F2741+F2742+F2743+F2744+F2745+F2746+F2749)/2</f>
        <v>91</v>
      </c>
      <c r="G2750" s="397">
        <f>(G2713+G2714+G2715+G2716+G2717+G2734+G2718+G2722+G2721+G2719+G2720+G2723+G2724+G2725+G2726+G2727+G2728+G2729+G2730+G2731+G2732+G2733+G2735+G2736+G2738+G2739+G2740+G2741+G2742+G2743+G2744+G2745)/2</f>
        <v>56</v>
      </c>
      <c r="H2750" s="399">
        <f>(H2713+H2714+H2715+H2716+H2717+H2718+H2734+H2737+H2721+H2722+H2719+H2720+H2723+H2724+H2725+H2726+H2727+H2728+H2729+H2730+H2731+H2732+H2733+H2735+H2736+H2738+H2739+H2740+H2741+H2742+H2743+H2744+H2745+H2746+H2749)/2</f>
        <v>0</v>
      </c>
      <c r="I2750" s="398">
        <f>(I2713+I2714+I2715+I2716+I2717+I2747+I2748+I2718+I2734+I2721+I2737+I2722+I2719+I2720+I2723+I2724+I2725+I2726+I2727+I2728+I2729+I2730+I2731+I2732+I2733+I2735+I2736+I2738+I2739+I2740+I2741+I2742+I2743+I2744+I2745+I2746+I2749)/2</f>
        <v>55</v>
      </c>
      <c r="J2750" s="376">
        <f>(J2713+J2714+J2715+J2716+J2717+J2718+J2722+J2719+J2721+J2720+J2737+J2723+J2724+J2725+J2726+J2727+J2728+J2729+J2730+J2731+J2732+J2733+J2734+J2735+J2736+J2738+J2739+J2740+J2741+J2742+J2743+J2744+J2745)/2</f>
        <v>105</v>
      </c>
      <c r="K2750" s="397">
        <f>(K2713+K2714+K2715+K2716+K2717+K2718+K2722+K2719+K2720+K2723+K2724+K2725+K2726+K2727+K2728+K2729+K2730+K2731+K2732+K2733+K2735+K2736+K2738+K2739+K2740+K2741+K2742+K2743+K2744+K2745+K2734)</f>
        <v>0</v>
      </c>
      <c r="L2750" s="399">
        <f>SUM(L2713:L2749)</f>
        <v>0</v>
      </c>
      <c r="M2750" s="398">
        <f>(M2713+M2714+M2715+M2716+M2717+M2718+M2722+M2721+M2719+M2720+M2723+M2724+M2725+M2726+M2727+M2728+M2729+M2730+M2731+M2732+M2733+M2735+M2736+M2738+M2739+M2740+M2741+M2742+M2743+M2744+M2745)/2</f>
        <v>0</v>
      </c>
      <c r="N2750" s="376"/>
      <c r="O2750" s="41"/>
    </row>
    <row r="2751" spans="2:15" ht="17" thickBot="1" x14ac:dyDescent="0.25">
      <c r="C2751" s="825" t="s">
        <v>91</v>
      </c>
      <c r="D2751" s="826"/>
      <c r="E2751" s="381">
        <f>SUM(F2750:J2750)</f>
        <v>307</v>
      </c>
    </row>
    <row r="2752" spans="2:15" ht="16" thickBot="1" x14ac:dyDescent="0.25"/>
    <row r="2753" spans="2:15" ht="17" thickBot="1" x14ac:dyDescent="0.25">
      <c r="C2753" s="17"/>
      <c r="D2753" s="379" t="s">
        <v>83</v>
      </c>
      <c r="E2753" s="818" t="s">
        <v>64</v>
      </c>
      <c r="F2753" s="819"/>
      <c r="G2753" s="819"/>
      <c r="H2753" s="819"/>
      <c r="I2753" s="819"/>
      <c r="J2753" s="400" t="s">
        <v>76</v>
      </c>
      <c r="K2753" s="820">
        <v>45748</v>
      </c>
      <c r="L2753" s="821"/>
      <c r="M2753" s="821"/>
      <c r="N2753" s="821"/>
      <c r="O2753" s="822"/>
    </row>
    <row r="2754" spans="2:15" ht="16" thickBot="1" x14ac:dyDescent="0.25">
      <c r="B2754" s="175" t="s">
        <v>76</v>
      </c>
      <c r="C2754" s="175" t="s">
        <v>77</v>
      </c>
      <c r="D2754" s="823" t="s">
        <v>122</v>
      </c>
      <c r="E2754" s="824"/>
      <c r="F2754" s="175" t="s">
        <v>104</v>
      </c>
      <c r="G2754" s="395" t="s">
        <v>86</v>
      </c>
      <c r="H2754" s="175" t="s">
        <v>88</v>
      </c>
      <c r="I2754" s="395" t="s">
        <v>87</v>
      </c>
      <c r="J2754" s="401" t="s">
        <v>85</v>
      </c>
      <c r="K2754" s="395" t="s">
        <v>123</v>
      </c>
      <c r="L2754" s="175" t="s">
        <v>124</v>
      </c>
      <c r="M2754" s="395" t="s">
        <v>100</v>
      </c>
      <c r="N2754" s="175" t="s">
        <v>213</v>
      </c>
      <c r="O2754" s="404" t="s">
        <v>125</v>
      </c>
    </row>
    <row r="2755" spans="2:15" ht="16" thickBot="1" x14ac:dyDescent="0.25">
      <c r="B2755" s="176">
        <f>K2753</f>
        <v>45748</v>
      </c>
      <c r="C2755" s="374"/>
      <c r="D2755" s="375" t="s">
        <v>126</v>
      </c>
      <c r="E2755" s="387" t="s">
        <v>127</v>
      </c>
      <c r="F2755" s="331">
        <v>13</v>
      </c>
      <c r="G2755" s="237">
        <v>8</v>
      </c>
      <c r="H2755" s="331">
        <v>2</v>
      </c>
      <c r="I2755" s="237">
        <v>4</v>
      </c>
      <c r="J2755" s="331">
        <v>8</v>
      </c>
      <c r="K2755" s="231"/>
      <c r="L2755" s="125"/>
      <c r="M2755" s="231"/>
      <c r="N2755" s="125"/>
      <c r="O2755" s="326"/>
    </row>
    <row r="2756" spans="2:15" ht="16" x14ac:dyDescent="0.2">
      <c r="C2756" s="118">
        <v>1</v>
      </c>
      <c r="D2756" s="382">
        <v>0.36805555555555558</v>
      </c>
      <c r="E2756" s="388">
        <v>0.3888888888888889</v>
      </c>
      <c r="F2756" s="393"/>
      <c r="G2756" s="396">
        <v>28</v>
      </c>
      <c r="H2756" s="393"/>
      <c r="I2756" s="396"/>
      <c r="J2756" s="393"/>
      <c r="K2756" s="396"/>
      <c r="L2756" s="393"/>
      <c r="M2756" s="396"/>
      <c r="N2756" s="393"/>
      <c r="O2756" s="190"/>
    </row>
    <row r="2757" spans="2:15" ht="16" x14ac:dyDescent="0.2">
      <c r="C2757" s="119">
        <v>2</v>
      </c>
      <c r="D2757" s="383">
        <v>0.3888888888888889</v>
      </c>
      <c r="E2757" s="389">
        <v>0.40972222222222227</v>
      </c>
      <c r="F2757" s="385"/>
      <c r="G2757" s="391">
        <v>28</v>
      </c>
      <c r="H2757" s="385"/>
      <c r="I2757" s="391"/>
      <c r="J2757" s="385"/>
      <c r="K2757" s="391"/>
      <c r="L2757" s="385"/>
      <c r="M2757" s="391"/>
      <c r="N2757" s="385"/>
      <c r="O2757" s="190"/>
    </row>
    <row r="2758" spans="2:15" ht="16" x14ac:dyDescent="0.2">
      <c r="C2758" s="119">
        <v>3</v>
      </c>
      <c r="D2758" s="383">
        <v>0.40972222222222227</v>
      </c>
      <c r="E2758" s="389">
        <v>0.43055555555555558</v>
      </c>
      <c r="F2758" s="385"/>
      <c r="G2758" s="391">
        <v>28</v>
      </c>
      <c r="H2758" s="385"/>
      <c r="I2758" s="391"/>
      <c r="J2758" s="385"/>
      <c r="K2758" s="391"/>
      <c r="L2758" s="384"/>
      <c r="M2758" s="391"/>
      <c r="N2758" s="385"/>
      <c r="O2758" s="190"/>
    </row>
    <row r="2759" spans="2:15" ht="16" x14ac:dyDescent="0.2">
      <c r="C2759" s="119">
        <v>4</v>
      </c>
      <c r="D2759" s="383">
        <v>0.47916666666666669</v>
      </c>
      <c r="E2759" s="389">
        <v>0.5</v>
      </c>
      <c r="F2759" s="385"/>
      <c r="G2759" s="391">
        <v>28</v>
      </c>
      <c r="H2759" s="316"/>
      <c r="I2759" s="391"/>
      <c r="J2759" s="385"/>
      <c r="K2759" s="391"/>
      <c r="L2759" s="402"/>
      <c r="M2759" s="391"/>
      <c r="N2759" s="385"/>
      <c r="O2759" s="190"/>
    </row>
    <row r="2760" spans="2:15" ht="16" x14ac:dyDescent="0.2">
      <c r="C2760" s="119">
        <v>5</v>
      </c>
      <c r="D2760" s="383">
        <v>0.5</v>
      </c>
      <c r="E2760" s="389">
        <v>0.52083333333333337</v>
      </c>
      <c r="F2760" s="385"/>
      <c r="G2760" s="391"/>
      <c r="H2760" s="316">
        <v>28</v>
      </c>
      <c r="I2760" s="391"/>
      <c r="J2760" s="385"/>
      <c r="K2760" s="391"/>
      <c r="L2760" s="393"/>
      <c r="M2760" s="391"/>
      <c r="N2760" s="385"/>
      <c r="O2760" s="190"/>
    </row>
    <row r="2761" spans="2:15" ht="16" x14ac:dyDescent="0.2">
      <c r="C2761" s="119">
        <v>6</v>
      </c>
      <c r="D2761" s="383">
        <v>0.52083333333333337</v>
      </c>
      <c r="E2761" s="389">
        <v>0.54166666666666663</v>
      </c>
      <c r="F2761" s="385">
        <v>28</v>
      </c>
      <c r="G2761" s="391"/>
      <c r="H2761" s="316"/>
      <c r="I2761" s="391"/>
      <c r="J2761" s="385"/>
      <c r="K2761" s="391"/>
      <c r="L2761" s="393"/>
      <c r="M2761" s="391"/>
      <c r="N2761" s="385"/>
      <c r="O2761" s="190"/>
    </row>
    <row r="2762" spans="2:15" ht="16" x14ac:dyDescent="0.2">
      <c r="C2762" s="119">
        <v>7</v>
      </c>
      <c r="D2762" s="383">
        <v>0.54166666666666663</v>
      </c>
      <c r="E2762" s="389">
        <v>0.5625</v>
      </c>
      <c r="F2762" s="385">
        <v>28</v>
      </c>
      <c r="G2762" s="391"/>
      <c r="H2762" s="316"/>
      <c r="I2762" s="391"/>
      <c r="J2762" s="385"/>
      <c r="K2762" s="391"/>
      <c r="L2762" s="393"/>
      <c r="M2762" s="391"/>
      <c r="N2762" s="385"/>
      <c r="O2762" s="190"/>
    </row>
    <row r="2763" spans="2:15" ht="16" x14ac:dyDescent="0.2">
      <c r="C2763" s="119">
        <v>8</v>
      </c>
      <c r="D2763" s="383">
        <v>0.5625</v>
      </c>
      <c r="E2763" s="389">
        <v>0.58333333333333337</v>
      </c>
      <c r="F2763" s="385">
        <v>28</v>
      </c>
      <c r="G2763" s="391"/>
      <c r="H2763" s="316"/>
      <c r="I2763" s="391"/>
      <c r="J2763" s="385"/>
      <c r="K2763" s="391"/>
      <c r="L2763" s="385"/>
      <c r="M2763" s="391"/>
      <c r="N2763" s="385"/>
      <c r="O2763" s="190"/>
    </row>
    <row r="2764" spans="2:15" ht="16" x14ac:dyDescent="0.2">
      <c r="C2764" s="119">
        <v>9</v>
      </c>
      <c r="D2764" s="383">
        <v>0.58333333333333337</v>
      </c>
      <c r="E2764" s="389">
        <v>0.60416666666666663</v>
      </c>
      <c r="F2764" s="385">
        <v>28</v>
      </c>
      <c r="G2764" s="391"/>
      <c r="H2764" s="316"/>
      <c r="I2764" s="391"/>
      <c r="J2764" s="385"/>
      <c r="K2764" s="391"/>
      <c r="L2764" s="385"/>
      <c r="M2764" s="391"/>
      <c r="N2764" s="385"/>
      <c r="O2764" s="190"/>
    </row>
    <row r="2765" spans="2:15" ht="16" x14ac:dyDescent="0.2">
      <c r="C2765" s="119">
        <v>10</v>
      </c>
      <c r="D2765" s="383">
        <v>0.59027777777777779</v>
      </c>
      <c r="E2765" s="389">
        <v>0.61111111111111105</v>
      </c>
      <c r="F2765" s="385">
        <v>28</v>
      </c>
      <c r="G2765" s="391"/>
      <c r="H2765" s="316"/>
      <c r="I2765" s="391"/>
      <c r="J2765" s="385"/>
      <c r="K2765" s="391"/>
      <c r="L2765" s="385"/>
      <c r="M2765" s="391"/>
      <c r="N2765" s="385"/>
      <c r="O2765" s="190"/>
    </row>
    <row r="2766" spans="2:15" ht="16" x14ac:dyDescent="0.2">
      <c r="C2766" s="119">
        <v>11</v>
      </c>
      <c r="D2766" s="383">
        <v>0.61458333333333337</v>
      </c>
      <c r="E2766" s="389">
        <v>0.63541666666666663</v>
      </c>
      <c r="F2766" s="385">
        <v>28</v>
      </c>
      <c r="G2766" s="391"/>
      <c r="H2766" s="316"/>
      <c r="I2766" s="391"/>
      <c r="J2766" s="28"/>
      <c r="K2766" s="391"/>
      <c r="L2766" s="385"/>
      <c r="M2766" s="391"/>
      <c r="N2766" s="385"/>
      <c r="O2766" s="190"/>
    </row>
    <row r="2767" spans="2:15" ht="16" x14ac:dyDescent="0.2">
      <c r="C2767" s="193">
        <v>12</v>
      </c>
      <c r="D2767" s="383">
        <v>0.625</v>
      </c>
      <c r="E2767" s="389">
        <v>0.64583333333333337</v>
      </c>
      <c r="F2767" s="385">
        <v>14</v>
      </c>
      <c r="G2767" s="391"/>
      <c r="H2767" s="316"/>
      <c r="I2767" s="391"/>
      <c r="J2767" s="385"/>
      <c r="K2767" s="391"/>
      <c r="L2767" s="385"/>
      <c r="M2767" s="391"/>
      <c r="N2767" s="385"/>
      <c r="O2767" s="190"/>
    </row>
    <row r="2768" spans="2:15" ht="16" x14ac:dyDescent="0.2">
      <c r="C2768" s="119">
        <v>13</v>
      </c>
      <c r="D2768" s="383">
        <v>0.64583333333333337</v>
      </c>
      <c r="E2768" s="389">
        <v>0.66666666666666663</v>
      </c>
      <c r="F2768" s="385"/>
      <c r="G2768" s="391"/>
      <c r="H2768" s="316"/>
      <c r="I2768" s="391"/>
      <c r="J2768" s="385">
        <v>36</v>
      </c>
      <c r="K2768" s="391"/>
      <c r="L2768" s="385"/>
      <c r="M2768" s="391"/>
      <c r="N2768" s="385"/>
      <c r="O2768" s="190"/>
    </row>
    <row r="2769" spans="3:15" ht="16" x14ac:dyDescent="0.2">
      <c r="C2769" s="119">
        <v>14</v>
      </c>
      <c r="D2769" s="383">
        <v>0.6875</v>
      </c>
      <c r="E2769" s="389">
        <v>0.70833333333333337</v>
      </c>
      <c r="F2769" s="385"/>
      <c r="G2769" s="391"/>
      <c r="H2769" s="316"/>
      <c r="I2769" s="391"/>
      <c r="J2769" s="385">
        <v>36</v>
      </c>
      <c r="K2769" s="391"/>
      <c r="L2769" s="385"/>
      <c r="M2769" s="391"/>
      <c r="N2769" s="385"/>
      <c r="O2769" s="190"/>
    </row>
    <row r="2770" spans="3:15" ht="16" x14ac:dyDescent="0.2">
      <c r="C2770" s="119">
        <v>15</v>
      </c>
      <c r="D2770" s="383">
        <v>0.70833333333333337</v>
      </c>
      <c r="E2770" s="389">
        <v>0.72916666666666663</v>
      </c>
      <c r="F2770" s="385"/>
      <c r="G2770" s="391"/>
      <c r="H2770" s="316"/>
      <c r="I2770" s="391"/>
      <c r="J2770" s="385">
        <v>36</v>
      </c>
      <c r="K2770" s="391"/>
      <c r="L2770" s="385"/>
      <c r="M2770" s="391"/>
      <c r="N2770" s="385"/>
      <c r="O2770" s="190"/>
    </row>
    <row r="2771" spans="3:15" ht="16" x14ac:dyDescent="0.2">
      <c r="C2771" s="119">
        <v>16</v>
      </c>
      <c r="D2771" s="383">
        <v>0.75</v>
      </c>
      <c r="E2771" s="389">
        <v>0.77083333333333337</v>
      </c>
      <c r="F2771" s="385"/>
      <c r="G2771" s="391"/>
      <c r="H2771" s="316"/>
      <c r="I2771" s="391"/>
      <c r="J2771" s="385">
        <v>29</v>
      </c>
      <c r="K2771" s="391">
        <v>1</v>
      </c>
      <c r="L2771" s="385"/>
      <c r="M2771" s="391"/>
      <c r="N2771" s="385"/>
      <c r="O2771" s="190"/>
    </row>
    <row r="2772" spans="3:15" ht="16" x14ac:dyDescent="0.2">
      <c r="C2772" s="119">
        <v>17</v>
      </c>
      <c r="D2772" s="383">
        <v>0.77083333333333337</v>
      </c>
      <c r="E2772" s="389">
        <v>0.79166666666666663</v>
      </c>
      <c r="F2772" s="384"/>
      <c r="G2772" s="33"/>
      <c r="H2772" s="316"/>
      <c r="I2772" s="390">
        <v>44</v>
      </c>
      <c r="J2772" s="385"/>
      <c r="K2772" s="391"/>
      <c r="L2772" s="385"/>
      <c r="M2772" s="391"/>
      <c r="N2772" s="385"/>
      <c r="O2772" s="190"/>
    </row>
    <row r="2773" spans="3:15" ht="16" x14ac:dyDescent="0.2">
      <c r="C2773" s="119">
        <v>18</v>
      </c>
      <c r="D2773" s="383"/>
      <c r="E2773" s="389"/>
      <c r="F2773" s="394"/>
      <c r="G2773" s="229"/>
      <c r="H2773" s="394"/>
      <c r="I2773" s="391">
        <v>44</v>
      </c>
      <c r="J2773" s="385"/>
      <c r="K2773" s="391"/>
      <c r="L2773" s="385"/>
      <c r="M2773" s="391"/>
      <c r="N2773" s="385"/>
      <c r="O2773" s="190"/>
    </row>
    <row r="2774" spans="3:15" ht="16" x14ac:dyDescent="0.2">
      <c r="C2774" s="119">
        <v>19</v>
      </c>
      <c r="D2774" s="383"/>
      <c r="E2774" s="389"/>
      <c r="F2774" s="385"/>
      <c r="G2774" s="391"/>
      <c r="H2774" s="385"/>
      <c r="I2774" s="391"/>
      <c r="J2774" s="385"/>
      <c r="K2774" s="391"/>
      <c r="L2774" s="403"/>
      <c r="M2774" s="391"/>
      <c r="N2774" s="385"/>
      <c r="O2774" s="190"/>
    </row>
    <row r="2775" spans="3:15" ht="16" x14ac:dyDescent="0.2">
      <c r="C2775" s="119">
        <v>20</v>
      </c>
      <c r="D2775" s="383"/>
      <c r="E2775" s="389"/>
      <c r="F2775" s="385"/>
      <c r="G2775" s="391"/>
      <c r="H2775" s="385"/>
      <c r="I2775" s="391"/>
      <c r="J2775" s="385"/>
      <c r="K2775" s="391"/>
      <c r="L2775" s="403"/>
      <c r="M2775" s="391"/>
      <c r="N2775" s="385"/>
      <c r="O2775" s="190"/>
    </row>
    <row r="2776" spans="3:15" ht="16" x14ac:dyDescent="0.2">
      <c r="C2776" s="119">
        <v>21</v>
      </c>
      <c r="D2776" s="383"/>
      <c r="E2776" s="389"/>
      <c r="F2776" s="385"/>
      <c r="G2776" s="391"/>
      <c r="H2776" s="385"/>
      <c r="I2776" s="391"/>
      <c r="J2776" s="385"/>
      <c r="K2776" s="391"/>
      <c r="L2776" s="385"/>
      <c r="M2776" s="391"/>
      <c r="N2776" s="385"/>
      <c r="O2776" s="190"/>
    </row>
    <row r="2777" spans="3:15" ht="16" x14ac:dyDescent="0.2">
      <c r="C2777" s="119">
        <v>22</v>
      </c>
      <c r="D2777" s="383"/>
      <c r="E2777" s="389"/>
      <c r="F2777" s="385"/>
      <c r="G2777" s="391"/>
      <c r="H2777" s="385"/>
      <c r="I2777" s="391"/>
      <c r="J2777" s="385"/>
      <c r="K2777" s="391"/>
      <c r="L2777" s="385"/>
      <c r="M2777" s="391"/>
      <c r="N2777" s="385"/>
      <c r="O2777" s="190"/>
    </row>
    <row r="2778" spans="3:15" ht="16" x14ac:dyDescent="0.2">
      <c r="C2778" s="119">
        <v>23</v>
      </c>
      <c r="D2778" s="383"/>
      <c r="E2778" s="389"/>
      <c r="F2778" s="385"/>
      <c r="G2778" s="391"/>
      <c r="H2778" s="385"/>
      <c r="I2778" s="391"/>
      <c r="J2778" s="385"/>
      <c r="K2778" s="391"/>
      <c r="L2778" s="385"/>
      <c r="M2778" s="391"/>
      <c r="N2778" s="385"/>
      <c r="O2778" s="190"/>
    </row>
    <row r="2779" spans="3:15" ht="16" x14ac:dyDescent="0.2">
      <c r="C2779" s="119">
        <v>24</v>
      </c>
      <c r="D2779" s="383"/>
      <c r="E2779" s="389"/>
      <c r="F2779" s="385"/>
      <c r="G2779" s="391"/>
      <c r="H2779" s="385"/>
      <c r="I2779" s="391"/>
      <c r="J2779" s="385"/>
      <c r="K2779" s="391"/>
      <c r="L2779" s="385"/>
      <c r="M2779" s="391"/>
      <c r="N2779" s="385"/>
      <c r="O2779" s="190"/>
    </row>
    <row r="2780" spans="3:15" ht="16" x14ac:dyDescent="0.2">
      <c r="C2780" s="119">
        <v>25</v>
      </c>
      <c r="D2780" s="383"/>
      <c r="E2780" s="389"/>
      <c r="F2780" s="385"/>
      <c r="G2780" s="391"/>
      <c r="H2780" s="385"/>
      <c r="I2780" s="391"/>
      <c r="J2780" s="385"/>
      <c r="K2780" s="391"/>
      <c r="L2780" s="385"/>
      <c r="M2780" s="391"/>
      <c r="N2780" s="385"/>
      <c r="O2780" s="190"/>
    </row>
    <row r="2781" spans="3:15" ht="16" x14ac:dyDescent="0.2">
      <c r="C2781" s="119">
        <v>26</v>
      </c>
      <c r="D2781" s="383"/>
      <c r="E2781" s="389"/>
      <c r="F2781" s="385"/>
      <c r="G2781" s="391"/>
      <c r="H2781" s="385"/>
      <c r="I2781" s="391"/>
      <c r="J2781" s="385"/>
      <c r="K2781" s="391"/>
      <c r="L2781" s="385"/>
      <c r="M2781" s="391"/>
      <c r="N2781" s="385"/>
      <c r="O2781" s="190"/>
    </row>
    <row r="2782" spans="3:15" ht="16" x14ac:dyDescent="0.2">
      <c r="C2782" s="119">
        <v>27</v>
      </c>
      <c r="D2782" s="383"/>
      <c r="E2782" s="389"/>
      <c r="F2782" s="385"/>
      <c r="G2782" s="391"/>
      <c r="H2782" s="385"/>
      <c r="I2782" s="391"/>
      <c r="J2782" s="385"/>
      <c r="K2782" s="391"/>
      <c r="L2782" s="385"/>
      <c r="M2782" s="391"/>
      <c r="N2782" s="385"/>
      <c r="O2782" s="190"/>
    </row>
    <row r="2783" spans="3:15" ht="16" x14ac:dyDescent="0.2">
      <c r="C2783" s="119">
        <v>28</v>
      </c>
      <c r="D2783" s="383"/>
      <c r="E2783" s="389"/>
      <c r="F2783" s="385"/>
      <c r="G2783" s="391"/>
      <c r="H2783" s="385"/>
      <c r="I2783" s="391"/>
      <c r="J2783" s="385"/>
      <c r="K2783" s="391"/>
      <c r="L2783" s="385"/>
      <c r="M2783" s="391"/>
      <c r="N2783" s="385"/>
      <c r="O2783" s="190"/>
    </row>
    <row r="2784" spans="3:15" ht="16" x14ac:dyDescent="0.2">
      <c r="C2784" s="119">
        <v>29</v>
      </c>
      <c r="D2784" s="383"/>
      <c r="E2784" s="389"/>
      <c r="F2784" s="385"/>
      <c r="G2784" s="391"/>
      <c r="H2784" s="385"/>
      <c r="I2784" s="391"/>
      <c r="J2784" s="385"/>
      <c r="K2784" s="391"/>
      <c r="L2784" s="385"/>
      <c r="M2784" s="391"/>
      <c r="N2784" s="385"/>
      <c r="O2784" s="190"/>
    </row>
    <row r="2785" spans="2:15" ht="16" x14ac:dyDescent="0.2">
      <c r="C2785" s="119">
        <v>30</v>
      </c>
      <c r="D2785" s="383"/>
      <c r="E2785" s="389"/>
      <c r="F2785" s="385"/>
      <c r="G2785" s="391"/>
      <c r="H2785" s="385"/>
      <c r="I2785" s="391"/>
      <c r="J2785" s="385"/>
      <c r="K2785" s="391"/>
      <c r="L2785" s="385"/>
      <c r="M2785" s="391"/>
      <c r="N2785" s="385"/>
      <c r="O2785" s="190"/>
    </row>
    <row r="2786" spans="2:15" ht="16" x14ac:dyDescent="0.2">
      <c r="C2786" s="120">
        <v>31</v>
      </c>
      <c r="D2786" s="383"/>
      <c r="E2786" s="389"/>
      <c r="F2786" s="384"/>
      <c r="G2786" s="390"/>
      <c r="H2786" s="384"/>
      <c r="I2786" s="390"/>
      <c r="J2786" s="384"/>
      <c r="K2786" s="390"/>
      <c r="L2786" s="384"/>
      <c r="M2786" s="390"/>
      <c r="N2786" s="384"/>
      <c r="O2786" s="190"/>
    </row>
    <row r="2787" spans="2:15" ht="16" x14ac:dyDescent="0.2">
      <c r="B2787" s="256"/>
      <c r="C2787" s="377">
        <v>32</v>
      </c>
      <c r="D2787" s="384"/>
      <c r="E2787" s="390"/>
      <c r="F2787" s="384"/>
      <c r="G2787" s="390"/>
      <c r="H2787" s="384"/>
      <c r="I2787" s="390"/>
      <c r="J2787" s="384"/>
      <c r="K2787" s="390"/>
      <c r="L2787" s="384"/>
      <c r="M2787" s="390"/>
      <c r="N2787" s="384"/>
      <c r="O2787" s="190"/>
    </row>
    <row r="2788" spans="2:15" ht="16" x14ac:dyDescent="0.2">
      <c r="B2788" s="256"/>
      <c r="C2788" s="119">
        <v>33</v>
      </c>
      <c r="D2788" s="385"/>
      <c r="E2788" s="391"/>
      <c r="F2788" s="385"/>
      <c r="G2788" s="391"/>
      <c r="H2788" s="385"/>
      <c r="I2788" s="391"/>
      <c r="J2788" s="385"/>
      <c r="K2788" s="391"/>
      <c r="L2788" s="385"/>
      <c r="M2788" s="391"/>
      <c r="N2788" s="385"/>
      <c r="O2788" s="190"/>
    </row>
    <row r="2789" spans="2:15" ht="16" x14ac:dyDescent="0.2">
      <c r="B2789" s="256"/>
      <c r="C2789" s="119">
        <v>34</v>
      </c>
      <c r="D2789" s="385"/>
      <c r="E2789" s="391"/>
      <c r="F2789" s="385"/>
      <c r="G2789" s="391"/>
      <c r="H2789" s="385"/>
      <c r="I2789" s="391"/>
      <c r="J2789" s="385"/>
      <c r="K2789" s="391"/>
      <c r="L2789" s="385"/>
      <c r="M2789" s="391"/>
      <c r="N2789" s="385"/>
      <c r="O2789" s="190"/>
    </row>
    <row r="2790" spans="2:15" ht="16" x14ac:dyDescent="0.2">
      <c r="B2790" s="256"/>
      <c r="C2790" s="119">
        <v>35</v>
      </c>
      <c r="D2790" s="385"/>
      <c r="E2790" s="391"/>
      <c r="F2790" s="385"/>
      <c r="G2790" s="391"/>
      <c r="H2790" s="385"/>
      <c r="I2790" s="391"/>
      <c r="J2790" s="385"/>
      <c r="K2790" s="391"/>
      <c r="L2790" s="385"/>
      <c r="M2790" s="391"/>
      <c r="N2790" s="385"/>
      <c r="O2790" s="190"/>
    </row>
    <row r="2791" spans="2:15" ht="16" x14ac:dyDescent="0.2">
      <c r="B2791" s="256"/>
      <c r="C2791" s="119">
        <v>36</v>
      </c>
      <c r="D2791" s="385"/>
      <c r="E2791" s="391"/>
      <c r="F2791" s="385"/>
      <c r="G2791" s="391"/>
      <c r="H2791" s="385"/>
      <c r="I2791" s="391"/>
      <c r="J2791" s="385"/>
      <c r="K2791" s="391"/>
      <c r="L2791" s="385"/>
      <c r="M2791" s="391"/>
      <c r="N2791" s="385"/>
      <c r="O2791" s="190"/>
    </row>
    <row r="2792" spans="2:15" ht="17" thickBot="1" x14ac:dyDescent="0.25">
      <c r="B2792" s="256"/>
      <c r="C2792" s="378">
        <v>37</v>
      </c>
      <c r="D2792" s="386"/>
      <c r="E2792" s="392"/>
      <c r="F2792" s="386"/>
      <c r="G2792" s="392"/>
      <c r="H2792" s="386"/>
      <c r="I2792" s="392"/>
      <c r="J2792" s="386"/>
      <c r="K2792" s="392"/>
      <c r="L2792" s="386"/>
      <c r="M2792" s="392"/>
      <c r="N2792" s="386"/>
      <c r="O2792" s="190"/>
    </row>
    <row r="2793" spans="2:15" ht="17" thickBot="1" x14ac:dyDescent="0.25">
      <c r="C2793" s="825" t="s">
        <v>19</v>
      </c>
      <c r="D2793" s="826"/>
      <c r="E2793" s="380"/>
      <c r="F2793" s="376">
        <f>(F2756+F2757+F2758+F2759+F2760+F2761+F2777+F2764+F2765+F2762+F2763+F2766+F2767+F2768+F2769+F2770+F2771+F2772+F2773+F2774+F2775+F2776+F2778+F2779+F2781+F2782+F2783+F2784+F2785+F2786+F2787+F2788+F2789+F2792)/2</f>
        <v>91</v>
      </c>
      <c r="G2793" s="397">
        <f>(G2756+G2757+G2758+G2759+G2760+G2777+G2761+G2765+G2764+G2762+G2763+G2766+G2767+G2768+G2769+G2770+G2771+G2772+G2773+G2774+G2775+G2776+G2778+G2779+G2781+G2782+G2783+G2784+G2785+G2786+G2787+G2788)/2</f>
        <v>56</v>
      </c>
      <c r="H2793" s="399">
        <f>(H2756+H2757+H2758+H2759+H2760+H2761+H2777+H2780+H2764+H2765+H2762+H2763+H2766+H2767+H2768+H2769+H2770+H2771+H2772+H2773+H2774+H2775+H2776+H2778+H2779+H2781+H2782+H2783+H2784+H2785+H2786+H2787+H2788+H2789+H2792)/2</f>
        <v>14</v>
      </c>
      <c r="I2793" s="398">
        <f>(I2756+I2757+I2758+I2759+I2760+I2790+I2791+I2761+I2777+I2764+I2780+I2765+I2762+I2763+I2766+I2767+I2768+I2769+I2770+I2771+I2772+I2773+I2774+I2775+I2776+I2778+I2779+I2781+I2782+I2783+I2784+I2785+I2786+I2787+I2788+I2789+I2792)/2</f>
        <v>44</v>
      </c>
      <c r="J2793" s="376">
        <f>(J2756+J2757+J2758+J2759+J2760+J2761+J2765+J2762+J2764+J2763+J2780+J2766+J2767+J2768+J2769+J2770+J2771+J2772+J2773+J2774+J2775+J2776+J2777+J2778+J2779+J2781+J2782+J2783+J2784+J2785+J2786+J2787+J2788)/2</f>
        <v>68.5</v>
      </c>
      <c r="K2793" s="397">
        <f>(K2756+K2757+K2758+K2759+K2760+K2761+K2765+K2762+K2763+K2766+K2767+K2768+K2769+K2770+K2771+K2772+K2773+K2774+K2775+K2776+K2778+K2779+K2781+K2782+K2783+K2784+K2785+K2786+K2787+K2788+K2777)</f>
        <v>1</v>
      </c>
      <c r="L2793" s="399">
        <f>SUM(L2756:L2792)</f>
        <v>0</v>
      </c>
      <c r="M2793" s="398">
        <f>(M2756+M2757+M2758+M2759+M2760+M2761+M2765+M2764+M2762+M2763+M2766+M2767+M2768+M2769+M2770+M2771+M2772+M2773+M2774+M2775+M2776+M2778+M2779+M2781+M2782+M2783+M2784+M2785+M2786+M2787+M2788)/2</f>
        <v>0</v>
      </c>
      <c r="N2793" s="376"/>
      <c r="O2793" s="41"/>
    </row>
    <row r="2794" spans="2:15" ht="17" thickBot="1" x14ac:dyDescent="0.25">
      <c r="C2794" s="825" t="s">
        <v>91</v>
      </c>
      <c r="D2794" s="826"/>
      <c r="E2794" s="381">
        <f>SUM(F2793:J2793)</f>
        <v>273.5</v>
      </c>
    </row>
    <row r="2795" spans="2:15" ht="16" thickBot="1" x14ac:dyDescent="0.25"/>
    <row r="2796" spans="2:15" ht="17" thickBot="1" x14ac:dyDescent="0.25">
      <c r="C2796" s="17"/>
      <c r="D2796" s="379" t="s">
        <v>83</v>
      </c>
      <c r="E2796" s="818" t="s">
        <v>66</v>
      </c>
      <c r="F2796" s="819"/>
      <c r="G2796" s="819"/>
      <c r="H2796" s="819"/>
      <c r="I2796" s="819"/>
      <c r="J2796" s="400" t="s">
        <v>76</v>
      </c>
      <c r="K2796" s="820">
        <v>45750</v>
      </c>
      <c r="L2796" s="821"/>
      <c r="M2796" s="821"/>
      <c r="N2796" s="821"/>
      <c r="O2796" s="822"/>
    </row>
    <row r="2797" spans="2:15" ht="16" thickBot="1" x14ac:dyDescent="0.25">
      <c r="B2797" s="175" t="s">
        <v>76</v>
      </c>
      <c r="C2797" s="175" t="s">
        <v>77</v>
      </c>
      <c r="D2797" s="823" t="s">
        <v>122</v>
      </c>
      <c r="E2797" s="824"/>
      <c r="F2797" s="175" t="s">
        <v>104</v>
      </c>
      <c r="G2797" s="395" t="s">
        <v>86</v>
      </c>
      <c r="H2797" s="175" t="s">
        <v>88</v>
      </c>
      <c r="I2797" s="395" t="s">
        <v>87</v>
      </c>
      <c r="J2797" s="401" t="s">
        <v>85</v>
      </c>
      <c r="K2797" s="395" t="s">
        <v>123</v>
      </c>
      <c r="L2797" s="175" t="s">
        <v>124</v>
      </c>
      <c r="M2797" s="395" t="s">
        <v>100</v>
      </c>
      <c r="N2797" s="175" t="s">
        <v>213</v>
      </c>
      <c r="O2797" s="404" t="s">
        <v>125</v>
      </c>
    </row>
    <row r="2798" spans="2:15" ht="16" thickBot="1" x14ac:dyDescent="0.25">
      <c r="B2798" s="176">
        <f>K2796</f>
        <v>45750</v>
      </c>
      <c r="C2798" s="374"/>
      <c r="D2798" s="375" t="s">
        <v>126</v>
      </c>
      <c r="E2798" s="387" t="s">
        <v>127</v>
      </c>
      <c r="F2798" s="331">
        <v>14</v>
      </c>
      <c r="G2798" s="237">
        <v>9</v>
      </c>
      <c r="H2798" s="331">
        <v>4</v>
      </c>
      <c r="I2798" s="237">
        <v>5</v>
      </c>
      <c r="J2798" s="331">
        <v>10</v>
      </c>
      <c r="K2798" s="231"/>
      <c r="L2798" s="125"/>
      <c r="M2798" s="231"/>
      <c r="N2798" s="125"/>
      <c r="O2798" s="326"/>
    </row>
    <row r="2799" spans="2:15" ht="16" x14ac:dyDescent="0.2">
      <c r="C2799" s="118">
        <v>1</v>
      </c>
      <c r="D2799" s="382">
        <v>0.36458333333333331</v>
      </c>
      <c r="E2799" s="388">
        <v>0.38541666666666669</v>
      </c>
      <c r="F2799" s="393"/>
      <c r="G2799" s="396">
        <v>28</v>
      </c>
      <c r="H2799" s="393"/>
      <c r="I2799" s="396"/>
      <c r="J2799" s="393"/>
      <c r="K2799" s="396"/>
      <c r="L2799" s="393"/>
      <c r="M2799" s="396"/>
      <c r="N2799" s="393"/>
      <c r="O2799" s="190"/>
    </row>
    <row r="2800" spans="2:15" ht="16" x14ac:dyDescent="0.2">
      <c r="C2800" s="119">
        <v>2</v>
      </c>
      <c r="D2800" s="383">
        <v>0.38541666666666669</v>
      </c>
      <c r="E2800" s="389">
        <v>0.40625</v>
      </c>
      <c r="F2800" s="385"/>
      <c r="G2800" s="391">
        <v>28</v>
      </c>
      <c r="H2800" s="385"/>
      <c r="I2800" s="391"/>
      <c r="J2800" s="385"/>
      <c r="K2800" s="391"/>
      <c r="L2800" s="385"/>
      <c r="M2800" s="391"/>
      <c r="N2800" s="385"/>
      <c r="O2800" s="190"/>
    </row>
    <row r="2801" spans="3:15" ht="16" x14ac:dyDescent="0.2">
      <c r="C2801" s="119">
        <v>3</v>
      </c>
      <c r="D2801" s="383">
        <v>0.40625</v>
      </c>
      <c r="E2801" s="389">
        <v>0.42708333333333331</v>
      </c>
      <c r="F2801" s="385"/>
      <c r="G2801" s="391">
        <v>28</v>
      </c>
      <c r="H2801" s="385"/>
      <c r="I2801" s="391"/>
      <c r="J2801" s="385"/>
      <c r="K2801" s="391"/>
      <c r="L2801" s="384"/>
      <c r="M2801" s="391"/>
      <c r="N2801" s="385"/>
      <c r="O2801" s="190"/>
    </row>
    <row r="2802" spans="3:15" ht="16" x14ac:dyDescent="0.2">
      <c r="C2802" s="119">
        <v>4</v>
      </c>
      <c r="D2802" s="383">
        <v>0.42708333333333331</v>
      </c>
      <c r="E2802" s="389">
        <v>0.44791666666666669</v>
      </c>
      <c r="F2802" s="385"/>
      <c r="G2802" s="391">
        <v>28</v>
      </c>
      <c r="H2802" s="316"/>
      <c r="I2802" s="391"/>
      <c r="J2802" s="385"/>
      <c r="K2802" s="391"/>
      <c r="L2802" s="402"/>
      <c r="M2802" s="391"/>
      <c r="N2802" s="385"/>
      <c r="O2802" s="190"/>
    </row>
    <row r="2803" spans="3:15" ht="16" x14ac:dyDescent="0.2">
      <c r="C2803" s="119">
        <v>5</v>
      </c>
      <c r="D2803" s="383">
        <v>0.44791666666666669</v>
      </c>
      <c r="E2803" s="389">
        <v>0.46875</v>
      </c>
      <c r="F2803" s="385"/>
      <c r="G2803" s="391"/>
      <c r="H2803" s="316">
        <v>28</v>
      </c>
      <c r="I2803" s="391"/>
      <c r="J2803" s="385"/>
      <c r="K2803" s="391"/>
      <c r="L2803" s="393"/>
      <c r="M2803" s="391"/>
      <c r="N2803" s="385"/>
      <c r="O2803" s="190"/>
    </row>
    <row r="2804" spans="3:15" ht="16" x14ac:dyDescent="0.2">
      <c r="C2804" s="119">
        <v>6</v>
      </c>
      <c r="D2804" s="383">
        <v>0.46875</v>
      </c>
      <c r="E2804" s="389">
        <v>0.48958333333333331</v>
      </c>
      <c r="F2804" s="385"/>
      <c r="G2804" s="391"/>
      <c r="H2804" s="316">
        <v>28</v>
      </c>
      <c r="I2804" s="391"/>
      <c r="J2804" s="385"/>
      <c r="K2804" s="391"/>
      <c r="L2804" s="393"/>
      <c r="M2804" s="391"/>
      <c r="N2804" s="385"/>
      <c r="O2804" s="190"/>
    </row>
    <row r="2805" spans="3:15" ht="16" x14ac:dyDescent="0.2">
      <c r="C2805" s="119">
        <v>7</v>
      </c>
      <c r="D2805" s="383">
        <v>0.47222222222222227</v>
      </c>
      <c r="E2805" s="389">
        <v>0.49305555555555558</v>
      </c>
      <c r="F2805" s="385"/>
      <c r="G2805" s="391">
        <v>14</v>
      </c>
      <c r="H2805" s="316"/>
      <c r="I2805" s="391"/>
      <c r="J2805" s="385"/>
      <c r="K2805" s="391"/>
      <c r="L2805" s="393"/>
      <c r="M2805" s="391"/>
      <c r="N2805" s="385"/>
      <c r="O2805" s="190"/>
    </row>
    <row r="2806" spans="3:15" ht="16" x14ac:dyDescent="0.2">
      <c r="C2806" s="119">
        <v>8</v>
      </c>
      <c r="D2806" s="383">
        <v>0.49305555555555558</v>
      </c>
      <c r="E2806" s="389">
        <v>0.51388888888888895</v>
      </c>
      <c r="F2806" s="385">
        <v>28</v>
      </c>
      <c r="G2806" s="391"/>
      <c r="H2806" s="316"/>
      <c r="I2806" s="391"/>
      <c r="J2806" s="385"/>
      <c r="K2806" s="391"/>
      <c r="L2806" s="385"/>
      <c r="M2806" s="391"/>
      <c r="N2806" s="385"/>
      <c r="O2806" s="190"/>
    </row>
    <row r="2807" spans="3:15" ht="16" x14ac:dyDescent="0.2">
      <c r="C2807" s="119">
        <v>9</v>
      </c>
      <c r="D2807" s="383">
        <v>0.51388888888888895</v>
      </c>
      <c r="E2807" s="389">
        <v>0.53472222222222221</v>
      </c>
      <c r="F2807" s="385">
        <v>28</v>
      </c>
      <c r="G2807" s="391"/>
      <c r="H2807" s="316"/>
      <c r="I2807" s="391"/>
      <c r="J2807" s="385"/>
      <c r="K2807" s="391"/>
      <c r="L2807" s="385"/>
      <c r="M2807" s="391"/>
      <c r="N2807" s="385"/>
      <c r="O2807" s="190"/>
    </row>
    <row r="2808" spans="3:15" ht="16" x14ac:dyDescent="0.2">
      <c r="C2808" s="119">
        <v>10</v>
      </c>
      <c r="D2808" s="383">
        <v>0.53472222222222221</v>
      </c>
      <c r="E2808" s="389">
        <v>0.55555555555555558</v>
      </c>
      <c r="F2808" s="385">
        <v>28</v>
      </c>
      <c r="G2808" s="391"/>
      <c r="H2808" s="316"/>
      <c r="I2808" s="391"/>
      <c r="J2808" s="385"/>
      <c r="K2808" s="391"/>
      <c r="L2808" s="385"/>
      <c r="M2808" s="391"/>
      <c r="N2808" s="385"/>
      <c r="O2808" s="190"/>
    </row>
    <row r="2809" spans="3:15" ht="16" x14ac:dyDescent="0.2">
      <c r="C2809" s="119">
        <v>11</v>
      </c>
      <c r="D2809" s="383">
        <v>0.5625</v>
      </c>
      <c r="E2809" s="389">
        <v>0.58333333333333337</v>
      </c>
      <c r="F2809" s="385">
        <v>28</v>
      </c>
      <c r="G2809" s="391"/>
      <c r="H2809" s="316"/>
      <c r="I2809" s="391"/>
      <c r="J2809" s="28"/>
      <c r="K2809" s="391"/>
      <c r="L2809" s="385"/>
      <c r="M2809" s="391"/>
      <c r="N2809" s="385"/>
      <c r="O2809" s="190"/>
    </row>
    <row r="2810" spans="3:15" ht="16" x14ac:dyDescent="0.2">
      <c r="C2810" s="193">
        <v>12</v>
      </c>
      <c r="D2810" s="383">
        <v>0.58333333333333337</v>
      </c>
      <c r="E2810" s="389">
        <v>0.60416666666666663</v>
      </c>
      <c r="F2810" s="385">
        <v>28</v>
      </c>
      <c r="G2810" s="391"/>
      <c r="H2810" s="316"/>
      <c r="I2810" s="391"/>
      <c r="J2810" s="385"/>
      <c r="K2810" s="391"/>
      <c r="L2810" s="385"/>
      <c r="M2810" s="391"/>
      <c r="N2810" s="385"/>
      <c r="O2810" s="190"/>
    </row>
    <row r="2811" spans="3:15" ht="16" x14ac:dyDescent="0.2">
      <c r="C2811" s="119">
        <v>13</v>
      </c>
      <c r="D2811" s="383">
        <v>0.60416666666666663</v>
      </c>
      <c r="E2811" s="389">
        <v>0.625</v>
      </c>
      <c r="F2811" s="385">
        <v>28</v>
      </c>
      <c r="G2811" s="391"/>
      <c r="H2811" s="316"/>
      <c r="I2811" s="391"/>
      <c r="J2811" s="385"/>
      <c r="K2811" s="391"/>
      <c r="L2811" s="385"/>
      <c r="M2811" s="391"/>
      <c r="N2811" s="385"/>
      <c r="O2811" s="190"/>
    </row>
    <row r="2812" spans="3:15" ht="16" x14ac:dyDescent="0.2">
      <c r="C2812" s="119">
        <v>14</v>
      </c>
      <c r="D2812" s="383">
        <v>0.625</v>
      </c>
      <c r="E2812" s="389">
        <v>0.64583333333333337</v>
      </c>
      <c r="F2812" s="385">
        <v>28</v>
      </c>
      <c r="G2812" s="391"/>
      <c r="H2812" s="316"/>
      <c r="I2812" s="391"/>
      <c r="J2812" s="385"/>
      <c r="K2812" s="391"/>
      <c r="L2812" s="385"/>
      <c r="M2812" s="391"/>
      <c r="N2812" s="385"/>
      <c r="O2812" s="190"/>
    </row>
    <row r="2813" spans="3:15" ht="16" x14ac:dyDescent="0.2">
      <c r="C2813" s="119">
        <v>15</v>
      </c>
      <c r="D2813" s="383">
        <v>0.64583333333333337</v>
      </c>
      <c r="E2813" s="389">
        <v>0.66666666666666663</v>
      </c>
      <c r="F2813" s="385"/>
      <c r="G2813" s="391"/>
      <c r="H2813" s="316"/>
      <c r="I2813" s="391"/>
      <c r="J2813" s="385">
        <v>36</v>
      </c>
      <c r="K2813" s="391"/>
      <c r="L2813" s="385"/>
      <c r="M2813" s="391"/>
      <c r="N2813" s="385"/>
      <c r="O2813" s="190"/>
    </row>
    <row r="2814" spans="3:15" ht="16" x14ac:dyDescent="0.2">
      <c r="C2814" s="119">
        <v>16</v>
      </c>
      <c r="D2814" s="383">
        <v>0.66666666666666663</v>
      </c>
      <c r="E2814" s="389">
        <v>0.6875</v>
      </c>
      <c r="F2814" s="385"/>
      <c r="G2814" s="391"/>
      <c r="H2814" s="316"/>
      <c r="I2814" s="391"/>
      <c r="J2814" s="385">
        <v>36</v>
      </c>
      <c r="K2814" s="391"/>
      <c r="L2814" s="385"/>
      <c r="M2814" s="391"/>
      <c r="N2814" s="385"/>
      <c r="O2814" s="190"/>
    </row>
    <row r="2815" spans="3:15" ht="16" x14ac:dyDescent="0.2">
      <c r="C2815" s="119">
        <v>17</v>
      </c>
      <c r="D2815" s="383">
        <v>0.6875</v>
      </c>
      <c r="E2815" s="389">
        <v>0.70833333333333337</v>
      </c>
      <c r="F2815" s="384"/>
      <c r="G2815" s="33"/>
      <c r="H2815" s="316"/>
      <c r="I2815" s="390"/>
      <c r="J2815" s="385">
        <v>36</v>
      </c>
      <c r="K2815" s="391"/>
      <c r="L2815" s="385"/>
      <c r="M2815" s="391"/>
      <c r="N2815" s="385"/>
      <c r="O2815" s="190"/>
    </row>
    <row r="2816" spans="3:15" ht="16" x14ac:dyDescent="0.2">
      <c r="C2816" s="119">
        <v>18</v>
      </c>
      <c r="D2816" s="383">
        <v>0.70833333333333337</v>
      </c>
      <c r="E2816" s="389">
        <v>0.72916666666666663</v>
      </c>
      <c r="F2816" s="394"/>
      <c r="G2816" s="229"/>
      <c r="H2816" s="394"/>
      <c r="I2816" s="391"/>
      <c r="J2816" s="385">
        <v>36</v>
      </c>
      <c r="K2816" s="391"/>
      <c r="L2816" s="385"/>
      <c r="M2816" s="391"/>
      <c r="N2816" s="385"/>
      <c r="O2816" s="190"/>
    </row>
    <row r="2817" spans="2:15" ht="16" x14ac:dyDescent="0.2">
      <c r="C2817" s="119">
        <v>19</v>
      </c>
      <c r="D2817" s="383">
        <v>0.72916666666666663</v>
      </c>
      <c r="E2817" s="389">
        <v>0.75</v>
      </c>
      <c r="F2817" s="385"/>
      <c r="G2817" s="391"/>
      <c r="H2817" s="385"/>
      <c r="I2817" s="391"/>
      <c r="J2817" s="385">
        <v>28</v>
      </c>
      <c r="K2817" s="391"/>
      <c r="L2817" s="403"/>
      <c r="M2817" s="391"/>
      <c r="N2817" s="385"/>
      <c r="O2817" s="190"/>
    </row>
    <row r="2818" spans="2:15" ht="16" x14ac:dyDescent="0.2">
      <c r="C2818" s="119">
        <v>20</v>
      </c>
      <c r="D2818" s="383">
        <v>0.75</v>
      </c>
      <c r="E2818" s="389">
        <v>0.77083333333333337</v>
      </c>
      <c r="F2818" s="385"/>
      <c r="G2818" s="391"/>
      <c r="H2818" s="385"/>
      <c r="I2818" s="391">
        <v>44</v>
      </c>
      <c r="J2818" s="385"/>
      <c r="K2818" s="391"/>
      <c r="L2818" s="403"/>
      <c r="M2818" s="391"/>
      <c r="N2818" s="385"/>
      <c r="O2818" s="190"/>
    </row>
    <row r="2819" spans="2:15" ht="16" x14ac:dyDescent="0.2">
      <c r="C2819" s="119">
        <v>21</v>
      </c>
      <c r="D2819" s="383">
        <v>0.77083333333333337</v>
      </c>
      <c r="E2819" s="389">
        <v>0.79166666666666663</v>
      </c>
      <c r="F2819" s="385"/>
      <c r="G2819" s="391"/>
      <c r="H2819" s="385"/>
      <c r="I2819" s="391">
        <v>44</v>
      </c>
      <c r="J2819" s="385"/>
      <c r="K2819" s="391"/>
      <c r="L2819" s="385"/>
      <c r="M2819" s="391"/>
      <c r="N2819" s="385"/>
      <c r="O2819" s="190"/>
    </row>
    <row r="2820" spans="2:15" ht="16" x14ac:dyDescent="0.2">
      <c r="C2820" s="119">
        <v>22</v>
      </c>
      <c r="D2820" s="383">
        <v>0.8125</v>
      </c>
      <c r="E2820" s="389">
        <v>0.83333333333333337</v>
      </c>
      <c r="F2820" s="385"/>
      <c r="G2820" s="391"/>
      <c r="H2820" s="385"/>
      <c r="I2820" s="391">
        <v>22</v>
      </c>
      <c r="J2820" s="385"/>
      <c r="K2820" s="391"/>
      <c r="L2820" s="385"/>
      <c r="M2820" s="391"/>
      <c r="N2820" s="385"/>
      <c r="O2820" s="190"/>
    </row>
    <row r="2821" spans="2:15" ht="16" x14ac:dyDescent="0.2">
      <c r="C2821" s="119">
        <v>23</v>
      </c>
      <c r="D2821" s="383"/>
      <c r="E2821" s="389"/>
      <c r="F2821" s="385"/>
      <c r="G2821" s="391"/>
      <c r="H2821" s="385"/>
      <c r="I2821" s="391"/>
      <c r="J2821" s="385"/>
      <c r="K2821" s="391"/>
      <c r="L2821" s="385"/>
      <c r="M2821" s="391"/>
      <c r="N2821" s="385"/>
      <c r="O2821" s="190"/>
    </row>
    <row r="2822" spans="2:15" ht="16" x14ac:dyDescent="0.2">
      <c r="C2822" s="119">
        <v>24</v>
      </c>
      <c r="D2822" s="383"/>
      <c r="E2822" s="389"/>
      <c r="F2822" s="385"/>
      <c r="G2822" s="391"/>
      <c r="H2822" s="385"/>
      <c r="I2822" s="391"/>
      <c r="J2822" s="385"/>
      <c r="K2822" s="391"/>
      <c r="L2822" s="385"/>
      <c r="M2822" s="391"/>
      <c r="N2822" s="385"/>
      <c r="O2822" s="190"/>
    </row>
    <row r="2823" spans="2:15" ht="16" x14ac:dyDescent="0.2">
      <c r="C2823" s="119">
        <v>25</v>
      </c>
      <c r="D2823" s="383"/>
      <c r="E2823" s="389"/>
      <c r="F2823" s="385"/>
      <c r="G2823" s="391"/>
      <c r="H2823" s="385"/>
      <c r="I2823" s="391"/>
      <c r="J2823" s="385"/>
      <c r="K2823" s="391"/>
      <c r="L2823" s="385"/>
      <c r="M2823" s="391"/>
      <c r="N2823" s="385"/>
      <c r="O2823" s="190"/>
    </row>
    <row r="2824" spans="2:15" ht="16" x14ac:dyDescent="0.2">
      <c r="C2824" s="119">
        <v>26</v>
      </c>
      <c r="D2824" s="383"/>
      <c r="E2824" s="389"/>
      <c r="F2824" s="385"/>
      <c r="G2824" s="391"/>
      <c r="H2824" s="385"/>
      <c r="I2824" s="391"/>
      <c r="J2824" s="385"/>
      <c r="K2824" s="391"/>
      <c r="L2824" s="385"/>
      <c r="M2824" s="391"/>
      <c r="N2824" s="385"/>
      <c r="O2824" s="190"/>
    </row>
    <row r="2825" spans="2:15" ht="16" x14ac:dyDescent="0.2">
      <c r="C2825" s="119">
        <v>27</v>
      </c>
      <c r="D2825" s="383"/>
      <c r="E2825" s="389"/>
      <c r="F2825" s="385"/>
      <c r="G2825" s="391"/>
      <c r="H2825" s="385"/>
      <c r="I2825" s="391"/>
      <c r="J2825" s="385"/>
      <c r="K2825" s="391"/>
      <c r="L2825" s="385"/>
      <c r="M2825" s="391"/>
      <c r="N2825" s="385"/>
      <c r="O2825" s="190"/>
    </row>
    <row r="2826" spans="2:15" ht="16" x14ac:dyDescent="0.2">
      <c r="C2826" s="119">
        <v>28</v>
      </c>
      <c r="D2826" s="383"/>
      <c r="E2826" s="389"/>
      <c r="F2826" s="385"/>
      <c r="G2826" s="391"/>
      <c r="H2826" s="385"/>
      <c r="I2826" s="391"/>
      <c r="J2826" s="385"/>
      <c r="K2826" s="391"/>
      <c r="L2826" s="385"/>
      <c r="M2826" s="391"/>
      <c r="N2826" s="385"/>
      <c r="O2826" s="190"/>
    </row>
    <row r="2827" spans="2:15" ht="16" x14ac:dyDescent="0.2">
      <c r="C2827" s="119">
        <v>29</v>
      </c>
      <c r="D2827" s="383"/>
      <c r="E2827" s="389"/>
      <c r="F2827" s="385"/>
      <c r="G2827" s="391"/>
      <c r="H2827" s="385"/>
      <c r="I2827" s="391"/>
      <c r="J2827" s="385"/>
      <c r="K2827" s="391"/>
      <c r="L2827" s="385"/>
      <c r="M2827" s="391"/>
      <c r="N2827" s="385"/>
      <c r="O2827" s="190"/>
    </row>
    <row r="2828" spans="2:15" ht="16" x14ac:dyDescent="0.2">
      <c r="C2828" s="119">
        <v>30</v>
      </c>
      <c r="D2828" s="383"/>
      <c r="E2828" s="389"/>
      <c r="F2828" s="385"/>
      <c r="G2828" s="391"/>
      <c r="H2828" s="385"/>
      <c r="I2828" s="391"/>
      <c r="J2828" s="385"/>
      <c r="K2828" s="391"/>
      <c r="L2828" s="385"/>
      <c r="M2828" s="391"/>
      <c r="N2828" s="385"/>
      <c r="O2828" s="190"/>
    </row>
    <row r="2829" spans="2:15" ht="16" x14ac:dyDescent="0.2">
      <c r="C2829" s="120">
        <v>31</v>
      </c>
      <c r="D2829" s="383"/>
      <c r="E2829" s="389"/>
      <c r="F2829" s="384"/>
      <c r="G2829" s="390"/>
      <c r="H2829" s="384"/>
      <c r="I2829" s="390"/>
      <c r="J2829" s="384"/>
      <c r="K2829" s="390"/>
      <c r="L2829" s="384"/>
      <c r="M2829" s="390"/>
      <c r="N2829" s="384"/>
      <c r="O2829" s="190"/>
    </row>
    <row r="2830" spans="2:15" ht="16" x14ac:dyDescent="0.2">
      <c r="B2830" s="256"/>
      <c r="C2830" s="377">
        <v>32</v>
      </c>
      <c r="D2830" s="384"/>
      <c r="E2830" s="390"/>
      <c r="F2830" s="384"/>
      <c r="G2830" s="390"/>
      <c r="H2830" s="384"/>
      <c r="I2830" s="390"/>
      <c r="J2830" s="384"/>
      <c r="K2830" s="390"/>
      <c r="L2830" s="384"/>
      <c r="M2830" s="390"/>
      <c r="N2830" s="384"/>
      <c r="O2830" s="190"/>
    </row>
    <row r="2831" spans="2:15" ht="16" x14ac:dyDescent="0.2">
      <c r="B2831" s="256"/>
      <c r="C2831" s="119">
        <v>33</v>
      </c>
      <c r="D2831" s="385"/>
      <c r="E2831" s="391"/>
      <c r="F2831" s="385"/>
      <c r="G2831" s="391"/>
      <c r="H2831" s="385"/>
      <c r="I2831" s="391"/>
      <c r="J2831" s="385"/>
      <c r="K2831" s="391"/>
      <c r="L2831" s="385"/>
      <c r="M2831" s="391"/>
      <c r="N2831" s="385"/>
      <c r="O2831" s="190"/>
    </row>
    <row r="2832" spans="2:15" ht="16" x14ac:dyDescent="0.2">
      <c r="B2832" s="256"/>
      <c r="C2832" s="119">
        <v>34</v>
      </c>
      <c r="D2832" s="385"/>
      <c r="E2832" s="391"/>
      <c r="F2832" s="385"/>
      <c r="G2832" s="391"/>
      <c r="H2832" s="385"/>
      <c r="I2832" s="391"/>
      <c r="J2832" s="385"/>
      <c r="K2832" s="391"/>
      <c r="L2832" s="385"/>
      <c r="M2832" s="391"/>
      <c r="N2832" s="385"/>
      <c r="O2832" s="190"/>
    </row>
    <row r="2833" spans="2:15" ht="16" x14ac:dyDescent="0.2">
      <c r="B2833" s="256"/>
      <c r="C2833" s="119">
        <v>35</v>
      </c>
      <c r="D2833" s="385"/>
      <c r="E2833" s="391"/>
      <c r="F2833" s="385"/>
      <c r="G2833" s="391"/>
      <c r="H2833" s="385"/>
      <c r="I2833" s="391"/>
      <c r="J2833" s="385"/>
      <c r="K2833" s="391"/>
      <c r="L2833" s="385"/>
      <c r="M2833" s="391"/>
      <c r="N2833" s="385"/>
      <c r="O2833" s="190"/>
    </row>
    <row r="2834" spans="2:15" ht="16" x14ac:dyDescent="0.2">
      <c r="B2834" s="256"/>
      <c r="C2834" s="119">
        <v>36</v>
      </c>
      <c r="D2834" s="385"/>
      <c r="E2834" s="391"/>
      <c r="F2834" s="385"/>
      <c r="G2834" s="391"/>
      <c r="H2834" s="385"/>
      <c r="I2834" s="391"/>
      <c r="J2834" s="385"/>
      <c r="K2834" s="391"/>
      <c r="L2834" s="385"/>
      <c r="M2834" s="391"/>
      <c r="N2834" s="385"/>
      <c r="O2834" s="190"/>
    </row>
    <row r="2835" spans="2:15" ht="17" thickBot="1" x14ac:dyDescent="0.25">
      <c r="B2835" s="256"/>
      <c r="C2835" s="378">
        <v>37</v>
      </c>
      <c r="D2835" s="386"/>
      <c r="E2835" s="392"/>
      <c r="F2835" s="386"/>
      <c r="G2835" s="392"/>
      <c r="H2835" s="386"/>
      <c r="I2835" s="392"/>
      <c r="J2835" s="386"/>
      <c r="K2835" s="392"/>
      <c r="L2835" s="386"/>
      <c r="M2835" s="392"/>
      <c r="N2835" s="386"/>
      <c r="O2835" s="190"/>
    </row>
    <row r="2836" spans="2:15" ht="17" thickBot="1" x14ac:dyDescent="0.25">
      <c r="C2836" s="825" t="s">
        <v>19</v>
      </c>
      <c r="D2836" s="826"/>
      <c r="E2836" s="380"/>
      <c r="F2836" s="376">
        <f>(F2799+F2800+F2801+F2802+F2803+F2804+F2820+F2807+F2808+F2805+F2806+F2809+F2810+F2811+F2812+F2813+F2814+F2815+F2816+F2817+F2818+F2819+F2821+F2822+F2824+F2825+F2826+F2827+F2828+F2829+F2830+F2831+F2832+F2835)/2</f>
        <v>98</v>
      </c>
      <c r="G2836" s="397">
        <f>(G2799+G2800+G2801+G2802+G2803+G2820+G2804+G2808+G2807+G2805+G2806+G2809+G2810+G2811+G2812+G2813+G2814+G2815+G2816+G2817+G2818+G2819+G2821+G2822+G2824+G2825+G2826+G2827+G2828+G2829+G2830+G2831)/2</f>
        <v>63</v>
      </c>
      <c r="H2836" s="399">
        <f>(H2799+H2800+H2801+H2802+H2803+H2804+H2820+H2823+H2807+H2808+H2805+H2806+H2809+H2810+H2811+H2812+H2813+H2814+H2815+H2816+H2817+H2818+H2819+H2821+H2822+H2824+H2825+H2826+H2827+H2828+H2829+H2830+H2831+H2832+H2835)/2</f>
        <v>28</v>
      </c>
      <c r="I2836" s="398">
        <f>(I2799+I2800+I2801+I2802+I2803+I2833+I2834+I2804+I2820+I2807+I2823+I2808+I2805+I2806+I2809+I2810+I2811+I2812+I2813+I2814+I2815+I2816+I2817+I2818+I2819+I2821+I2822+I2824+I2825+I2826+I2827+I2828+I2829+I2830+I2831+I2832+I2835)/2</f>
        <v>55</v>
      </c>
      <c r="J2836" s="376">
        <f>(J2799+J2800+J2801+J2802+J2803+J2804+J2808+J2805+J2807+J2806+J2823+J2809+J2810+J2811+J2812+J2813+J2814+J2815+J2816+J2817+J2818+J2819+J2820+J2821+J2822+J2824+J2825+J2826+J2827+J2828+J2829+J2830+J2831)/2</f>
        <v>86</v>
      </c>
      <c r="K2836" s="397">
        <f>(K2799+K2800+K2801+K2802+K2803+K2804+K2808+K2805+K2806+K2809+K2810+K2811+K2812+K2813+K2814+K2815+K2816+K2817+K2818+K2819+K2821+K2822+K2824+K2825+K2826+K2827+K2828+K2829+K2830+K2831+K2820)</f>
        <v>0</v>
      </c>
      <c r="L2836" s="399">
        <f>SUM(L2799:L2835)</f>
        <v>0</v>
      </c>
      <c r="M2836" s="398">
        <f>(M2799+M2800+M2801+M2802+M2803+M2804+M2808+M2807+M2805+M2806+M2809+M2810+M2811+M2812+M2813+M2814+M2815+M2816+M2817+M2818+M2819+M2821+M2822+M2824+M2825+M2826+M2827+M2828+M2829+M2830+M2831)/2</f>
        <v>0</v>
      </c>
      <c r="N2836" s="376"/>
      <c r="O2836" s="41"/>
    </row>
    <row r="2837" spans="2:15" ht="17" thickBot="1" x14ac:dyDescent="0.25">
      <c r="C2837" s="825" t="s">
        <v>91</v>
      </c>
      <c r="D2837" s="826"/>
      <c r="E2837" s="381">
        <f>SUM(F2836:J2836)</f>
        <v>330</v>
      </c>
    </row>
    <row r="2838" spans="2:15" ht="16" thickBot="1" x14ac:dyDescent="0.25"/>
    <row r="2839" spans="2:15" ht="17" thickBot="1" x14ac:dyDescent="0.25">
      <c r="C2839" s="17"/>
      <c r="D2839" s="379" t="s">
        <v>83</v>
      </c>
      <c r="E2839" s="818" t="s">
        <v>68</v>
      </c>
      <c r="F2839" s="819"/>
      <c r="G2839" s="819"/>
      <c r="H2839" s="819"/>
      <c r="I2839" s="819"/>
      <c r="J2839" s="400" t="s">
        <v>76</v>
      </c>
      <c r="K2839" s="820">
        <v>45752</v>
      </c>
      <c r="L2839" s="821"/>
      <c r="M2839" s="821"/>
      <c r="N2839" s="821"/>
      <c r="O2839" s="822"/>
    </row>
    <row r="2840" spans="2:15" ht="16" thickBot="1" x14ac:dyDescent="0.25">
      <c r="B2840" s="175" t="s">
        <v>76</v>
      </c>
      <c r="C2840" s="175" t="s">
        <v>77</v>
      </c>
      <c r="D2840" s="823" t="s">
        <v>122</v>
      </c>
      <c r="E2840" s="824"/>
      <c r="F2840" s="175" t="s">
        <v>104</v>
      </c>
      <c r="G2840" s="395" t="s">
        <v>86</v>
      </c>
      <c r="H2840" s="175" t="s">
        <v>88</v>
      </c>
      <c r="I2840" s="395" t="s">
        <v>87</v>
      </c>
      <c r="J2840" s="401" t="s">
        <v>85</v>
      </c>
      <c r="K2840" s="395" t="s">
        <v>123</v>
      </c>
      <c r="L2840" s="175" t="s">
        <v>124</v>
      </c>
      <c r="M2840" s="395" t="s">
        <v>100</v>
      </c>
      <c r="N2840" s="175" t="s">
        <v>213</v>
      </c>
      <c r="O2840" s="404" t="s">
        <v>125</v>
      </c>
    </row>
    <row r="2841" spans="2:15" ht="16" thickBot="1" x14ac:dyDescent="0.25">
      <c r="B2841" s="176">
        <f>K2839</f>
        <v>45752</v>
      </c>
      <c r="C2841" s="374"/>
      <c r="D2841" s="375" t="s">
        <v>126</v>
      </c>
      <c r="E2841" s="387" t="s">
        <v>127</v>
      </c>
      <c r="F2841" s="331">
        <v>5</v>
      </c>
      <c r="G2841" s="237">
        <v>4</v>
      </c>
      <c r="H2841" s="331">
        <v>1</v>
      </c>
      <c r="I2841" s="237">
        <v>2</v>
      </c>
      <c r="J2841" s="331">
        <v>4</v>
      </c>
      <c r="K2841" s="231"/>
      <c r="L2841" s="125"/>
      <c r="M2841" s="231"/>
      <c r="N2841" s="125"/>
      <c r="O2841" s="326"/>
    </row>
    <row r="2842" spans="2:15" ht="16" x14ac:dyDescent="0.2">
      <c r="C2842" s="118">
        <v>1</v>
      </c>
      <c r="D2842" s="382">
        <v>0.77777777777777779</v>
      </c>
      <c r="E2842" s="388">
        <v>0.79861111111111116</v>
      </c>
      <c r="F2842" s="393"/>
      <c r="G2842" s="396">
        <v>28</v>
      </c>
      <c r="H2842" s="393"/>
      <c r="I2842" s="396"/>
      <c r="J2842" s="393"/>
      <c r="K2842" s="396"/>
      <c r="L2842" s="393"/>
      <c r="M2842" s="396"/>
      <c r="N2842" s="393"/>
      <c r="O2842" s="190"/>
    </row>
    <row r="2843" spans="2:15" ht="16" x14ac:dyDescent="0.2">
      <c r="C2843" s="119">
        <v>2</v>
      </c>
      <c r="D2843" s="383">
        <v>0.80555555555555547</v>
      </c>
      <c r="E2843" s="389">
        <v>0.82638888888888884</v>
      </c>
      <c r="F2843" s="385"/>
      <c r="G2843" s="391">
        <v>28</v>
      </c>
      <c r="H2843" s="385"/>
      <c r="I2843" s="391"/>
      <c r="J2843" s="385"/>
      <c r="K2843" s="391"/>
      <c r="L2843" s="385"/>
      <c r="M2843" s="391"/>
      <c r="N2843" s="385"/>
      <c r="O2843" s="190"/>
    </row>
    <row r="2844" spans="2:15" ht="16" x14ac:dyDescent="0.2">
      <c r="C2844" s="119">
        <v>3</v>
      </c>
      <c r="D2844" s="383">
        <v>0.81944444444444453</v>
      </c>
      <c r="E2844" s="389">
        <v>0.84027777777777779</v>
      </c>
      <c r="F2844" s="385"/>
      <c r="G2844" s="391"/>
      <c r="H2844" s="385">
        <v>14</v>
      </c>
      <c r="I2844" s="391"/>
      <c r="J2844" s="385"/>
      <c r="K2844" s="391"/>
      <c r="L2844" s="384"/>
      <c r="M2844" s="391"/>
      <c r="N2844" s="385"/>
      <c r="O2844" s="190"/>
    </row>
    <row r="2845" spans="2:15" ht="16" x14ac:dyDescent="0.2">
      <c r="C2845" s="119">
        <v>4</v>
      </c>
      <c r="D2845" s="383">
        <v>0.83333333333333337</v>
      </c>
      <c r="E2845" s="389">
        <v>0.85416666666666663</v>
      </c>
      <c r="F2845" s="385">
        <v>14</v>
      </c>
      <c r="G2845" s="391"/>
      <c r="H2845" s="316"/>
      <c r="I2845" s="391"/>
      <c r="J2845" s="385"/>
      <c r="K2845" s="391"/>
      <c r="L2845" s="402"/>
      <c r="M2845" s="391"/>
      <c r="N2845" s="385"/>
      <c r="O2845" s="190"/>
    </row>
    <row r="2846" spans="2:15" ht="16" x14ac:dyDescent="0.2">
      <c r="C2846" s="119">
        <v>5</v>
      </c>
      <c r="D2846" s="383">
        <v>0.86458333333333337</v>
      </c>
      <c r="E2846" s="389">
        <v>0.88541666666666663</v>
      </c>
      <c r="F2846" s="385"/>
      <c r="G2846" s="391"/>
      <c r="H2846" s="316"/>
      <c r="I2846" s="391">
        <v>44</v>
      </c>
      <c r="J2846" s="385"/>
      <c r="K2846" s="391"/>
      <c r="L2846" s="393"/>
      <c r="M2846" s="391"/>
      <c r="N2846" s="385"/>
      <c r="O2846" s="190"/>
    </row>
    <row r="2847" spans="2:15" ht="16" x14ac:dyDescent="0.2">
      <c r="C2847" s="119">
        <v>6</v>
      </c>
      <c r="D2847" s="383">
        <v>0.89236111111111116</v>
      </c>
      <c r="E2847" s="389">
        <v>0.91319444444444453</v>
      </c>
      <c r="F2847" s="385">
        <v>28</v>
      </c>
      <c r="G2847" s="391"/>
      <c r="H2847" s="316"/>
      <c r="I2847" s="391"/>
      <c r="J2847" s="385"/>
      <c r="K2847" s="391"/>
      <c r="L2847" s="393"/>
      <c r="M2847" s="391"/>
      <c r="N2847" s="385"/>
      <c r="O2847" s="190"/>
    </row>
    <row r="2848" spans="2:15" ht="16" x14ac:dyDescent="0.2">
      <c r="C2848" s="119">
        <v>7</v>
      </c>
      <c r="D2848" s="383">
        <v>0.91666666666666663</v>
      </c>
      <c r="E2848" s="389">
        <v>0.9375</v>
      </c>
      <c r="F2848" s="385"/>
      <c r="G2848" s="391"/>
      <c r="H2848" s="316"/>
      <c r="I2848" s="391"/>
      <c r="J2848" s="385">
        <v>36</v>
      </c>
      <c r="K2848" s="391"/>
      <c r="L2848" s="393"/>
      <c r="M2848" s="391"/>
      <c r="N2848" s="385"/>
      <c r="O2848" s="190"/>
    </row>
    <row r="2849" spans="3:15" ht="16" x14ac:dyDescent="0.2">
      <c r="C2849" s="119">
        <v>8</v>
      </c>
      <c r="D2849" s="383">
        <v>0.95138888888888884</v>
      </c>
      <c r="E2849" s="389">
        <v>0.97222222222222221</v>
      </c>
      <c r="F2849" s="385">
        <v>28</v>
      </c>
      <c r="G2849" s="391"/>
      <c r="H2849" s="316"/>
      <c r="I2849" s="391"/>
      <c r="J2849" s="385"/>
      <c r="K2849" s="391"/>
      <c r="L2849" s="385"/>
      <c r="M2849" s="391"/>
      <c r="N2849" s="385"/>
      <c r="O2849" s="190"/>
    </row>
    <row r="2850" spans="3:15" ht="16" x14ac:dyDescent="0.2">
      <c r="C2850" s="119">
        <v>9</v>
      </c>
      <c r="D2850" s="383">
        <v>0.97222222222222221</v>
      </c>
      <c r="E2850" s="389">
        <v>0.99305555555555547</v>
      </c>
      <c r="F2850" s="385"/>
      <c r="G2850" s="391"/>
      <c r="H2850" s="316"/>
      <c r="I2850" s="391"/>
      <c r="J2850" s="385">
        <v>36</v>
      </c>
      <c r="K2850" s="391"/>
      <c r="L2850" s="385"/>
      <c r="M2850" s="391"/>
      <c r="N2850" s="385"/>
      <c r="O2850" s="190"/>
    </row>
    <row r="2851" spans="3:15" ht="16" x14ac:dyDescent="0.2">
      <c r="C2851" s="119">
        <v>10</v>
      </c>
      <c r="D2851" s="383"/>
      <c r="E2851" s="389"/>
      <c r="F2851" s="385"/>
      <c r="G2851" s="391"/>
      <c r="H2851" s="316"/>
      <c r="I2851" s="391"/>
      <c r="J2851" s="385"/>
      <c r="K2851" s="391"/>
      <c r="L2851" s="385"/>
      <c r="M2851" s="391"/>
      <c r="N2851" s="385"/>
      <c r="O2851" s="190"/>
    </row>
    <row r="2852" spans="3:15" ht="16" x14ac:dyDescent="0.2">
      <c r="C2852" s="119">
        <v>11</v>
      </c>
      <c r="D2852" s="383"/>
      <c r="E2852" s="389"/>
      <c r="F2852" s="385"/>
      <c r="G2852" s="391"/>
      <c r="H2852" s="316"/>
      <c r="I2852" s="391"/>
      <c r="J2852" s="28"/>
      <c r="K2852" s="391"/>
      <c r="L2852" s="385"/>
      <c r="M2852" s="391"/>
      <c r="N2852" s="385"/>
      <c r="O2852" s="190"/>
    </row>
    <row r="2853" spans="3:15" ht="16" x14ac:dyDescent="0.2">
      <c r="C2853" s="193">
        <v>12</v>
      </c>
      <c r="D2853" s="383"/>
      <c r="E2853" s="389"/>
      <c r="F2853" s="385"/>
      <c r="G2853" s="391"/>
      <c r="H2853" s="316"/>
      <c r="I2853" s="391"/>
      <c r="J2853" s="385"/>
      <c r="K2853" s="391"/>
      <c r="L2853" s="385"/>
      <c r="M2853" s="391"/>
      <c r="N2853" s="385"/>
      <c r="O2853" s="190"/>
    </row>
    <row r="2854" spans="3:15" ht="16" x14ac:dyDescent="0.2">
      <c r="C2854" s="119">
        <v>13</v>
      </c>
      <c r="D2854" s="383"/>
      <c r="E2854" s="389"/>
      <c r="F2854" s="385"/>
      <c r="G2854" s="391"/>
      <c r="H2854" s="316"/>
      <c r="I2854" s="391"/>
      <c r="J2854" s="385"/>
      <c r="K2854" s="391"/>
      <c r="L2854" s="385"/>
      <c r="M2854" s="391"/>
      <c r="N2854" s="385"/>
      <c r="O2854" s="190"/>
    </row>
    <row r="2855" spans="3:15" ht="16" x14ac:dyDescent="0.2">
      <c r="C2855" s="119">
        <v>14</v>
      </c>
      <c r="D2855" s="383"/>
      <c r="E2855" s="389"/>
      <c r="F2855" s="385"/>
      <c r="G2855" s="391"/>
      <c r="H2855" s="316"/>
      <c r="I2855" s="391"/>
      <c r="J2855" s="385"/>
      <c r="K2855" s="391"/>
      <c r="L2855" s="385"/>
      <c r="M2855" s="391"/>
      <c r="N2855" s="385"/>
      <c r="O2855" s="190"/>
    </row>
    <row r="2856" spans="3:15" ht="16" x14ac:dyDescent="0.2">
      <c r="C2856" s="119">
        <v>15</v>
      </c>
      <c r="D2856" s="383"/>
      <c r="E2856" s="389"/>
      <c r="F2856" s="385"/>
      <c r="G2856" s="391"/>
      <c r="H2856" s="316"/>
      <c r="I2856" s="391"/>
      <c r="J2856" s="385"/>
      <c r="K2856" s="391"/>
      <c r="L2856" s="385"/>
      <c r="M2856" s="391"/>
      <c r="N2856" s="385"/>
      <c r="O2856" s="190"/>
    </row>
    <row r="2857" spans="3:15" ht="16" x14ac:dyDescent="0.2">
      <c r="C2857" s="119">
        <v>16</v>
      </c>
      <c r="D2857" s="383"/>
      <c r="E2857" s="389"/>
      <c r="F2857" s="385"/>
      <c r="G2857" s="391"/>
      <c r="H2857" s="316"/>
      <c r="I2857" s="391"/>
      <c r="J2857" s="385"/>
      <c r="K2857" s="391"/>
      <c r="L2857" s="385"/>
      <c r="M2857" s="391"/>
      <c r="N2857" s="385"/>
      <c r="O2857" s="190"/>
    </row>
    <row r="2858" spans="3:15" ht="16" x14ac:dyDescent="0.2">
      <c r="C2858" s="119">
        <v>17</v>
      </c>
      <c r="D2858" s="383"/>
      <c r="E2858" s="389"/>
      <c r="F2858" s="384"/>
      <c r="G2858" s="33"/>
      <c r="H2858" s="316"/>
      <c r="I2858" s="390"/>
      <c r="J2858" s="385"/>
      <c r="K2858" s="391"/>
      <c r="L2858" s="385"/>
      <c r="M2858" s="391"/>
      <c r="N2858" s="385"/>
      <c r="O2858" s="190"/>
    </row>
    <row r="2859" spans="3:15" ht="16" x14ac:dyDescent="0.2">
      <c r="C2859" s="119">
        <v>18</v>
      </c>
      <c r="D2859" s="383"/>
      <c r="E2859" s="389"/>
      <c r="F2859" s="394"/>
      <c r="G2859" s="229"/>
      <c r="H2859" s="394"/>
      <c r="I2859" s="391"/>
      <c r="J2859" s="385"/>
      <c r="K2859" s="391"/>
      <c r="L2859" s="385"/>
      <c r="M2859" s="391"/>
      <c r="N2859" s="385"/>
      <c r="O2859" s="190"/>
    </row>
    <row r="2860" spans="3:15" ht="16" x14ac:dyDescent="0.2">
      <c r="C2860" s="119">
        <v>19</v>
      </c>
      <c r="D2860" s="383"/>
      <c r="E2860" s="389"/>
      <c r="F2860" s="385"/>
      <c r="G2860" s="391"/>
      <c r="H2860" s="385"/>
      <c r="I2860" s="391"/>
      <c r="J2860" s="385"/>
      <c r="K2860" s="391"/>
      <c r="L2860" s="403"/>
      <c r="M2860" s="391"/>
      <c r="N2860" s="385"/>
      <c r="O2860" s="190"/>
    </row>
    <row r="2861" spans="3:15" ht="16" x14ac:dyDescent="0.2">
      <c r="C2861" s="119">
        <v>20</v>
      </c>
      <c r="D2861" s="383"/>
      <c r="E2861" s="389"/>
      <c r="F2861" s="385"/>
      <c r="G2861" s="391"/>
      <c r="H2861" s="385"/>
      <c r="I2861" s="391"/>
      <c r="J2861" s="385"/>
      <c r="K2861" s="391"/>
      <c r="L2861" s="403"/>
      <c r="M2861" s="391"/>
      <c r="N2861" s="385"/>
      <c r="O2861" s="190"/>
    </row>
    <row r="2862" spans="3:15" ht="16" x14ac:dyDescent="0.2">
      <c r="C2862" s="119">
        <v>21</v>
      </c>
      <c r="D2862" s="383"/>
      <c r="E2862" s="389"/>
      <c r="F2862" s="385"/>
      <c r="G2862" s="391"/>
      <c r="H2862" s="385"/>
      <c r="I2862" s="391"/>
      <c r="J2862" s="385"/>
      <c r="K2862" s="391"/>
      <c r="L2862" s="385"/>
      <c r="M2862" s="391"/>
      <c r="N2862" s="385"/>
      <c r="O2862" s="190"/>
    </row>
    <row r="2863" spans="3:15" ht="16" x14ac:dyDescent="0.2">
      <c r="C2863" s="119">
        <v>22</v>
      </c>
      <c r="D2863" s="383"/>
      <c r="E2863" s="389"/>
      <c r="F2863" s="385"/>
      <c r="G2863" s="391"/>
      <c r="H2863" s="385"/>
      <c r="I2863" s="391"/>
      <c r="J2863" s="385"/>
      <c r="K2863" s="391"/>
      <c r="L2863" s="385"/>
      <c r="M2863" s="391"/>
      <c r="N2863" s="385"/>
      <c r="O2863" s="190"/>
    </row>
    <row r="2864" spans="3:15" ht="16" x14ac:dyDescent="0.2">
      <c r="C2864" s="119">
        <v>23</v>
      </c>
      <c r="D2864" s="383"/>
      <c r="E2864" s="389"/>
      <c r="F2864" s="385"/>
      <c r="G2864" s="391"/>
      <c r="H2864" s="385"/>
      <c r="I2864" s="391"/>
      <c r="J2864" s="385"/>
      <c r="K2864" s="391"/>
      <c r="L2864" s="385"/>
      <c r="M2864" s="391"/>
      <c r="N2864" s="385"/>
      <c r="O2864" s="190"/>
    </row>
    <row r="2865" spans="2:15" ht="16" x14ac:dyDescent="0.2">
      <c r="C2865" s="119">
        <v>24</v>
      </c>
      <c r="D2865" s="383"/>
      <c r="E2865" s="389"/>
      <c r="F2865" s="385"/>
      <c r="G2865" s="391"/>
      <c r="H2865" s="385"/>
      <c r="I2865" s="391"/>
      <c r="J2865" s="385"/>
      <c r="K2865" s="391"/>
      <c r="L2865" s="385"/>
      <c r="M2865" s="391"/>
      <c r="N2865" s="385"/>
      <c r="O2865" s="190"/>
    </row>
    <row r="2866" spans="2:15" ht="16" x14ac:dyDescent="0.2">
      <c r="C2866" s="119">
        <v>25</v>
      </c>
      <c r="D2866" s="383"/>
      <c r="E2866" s="389"/>
      <c r="F2866" s="385"/>
      <c r="G2866" s="391"/>
      <c r="H2866" s="385"/>
      <c r="I2866" s="391"/>
      <c r="J2866" s="385"/>
      <c r="K2866" s="391"/>
      <c r="L2866" s="385"/>
      <c r="M2866" s="391"/>
      <c r="N2866" s="385"/>
      <c r="O2866" s="190"/>
    </row>
    <row r="2867" spans="2:15" ht="16" x14ac:dyDescent="0.2">
      <c r="C2867" s="119">
        <v>26</v>
      </c>
      <c r="D2867" s="383"/>
      <c r="E2867" s="389"/>
      <c r="F2867" s="385"/>
      <c r="G2867" s="391"/>
      <c r="H2867" s="385"/>
      <c r="I2867" s="391"/>
      <c r="J2867" s="385"/>
      <c r="K2867" s="391"/>
      <c r="L2867" s="385"/>
      <c r="M2867" s="391"/>
      <c r="N2867" s="385"/>
      <c r="O2867" s="190"/>
    </row>
    <row r="2868" spans="2:15" ht="16" x14ac:dyDescent="0.2">
      <c r="C2868" s="119">
        <v>27</v>
      </c>
      <c r="D2868" s="383"/>
      <c r="E2868" s="389"/>
      <c r="F2868" s="385"/>
      <c r="G2868" s="391"/>
      <c r="H2868" s="385"/>
      <c r="I2868" s="391"/>
      <c r="J2868" s="385"/>
      <c r="K2868" s="391"/>
      <c r="L2868" s="385"/>
      <c r="M2868" s="391"/>
      <c r="N2868" s="385"/>
      <c r="O2868" s="190"/>
    </row>
    <row r="2869" spans="2:15" ht="16" x14ac:dyDescent="0.2">
      <c r="C2869" s="119">
        <v>28</v>
      </c>
      <c r="D2869" s="383"/>
      <c r="E2869" s="389"/>
      <c r="F2869" s="385"/>
      <c r="G2869" s="391"/>
      <c r="H2869" s="385"/>
      <c r="I2869" s="391"/>
      <c r="J2869" s="385"/>
      <c r="K2869" s="391"/>
      <c r="L2869" s="385"/>
      <c r="M2869" s="391"/>
      <c r="N2869" s="385"/>
      <c r="O2869" s="190"/>
    </row>
    <row r="2870" spans="2:15" ht="16" x14ac:dyDescent="0.2">
      <c r="C2870" s="119">
        <v>29</v>
      </c>
      <c r="D2870" s="383"/>
      <c r="E2870" s="389"/>
      <c r="F2870" s="385"/>
      <c r="G2870" s="391"/>
      <c r="H2870" s="385"/>
      <c r="I2870" s="391"/>
      <c r="J2870" s="385"/>
      <c r="K2870" s="391"/>
      <c r="L2870" s="385"/>
      <c r="M2870" s="391"/>
      <c r="N2870" s="385"/>
      <c r="O2870" s="190"/>
    </row>
    <row r="2871" spans="2:15" ht="16" x14ac:dyDescent="0.2">
      <c r="C2871" s="119">
        <v>30</v>
      </c>
      <c r="D2871" s="383"/>
      <c r="E2871" s="389"/>
      <c r="F2871" s="385"/>
      <c r="G2871" s="391"/>
      <c r="H2871" s="385"/>
      <c r="I2871" s="391"/>
      <c r="J2871" s="385"/>
      <c r="K2871" s="391"/>
      <c r="L2871" s="385"/>
      <c r="M2871" s="391"/>
      <c r="N2871" s="385"/>
      <c r="O2871" s="190"/>
    </row>
    <row r="2872" spans="2:15" ht="16" x14ac:dyDescent="0.2">
      <c r="C2872" s="120">
        <v>31</v>
      </c>
      <c r="D2872" s="383"/>
      <c r="E2872" s="389"/>
      <c r="F2872" s="384"/>
      <c r="G2872" s="390"/>
      <c r="H2872" s="384"/>
      <c r="I2872" s="390"/>
      <c r="J2872" s="384"/>
      <c r="K2872" s="390"/>
      <c r="L2872" s="384"/>
      <c r="M2872" s="390"/>
      <c r="N2872" s="384"/>
      <c r="O2872" s="190"/>
    </row>
    <row r="2873" spans="2:15" ht="16" x14ac:dyDescent="0.2">
      <c r="B2873" s="256"/>
      <c r="C2873" s="377">
        <v>32</v>
      </c>
      <c r="D2873" s="384"/>
      <c r="E2873" s="390"/>
      <c r="F2873" s="384"/>
      <c r="G2873" s="390"/>
      <c r="H2873" s="384"/>
      <c r="I2873" s="390"/>
      <c r="J2873" s="384"/>
      <c r="K2873" s="390"/>
      <c r="L2873" s="384"/>
      <c r="M2873" s="390"/>
      <c r="N2873" s="384"/>
      <c r="O2873" s="190"/>
    </row>
    <row r="2874" spans="2:15" ht="16" x14ac:dyDescent="0.2">
      <c r="B2874" s="256"/>
      <c r="C2874" s="119">
        <v>33</v>
      </c>
      <c r="D2874" s="385"/>
      <c r="E2874" s="391"/>
      <c r="F2874" s="385"/>
      <c r="G2874" s="391"/>
      <c r="H2874" s="385"/>
      <c r="I2874" s="391"/>
      <c r="J2874" s="385"/>
      <c r="K2874" s="391"/>
      <c r="L2874" s="385"/>
      <c r="M2874" s="391"/>
      <c r="N2874" s="385"/>
      <c r="O2874" s="190"/>
    </row>
    <row r="2875" spans="2:15" ht="16" x14ac:dyDescent="0.2">
      <c r="B2875" s="256"/>
      <c r="C2875" s="119">
        <v>34</v>
      </c>
      <c r="D2875" s="385"/>
      <c r="E2875" s="391"/>
      <c r="F2875" s="385"/>
      <c r="G2875" s="391"/>
      <c r="H2875" s="385"/>
      <c r="I2875" s="391"/>
      <c r="J2875" s="385"/>
      <c r="K2875" s="391"/>
      <c r="L2875" s="385"/>
      <c r="M2875" s="391"/>
      <c r="N2875" s="385"/>
      <c r="O2875" s="190"/>
    </row>
    <row r="2876" spans="2:15" ht="16" x14ac:dyDescent="0.2">
      <c r="B2876" s="256"/>
      <c r="C2876" s="119">
        <v>35</v>
      </c>
      <c r="D2876" s="385"/>
      <c r="E2876" s="391"/>
      <c r="F2876" s="385"/>
      <c r="G2876" s="391"/>
      <c r="H2876" s="385"/>
      <c r="I2876" s="391"/>
      <c r="J2876" s="385"/>
      <c r="K2876" s="391"/>
      <c r="L2876" s="385"/>
      <c r="M2876" s="391"/>
      <c r="N2876" s="385"/>
      <c r="O2876" s="190"/>
    </row>
    <row r="2877" spans="2:15" ht="16" x14ac:dyDescent="0.2">
      <c r="B2877" s="256"/>
      <c r="C2877" s="119">
        <v>36</v>
      </c>
      <c r="D2877" s="385"/>
      <c r="E2877" s="391"/>
      <c r="F2877" s="385"/>
      <c r="G2877" s="391"/>
      <c r="H2877" s="385"/>
      <c r="I2877" s="391"/>
      <c r="J2877" s="385"/>
      <c r="K2877" s="391"/>
      <c r="L2877" s="385"/>
      <c r="M2877" s="391"/>
      <c r="N2877" s="385"/>
      <c r="O2877" s="190"/>
    </row>
    <row r="2878" spans="2:15" ht="17" thickBot="1" x14ac:dyDescent="0.25">
      <c r="B2878" s="256"/>
      <c r="C2878" s="378">
        <v>37</v>
      </c>
      <c r="D2878" s="386"/>
      <c r="E2878" s="392"/>
      <c r="F2878" s="386"/>
      <c r="G2878" s="392"/>
      <c r="H2878" s="386"/>
      <c r="I2878" s="392"/>
      <c r="J2878" s="386"/>
      <c r="K2878" s="392"/>
      <c r="L2878" s="386"/>
      <c r="M2878" s="392"/>
      <c r="N2878" s="386"/>
      <c r="O2878" s="190"/>
    </row>
    <row r="2879" spans="2:15" ht="17" thickBot="1" x14ac:dyDescent="0.25">
      <c r="C2879" s="825" t="s">
        <v>19</v>
      </c>
      <c r="D2879" s="826"/>
      <c r="E2879" s="380"/>
      <c r="F2879" s="376">
        <f>(F2842+F2843+F2844+F2845+F2846+F2847+F2863+F2850+F2851+F2848+F2849+F2852+F2853+F2854+F2855+F2856+F2857+F2858+F2859+F2860+F2861+F2862+F2864+F2865+F2867+F2868+F2869+F2870+F2871+F2872+F2873+F2874+F2875+F2878)/2</f>
        <v>35</v>
      </c>
      <c r="G2879" s="397">
        <f>(G2842+G2843+G2844+G2845+G2846+G2863+G2847+G2851+G2850+G2848+G2849+G2852+G2853+G2854+G2855+G2856+G2857+G2858+G2859+G2860+G2861+G2862+G2864+G2865+G2867+G2868+G2869+G2870+G2871+G2872+G2873+G2874)/2</f>
        <v>28</v>
      </c>
      <c r="H2879" s="399">
        <f>(H2842+H2843+H2844+H2845+H2846+H2847+H2863+H2866+H2850+H2851+H2848+H2849+H2852+H2853+H2854+H2855+H2856+H2857+H2858+H2859+H2860+H2861+H2862+H2864+H2865+H2867+H2868+H2869+H2870+H2871+H2872+H2873+H2874+H2875+H2878)/2</f>
        <v>7</v>
      </c>
      <c r="I2879" s="398">
        <f>(I2842+I2843+I2844+I2845+I2846+I2876+I2877+I2847+I2863+I2850+I2866+I2851+I2848+I2849+I2852+I2853+I2854+I2855+I2856+I2857+I2858+I2859+I2860+I2861+I2862+I2864+I2865+I2867+I2868+I2869+I2870+I2871+I2872+I2873+I2874+I2875+I2878)/2</f>
        <v>22</v>
      </c>
      <c r="J2879" s="376">
        <f>(J2842+J2843+J2844+J2845+J2846+J2847+J2851+J2848+J2850+J2849+J2866+J2852+J2853+J2854+J2855+J2856+J2857+J2858+J2859+J2860+J2861+J2862+J2863+J2864+J2865+J2867+J2868+J2869+J2870+J2871+J2872+J2873+J2874)/2</f>
        <v>36</v>
      </c>
      <c r="K2879" s="397">
        <f>(K2842+K2843+K2844+K2845+K2846+K2847+K2851+K2848+K2849+K2852+K2853+K2854+K2855+K2856+K2857+K2858+K2859+K2860+K2861+K2862+K2864+K2865+K2867+K2868+K2869+K2870+K2871+K2872+K2873+K2874+K2863)</f>
        <v>0</v>
      </c>
      <c r="L2879" s="399">
        <f>SUM(L2842:L2878)</f>
        <v>0</v>
      </c>
      <c r="M2879" s="398">
        <f>(M2842+M2843+M2844+M2845+M2846+M2847+M2851+M2850+M2848+M2849+M2852+M2853+M2854+M2855+M2856+M2857+M2858+M2859+M2860+M2861+M2862+M2864+M2865+M2867+M2868+M2869+M2870+M2871+M2872+M2873+M2874)/2</f>
        <v>0</v>
      </c>
      <c r="N2879" s="376"/>
      <c r="O2879" s="41"/>
    </row>
    <row r="2880" spans="2:15" ht="17" thickBot="1" x14ac:dyDescent="0.25">
      <c r="C2880" s="825" t="s">
        <v>91</v>
      </c>
      <c r="D2880" s="826"/>
      <c r="E2880" s="381">
        <f>SUM(F2879:J2879)</f>
        <v>128</v>
      </c>
    </row>
    <row r="2881" spans="2:15" ht="16" thickBot="1" x14ac:dyDescent="0.25"/>
    <row r="2882" spans="2:15" ht="17" thickBot="1" x14ac:dyDescent="0.25">
      <c r="C2882" s="17"/>
      <c r="D2882" s="379" t="s">
        <v>83</v>
      </c>
      <c r="E2882" s="818" t="s">
        <v>69</v>
      </c>
      <c r="F2882" s="819"/>
      <c r="G2882" s="819"/>
      <c r="H2882" s="819"/>
      <c r="I2882" s="819"/>
      <c r="J2882" s="400" t="s">
        <v>76</v>
      </c>
      <c r="K2882" s="820">
        <v>45753</v>
      </c>
      <c r="L2882" s="821"/>
      <c r="M2882" s="821"/>
      <c r="N2882" s="821"/>
      <c r="O2882" s="822"/>
    </row>
    <row r="2883" spans="2:15" ht="16" thickBot="1" x14ac:dyDescent="0.25">
      <c r="B2883" s="175" t="s">
        <v>76</v>
      </c>
      <c r="C2883" s="175" t="s">
        <v>77</v>
      </c>
      <c r="D2883" s="823" t="s">
        <v>122</v>
      </c>
      <c r="E2883" s="824"/>
      <c r="F2883" s="175" t="s">
        <v>104</v>
      </c>
      <c r="G2883" s="395" t="s">
        <v>86</v>
      </c>
      <c r="H2883" s="175" t="s">
        <v>88</v>
      </c>
      <c r="I2883" s="395" t="s">
        <v>87</v>
      </c>
      <c r="J2883" s="401" t="s">
        <v>85</v>
      </c>
      <c r="K2883" s="395" t="s">
        <v>123</v>
      </c>
      <c r="L2883" s="175" t="s">
        <v>124</v>
      </c>
      <c r="M2883" s="395" t="s">
        <v>100</v>
      </c>
      <c r="N2883" s="175" t="s">
        <v>213</v>
      </c>
      <c r="O2883" s="404" t="s">
        <v>125</v>
      </c>
    </row>
    <row r="2884" spans="2:15" ht="16" thickBot="1" x14ac:dyDescent="0.25">
      <c r="B2884" s="176">
        <f>K2882</f>
        <v>45753</v>
      </c>
      <c r="C2884" s="374"/>
      <c r="D2884" s="375" t="s">
        <v>126</v>
      </c>
      <c r="E2884" s="387" t="s">
        <v>127</v>
      </c>
      <c r="F2884" s="331">
        <v>10</v>
      </c>
      <c r="G2884" s="237">
        <v>6</v>
      </c>
      <c r="H2884" s="331">
        <v>3</v>
      </c>
      <c r="I2884" s="237">
        <v>4</v>
      </c>
      <c r="J2884" s="331">
        <v>8</v>
      </c>
      <c r="K2884" s="231"/>
      <c r="L2884" s="125"/>
      <c r="M2884" s="231"/>
      <c r="N2884" s="125"/>
      <c r="O2884" s="326"/>
    </row>
    <row r="2885" spans="2:15" ht="16" x14ac:dyDescent="0.2">
      <c r="C2885" s="118">
        <v>1</v>
      </c>
      <c r="D2885" s="382">
        <v>0.42708333333333331</v>
      </c>
      <c r="E2885" s="388">
        <v>0.44791666666666669</v>
      </c>
      <c r="F2885" s="393"/>
      <c r="G2885" s="396">
        <v>28</v>
      </c>
      <c r="H2885" s="393"/>
      <c r="I2885" s="396"/>
      <c r="J2885" s="393"/>
      <c r="K2885" s="396"/>
      <c r="L2885" s="393"/>
      <c r="M2885" s="396"/>
      <c r="N2885" s="393"/>
      <c r="O2885" s="190"/>
    </row>
    <row r="2886" spans="2:15" ht="16" x14ac:dyDescent="0.2">
      <c r="C2886" s="119">
        <v>2</v>
      </c>
      <c r="D2886" s="383">
        <v>0.44791666666666669</v>
      </c>
      <c r="E2886" s="389">
        <v>0.46875</v>
      </c>
      <c r="F2886" s="385"/>
      <c r="G2886" s="391">
        <v>28</v>
      </c>
      <c r="H2886" s="385"/>
      <c r="I2886" s="391"/>
      <c r="J2886" s="385"/>
      <c r="K2886" s="391"/>
      <c r="L2886" s="385"/>
      <c r="M2886" s="391"/>
      <c r="N2886" s="385"/>
      <c r="O2886" s="190"/>
    </row>
    <row r="2887" spans="2:15" ht="16" x14ac:dyDescent="0.2">
      <c r="C2887" s="119">
        <v>3</v>
      </c>
      <c r="D2887" s="383">
        <v>0.46875</v>
      </c>
      <c r="E2887" s="389">
        <v>0.48958333333333331</v>
      </c>
      <c r="F2887" s="385"/>
      <c r="G2887" s="391">
        <v>28</v>
      </c>
      <c r="H2887" s="385"/>
      <c r="I2887" s="391"/>
      <c r="J2887" s="385"/>
      <c r="K2887" s="391"/>
      <c r="L2887" s="384"/>
      <c r="M2887" s="391"/>
      <c r="N2887" s="385"/>
      <c r="O2887" s="190"/>
    </row>
    <row r="2888" spans="2:15" ht="16" x14ac:dyDescent="0.2">
      <c r="C2888" s="119">
        <v>4</v>
      </c>
      <c r="D2888" s="383">
        <v>0.48958333333333331</v>
      </c>
      <c r="E2888" s="389">
        <v>0.51041666666666663</v>
      </c>
      <c r="F2888" s="385"/>
      <c r="G2888" s="391"/>
      <c r="H2888" s="316">
        <v>28</v>
      </c>
      <c r="I2888" s="391"/>
      <c r="J2888" s="385"/>
      <c r="K2888" s="391"/>
      <c r="L2888" s="402"/>
      <c r="M2888" s="391"/>
      <c r="N2888" s="385"/>
      <c r="O2888" s="190"/>
    </row>
    <row r="2889" spans="2:15" ht="16" x14ac:dyDescent="0.2">
      <c r="C2889" s="119">
        <v>5</v>
      </c>
      <c r="D2889" s="383">
        <v>0.49652777777777773</v>
      </c>
      <c r="E2889" s="389">
        <v>0.51736111111111105</v>
      </c>
      <c r="F2889" s="385"/>
      <c r="G2889" s="391"/>
      <c r="H2889" s="316">
        <v>14</v>
      </c>
      <c r="I2889" s="391"/>
      <c r="J2889" s="385"/>
      <c r="K2889" s="391"/>
      <c r="L2889" s="393"/>
      <c r="M2889" s="391"/>
      <c r="N2889" s="385"/>
      <c r="O2889" s="190"/>
    </row>
    <row r="2890" spans="2:15" ht="16" x14ac:dyDescent="0.2">
      <c r="C2890" s="119">
        <v>6</v>
      </c>
      <c r="D2890" s="383">
        <v>0.51041666666666663</v>
      </c>
      <c r="E2890" s="389">
        <v>0.53125</v>
      </c>
      <c r="F2890" s="385">
        <v>28</v>
      </c>
      <c r="G2890" s="391"/>
      <c r="H2890" s="316"/>
      <c r="I2890" s="391"/>
      <c r="J2890" s="385"/>
      <c r="K2890" s="391"/>
      <c r="L2890" s="393"/>
      <c r="M2890" s="391"/>
      <c r="N2890" s="385"/>
      <c r="O2890" s="190"/>
    </row>
    <row r="2891" spans="2:15" ht="16" x14ac:dyDescent="0.2">
      <c r="C2891" s="119">
        <v>7</v>
      </c>
      <c r="D2891" s="383">
        <v>0.52083333333333337</v>
      </c>
      <c r="E2891" s="389">
        <v>0.54166666666666663</v>
      </c>
      <c r="F2891" s="385">
        <v>28</v>
      </c>
      <c r="G2891" s="391"/>
      <c r="H2891" s="316"/>
      <c r="I2891" s="391"/>
      <c r="J2891" s="385"/>
      <c r="K2891" s="391"/>
      <c r="L2891" s="393"/>
      <c r="M2891" s="391"/>
      <c r="N2891" s="385"/>
      <c r="O2891" s="190"/>
    </row>
    <row r="2892" spans="2:15" ht="16" x14ac:dyDescent="0.2">
      <c r="C2892" s="119">
        <v>8</v>
      </c>
      <c r="D2892" s="383">
        <v>0.54166666666666663</v>
      </c>
      <c r="E2892" s="389">
        <v>0.5625</v>
      </c>
      <c r="F2892" s="385">
        <v>28</v>
      </c>
      <c r="G2892" s="391"/>
      <c r="H2892" s="316"/>
      <c r="I2892" s="391"/>
      <c r="J2892" s="385"/>
      <c r="K2892" s="391"/>
      <c r="L2892" s="385"/>
      <c r="M2892" s="391"/>
      <c r="N2892" s="385"/>
      <c r="O2892" s="190"/>
    </row>
    <row r="2893" spans="2:15" ht="16" x14ac:dyDescent="0.2">
      <c r="C2893" s="119">
        <v>9</v>
      </c>
      <c r="D2893" s="383">
        <v>0.5625</v>
      </c>
      <c r="E2893" s="389">
        <v>0.58333333333333337</v>
      </c>
      <c r="F2893" s="385">
        <v>28</v>
      </c>
      <c r="G2893" s="391"/>
      <c r="H2893" s="316"/>
      <c r="I2893" s="391"/>
      <c r="J2893" s="385"/>
      <c r="K2893" s="391"/>
      <c r="L2893" s="385"/>
      <c r="M2893" s="391"/>
      <c r="N2893" s="385"/>
      <c r="O2893" s="190"/>
    </row>
    <row r="2894" spans="2:15" ht="16" x14ac:dyDescent="0.2">
      <c r="C2894" s="119">
        <v>10</v>
      </c>
      <c r="D2894" s="383">
        <v>0.58333333333333337</v>
      </c>
      <c r="E2894" s="389">
        <v>0.60416666666666663</v>
      </c>
      <c r="F2894" s="385">
        <v>28</v>
      </c>
      <c r="G2894" s="391"/>
      <c r="H2894" s="316"/>
      <c r="I2894" s="391"/>
      <c r="J2894" s="385"/>
      <c r="K2894" s="391"/>
      <c r="L2894" s="385"/>
      <c r="M2894" s="391"/>
      <c r="N2894" s="385"/>
      <c r="O2894" s="190"/>
    </row>
    <row r="2895" spans="2:15" ht="16" x14ac:dyDescent="0.2">
      <c r="C2895" s="119">
        <v>11</v>
      </c>
      <c r="D2895" s="383">
        <v>0.60416666666666663</v>
      </c>
      <c r="E2895" s="389">
        <v>0.625</v>
      </c>
      <c r="F2895" s="385"/>
      <c r="G2895" s="391"/>
      <c r="H2895" s="316"/>
      <c r="I2895" s="391"/>
      <c r="J2895" s="28">
        <v>30</v>
      </c>
      <c r="K2895" s="391"/>
      <c r="L2895" s="385"/>
      <c r="M2895" s="391"/>
      <c r="N2895" s="385"/>
      <c r="O2895" s="190"/>
    </row>
    <row r="2896" spans="2:15" ht="16" x14ac:dyDescent="0.2">
      <c r="C2896" s="193">
        <v>12</v>
      </c>
      <c r="D2896" s="383">
        <v>0.625</v>
      </c>
      <c r="E2896" s="389">
        <v>0.64583333333333337</v>
      </c>
      <c r="F2896" s="385"/>
      <c r="G2896" s="391"/>
      <c r="H2896" s="316"/>
      <c r="I2896" s="391"/>
      <c r="J2896" s="385">
        <v>36</v>
      </c>
      <c r="K2896" s="391"/>
      <c r="L2896" s="385"/>
      <c r="M2896" s="391"/>
      <c r="N2896" s="385"/>
      <c r="O2896" s="190"/>
    </row>
    <row r="2897" spans="3:15" ht="16" x14ac:dyDescent="0.2">
      <c r="C2897" s="119">
        <v>13</v>
      </c>
      <c r="D2897" s="383">
        <v>0.64583333333333337</v>
      </c>
      <c r="E2897" s="389">
        <v>0.66666666666666663</v>
      </c>
      <c r="F2897" s="385"/>
      <c r="G2897" s="391"/>
      <c r="H2897" s="316"/>
      <c r="I2897" s="391"/>
      <c r="J2897" s="385">
        <v>36</v>
      </c>
      <c r="K2897" s="391"/>
      <c r="L2897" s="385"/>
      <c r="M2897" s="391"/>
      <c r="N2897" s="385"/>
      <c r="O2897" s="190"/>
    </row>
    <row r="2898" spans="3:15" ht="16" x14ac:dyDescent="0.2">
      <c r="C2898" s="119">
        <v>14</v>
      </c>
      <c r="D2898" s="383">
        <v>0.66666666666666663</v>
      </c>
      <c r="E2898" s="389">
        <v>0.6875</v>
      </c>
      <c r="F2898" s="385"/>
      <c r="G2898" s="391"/>
      <c r="H2898" s="316"/>
      <c r="I2898" s="391"/>
      <c r="J2898" s="385">
        <v>36</v>
      </c>
      <c r="K2898" s="391"/>
      <c r="L2898" s="385"/>
      <c r="M2898" s="391"/>
      <c r="N2898" s="385"/>
      <c r="O2898" s="190"/>
    </row>
    <row r="2899" spans="3:15" ht="16" x14ac:dyDescent="0.2">
      <c r="C2899" s="119">
        <v>15</v>
      </c>
      <c r="D2899" s="383">
        <v>0.6875</v>
      </c>
      <c r="E2899" s="389">
        <v>0.70833333333333337</v>
      </c>
      <c r="F2899" s="385"/>
      <c r="G2899" s="391"/>
      <c r="H2899" s="316"/>
      <c r="I2899" s="391">
        <v>44</v>
      </c>
      <c r="J2899" s="385"/>
      <c r="K2899" s="391"/>
      <c r="L2899" s="385"/>
      <c r="M2899" s="391"/>
      <c r="N2899" s="385"/>
      <c r="O2899" s="190"/>
    </row>
    <row r="2900" spans="3:15" ht="16" x14ac:dyDescent="0.2">
      <c r="C2900" s="119">
        <v>16</v>
      </c>
      <c r="D2900" s="383">
        <v>0.70833333333333337</v>
      </c>
      <c r="E2900" s="389">
        <v>0.72916666666666663</v>
      </c>
      <c r="F2900" s="385"/>
      <c r="G2900" s="391"/>
      <c r="H2900" s="316"/>
      <c r="I2900" s="391">
        <v>44</v>
      </c>
      <c r="J2900" s="385"/>
      <c r="K2900" s="391"/>
      <c r="L2900" s="385"/>
      <c r="M2900" s="391"/>
      <c r="N2900" s="385"/>
      <c r="O2900" s="190"/>
    </row>
    <row r="2901" spans="3:15" ht="16" x14ac:dyDescent="0.2">
      <c r="C2901" s="119">
        <v>17</v>
      </c>
      <c r="D2901" s="383"/>
      <c r="E2901" s="389"/>
      <c r="F2901" s="384"/>
      <c r="G2901" s="33"/>
      <c r="H2901" s="316"/>
      <c r="I2901" s="390"/>
      <c r="J2901" s="385"/>
      <c r="K2901" s="391"/>
      <c r="L2901" s="385"/>
      <c r="M2901" s="391"/>
      <c r="N2901" s="385"/>
      <c r="O2901" s="190"/>
    </row>
    <row r="2902" spans="3:15" ht="16" x14ac:dyDescent="0.2">
      <c r="C2902" s="119">
        <v>18</v>
      </c>
      <c r="D2902" s="383"/>
      <c r="E2902" s="389"/>
      <c r="F2902" s="394"/>
      <c r="G2902" s="229"/>
      <c r="H2902" s="394"/>
      <c r="I2902" s="391"/>
      <c r="J2902" s="385"/>
      <c r="K2902" s="391"/>
      <c r="L2902" s="385"/>
      <c r="M2902" s="391"/>
      <c r="N2902" s="385"/>
      <c r="O2902" s="190"/>
    </row>
    <row r="2903" spans="3:15" ht="16" x14ac:dyDescent="0.2">
      <c r="C2903" s="119">
        <v>19</v>
      </c>
      <c r="D2903" s="383"/>
      <c r="E2903" s="389"/>
      <c r="F2903" s="385"/>
      <c r="G2903" s="391"/>
      <c r="H2903" s="385"/>
      <c r="I2903" s="391"/>
      <c r="J2903" s="385"/>
      <c r="K2903" s="391"/>
      <c r="L2903" s="403"/>
      <c r="M2903" s="391"/>
      <c r="N2903" s="385"/>
      <c r="O2903" s="190"/>
    </row>
    <row r="2904" spans="3:15" ht="16" x14ac:dyDescent="0.2">
      <c r="C2904" s="119">
        <v>20</v>
      </c>
      <c r="D2904" s="383"/>
      <c r="E2904" s="389"/>
      <c r="F2904" s="385"/>
      <c r="G2904" s="391"/>
      <c r="H2904" s="385"/>
      <c r="I2904" s="391"/>
      <c r="J2904" s="385"/>
      <c r="K2904" s="391"/>
      <c r="L2904" s="403"/>
      <c r="M2904" s="391"/>
      <c r="N2904" s="385"/>
      <c r="O2904" s="190"/>
    </row>
    <row r="2905" spans="3:15" ht="16" x14ac:dyDescent="0.2">
      <c r="C2905" s="119">
        <v>21</v>
      </c>
      <c r="D2905" s="383"/>
      <c r="E2905" s="389"/>
      <c r="F2905" s="385"/>
      <c r="G2905" s="391"/>
      <c r="H2905" s="385"/>
      <c r="I2905" s="391"/>
      <c r="J2905" s="385"/>
      <c r="K2905" s="391"/>
      <c r="L2905" s="385"/>
      <c r="M2905" s="391"/>
      <c r="N2905" s="385"/>
      <c r="O2905" s="190"/>
    </row>
    <row r="2906" spans="3:15" ht="16" x14ac:dyDescent="0.2">
      <c r="C2906" s="119">
        <v>22</v>
      </c>
      <c r="D2906" s="383"/>
      <c r="E2906" s="389"/>
      <c r="F2906" s="385"/>
      <c r="G2906" s="391"/>
      <c r="H2906" s="385"/>
      <c r="I2906" s="391"/>
      <c r="J2906" s="385"/>
      <c r="K2906" s="391"/>
      <c r="L2906" s="385"/>
      <c r="M2906" s="391"/>
      <c r="N2906" s="385"/>
      <c r="O2906" s="190"/>
    </row>
    <row r="2907" spans="3:15" ht="16" x14ac:dyDescent="0.2">
      <c r="C2907" s="119">
        <v>23</v>
      </c>
      <c r="D2907" s="383"/>
      <c r="E2907" s="389"/>
      <c r="F2907" s="385"/>
      <c r="G2907" s="391"/>
      <c r="H2907" s="385"/>
      <c r="I2907" s="391"/>
      <c r="J2907" s="385"/>
      <c r="K2907" s="391"/>
      <c r="L2907" s="385"/>
      <c r="M2907" s="391"/>
      <c r="N2907" s="385"/>
      <c r="O2907" s="190"/>
    </row>
    <row r="2908" spans="3:15" ht="16" x14ac:dyDescent="0.2">
      <c r="C2908" s="119">
        <v>24</v>
      </c>
      <c r="D2908" s="383"/>
      <c r="E2908" s="389"/>
      <c r="F2908" s="385"/>
      <c r="G2908" s="391"/>
      <c r="H2908" s="385"/>
      <c r="I2908" s="391"/>
      <c r="J2908" s="385"/>
      <c r="K2908" s="391"/>
      <c r="L2908" s="385"/>
      <c r="M2908" s="391"/>
      <c r="N2908" s="385"/>
      <c r="O2908" s="190"/>
    </row>
    <row r="2909" spans="3:15" ht="16" x14ac:dyDescent="0.2">
      <c r="C2909" s="119">
        <v>25</v>
      </c>
      <c r="D2909" s="383"/>
      <c r="E2909" s="389"/>
      <c r="F2909" s="385"/>
      <c r="G2909" s="391"/>
      <c r="H2909" s="385"/>
      <c r="I2909" s="391"/>
      <c r="J2909" s="385"/>
      <c r="K2909" s="391"/>
      <c r="L2909" s="385"/>
      <c r="M2909" s="391"/>
      <c r="N2909" s="385"/>
      <c r="O2909" s="190"/>
    </row>
    <row r="2910" spans="3:15" ht="16" x14ac:dyDescent="0.2">
      <c r="C2910" s="119">
        <v>26</v>
      </c>
      <c r="D2910" s="383"/>
      <c r="E2910" s="389"/>
      <c r="F2910" s="385"/>
      <c r="G2910" s="391"/>
      <c r="H2910" s="385"/>
      <c r="I2910" s="391"/>
      <c r="J2910" s="385"/>
      <c r="K2910" s="391"/>
      <c r="L2910" s="385"/>
      <c r="M2910" s="391"/>
      <c r="N2910" s="385"/>
      <c r="O2910" s="190"/>
    </row>
    <row r="2911" spans="3:15" ht="16" x14ac:dyDescent="0.2">
      <c r="C2911" s="119">
        <v>27</v>
      </c>
      <c r="D2911" s="383"/>
      <c r="E2911" s="389"/>
      <c r="F2911" s="385"/>
      <c r="G2911" s="391"/>
      <c r="H2911" s="385"/>
      <c r="I2911" s="391"/>
      <c r="J2911" s="385"/>
      <c r="K2911" s="391"/>
      <c r="L2911" s="385"/>
      <c r="M2911" s="391"/>
      <c r="N2911" s="385"/>
      <c r="O2911" s="190"/>
    </row>
    <row r="2912" spans="3:15" ht="16" x14ac:dyDescent="0.2">
      <c r="C2912" s="119">
        <v>28</v>
      </c>
      <c r="D2912" s="383"/>
      <c r="E2912" s="389"/>
      <c r="F2912" s="385"/>
      <c r="G2912" s="391"/>
      <c r="H2912" s="385"/>
      <c r="I2912" s="391"/>
      <c r="J2912" s="385"/>
      <c r="K2912" s="391"/>
      <c r="L2912" s="385"/>
      <c r="M2912" s="391"/>
      <c r="N2912" s="385"/>
      <c r="O2912" s="190"/>
    </row>
    <row r="2913" spans="2:15" ht="16" x14ac:dyDescent="0.2">
      <c r="C2913" s="119">
        <v>29</v>
      </c>
      <c r="D2913" s="383"/>
      <c r="E2913" s="389"/>
      <c r="F2913" s="385"/>
      <c r="G2913" s="391"/>
      <c r="H2913" s="385"/>
      <c r="I2913" s="391"/>
      <c r="J2913" s="385"/>
      <c r="K2913" s="391"/>
      <c r="L2913" s="385"/>
      <c r="M2913" s="391"/>
      <c r="N2913" s="385"/>
      <c r="O2913" s="190"/>
    </row>
    <row r="2914" spans="2:15" ht="16" x14ac:dyDescent="0.2">
      <c r="C2914" s="119">
        <v>30</v>
      </c>
      <c r="D2914" s="383"/>
      <c r="E2914" s="389"/>
      <c r="F2914" s="385"/>
      <c r="G2914" s="391"/>
      <c r="H2914" s="385"/>
      <c r="I2914" s="391"/>
      <c r="J2914" s="385"/>
      <c r="K2914" s="391"/>
      <c r="L2914" s="385"/>
      <c r="M2914" s="391"/>
      <c r="N2914" s="385"/>
      <c r="O2914" s="190"/>
    </row>
    <row r="2915" spans="2:15" ht="16" x14ac:dyDescent="0.2">
      <c r="C2915" s="120">
        <v>31</v>
      </c>
      <c r="D2915" s="383"/>
      <c r="E2915" s="389"/>
      <c r="F2915" s="384"/>
      <c r="G2915" s="390"/>
      <c r="H2915" s="384"/>
      <c r="I2915" s="390"/>
      <c r="J2915" s="384"/>
      <c r="K2915" s="390"/>
      <c r="L2915" s="384"/>
      <c r="M2915" s="390"/>
      <c r="N2915" s="384"/>
      <c r="O2915" s="190"/>
    </row>
    <row r="2916" spans="2:15" ht="16" x14ac:dyDescent="0.2">
      <c r="B2916" s="256"/>
      <c r="C2916" s="377">
        <v>32</v>
      </c>
      <c r="D2916" s="384"/>
      <c r="E2916" s="390"/>
      <c r="F2916" s="384"/>
      <c r="G2916" s="390"/>
      <c r="H2916" s="384"/>
      <c r="I2916" s="390"/>
      <c r="J2916" s="384"/>
      <c r="K2916" s="390"/>
      <c r="L2916" s="384"/>
      <c r="M2916" s="390"/>
      <c r="N2916" s="384"/>
      <c r="O2916" s="190"/>
    </row>
    <row r="2917" spans="2:15" ht="16" x14ac:dyDescent="0.2">
      <c r="B2917" s="256"/>
      <c r="C2917" s="119">
        <v>33</v>
      </c>
      <c r="D2917" s="385"/>
      <c r="E2917" s="391"/>
      <c r="F2917" s="385"/>
      <c r="G2917" s="391"/>
      <c r="H2917" s="385"/>
      <c r="I2917" s="391"/>
      <c r="J2917" s="385"/>
      <c r="K2917" s="391"/>
      <c r="L2917" s="385"/>
      <c r="M2917" s="391"/>
      <c r="N2917" s="385"/>
      <c r="O2917" s="190"/>
    </row>
    <row r="2918" spans="2:15" ht="16" x14ac:dyDescent="0.2">
      <c r="B2918" s="256"/>
      <c r="C2918" s="119">
        <v>34</v>
      </c>
      <c r="D2918" s="385"/>
      <c r="E2918" s="391"/>
      <c r="F2918" s="385"/>
      <c r="G2918" s="391"/>
      <c r="H2918" s="385"/>
      <c r="I2918" s="391"/>
      <c r="J2918" s="385"/>
      <c r="K2918" s="391"/>
      <c r="L2918" s="385"/>
      <c r="M2918" s="391"/>
      <c r="N2918" s="385"/>
      <c r="O2918" s="190"/>
    </row>
    <row r="2919" spans="2:15" ht="16" x14ac:dyDescent="0.2">
      <c r="B2919" s="256"/>
      <c r="C2919" s="119">
        <v>35</v>
      </c>
      <c r="D2919" s="385"/>
      <c r="E2919" s="391"/>
      <c r="F2919" s="385"/>
      <c r="G2919" s="391"/>
      <c r="H2919" s="385"/>
      <c r="I2919" s="391"/>
      <c r="J2919" s="385"/>
      <c r="K2919" s="391"/>
      <c r="L2919" s="385"/>
      <c r="M2919" s="391"/>
      <c r="N2919" s="385"/>
      <c r="O2919" s="190"/>
    </row>
    <row r="2920" spans="2:15" ht="16" x14ac:dyDescent="0.2">
      <c r="B2920" s="256"/>
      <c r="C2920" s="119">
        <v>36</v>
      </c>
      <c r="D2920" s="385"/>
      <c r="E2920" s="391"/>
      <c r="F2920" s="385"/>
      <c r="G2920" s="391"/>
      <c r="H2920" s="385"/>
      <c r="I2920" s="391"/>
      <c r="J2920" s="385"/>
      <c r="K2920" s="391"/>
      <c r="L2920" s="385"/>
      <c r="M2920" s="391"/>
      <c r="N2920" s="385"/>
      <c r="O2920" s="190"/>
    </row>
    <row r="2921" spans="2:15" ht="17" thickBot="1" x14ac:dyDescent="0.25">
      <c r="B2921" s="256"/>
      <c r="C2921" s="378">
        <v>37</v>
      </c>
      <c r="D2921" s="386"/>
      <c r="E2921" s="392"/>
      <c r="F2921" s="386"/>
      <c r="G2921" s="392"/>
      <c r="H2921" s="386"/>
      <c r="I2921" s="392"/>
      <c r="J2921" s="386"/>
      <c r="K2921" s="392"/>
      <c r="L2921" s="386"/>
      <c r="M2921" s="392"/>
      <c r="N2921" s="386"/>
      <c r="O2921" s="190"/>
    </row>
    <row r="2922" spans="2:15" ht="17" thickBot="1" x14ac:dyDescent="0.25">
      <c r="C2922" s="825" t="s">
        <v>19</v>
      </c>
      <c r="D2922" s="826"/>
      <c r="E2922" s="380"/>
      <c r="F2922" s="376">
        <f>(F2885+F2886+F2887+F2888+F2889+F2890+F2906+F2893+F2894+F2891+F2892+F2895+F2896+F2897+F2898+F2899+F2900+F2901+F2902+F2903+F2904+F2905+F2907+F2908+F2910+F2911+F2912+F2913+F2914+F2915+F2916+F2917+F2918+F2921)/2</f>
        <v>70</v>
      </c>
      <c r="G2922" s="397">
        <f>(G2885+G2886+G2887+G2888+G2889+G2906+G2890+G2894+G2893+G2891+G2892+G2895+G2896+G2897+G2898+G2899+G2900+G2901+G2902+G2903+G2904+G2905+G2907+G2908+G2910+G2911+G2912+G2913+G2914+G2915+G2916+G2917)/2</f>
        <v>42</v>
      </c>
      <c r="H2922" s="399">
        <f>(H2885+H2886+H2887+H2888+H2889+H2890+H2906+H2909+H2893+H2894+H2891+H2892+H2895+H2896+H2897+H2898+H2899+H2900+H2901+H2902+H2903+H2904+H2905+H2907+H2908+H2910+H2911+H2912+H2913+H2914+H2915+H2916+H2917+H2918+H2921)/2</f>
        <v>21</v>
      </c>
      <c r="I2922" s="398">
        <f>(I2885+I2886+I2887+I2888+I2889+I2919+I2920+I2890+I2906+I2893+I2909+I2894+I2891+I2892+I2895+I2896+I2897+I2898+I2899+I2900+I2901+I2902+I2903+I2904+I2905+I2907+I2908+I2910+I2911+I2912+I2913+I2914+I2915+I2916+I2917+I2918+I2921)/2</f>
        <v>44</v>
      </c>
      <c r="J2922" s="376">
        <f>(J2885+J2886+J2887+J2888+J2889+J2890+J2894+J2891+J2893+J2892+J2909+J2895+J2896+J2897+J2898+J2899+J2900+J2901+J2902+J2903+J2904+J2905+J2906+J2907+J2908+J2910+J2911+J2912+J2913+J2914+J2915+J2916+J2917)/2</f>
        <v>69</v>
      </c>
      <c r="K2922" s="397">
        <f>(K2885+K2886+K2887+K2888+K2889+K2890+K2894+K2891+K2892+K2895+K2896+K2897+K2898+K2899+K2900+K2901+K2902+K2903+K2904+K2905+K2907+K2908+K2910+K2911+K2912+K2913+K2914+K2915+K2916+K2917+K2906)</f>
        <v>0</v>
      </c>
      <c r="L2922" s="399">
        <f>SUM(L2885:L2921)</f>
        <v>0</v>
      </c>
      <c r="M2922" s="398">
        <f>(M2885+M2886+M2887+M2888+M2889+M2890+M2894+M2893+M2891+M2892+M2895+M2896+M2897+M2898+M2899+M2900+M2901+M2902+M2903+M2904+M2905+M2907+M2908+M2910+M2911+M2912+M2913+M2914+M2915+M2916+M2917)/2</f>
        <v>0</v>
      </c>
      <c r="N2922" s="376"/>
      <c r="O2922" s="41"/>
    </row>
    <row r="2923" spans="2:15" ht="17" thickBot="1" x14ac:dyDescent="0.25">
      <c r="C2923" s="825" t="s">
        <v>91</v>
      </c>
      <c r="D2923" s="826"/>
      <c r="E2923" s="381">
        <f>SUM(F2922:J2922)</f>
        <v>246</v>
      </c>
    </row>
    <row r="2924" spans="2:15" ht="16" thickBot="1" x14ac:dyDescent="0.25"/>
    <row r="2925" spans="2:15" ht="17" thickBot="1" x14ac:dyDescent="0.25">
      <c r="C2925" s="17"/>
      <c r="D2925" s="379" t="s">
        <v>83</v>
      </c>
      <c r="E2925" s="818" t="s">
        <v>63</v>
      </c>
      <c r="F2925" s="819"/>
      <c r="G2925" s="819"/>
      <c r="H2925" s="819"/>
      <c r="I2925" s="819"/>
      <c r="J2925" s="400" t="s">
        <v>76</v>
      </c>
      <c r="K2925" s="820">
        <v>45754</v>
      </c>
      <c r="L2925" s="821"/>
      <c r="M2925" s="821"/>
      <c r="N2925" s="821"/>
      <c r="O2925" s="822"/>
    </row>
    <row r="2926" spans="2:15" ht="16" thickBot="1" x14ac:dyDescent="0.25">
      <c r="B2926" s="175" t="s">
        <v>76</v>
      </c>
      <c r="C2926" s="175" t="s">
        <v>77</v>
      </c>
      <c r="D2926" s="823" t="s">
        <v>122</v>
      </c>
      <c r="E2926" s="824"/>
      <c r="F2926" s="175" t="s">
        <v>104</v>
      </c>
      <c r="G2926" s="395" t="s">
        <v>86</v>
      </c>
      <c r="H2926" s="175" t="s">
        <v>88</v>
      </c>
      <c r="I2926" s="395" t="s">
        <v>87</v>
      </c>
      <c r="J2926" s="401" t="s">
        <v>85</v>
      </c>
      <c r="K2926" s="395" t="s">
        <v>123</v>
      </c>
      <c r="L2926" s="175" t="s">
        <v>124</v>
      </c>
      <c r="M2926" s="395" t="s">
        <v>100</v>
      </c>
      <c r="N2926" s="175" t="s">
        <v>213</v>
      </c>
      <c r="O2926" s="404" t="s">
        <v>125</v>
      </c>
    </row>
    <row r="2927" spans="2:15" ht="16" thickBot="1" x14ac:dyDescent="0.25">
      <c r="B2927" s="176">
        <f>K2925</f>
        <v>45754</v>
      </c>
      <c r="C2927" s="374"/>
      <c r="D2927" s="375" t="s">
        <v>126</v>
      </c>
      <c r="E2927" s="387" t="s">
        <v>127</v>
      </c>
      <c r="F2927" s="331">
        <v>11</v>
      </c>
      <c r="G2927" s="237">
        <v>8</v>
      </c>
      <c r="H2927" s="331">
        <v>0</v>
      </c>
      <c r="I2927" s="237">
        <v>5</v>
      </c>
      <c r="J2927" s="331">
        <v>8</v>
      </c>
      <c r="K2927" s="231"/>
      <c r="L2927" s="125"/>
      <c r="M2927" s="231"/>
      <c r="N2927" s="125"/>
      <c r="O2927" s="326"/>
    </row>
    <row r="2928" spans="2:15" ht="16" x14ac:dyDescent="0.2">
      <c r="C2928" s="118">
        <v>1</v>
      </c>
      <c r="D2928" s="382">
        <v>0.375</v>
      </c>
      <c r="E2928" s="388">
        <v>0.39583333333333331</v>
      </c>
      <c r="F2928" s="393"/>
      <c r="G2928" s="396">
        <v>28</v>
      </c>
      <c r="H2928" s="393"/>
      <c r="I2928" s="396"/>
      <c r="J2928" s="393"/>
      <c r="K2928" s="396"/>
      <c r="L2928" s="393"/>
      <c r="M2928" s="396"/>
      <c r="N2928" s="393"/>
      <c r="O2928" s="190"/>
    </row>
    <row r="2929" spans="3:15" ht="16" x14ac:dyDescent="0.2">
      <c r="C2929" s="119">
        <v>2</v>
      </c>
      <c r="D2929" s="383">
        <v>0.39583333333333331</v>
      </c>
      <c r="E2929" s="389">
        <v>0.41666666666666669</v>
      </c>
      <c r="F2929" s="385"/>
      <c r="G2929" s="391">
        <v>28</v>
      </c>
      <c r="H2929" s="385"/>
      <c r="I2929" s="391"/>
      <c r="J2929" s="385"/>
      <c r="K2929" s="391"/>
      <c r="L2929" s="385"/>
      <c r="M2929" s="391"/>
      <c r="N2929" s="385"/>
      <c r="O2929" s="190"/>
    </row>
    <row r="2930" spans="3:15" ht="16" x14ac:dyDescent="0.2">
      <c r="C2930" s="119">
        <v>3</v>
      </c>
      <c r="D2930" s="383">
        <v>0.41666666666666669</v>
      </c>
      <c r="E2930" s="389">
        <v>0.4375</v>
      </c>
      <c r="F2930" s="385"/>
      <c r="G2930" s="391">
        <v>28</v>
      </c>
      <c r="H2930" s="385"/>
      <c r="I2930" s="391"/>
      <c r="J2930" s="385"/>
      <c r="K2930" s="391"/>
      <c r="L2930" s="384"/>
      <c r="M2930" s="391"/>
      <c r="N2930" s="385"/>
      <c r="O2930" s="190"/>
    </row>
    <row r="2931" spans="3:15" ht="16" x14ac:dyDescent="0.2">
      <c r="C2931" s="119">
        <v>4</v>
      </c>
      <c r="D2931" s="383">
        <v>0.4375</v>
      </c>
      <c r="E2931" s="389">
        <v>0.45833333333333331</v>
      </c>
      <c r="F2931" s="385"/>
      <c r="G2931" s="391">
        <v>28</v>
      </c>
      <c r="H2931" s="316"/>
      <c r="I2931" s="391"/>
      <c r="J2931" s="385"/>
      <c r="K2931" s="391"/>
      <c r="L2931" s="402"/>
      <c r="M2931" s="391"/>
      <c r="N2931" s="385"/>
      <c r="O2931" s="190"/>
    </row>
    <row r="2932" spans="3:15" ht="16" x14ac:dyDescent="0.2">
      <c r="C2932" s="119">
        <v>5</v>
      </c>
      <c r="D2932" s="383">
        <v>0.45833333333333331</v>
      </c>
      <c r="E2932" s="389">
        <v>0.47916666666666669</v>
      </c>
      <c r="F2932" s="385"/>
      <c r="G2932" s="391"/>
      <c r="H2932" s="316"/>
      <c r="I2932" s="391"/>
      <c r="J2932" s="385">
        <v>36</v>
      </c>
      <c r="K2932" s="391"/>
      <c r="L2932" s="393"/>
      <c r="M2932" s="391"/>
      <c r="N2932" s="385"/>
      <c r="O2932" s="190"/>
    </row>
    <row r="2933" spans="3:15" ht="16" x14ac:dyDescent="0.2">
      <c r="C2933" s="119">
        <v>6</v>
      </c>
      <c r="D2933" s="383">
        <v>0.47916666666666669</v>
      </c>
      <c r="E2933" s="389">
        <v>0.5</v>
      </c>
      <c r="F2933" s="385">
        <v>28</v>
      </c>
      <c r="G2933" s="391"/>
      <c r="H2933" s="316"/>
      <c r="I2933" s="391"/>
      <c r="J2933" s="385"/>
      <c r="K2933" s="391"/>
      <c r="L2933" s="393"/>
      <c r="M2933" s="391"/>
      <c r="N2933" s="385"/>
      <c r="O2933" s="190"/>
    </row>
    <row r="2934" spans="3:15" ht="16" x14ac:dyDescent="0.2">
      <c r="C2934" s="119">
        <v>7</v>
      </c>
      <c r="D2934" s="383">
        <v>0.5</v>
      </c>
      <c r="E2934" s="389">
        <v>0.52083333333333337</v>
      </c>
      <c r="F2934" s="385">
        <v>28</v>
      </c>
      <c r="G2934" s="391"/>
      <c r="H2934" s="316"/>
      <c r="I2934" s="391"/>
      <c r="J2934" s="385"/>
      <c r="K2934" s="391"/>
      <c r="L2934" s="393"/>
      <c r="M2934" s="391"/>
      <c r="N2934" s="385"/>
      <c r="O2934" s="190"/>
    </row>
    <row r="2935" spans="3:15" ht="16" x14ac:dyDescent="0.2">
      <c r="C2935" s="119">
        <v>8</v>
      </c>
      <c r="D2935" s="383">
        <v>0.52083333333333337</v>
      </c>
      <c r="E2935" s="389">
        <v>0.54166666666666663</v>
      </c>
      <c r="F2935" s="385">
        <v>28</v>
      </c>
      <c r="G2935" s="391"/>
      <c r="H2935" s="316"/>
      <c r="I2935" s="391"/>
      <c r="J2935" s="385"/>
      <c r="K2935" s="391"/>
      <c r="L2935" s="385"/>
      <c r="M2935" s="391"/>
      <c r="N2935" s="385"/>
      <c r="O2935" s="190"/>
    </row>
    <row r="2936" spans="3:15" ht="16" x14ac:dyDescent="0.2">
      <c r="C2936" s="119">
        <v>9</v>
      </c>
      <c r="D2936" s="383">
        <v>0.54166666666666663</v>
      </c>
      <c r="E2936" s="389">
        <v>0.5625</v>
      </c>
      <c r="F2936" s="385">
        <v>28</v>
      </c>
      <c r="G2936" s="391"/>
      <c r="H2936" s="316"/>
      <c r="I2936" s="391"/>
      <c r="J2936" s="385"/>
      <c r="K2936" s="391"/>
      <c r="L2936" s="385"/>
      <c r="M2936" s="391"/>
      <c r="N2936" s="385"/>
      <c r="O2936" s="190"/>
    </row>
    <row r="2937" spans="3:15" ht="16" x14ac:dyDescent="0.2">
      <c r="C2937" s="119">
        <v>10</v>
      </c>
      <c r="D2937" s="383">
        <v>0.5625</v>
      </c>
      <c r="E2937" s="389">
        <v>0.58333333333333337</v>
      </c>
      <c r="F2937" s="385">
        <v>28</v>
      </c>
      <c r="G2937" s="391"/>
      <c r="H2937" s="316"/>
      <c r="I2937" s="391"/>
      <c r="J2937" s="385"/>
      <c r="K2937" s="391"/>
      <c r="L2937" s="385"/>
      <c r="M2937" s="391"/>
      <c r="N2937" s="385"/>
      <c r="O2937" s="190"/>
    </row>
    <row r="2938" spans="3:15" ht="16" x14ac:dyDescent="0.2">
      <c r="C2938" s="119">
        <v>11</v>
      </c>
      <c r="D2938" s="383">
        <v>0.58333333333333337</v>
      </c>
      <c r="E2938" s="389">
        <v>0.60416666666666663</v>
      </c>
      <c r="F2938" s="385">
        <v>14</v>
      </c>
      <c r="G2938" s="391"/>
      <c r="H2938" s="316"/>
      <c r="I2938" s="391"/>
      <c r="J2938" s="28"/>
      <c r="K2938" s="391"/>
      <c r="L2938" s="385"/>
      <c r="M2938" s="391"/>
      <c r="N2938" s="385"/>
      <c r="O2938" s="190"/>
    </row>
    <row r="2939" spans="3:15" ht="16" x14ac:dyDescent="0.2">
      <c r="C2939" s="193">
        <v>12</v>
      </c>
      <c r="D2939" s="383">
        <v>0.61111111111111105</v>
      </c>
      <c r="E2939" s="389">
        <v>0.63194444444444442</v>
      </c>
      <c r="F2939" s="385"/>
      <c r="G2939" s="391"/>
      <c r="H2939" s="316"/>
      <c r="I2939" s="391"/>
      <c r="J2939" s="385">
        <v>36</v>
      </c>
      <c r="K2939" s="391"/>
      <c r="L2939" s="385"/>
      <c r="M2939" s="391"/>
      <c r="N2939" s="385"/>
      <c r="O2939" s="190"/>
    </row>
    <row r="2940" spans="3:15" ht="16" x14ac:dyDescent="0.2">
      <c r="C2940" s="119">
        <v>13</v>
      </c>
      <c r="D2940" s="383">
        <v>0.63194444444444442</v>
      </c>
      <c r="E2940" s="389">
        <v>0.65277777777777779</v>
      </c>
      <c r="F2940" s="385"/>
      <c r="G2940" s="391"/>
      <c r="H2940" s="316"/>
      <c r="I2940" s="391"/>
      <c r="J2940" s="385">
        <v>36</v>
      </c>
      <c r="K2940" s="391"/>
      <c r="L2940" s="385"/>
      <c r="M2940" s="391"/>
      <c r="N2940" s="385"/>
      <c r="O2940" s="190"/>
    </row>
    <row r="2941" spans="3:15" ht="16" x14ac:dyDescent="0.2">
      <c r="C2941" s="119">
        <v>14</v>
      </c>
      <c r="D2941" s="383">
        <v>0.65625</v>
      </c>
      <c r="E2941" s="389">
        <v>0.67708333333333337</v>
      </c>
      <c r="F2941" s="385"/>
      <c r="G2941" s="391"/>
      <c r="H2941" s="316"/>
      <c r="I2941" s="391"/>
      <c r="J2941" s="385">
        <v>34</v>
      </c>
      <c r="K2941" s="391"/>
      <c r="L2941" s="385"/>
      <c r="M2941" s="391"/>
      <c r="N2941" s="385"/>
      <c r="O2941" s="190"/>
    </row>
    <row r="2942" spans="3:15" ht="16" x14ac:dyDescent="0.2">
      <c r="C2942" s="119">
        <v>15</v>
      </c>
      <c r="D2942" s="383">
        <v>0.6875</v>
      </c>
      <c r="E2942" s="389">
        <v>0.70833333333333337</v>
      </c>
      <c r="F2942" s="385"/>
      <c r="G2942" s="391"/>
      <c r="H2942" s="316"/>
      <c r="I2942" s="391">
        <v>22</v>
      </c>
      <c r="J2942" s="385"/>
      <c r="K2942" s="391"/>
      <c r="L2942" s="385"/>
      <c r="M2942" s="391"/>
      <c r="N2942" s="385"/>
      <c r="O2942" s="190"/>
    </row>
    <row r="2943" spans="3:15" ht="16" x14ac:dyDescent="0.2">
      <c r="C2943" s="119">
        <v>16</v>
      </c>
      <c r="D2943" s="383">
        <v>0.70833333333333337</v>
      </c>
      <c r="E2943" s="389">
        <v>0.72916666666666663</v>
      </c>
      <c r="F2943" s="385"/>
      <c r="G2943" s="391"/>
      <c r="H2943" s="316"/>
      <c r="I2943" s="391">
        <v>44</v>
      </c>
      <c r="J2943" s="385"/>
      <c r="K2943" s="391"/>
      <c r="L2943" s="385"/>
      <c r="M2943" s="391"/>
      <c r="N2943" s="385"/>
      <c r="O2943" s="190"/>
    </row>
    <row r="2944" spans="3:15" ht="16" x14ac:dyDescent="0.2">
      <c r="C2944" s="119">
        <v>17</v>
      </c>
      <c r="D2944" s="383">
        <v>0.73611111111111116</v>
      </c>
      <c r="E2944" s="389">
        <v>0.75694444444444453</v>
      </c>
      <c r="F2944" s="384"/>
      <c r="G2944" s="33"/>
      <c r="H2944" s="316"/>
      <c r="I2944" s="390">
        <v>44</v>
      </c>
      <c r="J2944" s="385"/>
      <c r="K2944" s="391"/>
      <c r="L2944" s="385"/>
      <c r="M2944" s="391"/>
      <c r="N2944" s="385"/>
      <c r="O2944" s="190"/>
    </row>
    <row r="2945" spans="2:15" ht="16" x14ac:dyDescent="0.2">
      <c r="C2945" s="119">
        <v>18</v>
      </c>
      <c r="D2945" s="383"/>
      <c r="E2945" s="389"/>
      <c r="F2945" s="394"/>
      <c r="G2945" s="229"/>
      <c r="H2945" s="394"/>
      <c r="I2945" s="391"/>
      <c r="J2945" s="385"/>
      <c r="K2945" s="391"/>
      <c r="L2945" s="385"/>
      <c r="M2945" s="391"/>
      <c r="N2945" s="385"/>
      <c r="O2945" s="190"/>
    </row>
    <row r="2946" spans="2:15" ht="16" x14ac:dyDescent="0.2">
      <c r="C2946" s="119">
        <v>19</v>
      </c>
      <c r="D2946" s="383"/>
      <c r="E2946" s="389"/>
      <c r="F2946" s="385"/>
      <c r="G2946" s="391"/>
      <c r="H2946" s="385"/>
      <c r="I2946" s="391"/>
      <c r="J2946" s="385"/>
      <c r="K2946" s="391"/>
      <c r="L2946" s="403"/>
      <c r="M2946" s="391"/>
      <c r="N2946" s="385"/>
      <c r="O2946" s="190"/>
    </row>
    <row r="2947" spans="2:15" ht="16" x14ac:dyDescent="0.2">
      <c r="C2947" s="119">
        <v>20</v>
      </c>
      <c r="D2947" s="383"/>
      <c r="E2947" s="389"/>
      <c r="F2947" s="385"/>
      <c r="G2947" s="391"/>
      <c r="H2947" s="385"/>
      <c r="I2947" s="391"/>
      <c r="J2947" s="385"/>
      <c r="K2947" s="391"/>
      <c r="L2947" s="403"/>
      <c r="M2947" s="391"/>
      <c r="N2947" s="385"/>
      <c r="O2947" s="190"/>
    </row>
    <row r="2948" spans="2:15" ht="16" x14ac:dyDescent="0.2">
      <c r="C2948" s="119">
        <v>21</v>
      </c>
      <c r="D2948" s="383"/>
      <c r="E2948" s="389"/>
      <c r="F2948" s="385"/>
      <c r="G2948" s="391"/>
      <c r="H2948" s="385"/>
      <c r="I2948" s="391"/>
      <c r="J2948" s="385"/>
      <c r="K2948" s="391"/>
      <c r="L2948" s="385"/>
      <c r="M2948" s="391"/>
      <c r="N2948" s="385"/>
      <c r="O2948" s="190"/>
    </row>
    <row r="2949" spans="2:15" ht="16" x14ac:dyDescent="0.2">
      <c r="C2949" s="119">
        <v>22</v>
      </c>
      <c r="D2949" s="383"/>
      <c r="E2949" s="389"/>
      <c r="F2949" s="385"/>
      <c r="G2949" s="391"/>
      <c r="H2949" s="385"/>
      <c r="I2949" s="391"/>
      <c r="J2949" s="385"/>
      <c r="K2949" s="391"/>
      <c r="L2949" s="385"/>
      <c r="M2949" s="391"/>
      <c r="N2949" s="385"/>
      <c r="O2949" s="190"/>
    </row>
    <row r="2950" spans="2:15" ht="16" x14ac:dyDescent="0.2">
      <c r="C2950" s="119">
        <v>23</v>
      </c>
      <c r="D2950" s="383"/>
      <c r="E2950" s="389"/>
      <c r="F2950" s="385"/>
      <c r="G2950" s="391"/>
      <c r="H2950" s="385"/>
      <c r="I2950" s="391"/>
      <c r="J2950" s="385"/>
      <c r="K2950" s="391"/>
      <c r="L2950" s="385"/>
      <c r="M2950" s="391"/>
      <c r="N2950" s="385"/>
      <c r="O2950" s="190"/>
    </row>
    <row r="2951" spans="2:15" ht="16" x14ac:dyDescent="0.2">
      <c r="C2951" s="119">
        <v>24</v>
      </c>
      <c r="D2951" s="383"/>
      <c r="E2951" s="389"/>
      <c r="F2951" s="385"/>
      <c r="G2951" s="391"/>
      <c r="H2951" s="385"/>
      <c r="I2951" s="391"/>
      <c r="J2951" s="385"/>
      <c r="K2951" s="391"/>
      <c r="L2951" s="385"/>
      <c r="M2951" s="391"/>
      <c r="N2951" s="385"/>
      <c r="O2951" s="190"/>
    </row>
    <row r="2952" spans="2:15" ht="16" x14ac:dyDescent="0.2">
      <c r="C2952" s="119">
        <v>25</v>
      </c>
      <c r="D2952" s="383"/>
      <c r="E2952" s="389"/>
      <c r="F2952" s="385"/>
      <c r="G2952" s="391"/>
      <c r="H2952" s="385"/>
      <c r="I2952" s="391"/>
      <c r="J2952" s="385"/>
      <c r="K2952" s="391"/>
      <c r="L2952" s="385"/>
      <c r="M2952" s="391"/>
      <c r="N2952" s="385"/>
      <c r="O2952" s="190"/>
    </row>
    <row r="2953" spans="2:15" ht="16" x14ac:dyDescent="0.2">
      <c r="C2953" s="119">
        <v>26</v>
      </c>
      <c r="D2953" s="383"/>
      <c r="E2953" s="389"/>
      <c r="F2953" s="385"/>
      <c r="G2953" s="391"/>
      <c r="H2953" s="385"/>
      <c r="I2953" s="391"/>
      <c r="J2953" s="385"/>
      <c r="K2953" s="391"/>
      <c r="L2953" s="385"/>
      <c r="M2953" s="391"/>
      <c r="N2953" s="385"/>
      <c r="O2953" s="190"/>
    </row>
    <row r="2954" spans="2:15" ht="16" x14ac:dyDescent="0.2">
      <c r="C2954" s="119">
        <v>27</v>
      </c>
      <c r="D2954" s="383"/>
      <c r="E2954" s="389"/>
      <c r="F2954" s="385"/>
      <c r="G2954" s="391"/>
      <c r="H2954" s="385"/>
      <c r="I2954" s="391"/>
      <c r="J2954" s="385"/>
      <c r="K2954" s="391"/>
      <c r="L2954" s="385"/>
      <c r="M2954" s="391"/>
      <c r="N2954" s="385"/>
      <c r="O2954" s="190"/>
    </row>
    <row r="2955" spans="2:15" ht="16" x14ac:dyDescent="0.2">
      <c r="C2955" s="119">
        <v>28</v>
      </c>
      <c r="D2955" s="383"/>
      <c r="E2955" s="389"/>
      <c r="F2955" s="385"/>
      <c r="G2955" s="391"/>
      <c r="H2955" s="385"/>
      <c r="I2955" s="391"/>
      <c r="J2955" s="385"/>
      <c r="K2955" s="391"/>
      <c r="L2955" s="385"/>
      <c r="M2955" s="391"/>
      <c r="N2955" s="385"/>
      <c r="O2955" s="190"/>
    </row>
    <row r="2956" spans="2:15" ht="16" x14ac:dyDescent="0.2">
      <c r="C2956" s="119">
        <v>29</v>
      </c>
      <c r="D2956" s="383"/>
      <c r="E2956" s="389"/>
      <c r="F2956" s="385"/>
      <c r="G2956" s="391"/>
      <c r="H2956" s="385"/>
      <c r="I2956" s="391"/>
      <c r="J2956" s="385"/>
      <c r="K2956" s="391"/>
      <c r="L2956" s="385"/>
      <c r="M2956" s="391"/>
      <c r="N2956" s="385"/>
      <c r="O2956" s="190"/>
    </row>
    <row r="2957" spans="2:15" ht="16" x14ac:dyDescent="0.2">
      <c r="C2957" s="119">
        <v>30</v>
      </c>
      <c r="D2957" s="383"/>
      <c r="E2957" s="389"/>
      <c r="F2957" s="385"/>
      <c r="G2957" s="391"/>
      <c r="H2957" s="385"/>
      <c r="I2957" s="391"/>
      <c r="J2957" s="385"/>
      <c r="K2957" s="391"/>
      <c r="L2957" s="385"/>
      <c r="M2957" s="391"/>
      <c r="N2957" s="385"/>
      <c r="O2957" s="190"/>
    </row>
    <row r="2958" spans="2:15" ht="16" x14ac:dyDescent="0.2">
      <c r="C2958" s="120">
        <v>31</v>
      </c>
      <c r="D2958" s="383"/>
      <c r="E2958" s="389"/>
      <c r="F2958" s="384"/>
      <c r="G2958" s="390"/>
      <c r="H2958" s="384"/>
      <c r="I2958" s="390"/>
      <c r="J2958" s="384"/>
      <c r="K2958" s="390"/>
      <c r="L2958" s="384"/>
      <c r="M2958" s="390"/>
      <c r="N2958" s="384"/>
      <c r="O2958" s="190"/>
    </row>
    <row r="2959" spans="2:15" ht="16" x14ac:dyDescent="0.2">
      <c r="B2959" s="256"/>
      <c r="C2959" s="377">
        <v>32</v>
      </c>
      <c r="D2959" s="384"/>
      <c r="E2959" s="390"/>
      <c r="F2959" s="384"/>
      <c r="G2959" s="390"/>
      <c r="H2959" s="384"/>
      <c r="I2959" s="390"/>
      <c r="J2959" s="384"/>
      <c r="K2959" s="390"/>
      <c r="L2959" s="384"/>
      <c r="M2959" s="390"/>
      <c r="N2959" s="384"/>
      <c r="O2959" s="190"/>
    </row>
    <row r="2960" spans="2:15" ht="16" x14ac:dyDescent="0.2">
      <c r="B2960" s="256"/>
      <c r="C2960" s="119">
        <v>33</v>
      </c>
      <c r="D2960" s="385"/>
      <c r="E2960" s="391"/>
      <c r="F2960" s="385"/>
      <c r="G2960" s="391"/>
      <c r="H2960" s="385"/>
      <c r="I2960" s="391"/>
      <c r="J2960" s="385"/>
      <c r="K2960" s="391"/>
      <c r="L2960" s="385"/>
      <c r="M2960" s="391"/>
      <c r="N2960" s="385"/>
      <c r="O2960" s="190"/>
    </row>
    <row r="2961" spans="2:15" ht="16" x14ac:dyDescent="0.2">
      <c r="B2961" s="256"/>
      <c r="C2961" s="119">
        <v>34</v>
      </c>
      <c r="D2961" s="385"/>
      <c r="E2961" s="391"/>
      <c r="F2961" s="385"/>
      <c r="G2961" s="391"/>
      <c r="H2961" s="385"/>
      <c r="I2961" s="391"/>
      <c r="J2961" s="385"/>
      <c r="K2961" s="391"/>
      <c r="L2961" s="385"/>
      <c r="M2961" s="391"/>
      <c r="N2961" s="385"/>
      <c r="O2961" s="190"/>
    </row>
    <row r="2962" spans="2:15" ht="16" x14ac:dyDescent="0.2">
      <c r="B2962" s="256"/>
      <c r="C2962" s="119">
        <v>35</v>
      </c>
      <c r="D2962" s="385"/>
      <c r="E2962" s="391"/>
      <c r="F2962" s="385"/>
      <c r="G2962" s="391"/>
      <c r="H2962" s="385"/>
      <c r="I2962" s="391"/>
      <c r="J2962" s="385"/>
      <c r="K2962" s="391"/>
      <c r="L2962" s="385"/>
      <c r="M2962" s="391"/>
      <c r="N2962" s="385"/>
      <c r="O2962" s="190"/>
    </row>
    <row r="2963" spans="2:15" ht="16" x14ac:dyDescent="0.2">
      <c r="B2963" s="256"/>
      <c r="C2963" s="119">
        <v>36</v>
      </c>
      <c r="D2963" s="385"/>
      <c r="E2963" s="391"/>
      <c r="F2963" s="385"/>
      <c r="G2963" s="391"/>
      <c r="H2963" s="385"/>
      <c r="I2963" s="391"/>
      <c r="J2963" s="385"/>
      <c r="K2963" s="391"/>
      <c r="L2963" s="385"/>
      <c r="M2963" s="391"/>
      <c r="N2963" s="385"/>
      <c r="O2963" s="190"/>
    </row>
    <row r="2964" spans="2:15" ht="17" thickBot="1" x14ac:dyDescent="0.25">
      <c r="B2964" s="256"/>
      <c r="C2964" s="378">
        <v>37</v>
      </c>
      <c r="D2964" s="386"/>
      <c r="E2964" s="392"/>
      <c r="F2964" s="386"/>
      <c r="G2964" s="392"/>
      <c r="H2964" s="386"/>
      <c r="I2964" s="392"/>
      <c r="J2964" s="386"/>
      <c r="K2964" s="392"/>
      <c r="L2964" s="386"/>
      <c r="M2964" s="392"/>
      <c r="N2964" s="386"/>
      <c r="O2964" s="190"/>
    </row>
    <row r="2965" spans="2:15" ht="17" thickBot="1" x14ac:dyDescent="0.25">
      <c r="C2965" s="825" t="s">
        <v>19</v>
      </c>
      <c r="D2965" s="826"/>
      <c r="E2965" s="380"/>
      <c r="F2965" s="376">
        <f>(F2928+F2929+F2930+F2931+F2932+F2933+F2949+F2936+F2937+F2934+F2935+F2938+F2939+F2940+F2941+F2942+F2943+F2944+F2945+F2946+F2947+F2948+F2950+F2951+F2953+F2954+F2955+F2956+F2957+F2958+F2959+F2960+F2961+F2964)/2</f>
        <v>77</v>
      </c>
      <c r="G2965" s="397">
        <f>(G2928+G2929+G2930+G2931+G2932+G2949+G2933+G2937+G2936+G2934+G2935+G2938+G2939+G2940+G2941+G2942+G2943+G2944+G2945+G2946+G2947+G2948+G2950+G2951+G2953+G2954+G2955+G2956+G2957+G2958+G2959+G2960)/2</f>
        <v>56</v>
      </c>
      <c r="H2965" s="399">
        <f>(H2928+H2929+H2930+H2931+H2932+H2933+H2949+H2952+H2936+H2937+H2934+H2935+H2938+H2939+H2940+H2941+H2942+H2943+H2944+H2945+H2946+H2947+H2948+H2950+H2951+H2953+H2954+H2955+H2956+H2957+H2958+H2959+H2960+H2961+H2964)/2</f>
        <v>0</v>
      </c>
      <c r="I2965" s="398">
        <f>(I2928+I2929+I2930+I2931+I2932+I2962+I2963+I2933+I2949+I2936+I2952+I2937+I2934+I2935+I2938+I2939+I2940+I2941+I2942+I2943+I2944+I2945+I2946+I2947+I2948+I2950+I2951+I2953+I2954+I2955+I2956+I2957+I2958+I2959+I2960+I2961+I2964)/2</f>
        <v>55</v>
      </c>
      <c r="J2965" s="376">
        <f>(J2928+J2929+J2930+J2931+J2932+J2933+J2937+J2934+J2936+J2935+J2952+J2938+J2939+J2940+J2941+J2942+J2943+J2944+J2945+J2946+J2947+J2948+J2949+J2950+J2951+J2953+J2954+J2955+J2956+J2957+J2958+J2959+J2960)/2</f>
        <v>71</v>
      </c>
      <c r="K2965" s="397">
        <f>(K2928+K2929+K2930+K2931+K2932+K2933+K2937+K2934+K2935+K2938+K2939+K2940+K2941+K2942+K2943+K2944+K2945+K2946+K2947+K2948+K2950+K2951+K2953+K2954+K2955+K2956+K2957+K2958+K2959+K2960+K2949)</f>
        <v>0</v>
      </c>
      <c r="L2965" s="399">
        <f>SUM(L2928:L2964)</f>
        <v>0</v>
      </c>
      <c r="M2965" s="398">
        <f>(M2928+M2929+M2930+M2931+M2932+M2933+M2937+M2936+M2934+M2935+M2938+M2939+M2940+M2941+M2942+M2943+M2944+M2945+M2946+M2947+M2948+M2950+M2951+M2953+M2954+M2955+M2956+M2957+M2958+M2959+M2960)/2</f>
        <v>0</v>
      </c>
      <c r="N2965" s="376"/>
      <c r="O2965" s="41"/>
    </row>
    <row r="2966" spans="2:15" ht="17" thickBot="1" x14ac:dyDescent="0.25">
      <c r="C2966" s="825" t="s">
        <v>91</v>
      </c>
      <c r="D2966" s="826"/>
      <c r="E2966" s="381">
        <f>SUM(F2965:J2965)</f>
        <v>259</v>
      </c>
    </row>
    <row r="2967" spans="2:15" ht="16" thickBot="1" x14ac:dyDescent="0.25"/>
    <row r="2968" spans="2:15" ht="17" thickBot="1" x14ac:dyDescent="0.25">
      <c r="C2968" s="17"/>
      <c r="D2968" s="379" t="s">
        <v>83</v>
      </c>
      <c r="E2968" s="818" t="s">
        <v>64</v>
      </c>
      <c r="F2968" s="819"/>
      <c r="G2968" s="819"/>
      <c r="H2968" s="819"/>
      <c r="I2968" s="819"/>
      <c r="J2968" s="400" t="s">
        <v>76</v>
      </c>
      <c r="K2968" s="820">
        <v>45755</v>
      </c>
      <c r="L2968" s="821"/>
      <c r="M2968" s="821"/>
      <c r="N2968" s="821"/>
      <c r="O2968" s="822"/>
    </row>
    <row r="2969" spans="2:15" ht="16" thickBot="1" x14ac:dyDescent="0.25">
      <c r="B2969" s="175" t="s">
        <v>76</v>
      </c>
      <c r="C2969" s="175" t="s">
        <v>77</v>
      </c>
      <c r="D2969" s="823" t="s">
        <v>122</v>
      </c>
      <c r="E2969" s="824"/>
      <c r="F2969" s="175" t="s">
        <v>104</v>
      </c>
      <c r="G2969" s="395" t="s">
        <v>86</v>
      </c>
      <c r="H2969" s="175" t="s">
        <v>88</v>
      </c>
      <c r="I2969" s="395" t="s">
        <v>87</v>
      </c>
      <c r="J2969" s="401" t="s">
        <v>85</v>
      </c>
      <c r="K2969" s="395" t="s">
        <v>123</v>
      </c>
      <c r="L2969" s="175" t="s">
        <v>124</v>
      </c>
      <c r="M2969" s="395" t="s">
        <v>100</v>
      </c>
      <c r="N2969" s="175" t="s">
        <v>213</v>
      </c>
      <c r="O2969" s="404" t="s">
        <v>125</v>
      </c>
    </row>
    <row r="2970" spans="2:15" ht="16" thickBot="1" x14ac:dyDescent="0.25">
      <c r="B2970" s="176">
        <f>K2968</f>
        <v>45755</v>
      </c>
      <c r="C2970" s="374"/>
      <c r="D2970" s="375" t="s">
        <v>126</v>
      </c>
      <c r="E2970" s="387" t="s">
        <v>127</v>
      </c>
      <c r="F2970" s="331">
        <v>14</v>
      </c>
      <c r="G2970" s="237">
        <v>8</v>
      </c>
      <c r="H2970" s="331">
        <v>4</v>
      </c>
      <c r="I2970" s="237">
        <v>5</v>
      </c>
      <c r="J2970" s="331">
        <v>11</v>
      </c>
      <c r="K2970" s="231"/>
      <c r="L2970" s="125"/>
      <c r="M2970" s="231"/>
      <c r="N2970" s="125"/>
      <c r="O2970" s="326"/>
    </row>
    <row r="2971" spans="2:15" ht="16" x14ac:dyDescent="0.2">
      <c r="C2971" s="118">
        <v>1</v>
      </c>
      <c r="D2971" s="382">
        <v>0.30555555555555552</v>
      </c>
      <c r="E2971" s="388">
        <v>0.3263888888888889</v>
      </c>
      <c r="F2971" s="393"/>
      <c r="G2971" s="396">
        <v>28</v>
      </c>
      <c r="H2971" s="393"/>
      <c r="I2971" s="396"/>
      <c r="J2971" s="393"/>
      <c r="K2971" s="396"/>
      <c r="L2971" s="393"/>
      <c r="M2971" s="396"/>
      <c r="N2971" s="393"/>
      <c r="O2971" s="190"/>
    </row>
    <row r="2972" spans="2:15" ht="16" x14ac:dyDescent="0.2">
      <c r="C2972" s="119">
        <v>2</v>
      </c>
      <c r="D2972" s="383">
        <v>0.3298611111111111</v>
      </c>
      <c r="E2972" s="389">
        <v>0.35069444444444442</v>
      </c>
      <c r="F2972" s="385"/>
      <c r="G2972" s="391">
        <v>28</v>
      </c>
      <c r="H2972" s="385"/>
      <c r="I2972" s="391"/>
      <c r="J2972" s="385"/>
      <c r="K2972" s="391"/>
      <c r="L2972" s="385"/>
      <c r="M2972" s="391"/>
      <c r="N2972" s="385"/>
      <c r="O2972" s="190"/>
    </row>
    <row r="2973" spans="2:15" ht="16" x14ac:dyDescent="0.2">
      <c r="C2973" s="119">
        <v>3</v>
      </c>
      <c r="D2973" s="383">
        <v>0.35416666666666669</v>
      </c>
      <c r="E2973" s="389">
        <v>0.375</v>
      </c>
      <c r="F2973" s="385"/>
      <c r="G2973" s="391">
        <v>28</v>
      </c>
      <c r="H2973" s="385"/>
      <c r="I2973" s="391"/>
      <c r="J2973" s="385"/>
      <c r="K2973" s="391"/>
      <c r="L2973" s="384"/>
      <c r="M2973" s="391"/>
      <c r="N2973" s="385"/>
      <c r="O2973" s="190"/>
    </row>
    <row r="2974" spans="2:15" ht="16" x14ac:dyDescent="0.2">
      <c r="C2974" s="119">
        <v>4</v>
      </c>
      <c r="D2974" s="383">
        <v>0.38541666666666669</v>
      </c>
      <c r="E2974" s="389">
        <v>0.40625</v>
      </c>
      <c r="F2974" s="385"/>
      <c r="G2974" s="391">
        <v>28</v>
      </c>
      <c r="H2974" s="316"/>
      <c r="I2974" s="391"/>
      <c r="J2974" s="385"/>
      <c r="K2974" s="391"/>
      <c r="L2974" s="402"/>
      <c r="M2974" s="391"/>
      <c r="N2974" s="385"/>
      <c r="O2974" s="190"/>
    </row>
    <row r="2975" spans="2:15" ht="16" x14ac:dyDescent="0.2">
      <c r="C2975" s="119">
        <v>5</v>
      </c>
      <c r="D2975" s="383">
        <v>0.40625</v>
      </c>
      <c r="E2975" s="389">
        <v>0.42708333333333331</v>
      </c>
      <c r="F2975" s="385"/>
      <c r="G2975" s="391"/>
      <c r="H2975" s="316">
        <v>28</v>
      </c>
      <c r="I2975" s="391"/>
      <c r="J2975" s="385"/>
      <c r="K2975" s="391"/>
      <c r="L2975" s="393"/>
      <c r="M2975" s="391"/>
      <c r="N2975" s="385"/>
      <c r="O2975" s="190"/>
    </row>
    <row r="2976" spans="2:15" ht="16" x14ac:dyDescent="0.2">
      <c r="C2976" s="119">
        <v>6</v>
      </c>
      <c r="D2976" s="383">
        <v>0.42708333333333331</v>
      </c>
      <c r="E2976" s="389">
        <v>0.44791666666666669</v>
      </c>
      <c r="F2976" s="385"/>
      <c r="G2976" s="391"/>
      <c r="H2976" s="316">
        <v>28</v>
      </c>
      <c r="I2976" s="391"/>
      <c r="J2976" s="385"/>
      <c r="K2976" s="391"/>
      <c r="L2976" s="393"/>
      <c r="M2976" s="391"/>
      <c r="N2976" s="385"/>
      <c r="O2976" s="190"/>
    </row>
    <row r="2977" spans="3:15" ht="16" x14ac:dyDescent="0.2">
      <c r="C2977" s="119">
        <v>7</v>
      </c>
      <c r="D2977" s="383">
        <v>0.4548611111111111</v>
      </c>
      <c r="E2977" s="389">
        <v>0.51736111111111105</v>
      </c>
      <c r="F2977" s="385"/>
      <c r="G2977" s="391"/>
      <c r="H2977" s="316"/>
      <c r="I2977" s="391">
        <v>44</v>
      </c>
      <c r="J2977" s="385"/>
      <c r="K2977" s="391"/>
      <c r="L2977" s="393"/>
      <c r="M2977" s="391"/>
      <c r="N2977" s="385"/>
      <c r="O2977" s="190"/>
    </row>
    <row r="2978" spans="3:15" ht="16" x14ac:dyDescent="0.2">
      <c r="C2978" s="119">
        <v>8</v>
      </c>
      <c r="D2978" s="383">
        <v>0.50347222222222221</v>
      </c>
      <c r="E2978" s="389">
        <v>0.52430555555555558</v>
      </c>
      <c r="F2978" s="385">
        <v>28</v>
      </c>
      <c r="G2978" s="391"/>
      <c r="H2978" s="316"/>
      <c r="I2978" s="391"/>
      <c r="J2978" s="385"/>
      <c r="K2978" s="391"/>
      <c r="L2978" s="385"/>
      <c r="M2978" s="391"/>
      <c r="N2978" s="385"/>
      <c r="O2978" s="190"/>
    </row>
    <row r="2979" spans="3:15" ht="16" x14ac:dyDescent="0.2">
      <c r="C2979" s="119">
        <v>9</v>
      </c>
      <c r="D2979" s="383">
        <v>0.53125</v>
      </c>
      <c r="E2979" s="389">
        <v>0.55208333333333337</v>
      </c>
      <c r="F2979" s="385"/>
      <c r="G2979" s="391"/>
      <c r="H2979" s="316"/>
      <c r="I2979" s="391">
        <v>44</v>
      </c>
      <c r="J2979" s="385"/>
      <c r="K2979" s="391"/>
      <c r="L2979" s="385"/>
      <c r="M2979" s="391"/>
      <c r="N2979" s="385"/>
      <c r="O2979" s="190"/>
    </row>
    <row r="2980" spans="3:15" ht="16" x14ac:dyDescent="0.2">
      <c r="C2980" s="119">
        <v>10</v>
      </c>
      <c r="D2980" s="383">
        <v>0.5625</v>
      </c>
      <c r="E2980" s="389">
        <v>0.58333333333333337</v>
      </c>
      <c r="F2980" s="385">
        <v>28</v>
      </c>
      <c r="G2980" s="391"/>
      <c r="H2980" s="316"/>
      <c r="I2980" s="391"/>
      <c r="J2980" s="385"/>
      <c r="K2980" s="391"/>
      <c r="L2980" s="385"/>
      <c r="M2980" s="391"/>
      <c r="N2980" s="385"/>
      <c r="O2980" s="190"/>
    </row>
    <row r="2981" spans="3:15" ht="16" x14ac:dyDescent="0.2">
      <c r="C2981" s="119">
        <v>11</v>
      </c>
      <c r="D2981" s="383">
        <v>0.59027777777777779</v>
      </c>
      <c r="E2981" s="389">
        <v>0.61111111111111105</v>
      </c>
      <c r="F2981" s="385"/>
      <c r="G2981" s="391"/>
      <c r="H2981" s="316"/>
      <c r="I2981" s="391"/>
      <c r="J2981" s="28">
        <v>36</v>
      </c>
      <c r="K2981" s="391"/>
      <c r="L2981" s="385"/>
      <c r="M2981" s="391"/>
      <c r="N2981" s="385"/>
      <c r="O2981" s="190"/>
    </row>
    <row r="2982" spans="3:15" ht="16" x14ac:dyDescent="0.2">
      <c r="C2982" s="193">
        <v>12</v>
      </c>
      <c r="D2982" s="383">
        <v>0.62152777777777779</v>
      </c>
      <c r="E2982" s="389">
        <v>0.64236111111111105</v>
      </c>
      <c r="F2982" s="385">
        <v>28</v>
      </c>
      <c r="G2982" s="391"/>
      <c r="H2982" s="316"/>
      <c r="I2982" s="391"/>
      <c r="J2982" s="385"/>
      <c r="K2982" s="391"/>
      <c r="L2982" s="385"/>
      <c r="M2982" s="391"/>
      <c r="N2982" s="385"/>
      <c r="O2982" s="190"/>
    </row>
    <row r="2983" spans="3:15" ht="16" x14ac:dyDescent="0.2">
      <c r="C2983" s="119">
        <v>13</v>
      </c>
      <c r="D2983" s="383">
        <v>0.64236111111111105</v>
      </c>
      <c r="E2983" s="389">
        <v>0.66319444444444442</v>
      </c>
      <c r="F2983" s="385"/>
      <c r="G2983" s="391"/>
      <c r="H2983" s="316"/>
      <c r="I2983" s="391"/>
      <c r="J2983" s="385">
        <v>36</v>
      </c>
      <c r="K2983" s="391"/>
      <c r="L2983" s="385"/>
      <c r="M2983" s="391"/>
      <c r="N2983" s="385"/>
      <c r="O2983" s="190"/>
    </row>
    <row r="2984" spans="3:15" ht="16" x14ac:dyDescent="0.2">
      <c r="C2984" s="119">
        <v>14</v>
      </c>
      <c r="D2984" s="383">
        <v>0.66319444444444442</v>
      </c>
      <c r="E2984" s="389">
        <v>0.68402777777777779</v>
      </c>
      <c r="F2984" s="385">
        <v>28</v>
      </c>
      <c r="G2984" s="391"/>
      <c r="H2984" s="316"/>
      <c r="I2984" s="391"/>
      <c r="J2984" s="385"/>
      <c r="K2984" s="391"/>
      <c r="L2984" s="385"/>
      <c r="M2984" s="391"/>
      <c r="N2984" s="385"/>
      <c r="O2984" s="190"/>
    </row>
    <row r="2985" spans="3:15" ht="16" x14ac:dyDescent="0.2">
      <c r="C2985" s="119">
        <v>15</v>
      </c>
      <c r="D2985" s="383">
        <v>0.69444444444444453</v>
      </c>
      <c r="E2985" s="389">
        <v>0.71527777777777779</v>
      </c>
      <c r="F2985" s="385"/>
      <c r="G2985" s="391"/>
      <c r="H2985" s="316"/>
      <c r="I2985" s="391"/>
      <c r="J2985" s="385">
        <v>36</v>
      </c>
      <c r="K2985" s="391"/>
      <c r="L2985" s="385"/>
      <c r="M2985" s="391"/>
      <c r="N2985" s="385"/>
      <c r="O2985" s="190"/>
    </row>
    <row r="2986" spans="3:15" ht="16" x14ac:dyDescent="0.2">
      <c r="C2986" s="119">
        <v>16</v>
      </c>
      <c r="D2986" s="383">
        <v>0.71875</v>
      </c>
      <c r="E2986" s="389">
        <v>0.73958333333333337</v>
      </c>
      <c r="F2986" s="385">
        <v>28</v>
      </c>
      <c r="G2986" s="391"/>
      <c r="H2986" s="316"/>
      <c r="I2986" s="391"/>
      <c r="J2986" s="385"/>
      <c r="K2986" s="391"/>
      <c r="L2986" s="385"/>
      <c r="M2986" s="391"/>
      <c r="N2986" s="385"/>
      <c r="O2986" s="190"/>
    </row>
    <row r="2987" spans="3:15" ht="16" x14ac:dyDescent="0.2">
      <c r="C2987" s="119">
        <v>17</v>
      </c>
      <c r="D2987" s="383">
        <v>0.73958333333333337</v>
      </c>
      <c r="E2987" s="389">
        <v>0.76041666666666663</v>
      </c>
      <c r="F2987" s="384"/>
      <c r="G2987" s="33"/>
      <c r="H2987" s="316"/>
      <c r="I2987" s="390"/>
      <c r="J2987" s="385">
        <v>36</v>
      </c>
      <c r="K2987" s="391"/>
      <c r="L2987" s="385"/>
      <c r="M2987" s="391"/>
      <c r="N2987" s="385"/>
      <c r="O2987" s="190"/>
    </row>
    <row r="2988" spans="3:15" ht="16" x14ac:dyDescent="0.2">
      <c r="C2988" s="119">
        <v>18</v>
      </c>
      <c r="D2988" s="383">
        <v>0.76388888888888884</v>
      </c>
      <c r="E2988" s="389">
        <v>0.78472222222222221</v>
      </c>
      <c r="F2988" s="394">
        <v>28</v>
      </c>
      <c r="G2988" s="229"/>
      <c r="H2988" s="394"/>
      <c r="I2988" s="391"/>
      <c r="J2988" s="385"/>
      <c r="K2988" s="391"/>
      <c r="L2988" s="385"/>
      <c r="M2988" s="391"/>
      <c r="N2988" s="385"/>
      <c r="O2988" s="190"/>
    </row>
    <row r="2989" spans="3:15" ht="16" x14ac:dyDescent="0.2">
      <c r="C2989" s="119">
        <v>19</v>
      </c>
      <c r="D2989" s="383">
        <v>0.78819444444444453</v>
      </c>
      <c r="E2989" s="389">
        <v>0.80902777777777779</v>
      </c>
      <c r="F2989" s="385"/>
      <c r="G2989" s="391"/>
      <c r="H2989" s="385"/>
      <c r="I2989" s="391"/>
      <c r="J2989" s="385">
        <v>36</v>
      </c>
      <c r="K2989" s="391"/>
      <c r="L2989" s="403"/>
      <c r="M2989" s="391"/>
      <c r="N2989" s="385"/>
      <c r="O2989" s="190"/>
    </row>
    <row r="2990" spans="3:15" ht="16" x14ac:dyDescent="0.2">
      <c r="C2990" s="119">
        <v>20</v>
      </c>
      <c r="D2990" s="383">
        <v>0.80902777777777779</v>
      </c>
      <c r="E2990" s="389">
        <v>0.82986111111111116</v>
      </c>
      <c r="F2990" s="385">
        <v>28</v>
      </c>
      <c r="G2990" s="391"/>
      <c r="H2990" s="385"/>
      <c r="I2990" s="391"/>
      <c r="J2990" s="385"/>
      <c r="K2990" s="391"/>
      <c r="L2990" s="403"/>
      <c r="M2990" s="391"/>
      <c r="N2990" s="385"/>
      <c r="O2990" s="190"/>
    </row>
    <row r="2991" spans="3:15" ht="16" x14ac:dyDescent="0.2">
      <c r="C2991" s="119">
        <v>21</v>
      </c>
      <c r="D2991" s="383">
        <v>0.82986111111111116</v>
      </c>
      <c r="E2991" s="389">
        <v>0.85069444444444453</v>
      </c>
      <c r="F2991" s="385"/>
      <c r="G2991" s="391"/>
      <c r="H2991" s="385"/>
      <c r="I2991" s="391">
        <v>22</v>
      </c>
      <c r="J2991" s="385"/>
      <c r="K2991" s="391"/>
      <c r="L2991" s="385"/>
      <c r="M2991" s="391"/>
      <c r="N2991" s="385"/>
      <c r="O2991" s="190"/>
    </row>
    <row r="2992" spans="3:15" ht="16" x14ac:dyDescent="0.2">
      <c r="C2992" s="119">
        <v>22</v>
      </c>
      <c r="D2992" s="383">
        <v>0.85069444444444453</v>
      </c>
      <c r="E2992" s="389">
        <v>0.87152777777777779</v>
      </c>
      <c r="F2992" s="385"/>
      <c r="G2992" s="391"/>
      <c r="H2992" s="385"/>
      <c r="I2992" s="391"/>
      <c r="J2992" s="385">
        <v>14</v>
      </c>
      <c r="K2992" s="391"/>
      <c r="L2992" s="385"/>
      <c r="M2992" s="391"/>
      <c r="N2992" s="385"/>
      <c r="O2992" s="190"/>
    </row>
    <row r="2993" spans="2:15" ht="16" x14ac:dyDescent="0.2">
      <c r="C2993" s="119">
        <v>23</v>
      </c>
      <c r="D2993" s="383"/>
      <c r="E2993" s="389"/>
      <c r="F2993" s="385"/>
      <c r="G2993" s="391"/>
      <c r="H2993" s="385"/>
      <c r="I2993" s="391"/>
      <c r="J2993" s="385"/>
      <c r="K2993" s="391"/>
      <c r="L2993" s="385"/>
      <c r="M2993" s="391"/>
      <c r="N2993" s="385"/>
      <c r="O2993" s="190"/>
    </row>
    <row r="2994" spans="2:15" ht="16" x14ac:dyDescent="0.2">
      <c r="C2994" s="119">
        <v>24</v>
      </c>
      <c r="D2994" s="383"/>
      <c r="E2994" s="389"/>
      <c r="F2994" s="385"/>
      <c r="G2994" s="391"/>
      <c r="H2994" s="385"/>
      <c r="I2994" s="391"/>
      <c r="J2994" s="385"/>
      <c r="K2994" s="391"/>
      <c r="L2994" s="385"/>
      <c r="M2994" s="391"/>
      <c r="N2994" s="385"/>
      <c r="O2994" s="190"/>
    </row>
    <row r="2995" spans="2:15" ht="16" x14ac:dyDescent="0.2">
      <c r="C2995" s="119">
        <v>25</v>
      </c>
      <c r="D2995" s="383"/>
      <c r="E2995" s="389"/>
      <c r="F2995" s="385"/>
      <c r="G2995" s="391"/>
      <c r="H2995" s="385"/>
      <c r="I2995" s="391"/>
      <c r="J2995" s="385"/>
      <c r="K2995" s="391"/>
      <c r="L2995" s="385"/>
      <c r="M2995" s="391"/>
      <c r="N2995" s="385"/>
      <c r="O2995" s="190"/>
    </row>
    <row r="2996" spans="2:15" ht="16" x14ac:dyDescent="0.2">
      <c r="C2996" s="119">
        <v>26</v>
      </c>
      <c r="D2996" s="383"/>
      <c r="E2996" s="389"/>
      <c r="F2996" s="385"/>
      <c r="G2996" s="391"/>
      <c r="H2996" s="385"/>
      <c r="I2996" s="391"/>
      <c r="J2996" s="385"/>
      <c r="K2996" s="391"/>
      <c r="L2996" s="385"/>
      <c r="M2996" s="391"/>
      <c r="N2996" s="385"/>
      <c r="O2996" s="190"/>
    </row>
    <row r="2997" spans="2:15" ht="16" x14ac:dyDescent="0.2">
      <c r="C2997" s="119">
        <v>27</v>
      </c>
      <c r="D2997" s="383"/>
      <c r="E2997" s="389"/>
      <c r="F2997" s="385"/>
      <c r="G2997" s="391"/>
      <c r="H2997" s="385"/>
      <c r="I2997" s="391"/>
      <c r="J2997" s="385"/>
      <c r="K2997" s="391"/>
      <c r="L2997" s="385"/>
      <c r="M2997" s="391"/>
      <c r="N2997" s="385"/>
      <c r="O2997" s="190"/>
    </row>
    <row r="2998" spans="2:15" ht="16" x14ac:dyDescent="0.2">
      <c r="C2998" s="119">
        <v>28</v>
      </c>
      <c r="D2998" s="383"/>
      <c r="E2998" s="389"/>
      <c r="F2998" s="385"/>
      <c r="G2998" s="391"/>
      <c r="H2998" s="385"/>
      <c r="I2998" s="391"/>
      <c r="J2998" s="385"/>
      <c r="K2998" s="391"/>
      <c r="L2998" s="385"/>
      <c r="M2998" s="391"/>
      <c r="N2998" s="385"/>
      <c r="O2998" s="190"/>
    </row>
    <row r="2999" spans="2:15" ht="16" x14ac:dyDescent="0.2">
      <c r="C2999" s="119">
        <v>29</v>
      </c>
      <c r="D2999" s="383"/>
      <c r="E2999" s="389"/>
      <c r="F2999" s="385"/>
      <c r="G2999" s="391"/>
      <c r="H2999" s="385"/>
      <c r="I2999" s="391"/>
      <c r="J2999" s="385"/>
      <c r="K2999" s="391"/>
      <c r="L2999" s="385"/>
      <c r="M2999" s="391"/>
      <c r="N2999" s="385"/>
      <c r="O2999" s="190"/>
    </row>
    <row r="3000" spans="2:15" ht="16" x14ac:dyDescent="0.2">
      <c r="C3000" s="119">
        <v>30</v>
      </c>
      <c r="D3000" s="383"/>
      <c r="E3000" s="389"/>
      <c r="F3000" s="385"/>
      <c r="G3000" s="391"/>
      <c r="H3000" s="385"/>
      <c r="I3000" s="391"/>
      <c r="J3000" s="385"/>
      <c r="K3000" s="391"/>
      <c r="L3000" s="385"/>
      <c r="M3000" s="391"/>
      <c r="N3000" s="385"/>
      <c r="O3000" s="190"/>
    </row>
    <row r="3001" spans="2:15" ht="16" x14ac:dyDescent="0.2">
      <c r="C3001" s="120">
        <v>31</v>
      </c>
      <c r="D3001" s="383"/>
      <c r="E3001" s="389"/>
      <c r="F3001" s="384"/>
      <c r="G3001" s="390"/>
      <c r="H3001" s="384"/>
      <c r="I3001" s="390"/>
      <c r="J3001" s="384"/>
      <c r="K3001" s="390"/>
      <c r="L3001" s="384"/>
      <c r="M3001" s="390"/>
      <c r="N3001" s="384"/>
      <c r="O3001" s="190"/>
    </row>
    <row r="3002" spans="2:15" ht="16" x14ac:dyDescent="0.2">
      <c r="B3002" s="256"/>
      <c r="C3002" s="377">
        <v>32</v>
      </c>
      <c r="D3002" s="384"/>
      <c r="E3002" s="390"/>
      <c r="F3002" s="384"/>
      <c r="G3002" s="390"/>
      <c r="H3002" s="384"/>
      <c r="I3002" s="390"/>
      <c r="J3002" s="384"/>
      <c r="K3002" s="390"/>
      <c r="L3002" s="384"/>
      <c r="M3002" s="390"/>
      <c r="N3002" s="384"/>
      <c r="O3002" s="190"/>
    </row>
    <row r="3003" spans="2:15" ht="16" x14ac:dyDescent="0.2">
      <c r="B3003" s="256"/>
      <c r="C3003" s="119">
        <v>33</v>
      </c>
      <c r="D3003" s="385"/>
      <c r="E3003" s="391"/>
      <c r="F3003" s="385"/>
      <c r="G3003" s="391"/>
      <c r="H3003" s="385"/>
      <c r="I3003" s="391"/>
      <c r="J3003" s="385"/>
      <c r="K3003" s="391"/>
      <c r="L3003" s="385"/>
      <c r="M3003" s="391"/>
      <c r="N3003" s="385"/>
      <c r="O3003" s="190"/>
    </row>
    <row r="3004" spans="2:15" ht="16" x14ac:dyDescent="0.2">
      <c r="B3004" s="256"/>
      <c r="C3004" s="119">
        <v>34</v>
      </c>
      <c r="D3004" s="385"/>
      <c r="E3004" s="391"/>
      <c r="F3004" s="385"/>
      <c r="G3004" s="391"/>
      <c r="H3004" s="385"/>
      <c r="I3004" s="391"/>
      <c r="J3004" s="385"/>
      <c r="K3004" s="391"/>
      <c r="L3004" s="385"/>
      <c r="M3004" s="391"/>
      <c r="N3004" s="385"/>
      <c r="O3004" s="190"/>
    </row>
    <row r="3005" spans="2:15" ht="16" x14ac:dyDescent="0.2">
      <c r="B3005" s="256"/>
      <c r="C3005" s="119">
        <v>35</v>
      </c>
      <c r="D3005" s="385"/>
      <c r="E3005" s="391"/>
      <c r="F3005" s="385"/>
      <c r="G3005" s="391"/>
      <c r="H3005" s="385"/>
      <c r="I3005" s="391"/>
      <c r="J3005" s="385"/>
      <c r="K3005" s="391"/>
      <c r="L3005" s="385"/>
      <c r="M3005" s="391"/>
      <c r="N3005" s="385"/>
      <c r="O3005" s="190"/>
    </row>
    <row r="3006" spans="2:15" ht="16" x14ac:dyDescent="0.2">
      <c r="B3006" s="256"/>
      <c r="C3006" s="119">
        <v>36</v>
      </c>
      <c r="D3006" s="385"/>
      <c r="E3006" s="391"/>
      <c r="F3006" s="385"/>
      <c r="G3006" s="391"/>
      <c r="H3006" s="385"/>
      <c r="I3006" s="391"/>
      <c r="J3006" s="385"/>
      <c r="K3006" s="391"/>
      <c r="L3006" s="385"/>
      <c r="M3006" s="391"/>
      <c r="N3006" s="385"/>
      <c r="O3006" s="190"/>
    </row>
    <row r="3007" spans="2:15" ht="17" thickBot="1" x14ac:dyDescent="0.25">
      <c r="B3007" s="256"/>
      <c r="C3007" s="378">
        <v>37</v>
      </c>
      <c r="D3007" s="386"/>
      <c r="E3007" s="392"/>
      <c r="F3007" s="386"/>
      <c r="G3007" s="392"/>
      <c r="H3007" s="386"/>
      <c r="I3007" s="392"/>
      <c r="J3007" s="386"/>
      <c r="K3007" s="392"/>
      <c r="L3007" s="386"/>
      <c r="M3007" s="392"/>
      <c r="N3007" s="386"/>
      <c r="O3007" s="190"/>
    </row>
    <row r="3008" spans="2:15" ht="17" thickBot="1" x14ac:dyDescent="0.25">
      <c r="C3008" s="825" t="s">
        <v>19</v>
      </c>
      <c r="D3008" s="826"/>
      <c r="E3008" s="380"/>
      <c r="F3008" s="376">
        <f>(F2971+F2972+F2973+F2974+F2975+F2976+F2992+F2979+F2980+F2977+F2978+F2981+F2982+F2983+F2984+F2985+F2986+F2987+F2988+F2989+F2990+F2991+F2993+F2994+F2996+F2997+F2998+F2999+F3000+F3001+F3002+F3003+F3004+F3007)/2</f>
        <v>98</v>
      </c>
      <c r="G3008" s="397">
        <f>(G2971+G2972+G2973+G2974+G2975+G2992+G2976+G2980+G2979+G2977+G2978+G2981+G2982+G2983+G2984+G2985+G2986+G2987+G2988+G2989+G2990+G2991+G2993+G2994+G2996+G2997+G2998+G2999+G3000+G3001+G3002+G3003)/2</f>
        <v>56</v>
      </c>
      <c r="H3008" s="399">
        <f>(H2971+H2972+H2973+H2974+H2975+H2976+H2992+H2995+H2979+H2980+H2977+H2978+H2981+H2982+H2983+H2984+H2985+H2986+H2987+H2988+H2989+H2990+H2991+H2993+H2994+H2996+H2997+H2998+H2999+H3000+H3001+H3002+H3003+H3004+H3007)/2</f>
        <v>28</v>
      </c>
      <c r="I3008" s="398">
        <f>(I2971+I2972+I2973+I2974+I2975+I3005+I3006+I2976+I2992+I2979+I2995+I2980+I2977+I2978+I2981+I2982+I2983+I2984+I2985+I2986+I2987+I2988+I2989+I2990+I2991+I2993+I2994+I2996+I2997+I2998+I2999+I3000+I3001+I3002+I3003+I3004+I3007)/2</f>
        <v>55</v>
      </c>
      <c r="J3008" s="376">
        <f>(J2971+J2972+J2973+J2974+J2975+J2976+J2980+J2977+J2979+J2978+J2995+J2981+J2982+J2983+J2984+J2985+J2986+J2987+J2988+J2989+J2990+J2991+J2992+J2993+J2994+J2996+J2997+J2998+J2999+J3000+J3001+J3002+J3003)/2</f>
        <v>97</v>
      </c>
      <c r="K3008" s="397">
        <f>(K2971+K2972+K2973+K2974+K2975+K2976+K2980+K2977+K2978+K2981+K2982+K2983+K2984+K2985+K2986+K2987+K2988+K2989+K2990+K2991+K2993+K2994+K2996+K2997+K2998+K2999+K3000+K3001+K3002+K3003+K2992)</f>
        <v>0</v>
      </c>
      <c r="L3008" s="399">
        <f>SUM(L2971:L3007)</f>
        <v>0</v>
      </c>
      <c r="M3008" s="398">
        <f>(M2971+M2972+M2973+M2974+M2975+M2976+M2980+M2979+M2977+M2978+M2981+M2982+M2983+M2984+M2985+M2986+M2987+M2988+M2989+M2990+M2991+M2993+M2994+M2996+M2997+M2998+M2999+M3000+M3001+M3002+M3003)/2</f>
        <v>0</v>
      </c>
      <c r="N3008" s="376"/>
      <c r="O3008" s="41"/>
    </row>
    <row r="3009" spans="2:15" ht="17" thickBot="1" x14ac:dyDescent="0.25">
      <c r="C3009" s="825" t="s">
        <v>91</v>
      </c>
      <c r="D3009" s="826"/>
      <c r="E3009" s="381">
        <f>SUM(F3008:J3008)</f>
        <v>334</v>
      </c>
    </row>
    <row r="3010" spans="2:15" ht="16" thickBot="1" x14ac:dyDescent="0.25"/>
    <row r="3011" spans="2:15" ht="17" thickBot="1" x14ac:dyDescent="0.25">
      <c r="C3011" s="17"/>
      <c r="D3011" s="379" t="s">
        <v>83</v>
      </c>
      <c r="E3011" s="818" t="s">
        <v>66</v>
      </c>
      <c r="F3011" s="819"/>
      <c r="G3011" s="819"/>
      <c r="H3011" s="819"/>
      <c r="I3011" s="819"/>
      <c r="J3011" s="400" t="s">
        <v>76</v>
      </c>
      <c r="K3011" s="820">
        <v>45757</v>
      </c>
      <c r="L3011" s="821"/>
      <c r="M3011" s="821"/>
      <c r="N3011" s="821"/>
      <c r="O3011" s="822"/>
    </row>
    <row r="3012" spans="2:15" ht="16" thickBot="1" x14ac:dyDescent="0.25">
      <c r="B3012" s="175" t="s">
        <v>76</v>
      </c>
      <c r="C3012" s="175" t="s">
        <v>77</v>
      </c>
      <c r="D3012" s="823" t="s">
        <v>122</v>
      </c>
      <c r="E3012" s="824"/>
      <c r="F3012" s="175" t="s">
        <v>104</v>
      </c>
      <c r="G3012" s="395" t="s">
        <v>86</v>
      </c>
      <c r="H3012" s="175" t="s">
        <v>88</v>
      </c>
      <c r="I3012" s="395" t="s">
        <v>87</v>
      </c>
      <c r="J3012" s="401" t="s">
        <v>85</v>
      </c>
      <c r="K3012" s="395" t="s">
        <v>123</v>
      </c>
      <c r="L3012" s="175" t="s">
        <v>124</v>
      </c>
      <c r="M3012" s="395" t="s">
        <v>100</v>
      </c>
      <c r="N3012" s="175" t="s">
        <v>213</v>
      </c>
      <c r="O3012" s="404" t="s">
        <v>125</v>
      </c>
    </row>
    <row r="3013" spans="2:15" ht="16" thickBot="1" x14ac:dyDescent="0.25">
      <c r="B3013" s="176">
        <f>K3011</f>
        <v>45757</v>
      </c>
      <c r="C3013" s="374"/>
      <c r="D3013" s="375" t="s">
        <v>126</v>
      </c>
      <c r="E3013" s="387" t="s">
        <v>127</v>
      </c>
      <c r="F3013" s="331">
        <v>12</v>
      </c>
      <c r="G3013" s="237">
        <v>6</v>
      </c>
      <c r="H3013" s="331">
        <v>3</v>
      </c>
      <c r="I3013" s="237">
        <v>4</v>
      </c>
      <c r="J3013" s="331">
        <v>7</v>
      </c>
      <c r="K3013" s="231"/>
      <c r="L3013" s="125"/>
      <c r="M3013" s="231"/>
      <c r="N3013" s="125"/>
      <c r="O3013" s="326"/>
    </row>
    <row r="3014" spans="2:15" ht="16" x14ac:dyDescent="0.2">
      <c r="C3014" s="118">
        <v>1</v>
      </c>
      <c r="D3014" s="382">
        <v>0.30902777777777779</v>
      </c>
      <c r="E3014" s="388">
        <v>0.3298611111111111</v>
      </c>
      <c r="F3014" s="393"/>
      <c r="G3014" s="396">
        <v>28</v>
      </c>
      <c r="H3014" s="393"/>
      <c r="I3014" s="396"/>
      <c r="J3014" s="393"/>
      <c r="K3014" s="396"/>
      <c r="L3014" s="393"/>
      <c r="M3014" s="396"/>
      <c r="N3014" s="393"/>
      <c r="O3014" s="190"/>
    </row>
    <row r="3015" spans="2:15" ht="16" x14ac:dyDescent="0.2">
      <c r="C3015" s="119">
        <v>2</v>
      </c>
      <c r="D3015" s="383">
        <v>0.32291666666666669</v>
      </c>
      <c r="E3015" s="389">
        <v>0.34375</v>
      </c>
      <c r="F3015" s="385"/>
      <c r="G3015" s="391">
        <v>28</v>
      </c>
      <c r="H3015" s="385"/>
      <c r="I3015" s="391"/>
      <c r="J3015" s="385"/>
      <c r="K3015" s="391"/>
      <c r="L3015" s="385"/>
      <c r="M3015" s="391"/>
      <c r="N3015" s="385"/>
      <c r="O3015" s="190"/>
    </row>
    <row r="3016" spans="2:15" ht="16" x14ac:dyDescent="0.2">
      <c r="C3016" s="119">
        <v>3</v>
      </c>
      <c r="D3016" s="383">
        <v>0.34375</v>
      </c>
      <c r="E3016" s="389">
        <v>0.36458333333333331</v>
      </c>
      <c r="F3016" s="385"/>
      <c r="G3016" s="391">
        <v>28</v>
      </c>
      <c r="H3016" s="385"/>
      <c r="I3016" s="391"/>
      <c r="J3016" s="385"/>
      <c r="K3016" s="391"/>
      <c r="L3016" s="384"/>
      <c r="M3016" s="391"/>
      <c r="N3016" s="385"/>
      <c r="O3016" s="190"/>
    </row>
    <row r="3017" spans="2:15" ht="16" x14ac:dyDescent="0.2">
      <c r="C3017" s="119">
        <v>4</v>
      </c>
      <c r="D3017" s="383">
        <v>0.3611111111111111</v>
      </c>
      <c r="E3017" s="389">
        <v>0.38194444444444442</v>
      </c>
      <c r="F3017" s="385"/>
      <c r="G3017" s="391"/>
      <c r="H3017" s="316">
        <v>14</v>
      </c>
      <c r="I3017" s="391"/>
      <c r="J3017" s="385"/>
      <c r="K3017" s="391"/>
      <c r="L3017" s="402"/>
      <c r="M3017" s="391"/>
      <c r="N3017" s="385"/>
      <c r="O3017" s="190"/>
    </row>
    <row r="3018" spans="2:15" ht="16" x14ac:dyDescent="0.2">
      <c r="C3018" s="119">
        <v>5</v>
      </c>
      <c r="D3018" s="383">
        <v>0.42708333333333331</v>
      </c>
      <c r="E3018" s="389">
        <v>0.44791666666666669</v>
      </c>
      <c r="F3018" s="385"/>
      <c r="G3018" s="391"/>
      <c r="H3018" s="316">
        <v>28</v>
      </c>
      <c r="I3018" s="391"/>
      <c r="J3018" s="385"/>
      <c r="K3018" s="391"/>
      <c r="L3018" s="393"/>
      <c r="M3018" s="391"/>
      <c r="N3018" s="385"/>
      <c r="O3018" s="190"/>
    </row>
    <row r="3019" spans="2:15" ht="16" x14ac:dyDescent="0.2">
      <c r="C3019" s="119">
        <v>6</v>
      </c>
      <c r="D3019" s="383">
        <v>0.45833333333333331</v>
      </c>
      <c r="E3019" s="389">
        <v>0.47916666666666669</v>
      </c>
      <c r="F3019" s="385"/>
      <c r="G3019" s="391"/>
      <c r="H3019" s="316"/>
      <c r="I3019" s="391">
        <v>44</v>
      </c>
      <c r="J3019" s="385"/>
      <c r="K3019" s="391"/>
      <c r="L3019" s="393"/>
      <c r="M3019" s="391"/>
      <c r="N3019" s="385"/>
      <c r="O3019" s="190"/>
    </row>
    <row r="3020" spans="2:15" ht="16" x14ac:dyDescent="0.2">
      <c r="C3020" s="119">
        <v>7</v>
      </c>
      <c r="D3020" s="383">
        <v>0.4861111111111111</v>
      </c>
      <c r="E3020" s="389">
        <v>0.50694444444444442</v>
      </c>
      <c r="F3020" s="385">
        <v>28</v>
      </c>
      <c r="G3020" s="391"/>
      <c r="H3020" s="316"/>
      <c r="I3020" s="391"/>
      <c r="J3020" s="385"/>
      <c r="K3020" s="391"/>
      <c r="L3020" s="393"/>
      <c r="M3020" s="391"/>
      <c r="N3020" s="385"/>
      <c r="O3020" s="190"/>
    </row>
    <row r="3021" spans="2:15" ht="16" x14ac:dyDescent="0.2">
      <c r="C3021" s="119">
        <v>8</v>
      </c>
      <c r="D3021" s="383">
        <v>0.51388888888888895</v>
      </c>
      <c r="E3021" s="389">
        <v>0.53472222222222221</v>
      </c>
      <c r="F3021" s="385"/>
      <c r="G3021" s="391"/>
      <c r="H3021" s="316"/>
      <c r="I3021" s="391">
        <v>44</v>
      </c>
      <c r="J3021" s="385"/>
      <c r="K3021" s="391"/>
      <c r="L3021" s="385"/>
      <c r="M3021" s="391"/>
      <c r="N3021" s="385"/>
      <c r="O3021" s="190"/>
    </row>
    <row r="3022" spans="2:15" ht="16" x14ac:dyDescent="0.2">
      <c r="C3022" s="119">
        <v>9</v>
      </c>
      <c r="D3022" s="383">
        <v>0.54513888888888895</v>
      </c>
      <c r="E3022" s="389">
        <v>0.56597222222222221</v>
      </c>
      <c r="F3022" s="385">
        <v>28</v>
      </c>
      <c r="G3022" s="391"/>
      <c r="H3022" s="316"/>
      <c r="I3022" s="391"/>
      <c r="J3022" s="385"/>
      <c r="K3022" s="391"/>
      <c r="L3022" s="385"/>
      <c r="M3022" s="391"/>
      <c r="N3022" s="385"/>
      <c r="O3022" s="190"/>
    </row>
    <row r="3023" spans="2:15" ht="16" x14ac:dyDescent="0.2">
      <c r="C3023" s="119">
        <v>10</v>
      </c>
      <c r="D3023" s="383">
        <v>0.57291666666666663</v>
      </c>
      <c r="E3023" s="389">
        <v>0.59375</v>
      </c>
      <c r="F3023" s="385"/>
      <c r="G3023" s="391"/>
      <c r="H3023" s="316"/>
      <c r="I3023" s="391"/>
      <c r="J3023" s="385">
        <v>36</v>
      </c>
      <c r="K3023" s="391"/>
      <c r="L3023" s="385"/>
      <c r="M3023" s="391"/>
      <c r="N3023" s="385"/>
      <c r="O3023" s="190"/>
    </row>
    <row r="3024" spans="2:15" ht="16" x14ac:dyDescent="0.2">
      <c r="C3024" s="119">
        <v>11</v>
      </c>
      <c r="D3024" s="383">
        <v>0.61458333333333337</v>
      </c>
      <c r="E3024" s="389">
        <v>0.63541666666666663</v>
      </c>
      <c r="F3024" s="385">
        <v>24</v>
      </c>
      <c r="G3024" s="391"/>
      <c r="H3024" s="316"/>
      <c r="I3024" s="391"/>
      <c r="J3024" s="28"/>
      <c r="K3024" s="391">
        <v>1</v>
      </c>
      <c r="L3024" s="385"/>
      <c r="M3024" s="391"/>
      <c r="N3024" s="385"/>
      <c r="O3024" s="190"/>
    </row>
    <row r="3025" spans="3:15" ht="16" x14ac:dyDescent="0.2">
      <c r="C3025" s="193">
        <v>12</v>
      </c>
      <c r="D3025" s="383">
        <v>0.64583333333333337</v>
      </c>
      <c r="E3025" s="389">
        <v>0.66666666666666663</v>
      </c>
      <c r="F3025" s="385"/>
      <c r="G3025" s="391"/>
      <c r="H3025" s="316"/>
      <c r="I3025" s="391"/>
      <c r="J3025" s="385">
        <v>36</v>
      </c>
      <c r="K3025" s="391"/>
      <c r="L3025" s="385"/>
      <c r="M3025" s="391"/>
      <c r="N3025" s="385"/>
      <c r="O3025" s="190"/>
    </row>
    <row r="3026" spans="3:15" ht="16" x14ac:dyDescent="0.2">
      <c r="C3026" s="119">
        <v>13</v>
      </c>
      <c r="D3026" s="383">
        <v>0.67013888888888884</v>
      </c>
      <c r="E3026" s="389">
        <v>0.69097222222222221</v>
      </c>
      <c r="F3026" s="385">
        <v>28</v>
      </c>
      <c r="G3026" s="391"/>
      <c r="H3026" s="316"/>
      <c r="I3026" s="391"/>
      <c r="J3026" s="385"/>
      <c r="K3026" s="391"/>
      <c r="L3026" s="385"/>
      <c r="M3026" s="391"/>
      <c r="N3026" s="385"/>
      <c r="O3026" s="190"/>
    </row>
    <row r="3027" spans="3:15" ht="16" x14ac:dyDescent="0.2">
      <c r="C3027" s="119">
        <v>14</v>
      </c>
      <c r="D3027" s="383">
        <v>0.69791666666666663</v>
      </c>
      <c r="E3027" s="389">
        <v>0.71875</v>
      </c>
      <c r="F3027" s="385"/>
      <c r="G3027" s="391"/>
      <c r="H3027" s="316"/>
      <c r="I3027" s="391"/>
      <c r="J3027" s="385">
        <v>32</v>
      </c>
      <c r="K3027" s="391"/>
      <c r="L3027" s="385"/>
      <c r="M3027" s="391"/>
      <c r="N3027" s="385"/>
      <c r="O3027" s="190"/>
    </row>
    <row r="3028" spans="3:15" ht="16" x14ac:dyDescent="0.2">
      <c r="C3028" s="119">
        <v>15</v>
      </c>
      <c r="D3028" s="383">
        <v>0.72569444444444453</v>
      </c>
      <c r="E3028" s="389">
        <v>0.74652777777777779</v>
      </c>
      <c r="F3028" s="385">
        <v>28</v>
      </c>
      <c r="G3028" s="391"/>
      <c r="H3028" s="316"/>
      <c r="I3028" s="391"/>
      <c r="J3028" s="385"/>
      <c r="K3028" s="391"/>
      <c r="L3028" s="385"/>
      <c r="M3028" s="391"/>
      <c r="N3028" s="385"/>
      <c r="O3028" s="190"/>
    </row>
    <row r="3029" spans="3:15" ht="16" x14ac:dyDescent="0.2">
      <c r="C3029" s="119">
        <v>16</v>
      </c>
      <c r="D3029" s="383">
        <v>0.75</v>
      </c>
      <c r="E3029" s="389">
        <v>0.77083333333333337</v>
      </c>
      <c r="F3029" s="385">
        <v>28</v>
      </c>
      <c r="G3029" s="391"/>
      <c r="H3029" s="316"/>
      <c r="I3029" s="391"/>
      <c r="J3029" s="385"/>
      <c r="K3029" s="391"/>
      <c r="L3029" s="385"/>
      <c r="M3029" s="391"/>
      <c r="N3029" s="385"/>
      <c r="O3029" s="190"/>
    </row>
    <row r="3030" spans="3:15" ht="16" x14ac:dyDescent="0.2">
      <c r="C3030" s="119">
        <v>17</v>
      </c>
      <c r="D3030" s="383">
        <v>0.77083333333333337</v>
      </c>
      <c r="E3030" s="389">
        <v>0.79166666666666663</v>
      </c>
      <c r="F3030" s="384"/>
      <c r="G3030" s="33"/>
      <c r="H3030" s="316"/>
      <c r="I3030" s="390"/>
      <c r="J3030" s="385">
        <v>18</v>
      </c>
      <c r="K3030" s="391"/>
      <c r="L3030" s="385"/>
      <c r="M3030" s="391"/>
      <c r="N3030" s="385"/>
      <c r="O3030" s="190"/>
    </row>
    <row r="3031" spans="3:15" ht="16" x14ac:dyDescent="0.2">
      <c r="C3031" s="119">
        <v>18</v>
      </c>
      <c r="D3031" s="383"/>
      <c r="E3031" s="389"/>
      <c r="F3031" s="394"/>
      <c r="G3031" s="229"/>
      <c r="H3031" s="394"/>
      <c r="I3031" s="391"/>
      <c r="J3031" s="385"/>
      <c r="K3031" s="391"/>
      <c r="L3031" s="385"/>
      <c r="M3031" s="391"/>
      <c r="N3031" s="385"/>
      <c r="O3031" s="190"/>
    </row>
    <row r="3032" spans="3:15" ht="16" x14ac:dyDescent="0.2">
      <c r="C3032" s="119">
        <v>19</v>
      </c>
      <c r="D3032" s="383"/>
      <c r="E3032" s="389"/>
      <c r="F3032" s="385"/>
      <c r="G3032" s="391"/>
      <c r="H3032" s="385"/>
      <c r="I3032" s="391"/>
      <c r="J3032" s="385"/>
      <c r="K3032" s="391"/>
      <c r="L3032" s="403"/>
      <c r="M3032" s="391"/>
      <c r="N3032" s="385"/>
      <c r="O3032" s="190"/>
    </row>
    <row r="3033" spans="3:15" ht="16" x14ac:dyDescent="0.2">
      <c r="C3033" s="119">
        <v>20</v>
      </c>
      <c r="D3033" s="383"/>
      <c r="E3033" s="389"/>
      <c r="F3033" s="385"/>
      <c r="G3033" s="391"/>
      <c r="H3033" s="385"/>
      <c r="I3033" s="391"/>
      <c r="J3033" s="385"/>
      <c r="K3033" s="391"/>
      <c r="L3033" s="403"/>
      <c r="M3033" s="391"/>
      <c r="N3033" s="385"/>
      <c r="O3033" s="190"/>
    </row>
    <row r="3034" spans="3:15" ht="16" x14ac:dyDescent="0.2">
      <c r="C3034" s="119">
        <v>21</v>
      </c>
      <c r="D3034" s="383"/>
      <c r="E3034" s="389"/>
      <c r="F3034" s="385"/>
      <c r="G3034" s="391"/>
      <c r="H3034" s="385"/>
      <c r="I3034" s="391"/>
      <c r="J3034" s="385"/>
      <c r="K3034" s="391"/>
      <c r="L3034" s="385"/>
      <c r="M3034" s="391"/>
      <c r="N3034" s="385"/>
      <c r="O3034" s="190"/>
    </row>
    <row r="3035" spans="3:15" ht="16" x14ac:dyDescent="0.2">
      <c r="C3035" s="119">
        <v>22</v>
      </c>
      <c r="D3035" s="383"/>
      <c r="E3035" s="389"/>
      <c r="F3035" s="385"/>
      <c r="G3035" s="391"/>
      <c r="H3035" s="385"/>
      <c r="I3035" s="391"/>
      <c r="J3035" s="385"/>
      <c r="K3035" s="391"/>
      <c r="L3035" s="385"/>
      <c r="M3035" s="391"/>
      <c r="N3035" s="385"/>
      <c r="O3035" s="190"/>
    </row>
    <row r="3036" spans="3:15" ht="16" x14ac:dyDescent="0.2">
      <c r="C3036" s="119">
        <v>23</v>
      </c>
      <c r="D3036" s="383"/>
      <c r="E3036" s="389"/>
      <c r="F3036" s="385"/>
      <c r="G3036" s="391"/>
      <c r="H3036" s="385"/>
      <c r="I3036" s="391"/>
      <c r="J3036" s="385"/>
      <c r="K3036" s="391"/>
      <c r="L3036" s="385"/>
      <c r="M3036" s="391"/>
      <c r="N3036" s="385"/>
      <c r="O3036" s="190"/>
    </row>
    <row r="3037" spans="3:15" ht="16" x14ac:dyDescent="0.2">
      <c r="C3037" s="119">
        <v>24</v>
      </c>
      <c r="D3037" s="383"/>
      <c r="E3037" s="389"/>
      <c r="F3037" s="385"/>
      <c r="G3037" s="391"/>
      <c r="H3037" s="385"/>
      <c r="I3037" s="391"/>
      <c r="J3037" s="385"/>
      <c r="K3037" s="391"/>
      <c r="L3037" s="385"/>
      <c r="M3037" s="391"/>
      <c r="N3037" s="385"/>
      <c r="O3037" s="190"/>
    </row>
    <row r="3038" spans="3:15" ht="16" x14ac:dyDescent="0.2">
      <c r="C3038" s="119">
        <v>25</v>
      </c>
      <c r="D3038" s="383"/>
      <c r="E3038" s="389"/>
      <c r="F3038" s="385"/>
      <c r="G3038" s="391"/>
      <c r="H3038" s="385"/>
      <c r="I3038" s="391"/>
      <c r="J3038" s="385"/>
      <c r="K3038" s="391"/>
      <c r="L3038" s="385"/>
      <c r="M3038" s="391"/>
      <c r="N3038" s="385"/>
      <c r="O3038" s="190"/>
    </row>
    <row r="3039" spans="3:15" ht="16" x14ac:dyDescent="0.2">
      <c r="C3039" s="119">
        <v>26</v>
      </c>
      <c r="D3039" s="383"/>
      <c r="E3039" s="389"/>
      <c r="F3039" s="385"/>
      <c r="G3039" s="391"/>
      <c r="H3039" s="385"/>
      <c r="I3039" s="391"/>
      <c r="J3039" s="385"/>
      <c r="K3039" s="391"/>
      <c r="L3039" s="385"/>
      <c r="M3039" s="391"/>
      <c r="N3039" s="385"/>
      <c r="O3039" s="190"/>
    </row>
    <row r="3040" spans="3:15" ht="16" x14ac:dyDescent="0.2">
      <c r="C3040" s="119">
        <v>27</v>
      </c>
      <c r="D3040" s="383"/>
      <c r="E3040" s="389"/>
      <c r="F3040" s="385"/>
      <c r="G3040" s="391"/>
      <c r="H3040" s="385"/>
      <c r="I3040" s="391"/>
      <c r="J3040" s="385"/>
      <c r="K3040" s="391"/>
      <c r="L3040" s="385"/>
      <c r="M3040" s="391"/>
      <c r="N3040" s="385"/>
      <c r="O3040" s="190"/>
    </row>
    <row r="3041" spans="2:15" ht="16" x14ac:dyDescent="0.2">
      <c r="C3041" s="119">
        <v>28</v>
      </c>
      <c r="D3041" s="383"/>
      <c r="E3041" s="389"/>
      <c r="F3041" s="385"/>
      <c r="G3041" s="391"/>
      <c r="H3041" s="385"/>
      <c r="I3041" s="391"/>
      <c r="J3041" s="385"/>
      <c r="K3041" s="391"/>
      <c r="L3041" s="385"/>
      <c r="M3041" s="391"/>
      <c r="N3041" s="385"/>
      <c r="O3041" s="190"/>
    </row>
    <row r="3042" spans="2:15" ht="16" x14ac:dyDescent="0.2">
      <c r="C3042" s="119">
        <v>29</v>
      </c>
      <c r="D3042" s="383"/>
      <c r="E3042" s="389"/>
      <c r="F3042" s="385"/>
      <c r="G3042" s="391"/>
      <c r="H3042" s="385"/>
      <c r="I3042" s="391"/>
      <c r="J3042" s="385"/>
      <c r="K3042" s="391"/>
      <c r="L3042" s="385"/>
      <c r="M3042" s="391"/>
      <c r="N3042" s="385"/>
      <c r="O3042" s="190"/>
    </row>
    <row r="3043" spans="2:15" ht="16" x14ac:dyDescent="0.2">
      <c r="C3043" s="119">
        <v>30</v>
      </c>
      <c r="D3043" s="383"/>
      <c r="E3043" s="389"/>
      <c r="F3043" s="385"/>
      <c r="G3043" s="391"/>
      <c r="H3043" s="385"/>
      <c r="I3043" s="391"/>
      <c r="J3043" s="385"/>
      <c r="K3043" s="391"/>
      <c r="L3043" s="385"/>
      <c r="M3043" s="391"/>
      <c r="N3043" s="385"/>
      <c r="O3043" s="190"/>
    </row>
    <row r="3044" spans="2:15" ht="16" x14ac:dyDescent="0.2">
      <c r="C3044" s="120">
        <v>31</v>
      </c>
      <c r="D3044" s="383"/>
      <c r="E3044" s="389"/>
      <c r="F3044" s="384"/>
      <c r="G3044" s="390"/>
      <c r="H3044" s="384"/>
      <c r="I3044" s="390"/>
      <c r="J3044" s="384"/>
      <c r="K3044" s="390"/>
      <c r="L3044" s="384"/>
      <c r="M3044" s="390"/>
      <c r="N3044" s="384"/>
      <c r="O3044" s="190"/>
    </row>
    <row r="3045" spans="2:15" ht="16" x14ac:dyDescent="0.2">
      <c r="B3045" s="256"/>
      <c r="C3045" s="377">
        <v>32</v>
      </c>
      <c r="D3045" s="384"/>
      <c r="E3045" s="390"/>
      <c r="F3045" s="384"/>
      <c r="G3045" s="390"/>
      <c r="H3045" s="384"/>
      <c r="I3045" s="390"/>
      <c r="J3045" s="384"/>
      <c r="K3045" s="390"/>
      <c r="L3045" s="384"/>
      <c r="M3045" s="390"/>
      <c r="N3045" s="384"/>
      <c r="O3045" s="190"/>
    </row>
    <row r="3046" spans="2:15" ht="16" x14ac:dyDescent="0.2">
      <c r="B3046" s="256"/>
      <c r="C3046" s="119">
        <v>33</v>
      </c>
      <c r="D3046" s="385"/>
      <c r="E3046" s="391"/>
      <c r="F3046" s="385"/>
      <c r="G3046" s="391"/>
      <c r="H3046" s="385"/>
      <c r="I3046" s="391"/>
      <c r="J3046" s="385"/>
      <c r="K3046" s="391"/>
      <c r="L3046" s="385"/>
      <c r="M3046" s="391"/>
      <c r="N3046" s="385"/>
      <c r="O3046" s="190"/>
    </row>
    <row r="3047" spans="2:15" ht="16" x14ac:dyDescent="0.2">
      <c r="B3047" s="256"/>
      <c r="C3047" s="119">
        <v>34</v>
      </c>
      <c r="D3047" s="385"/>
      <c r="E3047" s="391"/>
      <c r="F3047" s="385"/>
      <c r="G3047" s="391"/>
      <c r="H3047" s="385"/>
      <c r="I3047" s="391"/>
      <c r="J3047" s="385"/>
      <c r="K3047" s="391"/>
      <c r="L3047" s="385"/>
      <c r="M3047" s="391"/>
      <c r="N3047" s="385"/>
      <c r="O3047" s="190"/>
    </row>
    <row r="3048" spans="2:15" ht="16" x14ac:dyDescent="0.2">
      <c r="B3048" s="256"/>
      <c r="C3048" s="119">
        <v>35</v>
      </c>
      <c r="D3048" s="385"/>
      <c r="E3048" s="391"/>
      <c r="F3048" s="385"/>
      <c r="G3048" s="391"/>
      <c r="H3048" s="385"/>
      <c r="I3048" s="391"/>
      <c r="J3048" s="385"/>
      <c r="K3048" s="391"/>
      <c r="L3048" s="385"/>
      <c r="M3048" s="391"/>
      <c r="N3048" s="385"/>
      <c r="O3048" s="190"/>
    </row>
    <row r="3049" spans="2:15" ht="16" x14ac:dyDescent="0.2">
      <c r="B3049" s="256"/>
      <c r="C3049" s="119">
        <v>36</v>
      </c>
      <c r="D3049" s="385"/>
      <c r="E3049" s="391"/>
      <c r="F3049" s="385"/>
      <c r="G3049" s="391"/>
      <c r="H3049" s="385"/>
      <c r="I3049" s="391"/>
      <c r="J3049" s="385"/>
      <c r="K3049" s="391"/>
      <c r="L3049" s="385"/>
      <c r="M3049" s="391"/>
      <c r="N3049" s="385"/>
      <c r="O3049" s="190"/>
    </row>
    <row r="3050" spans="2:15" ht="17" thickBot="1" x14ac:dyDescent="0.25">
      <c r="B3050" s="256"/>
      <c r="C3050" s="378">
        <v>37</v>
      </c>
      <c r="D3050" s="386"/>
      <c r="E3050" s="392"/>
      <c r="F3050" s="386"/>
      <c r="G3050" s="392"/>
      <c r="H3050" s="386"/>
      <c r="I3050" s="392"/>
      <c r="J3050" s="386"/>
      <c r="K3050" s="392"/>
      <c r="L3050" s="386"/>
      <c r="M3050" s="392"/>
      <c r="N3050" s="386"/>
      <c r="O3050" s="190"/>
    </row>
    <row r="3051" spans="2:15" ht="17" thickBot="1" x14ac:dyDescent="0.25">
      <c r="C3051" s="825" t="s">
        <v>19</v>
      </c>
      <c r="D3051" s="826"/>
      <c r="E3051" s="380"/>
      <c r="F3051" s="376">
        <f>(F3014+F3015+F3016+F3017+F3018+F3019+F3035+F3022+F3023+F3020+F3021+F3024+F3025+F3026+F3027+F3028+F3029+F3030+F3031+F3032+F3033+F3034+F3036+F3037+F3039+F3040+F3041+F3042+F3043+F3044+F3045+F3046+F3047+F3050)/2</f>
        <v>82</v>
      </c>
      <c r="G3051" s="397">
        <f>(G3014+G3015+G3016+G3017+G3018+G3035+G3019+G3023+G3022+G3020+G3021+G3024+G3025+G3026+G3027+G3028+G3029+G3030+G3031+G3032+G3033+G3034+G3036+G3037+G3039+G3040+G3041+G3042+G3043+G3044+G3045+G3046)/2</f>
        <v>42</v>
      </c>
      <c r="H3051" s="399">
        <f>(H3014+H3015+H3016+H3017+H3018+H3019+H3035+H3038+H3022+H3023+H3020+H3021+H3024+H3025+H3026+H3027+H3028+H3029+H3030+H3031+H3032+H3033+H3034+H3036+H3037+H3039+H3040+H3041+H3042+H3043+H3044+H3045+H3046+H3047+H3050)/2</f>
        <v>21</v>
      </c>
      <c r="I3051" s="398">
        <f>(I3014+I3015+I3016+I3017+I3018+I3048+I3049+I3019+I3035+I3022+I3038+I3023+I3020+I3021+I3024+I3025+I3026+I3027+I3028+I3029+I3030+I3031+I3032+I3033+I3034+I3036+I3037+I3039+I3040+I3041+I3042+I3043+I3044+I3045+I3046+I3047+I3050)/2</f>
        <v>44</v>
      </c>
      <c r="J3051" s="376">
        <f>(J3014+J3015+J3016+J3017+J3018+J3019+J3023+J3020+J3022+J3021+J3038+J3024+J3025+J3026+J3027+J3028+J3029+J3030+J3031+J3032+J3033+J3034+J3035+J3036+J3037+J3039+J3040+J3041+J3042+J3043+J3044+J3045+J3046)/2</f>
        <v>61</v>
      </c>
      <c r="K3051" s="397">
        <f>(K3014+K3015+K3016+K3017+K3018+K3019+K3023+K3020+K3021+K3024+K3025+K3026+K3027+K3028+K3029+K3030+K3031+K3032+K3033+K3034+K3036+K3037+K3039+K3040+K3041+K3042+K3043+K3044+K3045+K3046+K3035)</f>
        <v>1</v>
      </c>
      <c r="L3051" s="399">
        <f>SUM(L3014:L3050)</f>
        <v>0</v>
      </c>
      <c r="M3051" s="398">
        <f>(M3014+M3015+M3016+M3017+M3018+M3019+M3023+M3022+M3020+M3021+M3024+M3025+M3026+M3027+M3028+M3029+M3030+M3031+M3032+M3033+M3034+M3036+M3037+M3039+M3040+M3041+M3042+M3043+M3044+M3045+M3046)/2</f>
        <v>0</v>
      </c>
      <c r="N3051" s="376"/>
      <c r="O3051" s="41"/>
    </row>
    <row r="3052" spans="2:15" ht="17" thickBot="1" x14ac:dyDescent="0.25">
      <c r="C3052" s="825" t="s">
        <v>91</v>
      </c>
      <c r="D3052" s="826"/>
      <c r="E3052" s="381">
        <f>SUM(F3051:J3051)</f>
        <v>250</v>
      </c>
    </row>
    <row r="3053" spans="2:15" ht="16" thickBot="1" x14ac:dyDescent="0.25"/>
    <row r="3054" spans="2:15" ht="17" thickBot="1" x14ac:dyDescent="0.25">
      <c r="C3054" s="17"/>
      <c r="D3054" s="379" t="s">
        <v>83</v>
      </c>
      <c r="E3054" s="818" t="s">
        <v>69</v>
      </c>
      <c r="F3054" s="819"/>
      <c r="G3054" s="819"/>
      <c r="H3054" s="819"/>
      <c r="I3054" s="819"/>
      <c r="J3054" s="400" t="s">
        <v>76</v>
      </c>
      <c r="K3054" s="820">
        <v>45760</v>
      </c>
      <c r="L3054" s="821"/>
      <c r="M3054" s="821"/>
      <c r="N3054" s="821"/>
      <c r="O3054" s="822"/>
    </row>
    <row r="3055" spans="2:15" ht="16" thickBot="1" x14ac:dyDescent="0.25">
      <c r="B3055" s="175" t="s">
        <v>76</v>
      </c>
      <c r="C3055" s="175" t="s">
        <v>77</v>
      </c>
      <c r="D3055" s="823" t="s">
        <v>122</v>
      </c>
      <c r="E3055" s="824"/>
      <c r="F3055" s="175" t="s">
        <v>104</v>
      </c>
      <c r="G3055" s="395" t="s">
        <v>86</v>
      </c>
      <c r="H3055" s="175" t="s">
        <v>88</v>
      </c>
      <c r="I3055" s="395" t="s">
        <v>87</v>
      </c>
      <c r="J3055" s="401" t="s">
        <v>85</v>
      </c>
      <c r="K3055" s="395" t="s">
        <v>123</v>
      </c>
      <c r="L3055" s="175" t="s">
        <v>124</v>
      </c>
      <c r="M3055" s="395" t="s">
        <v>100</v>
      </c>
      <c r="N3055" s="175" t="s">
        <v>213</v>
      </c>
      <c r="O3055" s="404" t="s">
        <v>125</v>
      </c>
    </row>
    <row r="3056" spans="2:15" ht="16" thickBot="1" x14ac:dyDescent="0.25">
      <c r="B3056" s="176">
        <f>K3054</f>
        <v>45760</v>
      </c>
      <c r="C3056" s="374"/>
      <c r="D3056" s="375" t="s">
        <v>126</v>
      </c>
      <c r="E3056" s="387" t="s">
        <v>127</v>
      </c>
      <c r="F3056" s="331">
        <v>12</v>
      </c>
      <c r="G3056" s="237">
        <v>6</v>
      </c>
      <c r="H3056" s="331">
        <v>3</v>
      </c>
      <c r="I3056" s="237">
        <v>3</v>
      </c>
      <c r="J3056" s="331">
        <v>8</v>
      </c>
      <c r="K3056" s="231"/>
      <c r="L3056" s="125"/>
      <c r="M3056" s="231"/>
      <c r="N3056" s="125"/>
      <c r="O3056" s="326"/>
    </row>
    <row r="3057" spans="3:15" ht="16" x14ac:dyDescent="0.2">
      <c r="C3057" s="118">
        <v>1</v>
      </c>
      <c r="D3057" s="382">
        <v>0.34375</v>
      </c>
      <c r="E3057" s="388">
        <v>0.36458333333333331</v>
      </c>
      <c r="F3057" s="393"/>
      <c r="G3057" s="396">
        <v>28</v>
      </c>
      <c r="H3057" s="393"/>
      <c r="I3057" s="396"/>
      <c r="J3057" s="393"/>
      <c r="K3057" s="396"/>
      <c r="L3057" s="393"/>
      <c r="M3057" s="396"/>
      <c r="N3057" s="393"/>
      <c r="O3057" s="190"/>
    </row>
    <row r="3058" spans="3:15" ht="16" x14ac:dyDescent="0.2">
      <c r="C3058" s="119">
        <v>2</v>
      </c>
      <c r="D3058" s="383">
        <v>0.36458333333333331</v>
      </c>
      <c r="E3058" s="389">
        <v>0.38541666666666669</v>
      </c>
      <c r="F3058" s="385"/>
      <c r="G3058" s="391">
        <v>28</v>
      </c>
      <c r="H3058" s="385"/>
      <c r="I3058" s="391"/>
      <c r="J3058" s="385"/>
      <c r="K3058" s="391"/>
      <c r="L3058" s="385"/>
      <c r="M3058" s="391"/>
      <c r="N3058" s="385"/>
      <c r="O3058" s="190"/>
    </row>
    <row r="3059" spans="3:15" ht="16" x14ac:dyDescent="0.2">
      <c r="C3059" s="119">
        <v>3</v>
      </c>
      <c r="D3059" s="383">
        <v>0.3888888888888889</v>
      </c>
      <c r="E3059" s="389">
        <v>0.40972222222222227</v>
      </c>
      <c r="F3059" s="385"/>
      <c r="G3059" s="391">
        <v>28</v>
      </c>
      <c r="H3059" s="385"/>
      <c r="I3059" s="391"/>
      <c r="J3059" s="385"/>
      <c r="K3059" s="391"/>
      <c r="L3059" s="384"/>
      <c r="M3059" s="391"/>
      <c r="N3059" s="385"/>
      <c r="O3059" s="190"/>
    </row>
    <row r="3060" spans="3:15" ht="16" x14ac:dyDescent="0.2">
      <c r="C3060" s="119">
        <v>4</v>
      </c>
      <c r="D3060" s="383">
        <v>0.41319444444444442</v>
      </c>
      <c r="E3060" s="389">
        <v>0.43402777777777773</v>
      </c>
      <c r="F3060" s="385"/>
      <c r="G3060" s="391"/>
      <c r="H3060" s="316">
        <v>28</v>
      </c>
      <c r="I3060" s="391"/>
      <c r="J3060" s="385"/>
      <c r="K3060" s="391"/>
      <c r="L3060" s="402"/>
      <c r="M3060" s="391"/>
      <c r="N3060" s="385"/>
      <c r="O3060" s="190"/>
    </row>
    <row r="3061" spans="3:15" ht="16" x14ac:dyDescent="0.2">
      <c r="C3061" s="119">
        <v>5</v>
      </c>
      <c r="D3061" s="383">
        <v>0.43402777777777773</v>
      </c>
      <c r="E3061" s="389">
        <v>0.4548611111111111</v>
      </c>
      <c r="F3061" s="385"/>
      <c r="G3061" s="391"/>
      <c r="H3061" s="316"/>
      <c r="I3061" s="391">
        <v>22</v>
      </c>
      <c r="J3061" s="385"/>
      <c r="K3061" s="391"/>
      <c r="L3061" s="393"/>
      <c r="M3061" s="391"/>
      <c r="N3061" s="385"/>
      <c r="O3061" s="190"/>
    </row>
    <row r="3062" spans="3:15" ht="16" x14ac:dyDescent="0.2">
      <c r="C3062" s="119">
        <v>6</v>
      </c>
      <c r="D3062" s="383">
        <v>0.44444444444444442</v>
      </c>
      <c r="E3062" s="389">
        <v>0.46527777777777773</v>
      </c>
      <c r="F3062" s="385"/>
      <c r="G3062" s="391"/>
      <c r="H3062" s="316">
        <v>14</v>
      </c>
      <c r="I3062" s="391"/>
      <c r="J3062" s="385"/>
      <c r="K3062" s="391"/>
      <c r="L3062" s="393"/>
      <c r="M3062" s="391"/>
      <c r="N3062" s="385"/>
      <c r="O3062" s="190"/>
    </row>
    <row r="3063" spans="3:15" ht="16" x14ac:dyDescent="0.2">
      <c r="C3063" s="119">
        <v>7</v>
      </c>
      <c r="D3063" s="383">
        <v>0.46527777777777773</v>
      </c>
      <c r="E3063" s="389">
        <v>0.4861111111111111</v>
      </c>
      <c r="F3063" s="385">
        <v>28</v>
      </c>
      <c r="G3063" s="391"/>
      <c r="H3063" s="316"/>
      <c r="I3063" s="391"/>
      <c r="J3063" s="385"/>
      <c r="K3063" s="391"/>
      <c r="L3063" s="393"/>
      <c r="M3063" s="391"/>
      <c r="N3063" s="385"/>
      <c r="O3063" s="190"/>
    </row>
    <row r="3064" spans="3:15" ht="16" x14ac:dyDescent="0.2">
      <c r="C3064" s="119">
        <v>8</v>
      </c>
      <c r="D3064" s="383">
        <v>0.48958333333333331</v>
      </c>
      <c r="E3064" s="389">
        <v>0.51041666666666663</v>
      </c>
      <c r="F3064" s="385"/>
      <c r="G3064" s="391"/>
      <c r="H3064" s="316"/>
      <c r="I3064" s="391">
        <v>44</v>
      </c>
      <c r="J3064" s="385"/>
      <c r="K3064" s="391"/>
      <c r="L3064" s="385"/>
      <c r="M3064" s="391"/>
      <c r="N3064" s="385"/>
      <c r="O3064" s="190"/>
    </row>
    <row r="3065" spans="3:15" ht="16" x14ac:dyDescent="0.2">
      <c r="C3065" s="119">
        <v>9</v>
      </c>
      <c r="D3065" s="383">
        <v>0.53125</v>
      </c>
      <c r="E3065" s="389">
        <v>0.55208333333333337</v>
      </c>
      <c r="F3065" s="385">
        <v>28</v>
      </c>
      <c r="G3065" s="391"/>
      <c r="H3065" s="316"/>
      <c r="I3065" s="391"/>
      <c r="J3065" s="385"/>
      <c r="K3065" s="391"/>
      <c r="L3065" s="385"/>
      <c r="M3065" s="391"/>
      <c r="N3065" s="385"/>
      <c r="O3065" s="190"/>
    </row>
    <row r="3066" spans="3:15" ht="16" x14ac:dyDescent="0.2">
      <c r="C3066" s="119">
        <v>10</v>
      </c>
      <c r="D3066" s="383">
        <v>0.57291666666666663</v>
      </c>
      <c r="E3066" s="389">
        <v>0.59375</v>
      </c>
      <c r="F3066" s="385"/>
      <c r="G3066" s="391"/>
      <c r="H3066" s="316"/>
      <c r="I3066" s="391"/>
      <c r="J3066" s="385">
        <v>36</v>
      </c>
      <c r="K3066" s="391"/>
      <c r="L3066" s="385"/>
      <c r="M3066" s="391"/>
      <c r="N3066" s="385"/>
      <c r="O3066" s="190"/>
    </row>
    <row r="3067" spans="3:15" ht="16" x14ac:dyDescent="0.2">
      <c r="C3067" s="119">
        <v>11</v>
      </c>
      <c r="D3067" s="383">
        <v>0.59722222222222221</v>
      </c>
      <c r="E3067" s="389">
        <v>0.61805555555555558</v>
      </c>
      <c r="F3067" s="385">
        <v>28</v>
      </c>
      <c r="G3067" s="391"/>
      <c r="H3067" s="316"/>
      <c r="I3067" s="391"/>
      <c r="J3067" s="28"/>
      <c r="K3067" s="391"/>
      <c r="L3067" s="385"/>
      <c r="M3067" s="391"/>
      <c r="N3067" s="385"/>
      <c r="O3067" s="190"/>
    </row>
    <row r="3068" spans="3:15" ht="16" x14ac:dyDescent="0.2">
      <c r="C3068" s="193">
        <v>12</v>
      </c>
      <c r="D3068" s="383">
        <v>0.61805555555555558</v>
      </c>
      <c r="E3068" s="389">
        <v>0.64097222222222217</v>
      </c>
      <c r="F3068" s="385"/>
      <c r="G3068" s="391"/>
      <c r="H3068" s="316"/>
      <c r="I3068" s="391"/>
      <c r="J3068" s="385">
        <v>36</v>
      </c>
      <c r="K3068" s="391"/>
      <c r="L3068" s="385"/>
      <c r="M3068" s="391"/>
      <c r="N3068" s="385"/>
      <c r="O3068" s="190"/>
    </row>
    <row r="3069" spans="3:15" ht="16" x14ac:dyDescent="0.2">
      <c r="C3069" s="119">
        <v>13</v>
      </c>
      <c r="D3069" s="383">
        <v>0.64236111111111105</v>
      </c>
      <c r="E3069" s="389">
        <v>0.66319444444444442</v>
      </c>
      <c r="F3069" s="385">
        <v>28</v>
      </c>
      <c r="G3069" s="391"/>
      <c r="H3069" s="316"/>
      <c r="I3069" s="391"/>
      <c r="J3069" s="385"/>
      <c r="K3069" s="391"/>
      <c r="L3069" s="385"/>
      <c r="M3069" s="391"/>
      <c r="N3069" s="385"/>
      <c r="O3069" s="190"/>
    </row>
    <row r="3070" spans="3:15" ht="16" x14ac:dyDescent="0.2">
      <c r="C3070" s="119">
        <v>14</v>
      </c>
      <c r="D3070" s="383">
        <v>0.66319444444444442</v>
      </c>
      <c r="E3070" s="389">
        <v>0.68402777777777779</v>
      </c>
      <c r="F3070" s="385"/>
      <c r="G3070" s="391"/>
      <c r="H3070" s="316"/>
      <c r="I3070" s="391"/>
      <c r="J3070" s="385">
        <v>36</v>
      </c>
      <c r="K3070" s="391"/>
      <c r="L3070" s="385"/>
      <c r="M3070" s="391"/>
      <c r="N3070" s="385"/>
      <c r="O3070" s="190"/>
    </row>
    <row r="3071" spans="3:15" ht="16" x14ac:dyDescent="0.2">
      <c r="C3071" s="119">
        <v>15</v>
      </c>
      <c r="D3071" s="383">
        <v>0.68402777777777779</v>
      </c>
      <c r="E3071" s="389">
        <v>0.70486111111111116</v>
      </c>
      <c r="F3071" s="385">
        <v>28</v>
      </c>
      <c r="G3071" s="391"/>
      <c r="H3071" s="316"/>
      <c r="I3071" s="391"/>
      <c r="J3071" s="385"/>
      <c r="K3071" s="391"/>
      <c r="L3071" s="385"/>
      <c r="M3071" s="391"/>
      <c r="N3071" s="385"/>
      <c r="O3071" s="190"/>
    </row>
    <row r="3072" spans="3:15" ht="16" x14ac:dyDescent="0.2">
      <c r="C3072" s="119">
        <v>16</v>
      </c>
      <c r="D3072" s="383">
        <v>0.71527777777777779</v>
      </c>
      <c r="E3072" s="389">
        <v>0.73611111111111116</v>
      </c>
      <c r="F3072" s="385"/>
      <c r="G3072" s="391"/>
      <c r="H3072" s="316"/>
      <c r="I3072" s="391"/>
      <c r="J3072" s="385">
        <v>32</v>
      </c>
      <c r="K3072" s="391"/>
      <c r="L3072" s="385"/>
      <c r="M3072" s="391"/>
      <c r="N3072" s="385"/>
      <c r="O3072" s="190"/>
    </row>
    <row r="3073" spans="2:15" ht="16" x14ac:dyDescent="0.2">
      <c r="C3073" s="119">
        <v>17</v>
      </c>
      <c r="D3073" s="383">
        <v>0.75694444444444453</v>
      </c>
      <c r="E3073" s="389">
        <v>0.77777777777777779</v>
      </c>
      <c r="F3073" s="384">
        <v>28</v>
      </c>
      <c r="G3073" s="33"/>
      <c r="H3073" s="316"/>
      <c r="I3073" s="390"/>
      <c r="J3073" s="385"/>
      <c r="K3073" s="391"/>
      <c r="L3073" s="385"/>
      <c r="M3073" s="391"/>
      <c r="N3073" s="385"/>
      <c r="O3073" s="190"/>
    </row>
    <row r="3074" spans="2:15" ht="16" x14ac:dyDescent="0.2">
      <c r="C3074" s="119">
        <v>18</v>
      </c>
      <c r="D3074" s="383"/>
      <c r="E3074" s="389"/>
      <c r="F3074" s="394"/>
      <c r="G3074" s="229"/>
      <c r="H3074" s="394"/>
      <c r="I3074" s="391"/>
      <c r="J3074" s="385"/>
      <c r="K3074" s="391"/>
      <c r="L3074" s="385"/>
      <c r="M3074" s="391"/>
      <c r="N3074" s="385"/>
      <c r="O3074" s="190"/>
    </row>
    <row r="3075" spans="2:15" ht="16" x14ac:dyDescent="0.2">
      <c r="C3075" s="119">
        <v>19</v>
      </c>
      <c r="D3075" s="383"/>
      <c r="E3075" s="389"/>
      <c r="F3075" s="385"/>
      <c r="G3075" s="391"/>
      <c r="H3075" s="385"/>
      <c r="I3075" s="391"/>
      <c r="J3075" s="385"/>
      <c r="K3075" s="391"/>
      <c r="L3075" s="403"/>
      <c r="M3075" s="391"/>
      <c r="N3075" s="385"/>
      <c r="O3075" s="190"/>
    </row>
    <row r="3076" spans="2:15" ht="16" x14ac:dyDescent="0.2">
      <c r="C3076" s="119">
        <v>20</v>
      </c>
      <c r="D3076" s="383"/>
      <c r="E3076" s="389"/>
      <c r="F3076" s="385"/>
      <c r="G3076" s="391"/>
      <c r="H3076" s="385"/>
      <c r="I3076" s="391"/>
      <c r="J3076" s="385"/>
      <c r="K3076" s="391"/>
      <c r="L3076" s="403"/>
      <c r="M3076" s="391"/>
      <c r="N3076" s="385"/>
      <c r="O3076" s="190"/>
    </row>
    <row r="3077" spans="2:15" ht="16" x14ac:dyDescent="0.2">
      <c r="C3077" s="119">
        <v>21</v>
      </c>
      <c r="D3077" s="383"/>
      <c r="E3077" s="389"/>
      <c r="F3077" s="385"/>
      <c r="G3077" s="391"/>
      <c r="H3077" s="385"/>
      <c r="I3077" s="391"/>
      <c r="J3077" s="385"/>
      <c r="K3077" s="391"/>
      <c r="L3077" s="385"/>
      <c r="M3077" s="391"/>
      <c r="N3077" s="385"/>
      <c r="O3077" s="190"/>
    </row>
    <row r="3078" spans="2:15" ht="16" x14ac:dyDescent="0.2">
      <c r="C3078" s="119">
        <v>22</v>
      </c>
      <c r="D3078" s="383"/>
      <c r="E3078" s="389"/>
      <c r="F3078" s="385"/>
      <c r="G3078" s="391"/>
      <c r="H3078" s="385"/>
      <c r="I3078" s="391"/>
      <c r="J3078" s="385"/>
      <c r="K3078" s="391"/>
      <c r="L3078" s="385"/>
      <c r="M3078" s="391"/>
      <c r="N3078" s="385"/>
      <c r="O3078" s="190"/>
    </row>
    <row r="3079" spans="2:15" ht="16" x14ac:dyDescent="0.2">
      <c r="C3079" s="119">
        <v>23</v>
      </c>
      <c r="D3079" s="383"/>
      <c r="E3079" s="389"/>
      <c r="F3079" s="385"/>
      <c r="G3079" s="391"/>
      <c r="H3079" s="385"/>
      <c r="I3079" s="391"/>
      <c r="J3079" s="385"/>
      <c r="K3079" s="391"/>
      <c r="L3079" s="385"/>
      <c r="M3079" s="391"/>
      <c r="N3079" s="385"/>
      <c r="O3079" s="190"/>
    </row>
    <row r="3080" spans="2:15" ht="16" x14ac:dyDescent="0.2">
      <c r="C3080" s="119">
        <v>24</v>
      </c>
      <c r="D3080" s="383"/>
      <c r="E3080" s="389"/>
      <c r="F3080" s="385"/>
      <c r="G3080" s="391"/>
      <c r="H3080" s="385"/>
      <c r="I3080" s="391"/>
      <c r="J3080" s="385"/>
      <c r="K3080" s="391"/>
      <c r="L3080" s="385"/>
      <c r="M3080" s="391"/>
      <c r="N3080" s="385"/>
      <c r="O3080" s="190"/>
    </row>
    <row r="3081" spans="2:15" ht="16" x14ac:dyDescent="0.2">
      <c r="C3081" s="119">
        <v>25</v>
      </c>
      <c r="D3081" s="383"/>
      <c r="E3081" s="389"/>
      <c r="F3081" s="385"/>
      <c r="G3081" s="391"/>
      <c r="H3081" s="385"/>
      <c r="I3081" s="391"/>
      <c r="J3081" s="385"/>
      <c r="K3081" s="391"/>
      <c r="L3081" s="385"/>
      <c r="M3081" s="391"/>
      <c r="N3081" s="385"/>
      <c r="O3081" s="190"/>
    </row>
    <row r="3082" spans="2:15" ht="16" x14ac:dyDescent="0.2">
      <c r="C3082" s="119">
        <v>26</v>
      </c>
      <c r="D3082" s="383"/>
      <c r="E3082" s="389"/>
      <c r="F3082" s="385"/>
      <c r="G3082" s="391"/>
      <c r="H3082" s="385"/>
      <c r="I3082" s="391"/>
      <c r="J3082" s="385"/>
      <c r="K3082" s="391"/>
      <c r="L3082" s="385"/>
      <c r="M3082" s="391"/>
      <c r="N3082" s="385"/>
      <c r="O3082" s="190"/>
    </row>
    <row r="3083" spans="2:15" ht="16" x14ac:dyDescent="0.2">
      <c r="C3083" s="119">
        <v>27</v>
      </c>
      <c r="D3083" s="383"/>
      <c r="E3083" s="389"/>
      <c r="F3083" s="385"/>
      <c r="G3083" s="391"/>
      <c r="H3083" s="385"/>
      <c r="I3083" s="391"/>
      <c r="J3083" s="385"/>
      <c r="K3083" s="391"/>
      <c r="L3083" s="385"/>
      <c r="M3083" s="391"/>
      <c r="N3083" s="385"/>
      <c r="O3083" s="190"/>
    </row>
    <row r="3084" spans="2:15" ht="16" x14ac:dyDescent="0.2">
      <c r="C3084" s="119">
        <v>28</v>
      </c>
      <c r="D3084" s="383"/>
      <c r="E3084" s="389"/>
      <c r="F3084" s="385"/>
      <c r="G3084" s="391"/>
      <c r="H3084" s="385"/>
      <c r="I3084" s="391"/>
      <c r="J3084" s="385"/>
      <c r="K3084" s="391"/>
      <c r="L3084" s="385"/>
      <c r="M3084" s="391"/>
      <c r="N3084" s="385"/>
      <c r="O3084" s="190"/>
    </row>
    <row r="3085" spans="2:15" ht="16" x14ac:dyDescent="0.2">
      <c r="C3085" s="119">
        <v>29</v>
      </c>
      <c r="D3085" s="383"/>
      <c r="E3085" s="389"/>
      <c r="F3085" s="385"/>
      <c r="G3085" s="391"/>
      <c r="H3085" s="385"/>
      <c r="I3085" s="391"/>
      <c r="J3085" s="385"/>
      <c r="K3085" s="391"/>
      <c r="L3085" s="385"/>
      <c r="M3085" s="391"/>
      <c r="N3085" s="385"/>
      <c r="O3085" s="190"/>
    </row>
    <row r="3086" spans="2:15" ht="16" x14ac:dyDescent="0.2">
      <c r="C3086" s="119">
        <v>30</v>
      </c>
      <c r="D3086" s="383"/>
      <c r="E3086" s="389"/>
      <c r="F3086" s="385"/>
      <c r="G3086" s="391"/>
      <c r="H3086" s="385"/>
      <c r="I3086" s="391"/>
      <c r="J3086" s="385"/>
      <c r="K3086" s="391"/>
      <c r="L3086" s="385"/>
      <c r="M3086" s="391"/>
      <c r="N3086" s="385"/>
      <c r="O3086" s="190"/>
    </row>
    <row r="3087" spans="2:15" ht="16" x14ac:dyDescent="0.2">
      <c r="C3087" s="120">
        <v>31</v>
      </c>
      <c r="D3087" s="383"/>
      <c r="E3087" s="389"/>
      <c r="F3087" s="384"/>
      <c r="G3087" s="390"/>
      <c r="H3087" s="384"/>
      <c r="I3087" s="390"/>
      <c r="J3087" s="384"/>
      <c r="K3087" s="390"/>
      <c r="L3087" s="384"/>
      <c r="M3087" s="390"/>
      <c r="N3087" s="384"/>
      <c r="O3087" s="190"/>
    </row>
    <row r="3088" spans="2:15" ht="16" x14ac:dyDescent="0.2">
      <c r="B3088" s="256"/>
      <c r="C3088" s="377">
        <v>32</v>
      </c>
      <c r="D3088" s="384"/>
      <c r="E3088" s="390"/>
      <c r="F3088" s="384"/>
      <c r="G3088" s="390"/>
      <c r="H3088" s="384"/>
      <c r="I3088" s="390"/>
      <c r="J3088" s="384"/>
      <c r="K3088" s="390"/>
      <c r="L3088" s="384"/>
      <c r="M3088" s="390"/>
      <c r="N3088" s="384"/>
      <c r="O3088" s="190"/>
    </row>
    <row r="3089" spans="2:15" ht="16" x14ac:dyDescent="0.2">
      <c r="B3089" s="256"/>
      <c r="C3089" s="119">
        <v>33</v>
      </c>
      <c r="D3089" s="385"/>
      <c r="E3089" s="391"/>
      <c r="F3089" s="385"/>
      <c r="G3089" s="391"/>
      <c r="H3089" s="385"/>
      <c r="I3089" s="391"/>
      <c r="J3089" s="385"/>
      <c r="K3089" s="391"/>
      <c r="L3089" s="385"/>
      <c r="M3089" s="391"/>
      <c r="N3089" s="385"/>
      <c r="O3089" s="190"/>
    </row>
    <row r="3090" spans="2:15" ht="16" x14ac:dyDescent="0.2">
      <c r="B3090" s="256"/>
      <c r="C3090" s="119">
        <v>34</v>
      </c>
      <c r="D3090" s="385"/>
      <c r="E3090" s="391"/>
      <c r="F3090" s="385"/>
      <c r="G3090" s="391"/>
      <c r="H3090" s="385"/>
      <c r="I3090" s="391"/>
      <c r="J3090" s="385"/>
      <c r="K3090" s="391"/>
      <c r="L3090" s="385"/>
      <c r="M3090" s="391"/>
      <c r="N3090" s="385"/>
      <c r="O3090" s="190"/>
    </row>
    <row r="3091" spans="2:15" ht="16" x14ac:dyDescent="0.2">
      <c r="B3091" s="256"/>
      <c r="C3091" s="119">
        <v>35</v>
      </c>
      <c r="D3091" s="385"/>
      <c r="E3091" s="391"/>
      <c r="F3091" s="385"/>
      <c r="G3091" s="391"/>
      <c r="H3091" s="385"/>
      <c r="I3091" s="391"/>
      <c r="J3091" s="385"/>
      <c r="K3091" s="391"/>
      <c r="L3091" s="385"/>
      <c r="M3091" s="391"/>
      <c r="N3091" s="385"/>
      <c r="O3091" s="190"/>
    </row>
    <row r="3092" spans="2:15" ht="16" x14ac:dyDescent="0.2">
      <c r="B3092" s="256"/>
      <c r="C3092" s="119">
        <v>36</v>
      </c>
      <c r="D3092" s="385"/>
      <c r="E3092" s="391"/>
      <c r="F3092" s="385"/>
      <c r="G3092" s="391"/>
      <c r="H3092" s="385"/>
      <c r="I3092" s="391"/>
      <c r="J3092" s="385"/>
      <c r="K3092" s="391"/>
      <c r="L3092" s="385"/>
      <c r="M3092" s="391"/>
      <c r="N3092" s="385"/>
      <c r="O3092" s="190"/>
    </row>
    <row r="3093" spans="2:15" ht="17" thickBot="1" x14ac:dyDescent="0.25">
      <c r="B3093" s="256"/>
      <c r="C3093" s="378">
        <v>37</v>
      </c>
      <c r="D3093" s="386"/>
      <c r="E3093" s="392"/>
      <c r="F3093" s="386"/>
      <c r="G3093" s="392"/>
      <c r="H3093" s="386"/>
      <c r="I3093" s="392"/>
      <c r="J3093" s="386"/>
      <c r="K3093" s="392"/>
      <c r="L3093" s="386"/>
      <c r="M3093" s="392"/>
      <c r="N3093" s="386"/>
      <c r="O3093" s="190"/>
    </row>
    <row r="3094" spans="2:15" ht="17" thickBot="1" x14ac:dyDescent="0.25">
      <c r="C3094" s="825" t="s">
        <v>19</v>
      </c>
      <c r="D3094" s="826"/>
      <c r="E3094" s="380"/>
      <c r="F3094" s="376">
        <f>(F3057+F3058+F3059+F3060+F3061+F3062+F3078+F3065+F3066+F3063+F3064+F3067+F3068+F3069+F3070+F3071+F3072+F3073+F3074+F3075+F3076+F3077+F3079+F3080+F3082+F3083+F3084+F3085+F3086+F3087+F3088+F3089+F3090+F3093)/2</f>
        <v>84</v>
      </c>
      <c r="G3094" s="397">
        <f>(G3057+G3058+G3059+G3060+G3061+G3078+G3062+G3066+G3065+G3063+G3064+G3067+G3068+G3069+G3070+G3071+G3072+G3073+G3074+G3075+G3076+G3077+G3079+G3080+G3082+G3083+G3084+G3085+G3086+G3087+G3088+G3089)/2</f>
        <v>42</v>
      </c>
      <c r="H3094" s="399">
        <f>(H3057+H3058+H3059+H3060+H3061+H3062+H3078+H3081+H3065+H3066+H3063+H3064+H3067+H3068+H3069+H3070+H3071+H3072+H3073+H3074+H3075+H3076+H3077+H3079+H3080+H3082+H3083+H3084+H3085+H3086+H3087+H3088+H3089+H3090+H3093)/2</f>
        <v>21</v>
      </c>
      <c r="I3094" s="398">
        <f>(I3057+I3058+I3059+I3060+I3061+I3091+I3092+I3062+I3078+I3065+I3081+I3066+I3063+I3064+I3067+I3068+I3069+I3070+I3071+I3072+I3073+I3074+I3075+I3076+I3077+I3079+I3080+I3082+I3083+I3084+I3085+I3086+I3087+I3088+I3089+I3090+I3093)/2</f>
        <v>33</v>
      </c>
      <c r="J3094" s="376">
        <f>(J3057+J3058+J3059+J3060+J3061+J3062+J3066+J3063+J3065+J3064+J3081+J3067+J3068+J3069+J3070+J3071+J3072+J3073+J3074+J3075+J3076+J3077+J3078+J3079+J3080+J3082+J3083+J3084+J3085+J3086+J3087+J3088+J3089)/2</f>
        <v>70</v>
      </c>
      <c r="K3094" s="397">
        <f>(K3057+K3058+K3059+K3060+K3061+K3062+K3066+K3063+K3064+K3067+K3068+K3069+K3070+K3071+K3072+K3073+K3074+K3075+K3076+K3077+K3079+K3080+K3082+K3083+K3084+K3085+K3086+K3087+K3088+K3089+K3078)</f>
        <v>0</v>
      </c>
      <c r="L3094" s="399">
        <f>SUM(L3057:L3093)</f>
        <v>0</v>
      </c>
      <c r="M3094" s="398">
        <f>(M3057+M3058+M3059+M3060+M3061+M3062+M3066+M3065+M3063+M3064+M3067+M3068+M3069+M3070+M3071+M3072+M3073+M3074+M3075+M3076+M3077+M3079+M3080+M3082+M3083+M3084+M3085+M3086+M3087+M3088+M3089)/2</f>
        <v>0</v>
      </c>
      <c r="N3094" s="376"/>
      <c r="O3094" s="41"/>
    </row>
    <row r="3095" spans="2:15" ht="17" thickBot="1" x14ac:dyDescent="0.25">
      <c r="C3095" s="825" t="s">
        <v>91</v>
      </c>
      <c r="D3095" s="826"/>
      <c r="E3095" s="381">
        <f>SUM(F3094:J3094)</f>
        <v>250</v>
      </c>
    </row>
    <row r="3096" spans="2:15" ht="16" thickBot="1" x14ac:dyDescent="0.25"/>
    <row r="3097" spans="2:15" ht="17" thickBot="1" x14ac:dyDescent="0.25">
      <c r="C3097" s="17"/>
      <c r="D3097" s="379" t="s">
        <v>83</v>
      </c>
      <c r="E3097" s="818" t="s">
        <v>63</v>
      </c>
      <c r="F3097" s="819"/>
      <c r="G3097" s="819"/>
      <c r="H3097" s="819"/>
      <c r="I3097" s="819"/>
      <c r="J3097" s="400" t="s">
        <v>76</v>
      </c>
      <c r="K3097" s="820">
        <v>45762</v>
      </c>
      <c r="L3097" s="821"/>
      <c r="M3097" s="821"/>
      <c r="N3097" s="821"/>
      <c r="O3097" s="822"/>
    </row>
    <row r="3098" spans="2:15" ht="16" thickBot="1" x14ac:dyDescent="0.25">
      <c r="B3098" s="175" t="s">
        <v>76</v>
      </c>
      <c r="C3098" s="175" t="s">
        <v>77</v>
      </c>
      <c r="D3098" s="823" t="s">
        <v>122</v>
      </c>
      <c r="E3098" s="824"/>
      <c r="F3098" s="175" t="s">
        <v>104</v>
      </c>
      <c r="G3098" s="395" t="s">
        <v>86</v>
      </c>
      <c r="H3098" s="175" t="s">
        <v>88</v>
      </c>
      <c r="I3098" s="395" t="s">
        <v>87</v>
      </c>
      <c r="J3098" s="401" t="s">
        <v>85</v>
      </c>
      <c r="K3098" s="395" t="s">
        <v>123</v>
      </c>
      <c r="L3098" s="175" t="s">
        <v>124</v>
      </c>
      <c r="M3098" s="395" t="s">
        <v>100</v>
      </c>
      <c r="N3098" s="175" t="s">
        <v>213</v>
      </c>
      <c r="O3098" s="404" t="s">
        <v>125</v>
      </c>
    </row>
    <row r="3099" spans="2:15" ht="16" thickBot="1" x14ac:dyDescent="0.25">
      <c r="B3099" s="176">
        <f>K3097</f>
        <v>45762</v>
      </c>
      <c r="C3099" s="374"/>
      <c r="D3099" s="375" t="s">
        <v>126</v>
      </c>
      <c r="E3099" s="387" t="s">
        <v>127</v>
      </c>
      <c r="F3099" s="331">
        <v>12</v>
      </c>
      <c r="G3099" s="237">
        <v>8</v>
      </c>
      <c r="H3099" s="331">
        <v>0</v>
      </c>
      <c r="I3099" s="237">
        <v>5</v>
      </c>
      <c r="J3099" s="331">
        <v>9</v>
      </c>
      <c r="K3099" s="231"/>
      <c r="L3099" s="125"/>
      <c r="M3099" s="231"/>
      <c r="N3099" s="125"/>
      <c r="O3099" s="326"/>
    </row>
    <row r="3100" spans="2:15" ht="16" x14ac:dyDescent="0.2">
      <c r="C3100" s="118">
        <v>1</v>
      </c>
      <c r="D3100" s="382">
        <v>0.30902777777777779</v>
      </c>
      <c r="E3100" s="388">
        <v>0.3298611111111111</v>
      </c>
      <c r="F3100" s="393"/>
      <c r="G3100" s="396">
        <v>28</v>
      </c>
      <c r="H3100" s="393"/>
      <c r="I3100" s="396"/>
      <c r="J3100" s="393"/>
      <c r="K3100" s="396"/>
      <c r="L3100" s="393"/>
      <c r="M3100" s="396"/>
      <c r="N3100" s="393"/>
      <c r="O3100" s="190"/>
    </row>
    <row r="3101" spans="2:15" ht="16" x14ac:dyDescent="0.2">
      <c r="C3101" s="119">
        <v>2</v>
      </c>
      <c r="D3101" s="383">
        <v>0.3298611111111111</v>
      </c>
      <c r="E3101" s="389">
        <v>0.35069444444444442</v>
      </c>
      <c r="F3101" s="385"/>
      <c r="G3101" s="391">
        <v>28</v>
      </c>
      <c r="H3101" s="385"/>
      <c r="I3101" s="391"/>
      <c r="J3101" s="385"/>
      <c r="K3101" s="391"/>
      <c r="L3101" s="385"/>
      <c r="M3101" s="391"/>
      <c r="N3101" s="385"/>
      <c r="O3101" s="190"/>
    </row>
    <row r="3102" spans="2:15" ht="16" x14ac:dyDescent="0.2">
      <c r="C3102" s="119">
        <v>3</v>
      </c>
      <c r="D3102" s="383">
        <v>0.35416666666666669</v>
      </c>
      <c r="E3102" s="389">
        <v>0.375</v>
      </c>
      <c r="F3102" s="385"/>
      <c r="G3102" s="391">
        <v>28</v>
      </c>
      <c r="H3102" s="385"/>
      <c r="I3102" s="391"/>
      <c r="J3102" s="385"/>
      <c r="K3102" s="391"/>
      <c r="L3102" s="384"/>
      <c r="M3102" s="391"/>
      <c r="N3102" s="385"/>
      <c r="O3102" s="190"/>
    </row>
    <row r="3103" spans="2:15" ht="16" x14ac:dyDescent="0.2">
      <c r="C3103" s="119">
        <v>4</v>
      </c>
      <c r="D3103" s="383">
        <v>0.38194444444444442</v>
      </c>
      <c r="E3103" s="389">
        <v>0.40277777777777773</v>
      </c>
      <c r="F3103" s="385"/>
      <c r="G3103" s="391">
        <v>28</v>
      </c>
      <c r="H3103" s="316"/>
      <c r="I3103" s="391"/>
      <c r="J3103" s="385"/>
      <c r="K3103" s="391"/>
      <c r="L3103" s="402"/>
      <c r="M3103" s="391"/>
      <c r="N3103" s="385"/>
      <c r="O3103" s="190"/>
    </row>
    <row r="3104" spans="2:15" ht="16" x14ac:dyDescent="0.2">
      <c r="C3104" s="119">
        <v>5</v>
      </c>
      <c r="D3104" s="383">
        <v>0.40625</v>
      </c>
      <c r="E3104" s="389">
        <v>0.42708333333333331</v>
      </c>
      <c r="F3104" s="385"/>
      <c r="G3104" s="391"/>
      <c r="H3104" s="316"/>
      <c r="I3104" s="391"/>
      <c r="J3104" s="385">
        <v>18</v>
      </c>
      <c r="K3104" s="391"/>
      <c r="L3104" s="393"/>
      <c r="M3104" s="391"/>
      <c r="N3104" s="385"/>
      <c r="O3104" s="190"/>
    </row>
    <row r="3105" spans="3:15" ht="16" x14ac:dyDescent="0.2">
      <c r="C3105" s="119">
        <v>6</v>
      </c>
      <c r="D3105" s="383">
        <v>0.43055555555555558</v>
      </c>
      <c r="E3105" s="389">
        <v>0.4513888888888889</v>
      </c>
      <c r="F3105" s="385"/>
      <c r="G3105" s="391"/>
      <c r="H3105" s="316"/>
      <c r="I3105" s="391">
        <v>22</v>
      </c>
      <c r="J3105" s="385"/>
      <c r="K3105" s="391"/>
      <c r="L3105" s="393"/>
      <c r="M3105" s="391"/>
      <c r="N3105" s="385"/>
      <c r="O3105" s="190"/>
    </row>
    <row r="3106" spans="3:15" ht="16" x14ac:dyDescent="0.2">
      <c r="C3106" s="119">
        <v>7</v>
      </c>
      <c r="D3106" s="383">
        <v>0.45833333333333331</v>
      </c>
      <c r="E3106" s="389">
        <v>0.47916666666666669</v>
      </c>
      <c r="F3106" s="385"/>
      <c r="G3106" s="391"/>
      <c r="H3106" s="316"/>
      <c r="I3106" s="391">
        <v>44</v>
      </c>
      <c r="J3106" s="385"/>
      <c r="K3106" s="391"/>
      <c r="L3106" s="393"/>
      <c r="M3106" s="391"/>
      <c r="N3106" s="385"/>
      <c r="O3106" s="190"/>
    </row>
    <row r="3107" spans="3:15" ht="16" x14ac:dyDescent="0.2">
      <c r="C3107" s="119">
        <v>8</v>
      </c>
      <c r="D3107" s="383">
        <v>0.49652777777777773</v>
      </c>
      <c r="E3107" s="389">
        <v>0.51736111111111105</v>
      </c>
      <c r="F3107" s="385">
        <v>28</v>
      </c>
      <c r="G3107" s="391"/>
      <c r="H3107" s="316"/>
      <c r="I3107" s="391"/>
      <c r="J3107" s="385"/>
      <c r="K3107" s="391"/>
      <c r="L3107" s="385"/>
      <c r="M3107" s="391"/>
      <c r="N3107" s="385"/>
      <c r="O3107" s="190"/>
    </row>
    <row r="3108" spans="3:15" ht="16" x14ac:dyDescent="0.2">
      <c r="C3108" s="119">
        <v>9</v>
      </c>
      <c r="D3108" s="383">
        <v>0.52083333333333337</v>
      </c>
      <c r="E3108" s="389">
        <v>0.54166666666666663</v>
      </c>
      <c r="F3108" s="385"/>
      <c r="G3108" s="391"/>
      <c r="H3108" s="316"/>
      <c r="I3108" s="391">
        <v>44</v>
      </c>
      <c r="J3108" s="385"/>
      <c r="K3108" s="391"/>
      <c r="L3108" s="385"/>
      <c r="M3108" s="391"/>
      <c r="N3108" s="385"/>
      <c r="O3108" s="190"/>
    </row>
    <row r="3109" spans="3:15" ht="16" x14ac:dyDescent="0.2">
      <c r="C3109" s="119">
        <v>10</v>
      </c>
      <c r="D3109" s="383">
        <v>0.55555555555555558</v>
      </c>
      <c r="E3109" s="389">
        <v>0.57638888888888895</v>
      </c>
      <c r="F3109" s="385">
        <v>28</v>
      </c>
      <c r="G3109" s="391"/>
      <c r="H3109" s="316"/>
      <c r="I3109" s="391"/>
      <c r="J3109" s="385"/>
      <c r="K3109" s="391"/>
      <c r="L3109" s="385"/>
      <c r="M3109" s="391"/>
      <c r="N3109" s="385"/>
      <c r="O3109" s="190"/>
    </row>
    <row r="3110" spans="3:15" ht="16" x14ac:dyDescent="0.2">
      <c r="C3110" s="119">
        <v>11</v>
      </c>
      <c r="D3110" s="383">
        <v>0.57986111111111105</v>
      </c>
      <c r="E3110" s="389">
        <v>0.60069444444444442</v>
      </c>
      <c r="F3110" s="385"/>
      <c r="G3110" s="391"/>
      <c r="H3110" s="316"/>
      <c r="I3110" s="391"/>
      <c r="J3110" s="28">
        <v>36</v>
      </c>
      <c r="K3110" s="391"/>
      <c r="L3110" s="385"/>
      <c r="M3110" s="391"/>
      <c r="N3110" s="385"/>
      <c r="O3110" s="190"/>
    </row>
    <row r="3111" spans="3:15" ht="16" x14ac:dyDescent="0.2">
      <c r="C3111" s="193">
        <v>12</v>
      </c>
      <c r="D3111" s="383">
        <v>0.61458333333333337</v>
      </c>
      <c r="E3111" s="389">
        <v>0.63541666666666663</v>
      </c>
      <c r="F3111" s="385">
        <v>28</v>
      </c>
      <c r="G3111" s="391"/>
      <c r="H3111" s="316"/>
      <c r="I3111" s="391"/>
      <c r="J3111" s="385"/>
      <c r="K3111" s="391"/>
      <c r="L3111" s="385"/>
      <c r="M3111" s="391"/>
      <c r="N3111" s="385"/>
      <c r="O3111" s="190"/>
    </row>
    <row r="3112" spans="3:15" ht="16" x14ac:dyDescent="0.2">
      <c r="C3112" s="119">
        <v>13</v>
      </c>
      <c r="D3112" s="383">
        <v>0.63541666666666663</v>
      </c>
      <c r="E3112" s="389">
        <v>0.65625</v>
      </c>
      <c r="F3112" s="385"/>
      <c r="G3112" s="391"/>
      <c r="H3112" s="316"/>
      <c r="I3112" s="391"/>
      <c r="J3112" s="385">
        <v>36</v>
      </c>
      <c r="K3112" s="391"/>
      <c r="L3112" s="385"/>
      <c r="M3112" s="391"/>
      <c r="N3112" s="385"/>
      <c r="O3112" s="190"/>
    </row>
    <row r="3113" spans="3:15" ht="16" x14ac:dyDescent="0.2">
      <c r="C3113" s="119">
        <v>14</v>
      </c>
      <c r="D3113" s="383">
        <v>0.65972222222222221</v>
      </c>
      <c r="E3113" s="389">
        <v>0.68055555555555547</v>
      </c>
      <c r="F3113" s="385">
        <v>28</v>
      </c>
      <c r="G3113" s="391"/>
      <c r="H3113" s="316"/>
      <c r="I3113" s="391"/>
      <c r="J3113" s="385"/>
      <c r="K3113" s="391"/>
      <c r="L3113" s="385"/>
      <c r="M3113" s="391"/>
      <c r="N3113" s="385"/>
      <c r="O3113" s="190"/>
    </row>
    <row r="3114" spans="3:15" ht="16" x14ac:dyDescent="0.2">
      <c r="C3114" s="119">
        <v>15</v>
      </c>
      <c r="D3114" s="383">
        <v>0.6875</v>
      </c>
      <c r="E3114" s="389">
        <v>0.70833333333333337</v>
      </c>
      <c r="F3114" s="385"/>
      <c r="G3114" s="391"/>
      <c r="H3114" s="316"/>
      <c r="I3114" s="391"/>
      <c r="J3114" s="385">
        <v>36</v>
      </c>
      <c r="K3114" s="391"/>
      <c r="L3114" s="385"/>
      <c r="M3114" s="391"/>
      <c r="N3114" s="385"/>
      <c r="O3114" s="190"/>
    </row>
    <row r="3115" spans="3:15" ht="16" x14ac:dyDescent="0.2">
      <c r="C3115" s="119">
        <v>16</v>
      </c>
      <c r="D3115" s="383">
        <v>0.71180555555555547</v>
      </c>
      <c r="E3115" s="389">
        <v>0.73263888888888884</v>
      </c>
      <c r="F3115" s="385">
        <v>28</v>
      </c>
      <c r="G3115" s="391"/>
      <c r="H3115" s="316"/>
      <c r="I3115" s="391"/>
      <c r="J3115" s="385"/>
      <c r="K3115" s="391"/>
      <c r="L3115" s="385"/>
      <c r="M3115" s="391"/>
      <c r="N3115" s="385"/>
      <c r="O3115" s="190"/>
    </row>
    <row r="3116" spans="3:15" ht="16" x14ac:dyDescent="0.2">
      <c r="C3116" s="119">
        <v>17</v>
      </c>
      <c r="D3116" s="383">
        <v>0.74305555555555547</v>
      </c>
      <c r="E3116" s="389">
        <v>0.76388888888888884</v>
      </c>
      <c r="F3116" s="384"/>
      <c r="G3116" s="33"/>
      <c r="H3116" s="316"/>
      <c r="I3116" s="390"/>
      <c r="J3116" s="385">
        <v>32</v>
      </c>
      <c r="K3116" s="391"/>
      <c r="L3116" s="385"/>
      <c r="M3116" s="391"/>
      <c r="N3116" s="385"/>
      <c r="O3116" s="190"/>
    </row>
    <row r="3117" spans="3:15" ht="16" x14ac:dyDescent="0.2">
      <c r="C3117" s="119">
        <v>18</v>
      </c>
      <c r="D3117" s="383">
        <v>0.76388888888888884</v>
      </c>
      <c r="E3117" s="389">
        <v>0.78472222222222221</v>
      </c>
      <c r="F3117" s="394">
        <v>28</v>
      </c>
      <c r="G3117" s="229"/>
      <c r="H3117" s="394"/>
      <c r="I3117" s="391"/>
      <c r="J3117" s="385"/>
      <c r="K3117" s="391"/>
      <c r="L3117" s="385"/>
      <c r="M3117" s="391"/>
      <c r="N3117" s="385"/>
      <c r="O3117" s="190"/>
    </row>
    <row r="3118" spans="3:15" ht="16" x14ac:dyDescent="0.2">
      <c r="C3118" s="119">
        <v>19</v>
      </c>
      <c r="D3118" s="383"/>
      <c r="E3118" s="389"/>
      <c r="F3118" s="385"/>
      <c r="G3118" s="391"/>
      <c r="H3118" s="385"/>
      <c r="I3118" s="391"/>
      <c r="J3118" s="385"/>
      <c r="K3118" s="391"/>
      <c r="L3118" s="403"/>
      <c r="M3118" s="391"/>
      <c r="N3118" s="385"/>
      <c r="O3118" s="190"/>
    </row>
    <row r="3119" spans="3:15" ht="16" x14ac:dyDescent="0.2">
      <c r="C3119" s="119">
        <v>20</v>
      </c>
      <c r="D3119" s="383"/>
      <c r="E3119" s="389"/>
      <c r="F3119" s="385"/>
      <c r="G3119" s="391"/>
      <c r="H3119" s="385"/>
      <c r="I3119" s="391"/>
      <c r="J3119" s="385"/>
      <c r="K3119" s="391"/>
      <c r="L3119" s="403"/>
      <c r="M3119" s="391"/>
      <c r="N3119" s="385"/>
      <c r="O3119" s="190"/>
    </row>
    <row r="3120" spans="3:15" ht="16" x14ac:dyDescent="0.2">
      <c r="C3120" s="119">
        <v>21</v>
      </c>
      <c r="D3120" s="383"/>
      <c r="E3120" s="389"/>
      <c r="F3120" s="385"/>
      <c r="G3120" s="391"/>
      <c r="H3120" s="385"/>
      <c r="I3120" s="391"/>
      <c r="J3120" s="385"/>
      <c r="K3120" s="391"/>
      <c r="L3120" s="385"/>
      <c r="M3120" s="391"/>
      <c r="N3120" s="385"/>
      <c r="O3120" s="190"/>
    </row>
    <row r="3121" spans="2:15" ht="16" x14ac:dyDescent="0.2">
      <c r="C3121" s="119">
        <v>22</v>
      </c>
      <c r="D3121" s="383"/>
      <c r="E3121" s="389"/>
      <c r="F3121" s="385"/>
      <c r="G3121" s="391"/>
      <c r="H3121" s="385"/>
      <c r="I3121" s="391"/>
      <c r="J3121" s="385"/>
      <c r="K3121" s="391"/>
      <c r="L3121" s="385"/>
      <c r="M3121" s="391"/>
      <c r="N3121" s="385"/>
      <c r="O3121" s="190"/>
    </row>
    <row r="3122" spans="2:15" ht="16" x14ac:dyDescent="0.2">
      <c r="C3122" s="119">
        <v>23</v>
      </c>
      <c r="D3122" s="383"/>
      <c r="E3122" s="389"/>
      <c r="F3122" s="385"/>
      <c r="G3122" s="391"/>
      <c r="H3122" s="385"/>
      <c r="I3122" s="391"/>
      <c r="J3122" s="385"/>
      <c r="K3122" s="391"/>
      <c r="L3122" s="385"/>
      <c r="M3122" s="391"/>
      <c r="N3122" s="385"/>
      <c r="O3122" s="190"/>
    </row>
    <row r="3123" spans="2:15" ht="16" x14ac:dyDescent="0.2">
      <c r="C3123" s="119">
        <v>24</v>
      </c>
      <c r="D3123" s="383"/>
      <c r="E3123" s="389"/>
      <c r="F3123" s="385"/>
      <c r="G3123" s="391"/>
      <c r="H3123" s="385"/>
      <c r="I3123" s="391"/>
      <c r="J3123" s="385"/>
      <c r="K3123" s="391"/>
      <c r="L3123" s="385"/>
      <c r="M3123" s="391"/>
      <c r="N3123" s="385"/>
      <c r="O3123" s="190"/>
    </row>
    <row r="3124" spans="2:15" ht="16" x14ac:dyDescent="0.2">
      <c r="C3124" s="119">
        <v>25</v>
      </c>
      <c r="D3124" s="383"/>
      <c r="E3124" s="389"/>
      <c r="F3124" s="385"/>
      <c r="G3124" s="391"/>
      <c r="H3124" s="385"/>
      <c r="I3124" s="391"/>
      <c r="J3124" s="385"/>
      <c r="K3124" s="391"/>
      <c r="L3124" s="385"/>
      <c r="M3124" s="391"/>
      <c r="N3124" s="385"/>
      <c r="O3124" s="190"/>
    </row>
    <row r="3125" spans="2:15" ht="16" x14ac:dyDescent="0.2">
      <c r="C3125" s="119">
        <v>26</v>
      </c>
      <c r="D3125" s="383"/>
      <c r="E3125" s="389"/>
      <c r="F3125" s="385"/>
      <c r="G3125" s="391"/>
      <c r="H3125" s="385"/>
      <c r="I3125" s="391"/>
      <c r="J3125" s="385"/>
      <c r="K3125" s="391"/>
      <c r="L3125" s="385"/>
      <c r="M3125" s="391"/>
      <c r="N3125" s="385"/>
      <c r="O3125" s="190"/>
    </row>
    <row r="3126" spans="2:15" ht="16" x14ac:dyDescent="0.2">
      <c r="C3126" s="119">
        <v>27</v>
      </c>
      <c r="D3126" s="383"/>
      <c r="E3126" s="389"/>
      <c r="F3126" s="385"/>
      <c r="G3126" s="391"/>
      <c r="H3126" s="385"/>
      <c r="I3126" s="391"/>
      <c r="J3126" s="385"/>
      <c r="K3126" s="391"/>
      <c r="L3126" s="385"/>
      <c r="M3126" s="391"/>
      <c r="N3126" s="385"/>
      <c r="O3126" s="190"/>
    </row>
    <row r="3127" spans="2:15" ht="16" x14ac:dyDescent="0.2">
      <c r="C3127" s="119">
        <v>28</v>
      </c>
      <c r="D3127" s="383"/>
      <c r="E3127" s="389"/>
      <c r="F3127" s="385"/>
      <c r="G3127" s="391"/>
      <c r="H3127" s="385"/>
      <c r="I3127" s="391"/>
      <c r="J3127" s="385"/>
      <c r="K3127" s="391"/>
      <c r="L3127" s="385"/>
      <c r="M3127" s="391"/>
      <c r="N3127" s="385"/>
      <c r="O3127" s="190"/>
    </row>
    <row r="3128" spans="2:15" ht="16" x14ac:dyDescent="0.2">
      <c r="C3128" s="119">
        <v>29</v>
      </c>
      <c r="D3128" s="383"/>
      <c r="E3128" s="389"/>
      <c r="F3128" s="385"/>
      <c r="G3128" s="391"/>
      <c r="H3128" s="385"/>
      <c r="I3128" s="391"/>
      <c r="J3128" s="385"/>
      <c r="K3128" s="391"/>
      <c r="L3128" s="385"/>
      <c r="M3128" s="391"/>
      <c r="N3128" s="385"/>
      <c r="O3128" s="190"/>
    </row>
    <row r="3129" spans="2:15" ht="16" x14ac:dyDescent="0.2">
      <c r="C3129" s="119">
        <v>30</v>
      </c>
      <c r="D3129" s="383"/>
      <c r="E3129" s="389"/>
      <c r="F3129" s="385"/>
      <c r="G3129" s="391"/>
      <c r="H3129" s="385"/>
      <c r="I3129" s="391"/>
      <c r="J3129" s="385"/>
      <c r="K3129" s="391"/>
      <c r="L3129" s="385"/>
      <c r="M3129" s="391"/>
      <c r="N3129" s="385"/>
      <c r="O3129" s="190"/>
    </row>
    <row r="3130" spans="2:15" ht="16" x14ac:dyDescent="0.2">
      <c r="C3130" s="120">
        <v>31</v>
      </c>
      <c r="D3130" s="383"/>
      <c r="E3130" s="389"/>
      <c r="F3130" s="384"/>
      <c r="G3130" s="390"/>
      <c r="H3130" s="384"/>
      <c r="I3130" s="390"/>
      <c r="J3130" s="384"/>
      <c r="K3130" s="390"/>
      <c r="L3130" s="384"/>
      <c r="M3130" s="390"/>
      <c r="N3130" s="384"/>
      <c r="O3130" s="190"/>
    </row>
    <row r="3131" spans="2:15" ht="16" x14ac:dyDescent="0.2">
      <c r="B3131" s="256"/>
      <c r="C3131" s="377">
        <v>32</v>
      </c>
      <c r="D3131" s="384"/>
      <c r="E3131" s="390"/>
      <c r="F3131" s="384"/>
      <c r="G3131" s="390"/>
      <c r="H3131" s="384"/>
      <c r="I3131" s="390"/>
      <c r="J3131" s="384"/>
      <c r="K3131" s="390"/>
      <c r="L3131" s="384"/>
      <c r="M3131" s="390"/>
      <c r="N3131" s="384"/>
      <c r="O3131" s="190"/>
    </row>
    <row r="3132" spans="2:15" ht="16" x14ac:dyDescent="0.2">
      <c r="B3132" s="256"/>
      <c r="C3132" s="119">
        <v>33</v>
      </c>
      <c r="D3132" s="385"/>
      <c r="E3132" s="391"/>
      <c r="F3132" s="385"/>
      <c r="G3132" s="391"/>
      <c r="H3132" s="385"/>
      <c r="I3132" s="391"/>
      <c r="J3132" s="385"/>
      <c r="K3132" s="391"/>
      <c r="L3132" s="385"/>
      <c r="M3132" s="391"/>
      <c r="N3132" s="385"/>
      <c r="O3132" s="190"/>
    </row>
    <row r="3133" spans="2:15" ht="16" x14ac:dyDescent="0.2">
      <c r="B3133" s="256"/>
      <c r="C3133" s="119">
        <v>34</v>
      </c>
      <c r="D3133" s="385"/>
      <c r="E3133" s="391"/>
      <c r="F3133" s="385"/>
      <c r="G3133" s="391"/>
      <c r="H3133" s="385"/>
      <c r="I3133" s="391"/>
      <c r="J3133" s="385"/>
      <c r="K3133" s="391"/>
      <c r="L3133" s="385"/>
      <c r="M3133" s="391"/>
      <c r="N3133" s="385"/>
      <c r="O3133" s="190"/>
    </row>
    <row r="3134" spans="2:15" ht="16" x14ac:dyDescent="0.2">
      <c r="B3134" s="256"/>
      <c r="C3134" s="119">
        <v>35</v>
      </c>
      <c r="D3134" s="385"/>
      <c r="E3134" s="391"/>
      <c r="F3134" s="385"/>
      <c r="G3134" s="391"/>
      <c r="H3134" s="385"/>
      <c r="I3134" s="391"/>
      <c r="J3134" s="385"/>
      <c r="K3134" s="391"/>
      <c r="L3134" s="385"/>
      <c r="M3134" s="391"/>
      <c r="N3134" s="385"/>
      <c r="O3134" s="190"/>
    </row>
    <row r="3135" spans="2:15" ht="16" x14ac:dyDescent="0.2">
      <c r="B3135" s="256"/>
      <c r="C3135" s="119">
        <v>36</v>
      </c>
      <c r="D3135" s="385"/>
      <c r="E3135" s="391"/>
      <c r="F3135" s="385"/>
      <c r="G3135" s="391"/>
      <c r="H3135" s="385"/>
      <c r="I3135" s="391"/>
      <c r="J3135" s="385"/>
      <c r="K3135" s="391"/>
      <c r="L3135" s="385"/>
      <c r="M3135" s="391"/>
      <c r="N3135" s="385"/>
      <c r="O3135" s="190"/>
    </row>
    <row r="3136" spans="2:15" ht="17" thickBot="1" x14ac:dyDescent="0.25">
      <c r="B3136" s="256"/>
      <c r="C3136" s="378">
        <v>37</v>
      </c>
      <c r="D3136" s="386"/>
      <c r="E3136" s="392"/>
      <c r="F3136" s="386"/>
      <c r="G3136" s="392"/>
      <c r="H3136" s="386"/>
      <c r="I3136" s="392"/>
      <c r="J3136" s="386"/>
      <c r="K3136" s="392"/>
      <c r="L3136" s="386"/>
      <c r="M3136" s="392"/>
      <c r="N3136" s="386"/>
      <c r="O3136" s="190"/>
    </row>
    <row r="3137" spans="2:15" ht="17" thickBot="1" x14ac:dyDescent="0.25">
      <c r="C3137" s="825" t="s">
        <v>19</v>
      </c>
      <c r="D3137" s="826"/>
      <c r="E3137" s="380"/>
      <c r="F3137" s="376">
        <f>(F3100+F3101+F3102+F3103+F3104+F3105+F3121+F3108+F3109+F3106+F3107+F3110+F3111+F3112+F3113+F3114+F3115+F3116+F3117+F3118+F3119+F3120+F3122+F3123+F3125+F3126+F3127+F3128+F3129+F3130+F3131+F3132+F3133+F3136)/2</f>
        <v>84</v>
      </c>
      <c r="G3137" s="397">
        <f>(G3100+G3101+G3102+G3103+G3104+G3121+G3105+G3109+G3108+G3106+G3107+G3110+G3111+G3112+G3113+G3114+G3115+G3116+G3117+G3118+G3119+G3120+G3122+G3123+G3125+G3126+G3127+G3128+G3129+G3130+G3131+G3132)/2</f>
        <v>56</v>
      </c>
      <c r="H3137" s="399">
        <f>(H3100+H3101+H3102+H3103+H3104+H3105+H3121+H3124+H3108+H3109+H3106+H3107+H3110+H3111+H3112+H3113+H3114+H3115+H3116+H3117+H3118+H3119+H3120+H3122+H3123+H3125+H3126+H3127+H3128+H3129+H3130+H3131+H3132+H3133+H3136)/2</f>
        <v>0</v>
      </c>
      <c r="I3137" s="398">
        <f>(I3100+I3101+I3102+I3103+I3104+I3134+I3135+I3105+I3121+I3108+I3124+I3109+I3106+I3107+I3110+I3111+I3112+I3113+I3114+I3115+I3116+I3117+I3118+I3119+I3120+I3122+I3123+I3125+I3126+I3127+I3128+I3129+I3130+I3131+I3132+I3133+I3136)/2</f>
        <v>55</v>
      </c>
      <c r="J3137" s="376">
        <f>(J3100+J3101+J3102+J3103+J3104+J3105+J3109+J3106+J3108+J3107+J3124+J3110+J3111+J3112+J3113+J3114+J3115+J3116+J3117+J3118+J3119+J3120+J3121+J3122+J3123+J3125+J3126+J3127+J3128+J3129+J3130+J3131+J3132)/2</f>
        <v>79</v>
      </c>
      <c r="K3137" s="397">
        <f>(K3100+K3101+K3102+K3103+K3104+K3105+K3109+K3106+K3107+K3110+K3111+K3112+K3113+K3114+K3115+K3116+K3117+K3118+K3119+K3120+K3122+K3123+K3125+K3126+K3127+K3128+K3129+K3130+K3131+K3132+K3121)</f>
        <v>0</v>
      </c>
      <c r="L3137" s="399">
        <f>SUM(L3100:L3136)</f>
        <v>0</v>
      </c>
      <c r="M3137" s="398">
        <f>(M3100+M3101+M3102+M3103+M3104+M3105+M3109+M3108+M3106+M3107+M3110+M3111+M3112+M3113+M3114+M3115+M3116+M3117+M3118+M3119+M3120+M3122+M3123+M3125+M3126+M3127+M3128+M3129+M3130+M3131+M3132)/2</f>
        <v>0</v>
      </c>
      <c r="N3137" s="376"/>
      <c r="O3137" s="41"/>
    </row>
    <row r="3138" spans="2:15" ht="17" thickBot="1" x14ac:dyDescent="0.25">
      <c r="C3138" s="825" t="s">
        <v>91</v>
      </c>
      <c r="D3138" s="826"/>
      <c r="E3138" s="381">
        <f>SUM(F3137:J3137)</f>
        <v>274</v>
      </c>
    </row>
    <row r="3139" spans="2:15" ht="16" thickBot="1" x14ac:dyDescent="0.25"/>
    <row r="3140" spans="2:15" ht="17" thickBot="1" x14ac:dyDescent="0.25">
      <c r="C3140" s="17"/>
      <c r="D3140" s="379" t="s">
        <v>83</v>
      </c>
      <c r="E3140" s="818" t="s">
        <v>64</v>
      </c>
      <c r="F3140" s="819"/>
      <c r="G3140" s="819"/>
      <c r="H3140" s="819"/>
      <c r="I3140" s="819"/>
      <c r="J3140" s="400" t="s">
        <v>76</v>
      </c>
      <c r="K3140" s="820">
        <v>45762</v>
      </c>
      <c r="L3140" s="821"/>
      <c r="M3140" s="821"/>
      <c r="N3140" s="821"/>
      <c r="O3140" s="822"/>
    </row>
    <row r="3141" spans="2:15" ht="16" thickBot="1" x14ac:dyDescent="0.25">
      <c r="B3141" s="175" t="s">
        <v>76</v>
      </c>
      <c r="C3141" s="175" t="s">
        <v>77</v>
      </c>
      <c r="D3141" s="823" t="s">
        <v>122</v>
      </c>
      <c r="E3141" s="824"/>
      <c r="F3141" s="175" t="s">
        <v>104</v>
      </c>
      <c r="G3141" s="395" t="s">
        <v>86</v>
      </c>
      <c r="H3141" s="175" t="s">
        <v>88</v>
      </c>
      <c r="I3141" s="395" t="s">
        <v>87</v>
      </c>
      <c r="J3141" s="401" t="s">
        <v>85</v>
      </c>
      <c r="K3141" s="395" t="s">
        <v>123</v>
      </c>
      <c r="L3141" s="175" t="s">
        <v>124</v>
      </c>
      <c r="M3141" s="395" t="s">
        <v>100</v>
      </c>
      <c r="N3141" s="175" t="s">
        <v>213</v>
      </c>
      <c r="O3141" s="404" t="s">
        <v>125</v>
      </c>
    </row>
    <row r="3142" spans="2:15" ht="16" thickBot="1" x14ac:dyDescent="0.25">
      <c r="B3142" s="176">
        <f>K3140</f>
        <v>45762</v>
      </c>
      <c r="C3142" s="374"/>
      <c r="D3142" s="375" t="s">
        <v>126</v>
      </c>
      <c r="E3142" s="387" t="s">
        <v>127</v>
      </c>
      <c r="F3142" s="331">
        <v>8</v>
      </c>
      <c r="G3142" s="237">
        <v>5</v>
      </c>
      <c r="H3142" s="331">
        <v>2</v>
      </c>
      <c r="I3142" s="237">
        <v>2</v>
      </c>
      <c r="J3142" s="331">
        <v>3</v>
      </c>
      <c r="K3142" s="231"/>
      <c r="L3142" s="125"/>
      <c r="M3142" s="231"/>
      <c r="N3142" s="125"/>
      <c r="O3142" s="326"/>
    </row>
    <row r="3143" spans="2:15" ht="16" x14ac:dyDescent="0.2">
      <c r="C3143" s="118">
        <v>1</v>
      </c>
      <c r="D3143" s="382">
        <v>0.3125</v>
      </c>
      <c r="E3143" s="388">
        <v>0.33333333333333331</v>
      </c>
      <c r="F3143" s="393"/>
      <c r="G3143" s="396">
        <v>24</v>
      </c>
      <c r="H3143" s="393"/>
      <c r="I3143" s="396"/>
      <c r="J3143" s="393"/>
      <c r="K3143" s="396"/>
      <c r="L3143" s="393"/>
      <c r="M3143" s="396"/>
      <c r="N3143" s="393"/>
      <c r="O3143" s="190"/>
    </row>
    <row r="3144" spans="2:15" ht="16" x14ac:dyDescent="0.2">
      <c r="C3144" s="119">
        <v>2</v>
      </c>
      <c r="D3144" s="383">
        <v>0.33333333333333331</v>
      </c>
      <c r="E3144" s="389">
        <v>0.35416666666666669</v>
      </c>
      <c r="F3144" s="385"/>
      <c r="G3144" s="391">
        <v>28</v>
      </c>
      <c r="H3144" s="385"/>
      <c r="I3144" s="391"/>
      <c r="J3144" s="385"/>
      <c r="K3144" s="391"/>
      <c r="L3144" s="385"/>
      <c r="M3144" s="391"/>
      <c r="N3144" s="385"/>
      <c r="O3144" s="190"/>
    </row>
    <row r="3145" spans="2:15" ht="16" x14ac:dyDescent="0.2">
      <c r="C3145" s="119">
        <v>3</v>
      </c>
      <c r="D3145" s="383">
        <v>0.36458333333333331</v>
      </c>
      <c r="E3145" s="389">
        <v>0.38541666666666669</v>
      </c>
      <c r="F3145" s="385"/>
      <c r="G3145" s="391"/>
      <c r="H3145" s="385">
        <v>28</v>
      </c>
      <c r="I3145" s="391"/>
      <c r="J3145" s="385"/>
      <c r="K3145" s="391"/>
      <c r="L3145" s="384"/>
      <c r="M3145" s="391"/>
      <c r="N3145" s="385"/>
      <c r="O3145" s="190"/>
    </row>
    <row r="3146" spans="2:15" ht="16" x14ac:dyDescent="0.2">
      <c r="C3146" s="119">
        <v>4</v>
      </c>
      <c r="D3146" s="383">
        <v>0.3888888888888889</v>
      </c>
      <c r="E3146" s="389">
        <v>0.40972222222222227</v>
      </c>
      <c r="F3146" s="385">
        <v>28</v>
      </c>
      <c r="G3146" s="391"/>
      <c r="H3146" s="316"/>
      <c r="I3146" s="391"/>
      <c r="J3146" s="385"/>
      <c r="K3146" s="391"/>
      <c r="L3146" s="402"/>
      <c r="M3146" s="391"/>
      <c r="N3146" s="385"/>
      <c r="O3146" s="190"/>
    </row>
    <row r="3147" spans="2:15" ht="16" x14ac:dyDescent="0.2">
      <c r="C3147" s="119">
        <v>5</v>
      </c>
      <c r="D3147" s="383">
        <v>0.40625</v>
      </c>
      <c r="E3147" s="389">
        <v>0.42708333333333331</v>
      </c>
      <c r="F3147" s="385"/>
      <c r="G3147" s="391">
        <v>14</v>
      </c>
      <c r="H3147" s="316"/>
      <c r="I3147" s="391"/>
      <c r="J3147" s="385"/>
      <c r="K3147" s="391"/>
      <c r="L3147" s="393"/>
      <c r="M3147" s="391"/>
      <c r="N3147" s="385"/>
      <c r="O3147" s="190"/>
    </row>
    <row r="3148" spans="2:15" ht="16" x14ac:dyDescent="0.2">
      <c r="C3148" s="119">
        <v>6</v>
      </c>
      <c r="D3148" s="383">
        <v>0.41319444444444442</v>
      </c>
      <c r="E3148" s="389">
        <v>0.43402777777777773</v>
      </c>
      <c r="F3148" s="385"/>
      <c r="G3148" s="391"/>
      <c r="H3148" s="316"/>
      <c r="I3148" s="391"/>
      <c r="J3148" s="385">
        <v>18</v>
      </c>
      <c r="K3148" s="391"/>
      <c r="L3148" s="393"/>
      <c r="M3148" s="391"/>
      <c r="N3148" s="385"/>
      <c r="O3148" s="190"/>
    </row>
    <row r="3149" spans="2:15" ht="16" x14ac:dyDescent="0.2">
      <c r="C3149" s="119">
        <v>7</v>
      </c>
      <c r="D3149" s="383">
        <v>0.4826388888888889</v>
      </c>
      <c r="E3149" s="389">
        <v>0.50347222222222221</v>
      </c>
      <c r="F3149" s="385"/>
      <c r="G3149" s="391"/>
      <c r="H3149" s="316"/>
      <c r="I3149" s="391">
        <v>44</v>
      </c>
      <c r="J3149" s="385"/>
      <c r="K3149" s="391"/>
      <c r="L3149" s="393"/>
      <c r="M3149" s="391"/>
      <c r="N3149" s="385"/>
      <c r="O3149" s="190"/>
    </row>
    <row r="3150" spans="2:15" ht="16" x14ac:dyDescent="0.2">
      <c r="C3150" s="119">
        <v>8</v>
      </c>
      <c r="D3150" s="383">
        <v>0.50694444444444442</v>
      </c>
      <c r="E3150" s="389">
        <v>0.52777777777777779</v>
      </c>
      <c r="F3150" s="385">
        <v>28</v>
      </c>
      <c r="G3150" s="391"/>
      <c r="H3150" s="316"/>
      <c r="I3150" s="391"/>
      <c r="J3150" s="385"/>
      <c r="K3150" s="391"/>
      <c r="L3150" s="385"/>
      <c r="M3150" s="391"/>
      <c r="N3150" s="385"/>
      <c r="O3150" s="190"/>
    </row>
    <row r="3151" spans="2:15" ht="16" x14ac:dyDescent="0.2">
      <c r="C3151" s="119">
        <v>9</v>
      </c>
      <c r="D3151" s="383">
        <v>0.53472222222222221</v>
      </c>
      <c r="E3151" s="389">
        <v>0.55555555555555558</v>
      </c>
      <c r="F3151" s="385"/>
      <c r="G3151" s="391"/>
      <c r="H3151" s="316"/>
      <c r="I3151" s="391"/>
      <c r="J3151" s="385">
        <v>36</v>
      </c>
      <c r="K3151" s="391"/>
      <c r="L3151" s="385"/>
      <c r="M3151" s="391"/>
      <c r="N3151" s="385"/>
      <c r="O3151" s="190"/>
    </row>
    <row r="3152" spans="2:15" ht="16" x14ac:dyDescent="0.2">
      <c r="C3152" s="119">
        <v>10</v>
      </c>
      <c r="D3152" s="383">
        <v>0.55555555555555558</v>
      </c>
      <c r="E3152" s="389">
        <v>0.57638888888888895</v>
      </c>
      <c r="F3152" s="385">
        <v>28</v>
      </c>
      <c r="G3152" s="391"/>
      <c r="H3152" s="316"/>
      <c r="I3152" s="391"/>
      <c r="J3152" s="385"/>
      <c r="K3152" s="391"/>
      <c r="L3152" s="385"/>
      <c r="M3152" s="391"/>
      <c r="N3152" s="385"/>
      <c r="O3152" s="190"/>
    </row>
    <row r="3153" spans="3:15" ht="16" x14ac:dyDescent="0.2">
      <c r="C3153" s="119">
        <v>11</v>
      </c>
      <c r="D3153" s="383">
        <v>0.57638888888888895</v>
      </c>
      <c r="E3153" s="389">
        <v>0.59722222222222221</v>
      </c>
      <c r="F3153" s="385">
        <v>28</v>
      </c>
      <c r="G3153" s="391"/>
      <c r="H3153" s="316"/>
      <c r="I3153" s="391"/>
      <c r="J3153" s="28"/>
      <c r="K3153" s="391"/>
      <c r="L3153" s="385"/>
      <c r="M3153" s="391"/>
      <c r="N3153" s="385"/>
      <c r="O3153" s="190"/>
    </row>
    <row r="3154" spans="3:15" ht="16" x14ac:dyDescent="0.2">
      <c r="C3154" s="193">
        <v>12</v>
      </c>
      <c r="D3154" s="383"/>
      <c r="E3154" s="389"/>
      <c r="F3154" s="385"/>
      <c r="G3154" s="391"/>
      <c r="H3154" s="316"/>
      <c r="I3154" s="391"/>
      <c r="J3154" s="385"/>
      <c r="K3154" s="391"/>
      <c r="L3154" s="385"/>
      <c r="M3154" s="391"/>
      <c r="N3154" s="385"/>
      <c r="O3154" s="190"/>
    </row>
    <row r="3155" spans="3:15" ht="16" x14ac:dyDescent="0.2">
      <c r="C3155" s="119">
        <v>13</v>
      </c>
      <c r="D3155" s="383"/>
      <c r="E3155" s="389"/>
      <c r="F3155" s="385"/>
      <c r="G3155" s="391"/>
      <c r="H3155" s="316"/>
      <c r="I3155" s="391"/>
      <c r="J3155" s="385"/>
      <c r="K3155" s="391"/>
      <c r="L3155" s="385"/>
      <c r="M3155" s="391"/>
      <c r="N3155" s="385"/>
      <c r="O3155" s="190"/>
    </row>
    <row r="3156" spans="3:15" ht="16" x14ac:dyDescent="0.2">
      <c r="C3156" s="119">
        <v>14</v>
      </c>
      <c r="D3156" s="383"/>
      <c r="E3156" s="389"/>
      <c r="F3156" s="385"/>
      <c r="G3156" s="391"/>
      <c r="H3156" s="316"/>
      <c r="I3156" s="391"/>
      <c r="J3156" s="385"/>
      <c r="K3156" s="391"/>
      <c r="L3156" s="385"/>
      <c r="M3156" s="391"/>
      <c r="N3156" s="385"/>
      <c r="O3156" s="190"/>
    </row>
    <row r="3157" spans="3:15" ht="16" x14ac:dyDescent="0.2">
      <c r="C3157" s="119">
        <v>15</v>
      </c>
      <c r="D3157" s="383"/>
      <c r="E3157" s="389"/>
      <c r="F3157" s="385"/>
      <c r="G3157" s="391"/>
      <c r="H3157" s="316"/>
      <c r="I3157" s="391"/>
      <c r="J3157" s="385"/>
      <c r="K3157" s="391"/>
      <c r="L3157" s="385"/>
      <c r="M3157" s="391"/>
      <c r="N3157" s="385"/>
      <c r="O3157" s="190"/>
    </row>
    <row r="3158" spans="3:15" ht="16" x14ac:dyDescent="0.2">
      <c r="C3158" s="119">
        <v>16</v>
      </c>
      <c r="D3158" s="383"/>
      <c r="E3158" s="389"/>
      <c r="F3158" s="385"/>
      <c r="G3158" s="391"/>
      <c r="H3158" s="316"/>
      <c r="I3158" s="391"/>
      <c r="J3158" s="385"/>
      <c r="K3158" s="391"/>
      <c r="L3158" s="385"/>
      <c r="M3158" s="391"/>
      <c r="N3158" s="385"/>
      <c r="O3158" s="190"/>
    </row>
    <row r="3159" spans="3:15" ht="16" x14ac:dyDescent="0.2">
      <c r="C3159" s="119">
        <v>17</v>
      </c>
      <c r="D3159" s="383"/>
      <c r="E3159" s="389"/>
      <c r="F3159" s="384"/>
      <c r="G3159" s="33"/>
      <c r="H3159" s="316"/>
      <c r="I3159" s="390"/>
      <c r="J3159" s="385"/>
      <c r="K3159" s="391"/>
      <c r="L3159" s="385"/>
      <c r="M3159" s="391"/>
      <c r="N3159" s="385"/>
      <c r="O3159" s="190"/>
    </row>
    <row r="3160" spans="3:15" ht="16" x14ac:dyDescent="0.2">
      <c r="C3160" s="119">
        <v>18</v>
      </c>
      <c r="D3160" s="383"/>
      <c r="E3160" s="389"/>
      <c r="F3160" s="394"/>
      <c r="G3160" s="229"/>
      <c r="H3160" s="394"/>
      <c r="I3160" s="391"/>
      <c r="J3160" s="385"/>
      <c r="K3160" s="391"/>
      <c r="L3160" s="385"/>
      <c r="M3160" s="391"/>
      <c r="N3160" s="385"/>
      <c r="O3160" s="190"/>
    </row>
    <row r="3161" spans="3:15" ht="16" x14ac:dyDescent="0.2">
      <c r="C3161" s="119">
        <v>19</v>
      </c>
      <c r="D3161" s="383"/>
      <c r="E3161" s="389"/>
      <c r="F3161" s="385"/>
      <c r="G3161" s="391"/>
      <c r="H3161" s="385"/>
      <c r="I3161" s="391"/>
      <c r="J3161" s="385"/>
      <c r="K3161" s="391"/>
      <c r="L3161" s="403"/>
      <c r="M3161" s="391"/>
      <c r="N3161" s="385"/>
      <c r="O3161" s="190"/>
    </row>
    <row r="3162" spans="3:15" ht="16" x14ac:dyDescent="0.2">
      <c r="C3162" s="119">
        <v>20</v>
      </c>
      <c r="D3162" s="383"/>
      <c r="E3162" s="389"/>
      <c r="F3162" s="385"/>
      <c r="G3162" s="391"/>
      <c r="H3162" s="385"/>
      <c r="I3162" s="391"/>
      <c r="J3162" s="385"/>
      <c r="K3162" s="391"/>
      <c r="L3162" s="403"/>
      <c r="M3162" s="391"/>
      <c r="N3162" s="385"/>
      <c r="O3162" s="190"/>
    </row>
    <row r="3163" spans="3:15" ht="16" x14ac:dyDescent="0.2">
      <c r="C3163" s="119">
        <v>21</v>
      </c>
      <c r="D3163" s="383"/>
      <c r="E3163" s="389"/>
      <c r="F3163" s="385"/>
      <c r="G3163" s="391"/>
      <c r="H3163" s="385"/>
      <c r="I3163" s="391"/>
      <c r="J3163" s="385"/>
      <c r="K3163" s="391"/>
      <c r="L3163" s="385"/>
      <c r="M3163" s="391"/>
      <c r="N3163" s="385"/>
      <c r="O3163" s="190"/>
    </row>
    <row r="3164" spans="3:15" ht="16" x14ac:dyDescent="0.2">
      <c r="C3164" s="119">
        <v>22</v>
      </c>
      <c r="D3164" s="383"/>
      <c r="E3164" s="389"/>
      <c r="F3164" s="385"/>
      <c r="G3164" s="391"/>
      <c r="H3164" s="385"/>
      <c r="I3164" s="391"/>
      <c r="J3164" s="385"/>
      <c r="K3164" s="391"/>
      <c r="L3164" s="385"/>
      <c r="M3164" s="391"/>
      <c r="N3164" s="385"/>
      <c r="O3164" s="190"/>
    </row>
    <row r="3165" spans="3:15" ht="16" x14ac:dyDescent="0.2">
      <c r="C3165" s="119">
        <v>23</v>
      </c>
      <c r="D3165" s="383"/>
      <c r="E3165" s="389"/>
      <c r="F3165" s="385"/>
      <c r="G3165" s="391"/>
      <c r="H3165" s="385"/>
      <c r="I3165" s="391"/>
      <c r="J3165" s="385"/>
      <c r="K3165" s="391"/>
      <c r="L3165" s="385"/>
      <c r="M3165" s="391"/>
      <c r="N3165" s="385"/>
      <c r="O3165" s="190"/>
    </row>
    <row r="3166" spans="3:15" ht="16" x14ac:dyDescent="0.2">
      <c r="C3166" s="119">
        <v>24</v>
      </c>
      <c r="D3166" s="383"/>
      <c r="E3166" s="389"/>
      <c r="F3166" s="385"/>
      <c r="G3166" s="391"/>
      <c r="H3166" s="385"/>
      <c r="I3166" s="391"/>
      <c r="J3166" s="385"/>
      <c r="K3166" s="391"/>
      <c r="L3166" s="385"/>
      <c r="M3166" s="391"/>
      <c r="N3166" s="385"/>
      <c r="O3166" s="190"/>
    </row>
    <row r="3167" spans="3:15" ht="16" x14ac:dyDescent="0.2">
      <c r="C3167" s="119">
        <v>25</v>
      </c>
      <c r="D3167" s="383"/>
      <c r="E3167" s="389"/>
      <c r="F3167" s="385"/>
      <c r="G3167" s="391"/>
      <c r="H3167" s="385"/>
      <c r="I3167" s="391"/>
      <c r="J3167" s="385"/>
      <c r="K3167" s="391"/>
      <c r="L3167" s="385"/>
      <c r="M3167" s="391"/>
      <c r="N3167" s="385"/>
      <c r="O3167" s="190"/>
    </row>
    <row r="3168" spans="3:15" ht="16" x14ac:dyDescent="0.2">
      <c r="C3168" s="119">
        <v>26</v>
      </c>
      <c r="D3168" s="383"/>
      <c r="E3168" s="389"/>
      <c r="F3168" s="385"/>
      <c r="G3168" s="391"/>
      <c r="H3168" s="385"/>
      <c r="I3168" s="391"/>
      <c r="J3168" s="385"/>
      <c r="K3168" s="391"/>
      <c r="L3168" s="385"/>
      <c r="M3168" s="391"/>
      <c r="N3168" s="385"/>
      <c r="O3168" s="190"/>
    </row>
    <row r="3169" spans="2:15" ht="16" x14ac:dyDescent="0.2">
      <c r="C3169" s="119">
        <v>27</v>
      </c>
      <c r="D3169" s="383"/>
      <c r="E3169" s="389"/>
      <c r="F3169" s="385"/>
      <c r="G3169" s="391"/>
      <c r="H3169" s="385"/>
      <c r="I3169" s="391"/>
      <c r="J3169" s="385"/>
      <c r="K3169" s="391"/>
      <c r="L3169" s="385"/>
      <c r="M3169" s="391"/>
      <c r="N3169" s="385"/>
      <c r="O3169" s="190"/>
    </row>
    <row r="3170" spans="2:15" ht="16" x14ac:dyDescent="0.2">
      <c r="C3170" s="119">
        <v>28</v>
      </c>
      <c r="D3170" s="383"/>
      <c r="E3170" s="389"/>
      <c r="F3170" s="385"/>
      <c r="G3170" s="391"/>
      <c r="H3170" s="385"/>
      <c r="I3170" s="391"/>
      <c r="J3170" s="385"/>
      <c r="K3170" s="391"/>
      <c r="L3170" s="385"/>
      <c r="M3170" s="391"/>
      <c r="N3170" s="385"/>
      <c r="O3170" s="190"/>
    </row>
    <row r="3171" spans="2:15" ht="16" x14ac:dyDescent="0.2">
      <c r="C3171" s="119">
        <v>29</v>
      </c>
      <c r="D3171" s="383"/>
      <c r="E3171" s="389"/>
      <c r="F3171" s="385"/>
      <c r="G3171" s="391"/>
      <c r="H3171" s="385"/>
      <c r="I3171" s="391"/>
      <c r="J3171" s="385"/>
      <c r="K3171" s="391"/>
      <c r="L3171" s="385"/>
      <c r="M3171" s="391"/>
      <c r="N3171" s="385"/>
      <c r="O3171" s="190"/>
    </row>
    <row r="3172" spans="2:15" ht="16" x14ac:dyDescent="0.2">
      <c r="C3172" s="119">
        <v>30</v>
      </c>
      <c r="D3172" s="383"/>
      <c r="E3172" s="389"/>
      <c r="F3172" s="385"/>
      <c r="G3172" s="391"/>
      <c r="H3172" s="385"/>
      <c r="I3172" s="391"/>
      <c r="J3172" s="385"/>
      <c r="K3172" s="391"/>
      <c r="L3172" s="385"/>
      <c r="M3172" s="391"/>
      <c r="N3172" s="385"/>
      <c r="O3172" s="190"/>
    </row>
    <row r="3173" spans="2:15" ht="16" x14ac:dyDescent="0.2">
      <c r="C3173" s="120">
        <v>31</v>
      </c>
      <c r="D3173" s="383"/>
      <c r="E3173" s="389"/>
      <c r="F3173" s="384"/>
      <c r="G3173" s="390"/>
      <c r="H3173" s="384"/>
      <c r="I3173" s="390"/>
      <c r="J3173" s="384"/>
      <c r="K3173" s="390"/>
      <c r="L3173" s="384"/>
      <c r="M3173" s="390"/>
      <c r="N3173" s="384"/>
      <c r="O3173" s="190"/>
    </row>
    <row r="3174" spans="2:15" ht="16" x14ac:dyDescent="0.2">
      <c r="B3174" s="256"/>
      <c r="C3174" s="377">
        <v>32</v>
      </c>
      <c r="D3174" s="384"/>
      <c r="E3174" s="390"/>
      <c r="F3174" s="384"/>
      <c r="G3174" s="390"/>
      <c r="H3174" s="384"/>
      <c r="I3174" s="390"/>
      <c r="J3174" s="384"/>
      <c r="K3174" s="390"/>
      <c r="L3174" s="384"/>
      <c r="M3174" s="390"/>
      <c r="N3174" s="384"/>
      <c r="O3174" s="190"/>
    </row>
    <row r="3175" spans="2:15" ht="16" x14ac:dyDescent="0.2">
      <c r="B3175" s="256"/>
      <c r="C3175" s="119">
        <v>33</v>
      </c>
      <c r="D3175" s="385"/>
      <c r="E3175" s="391"/>
      <c r="F3175" s="385"/>
      <c r="G3175" s="391"/>
      <c r="H3175" s="385"/>
      <c r="I3175" s="391"/>
      <c r="J3175" s="385"/>
      <c r="K3175" s="391"/>
      <c r="L3175" s="385"/>
      <c r="M3175" s="391"/>
      <c r="N3175" s="385"/>
      <c r="O3175" s="190"/>
    </row>
    <row r="3176" spans="2:15" ht="16" x14ac:dyDescent="0.2">
      <c r="B3176" s="256"/>
      <c r="C3176" s="119">
        <v>34</v>
      </c>
      <c r="D3176" s="385"/>
      <c r="E3176" s="391"/>
      <c r="F3176" s="385"/>
      <c r="G3176" s="391"/>
      <c r="H3176" s="385"/>
      <c r="I3176" s="391"/>
      <c r="J3176" s="385"/>
      <c r="K3176" s="391"/>
      <c r="L3176" s="385"/>
      <c r="M3176" s="391"/>
      <c r="N3176" s="385"/>
      <c r="O3176" s="190"/>
    </row>
    <row r="3177" spans="2:15" ht="16" x14ac:dyDescent="0.2">
      <c r="B3177" s="256"/>
      <c r="C3177" s="119">
        <v>35</v>
      </c>
      <c r="D3177" s="385"/>
      <c r="E3177" s="391"/>
      <c r="F3177" s="385"/>
      <c r="G3177" s="391"/>
      <c r="H3177" s="385"/>
      <c r="I3177" s="391"/>
      <c r="J3177" s="385"/>
      <c r="K3177" s="391"/>
      <c r="L3177" s="385"/>
      <c r="M3177" s="391"/>
      <c r="N3177" s="385"/>
      <c r="O3177" s="190"/>
    </row>
    <row r="3178" spans="2:15" ht="16" x14ac:dyDescent="0.2">
      <c r="B3178" s="256"/>
      <c r="C3178" s="119">
        <v>36</v>
      </c>
      <c r="D3178" s="385"/>
      <c r="E3178" s="391"/>
      <c r="F3178" s="385"/>
      <c r="G3178" s="391"/>
      <c r="H3178" s="385"/>
      <c r="I3178" s="391"/>
      <c r="J3178" s="385"/>
      <c r="K3178" s="391"/>
      <c r="L3178" s="385"/>
      <c r="M3178" s="391"/>
      <c r="N3178" s="385"/>
      <c r="O3178" s="190"/>
    </row>
    <row r="3179" spans="2:15" ht="17" thickBot="1" x14ac:dyDescent="0.25">
      <c r="B3179" s="256"/>
      <c r="C3179" s="378">
        <v>37</v>
      </c>
      <c r="D3179" s="386"/>
      <c r="E3179" s="392"/>
      <c r="F3179" s="386"/>
      <c r="G3179" s="392"/>
      <c r="H3179" s="386"/>
      <c r="I3179" s="392"/>
      <c r="J3179" s="386"/>
      <c r="K3179" s="392"/>
      <c r="L3179" s="386"/>
      <c r="M3179" s="392"/>
      <c r="N3179" s="386"/>
      <c r="O3179" s="190"/>
    </row>
    <row r="3180" spans="2:15" ht="17" thickBot="1" x14ac:dyDescent="0.25">
      <c r="C3180" s="825" t="s">
        <v>19</v>
      </c>
      <c r="D3180" s="826"/>
      <c r="E3180" s="380"/>
      <c r="F3180" s="376">
        <f>(F3143+F3144+F3145+F3146+F3147+F3148+F3164+F3151+F3152+F3149+F3150+F3153+F3154+F3155+F3156+F3157+F3158+F3159+F3160+F3161+F3162+F3163+F3165+F3166+F3168+F3169+F3170+F3171+F3172+F3173+F3174+F3175+F3176+F3179)/2</f>
        <v>56</v>
      </c>
      <c r="G3180" s="397">
        <f>(G3143+G3144+G3145+G3146+G3147+G3164+G3148+G3152+G3151+G3149+G3150+G3153+G3154+G3155+G3156+G3157+G3158+G3159+G3160+G3161+G3162+G3163+G3165+G3166+G3168+G3169+G3170+G3171+G3172+G3173+G3174+G3175)/2</f>
        <v>33</v>
      </c>
      <c r="H3180" s="399">
        <f>(H3143+H3144+H3145+H3146+H3147+H3148+H3164+H3167+H3151+H3152+H3149+H3150+H3153+H3154+H3155+H3156+H3157+H3158+H3159+H3160+H3161+H3162+H3163+H3165+H3166+H3168+H3169+H3170+H3171+H3172+H3173+H3174+H3175+H3176+H3179)/2</f>
        <v>14</v>
      </c>
      <c r="I3180" s="398">
        <f>(I3143+I3144+I3145+I3146+I3147+I3177+I3178+I3148+I3164+I3151+I3167+I3152+I3149+I3150+I3153+I3154+I3155+I3156+I3157+I3158+I3159+I3160+I3161+I3162+I3163+I3165+I3166+I3168+I3169+I3170+I3171+I3172+I3173+I3174+I3175+I3176+I3179)/2</f>
        <v>22</v>
      </c>
      <c r="J3180" s="376">
        <f>(J3143+J3144+J3145+J3146+J3147+J3148+J3152+J3149+J3151+J3150+J3167+J3153+J3154+J3155+J3156+J3157+J3158+J3159+J3160+J3161+J3162+J3163+J3164+J3165+J3166+J3168+J3169+J3170+J3171+J3172+J3173+J3174+J3175)/2</f>
        <v>27</v>
      </c>
      <c r="K3180" s="397">
        <f>(K3143+K3144+K3145+K3146+K3147+K3148+K3152+K3149+K3150+K3153+K3154+K3155+K3156+K3157+K3158+K3159+K3160+K3161+K3162+K3163+K3165+K3166+K3168+K3169+K3170+K3171+K3172+K3173+K3174+K3175+K3164)</f>
        <v>0</v>
      </c>
      <c r="L3180" s="399">
        <f>SUM(L3143:L3179)</f>
        <v>0</v>
      </c>
      <c r="M3180" s="398">
        <f>(M3143+M3144+M3145+M3146+M3147+M3148+M3152+M3151+M3149+M3150+M3153+M3154+M3155+M3156+M3157+M3158+M3159+M3160+M3161+M3162+M3163+M3165+M3166+M3168+M3169+M3170+M3171+M3172+M3173+M3174+M3175)/2</f>
        <v>0</v>
      </c>
      <c r="N3180" s="376"/>
      <c r="O3180" s="41"/>
    </row>
    <row r="3181" spans="2:15" ht="17" thickBot="1" x14ac:dyDescent="0.25">
      <c r="C3181" s="825" t="s">
        <v>91</v>
      </c>
      <c r="D3181" s="826"/>
      <c r="E3181" s="381">
        <f>SUM(F3180:J3180)</f>
        <v>152</v>
      </c>
    </row>
    <row r="3182" spans="2:15" ht="16" thickBot="1" x14ac:dyDescent="0.25"/>
    <row r="3183" spans="2:15" ht="17" thickBot="1" x14ac:dyDescent="0.25">
      <c r="C3183" s="17"/>
      <c r="D3183" s="379" t="s">
        <v>83</v>
      </c>
      <c r="E3183" s="818" t="s">
        <v>64</v>
      </c>
      <c r="F3183" s="819"/>
      <c r="G3183" s="819"/>
      <c r="H3183" s="819"/>
      <c r="I3183" s="819"/>
      <c r="J3183" s="400" t="s">
        <v>76</v>
      </c>
      <c r="K3183" s="820">
        <v>45762</v>
      </c>
      <c r="L3183" s="821"/>
      <c r="M3183" s="821"/>
      <c r="N3183" s="821"/>
      <c r="O3183" s="822"/>
    </row>
    <row r="3184" spans="2:15" ht="16" thickBot="1" x14ac:dyDescent="0.25">
      <c r="B3184" s="175" t="s">
        <v>76</v>
      </c>
      <c r="C3184" s="175" t="s">
        <v>77</v>
      </c>
      <c r="D3184" s="823" t="s">
        <v>122</v>
      </c>
      <c r="E3184" s="824"/>
      <c r="F3184" s="175" t="s">
        <v>104</v>
      </c>
      <c r="G3184" s="395" t="s">
        <v>86</v>
      </c>
      <c r="H3184" s="175" t="s">
        <v>88</v>
      </c>
      <c r="I3184" s="395" t="s">
        <v>87</v>
      </c>
      <c r="J3184" s="401" t="s">
        <v>85</v>
      </c>
      <c r="K3184" s="395" t="s">
        <v>123</v>
      </c>
      <c r="L3184" s="175" t="s">
        <v>124</v>
      </c>
      <c r="M3184" s="395" t="s">
        <v>100</v>
      </c>
      <c r="N3184" s="175" t="s">
        <v>213</v>
      </c>
      <c r="O3184" s="404" t="s">
        <v>125</v>
      </c>
    </row>
    <row r="3185" spans="2:15" ht="16" thickBot="1" x14ac:dyDescent="0.25">
      <c r="B3185" s="176">
        <f>K3183</f>
        <v>45762</v>
      </c>
      <c r="C3185" s="374"/>
      <c r="D3185" s="375" t="s">
        <v>126</v>
      </c>
      <c r="E3185" s="387" t="s">
        <v>127</v>
      </c>
      <c r="F3185" s="331">
        <v>8</v>
      </c>
      <c r="G3185" s="237">
        <v>4</v>
      </c>
      <c r="H3185" s="331">
        <v>2</v>
      </c>
      <c r="I3185" s="237">
        <v>3</v>
      </c>
      <c r="J3185" s="331">
        <v>5</v>
      </c>
      <c r="K3185" s="231"/>
      <c r="L3185" s="125"/>
      <c r="M3185" s="231"/>
      <c r="N3185" s="125"/>
      <c r="O3185" s="326"/>
    </row>
    <row r="3186" spans="2:15" ht="16" x14ac:dyDescent="0.2">
      <c r="C3186" s="118">
        <v>1</v>
      </c>
      <c r="D3186" s="382">
        <v>0.77083333333333337</v>
      </c>
      <c r="E3186" s="388">
        <v>0.79166666666666663</v>
      </c>
      <c r="F3186" s="393"/>
      <c r="G3186" s="396">
        <v>28</v>
      </c>
      <c r="H3186" s="393"/>
      <c r="I3186" s="396"/>
      <c r="J3186" s="393"/>
      <c r="K3186" s="396"/>
      <c r="L3186" s="393"/>
      <c r="M3186" s="396"/>
      <c r="N3186" s="393"/>
      <c r="O3186" s="190"/>
    </row>
    <row r="3187" spans="2:15" ht="16" x14ac:dyDescent="0.2">
      <c r="C3187" s="119">
        <v>2</v>
      </c>
      <c r="D3187" s="383">
        <v>0.79166666666666663</v>
      </c>
      <c r="E3187" s="389">
        <v>0.8125</v>
      </c>
      <c r="F3187" s="385"/>
      <c r="G3187" s="391">
        <v>28</v>
      </c>
      <c r="H3187" s="385"/>
      <c r="I3187" s="391"/>
      <c r="J3187" s="385"/>
      <c r="K3187" s="391"/>
      <c r="L3187" s="385"/>
      <c r="M3187" s="391"/>
      <c r="N3187" s="385"/>
      <c r="O3187" s="190"/>
    </row>
    <row r="3188" spans="2:15" ht="16" x14ac:dyDescent="0.2">
      <c r="C3188" s="119">
        <v>3</v>
      </c>
      <c r="D3188" s="383">
        <v>0.8125</v>
      </c>
      <c r="E3188" s="389">
        <v>0.83333333333333337</v>
      </c>
      <c r="F3188" s="385"/>
      <c r="G3188" s="391"/>
      <c r="H3188" s="385">
        <v>28</v>
      </c>
      <c r="I3188" s="391"/>
      <c r="J3188" s="385"/>
      <c r="K3188" s="391"/>
      <c r="L3188" s="384"/>
      <c r="M3188" s="391"/>
      <c r="N3188" s="385"/>
      <c r="O3188" s="190"/>
    </row>
    <row r="3189" spans="2:15" ht="16" x14ac:dyDescent="0.2">
      <c r="C3189" s="119">
        <v>4</v>
      </c>
      <c r="D3189" s="383">
        <v>0.84722222222222221</v>
      </c>
      <c r="E3189" s="389">
        <v>0.86805555555555547</v>
      </c>
      <c r="F3189" s="385">
        <v>28</v>
      </c>
      <c r="G3189" s="391"/>
      <c r="H3189" s="316"/>
      <c r="I3189" s="391"/>
      <c r="J3189" s="385"/>
      <c r="K3189" s="391"/>
      <c r="L3189" s="402"/>
      <c r="M3189" s="391"/>
      <c r="N3189" s="385"/>
      <c r="O3189" s="190"/>
    </row>
    <row r="3190" spans="2:15" ht="16" x14ac:dyDescent="0.2">
      <c r="C3190" s="119">
        <v>5</v>
      </c>
      <c r="D3190" s="383">
        <v>0.86805555555555547</v>
      </c>
      <c r="E3190" s="389">
        <v>0.88888888888888884</v>
      </c>
      <c r="F3190" s="385">
        <v>28</v>
      </c>
      <c r="G3190" s="391"/>
      <c r="H3190" s="316"/>
      <c r="I3190" s="391"/>
      <c r="J3190" s="385"/>
      <c r="K3190" s="391"/>
      <c r="L3190" s="393"/>
      <c r="M3190" s="391"/>
      <c r="N3190" s="385"/>
      <c r="O3190" s="190"/>
    </row>
    <row r="3191" spans="2:15" ht="16" x14ac:dyDescent="0.2">
      <c r="C3191" s="119">
        <v>6</v>
      </c>
      <c r="D3191" s="383">
        <v>0.88888888888888884</v>
      </c>
      <c r="E3191" s="389">
        <v>0.90972222222222221</v>
      </c>
      <c r="F3191" s="385">
        <v>28</v>
      </c>
      <c r="G3191" s="391"/>
      <c r="H3191" s="316"/>
      <c r="I3191" s="391"/>
      <c r="J3191" s="385"/>
      <c r="K3191" s="391"/>
      <c r="L3191" s="393"/>
      <c r="M3191" s="391"/>
      <c r="N3191" s="385"/>
      <c r="O3191" s="190"/>
    </row>
    <row r="3192" spans="2:15" ht="16" x14ac:dyDescent="0.2">
      <c r="C3192" s="119">
        <v>7</v>
      </c>
      <c r="D3192" s="383">
        <v>0.90972222222222221</v>
      </c>
      <c r="E3192" s="389">
        <v>0.93055555555555547</v>
      </c>
      <c r="F3192" s="385">
        <v>28</v>
      </c>
      <c r="G3192" s="391"/>
      <c r="H3192" s="316"/>
      <c r="I3192" s="391"/>
      <c r="J3192" s="385"/>
      <c r="K3192" s="391"/>
      <c r="L3192" s="393"/>
      <c r="M3192" s="391"/>
      <c r="N3192" s="385"/>
      <c r="O3192" s="190"/>
    </row>
    <row r="3193" spans="2:15" ht="16" x14ac:dyDescent="0.2">
      <c r="C3193" s="119">
        <v>8</v>
      </c>
      <c r="D3193" s="383">
        <v>0.9375</v>
      </c>
      <c r="E3193" s="389">
        <v>0.95833333333333337</v>
      </c>
      <c r="F3193" s="385"/>
      <c r="G3193" s="391"/>
      <c r="H3193" s="316"/>
      <c r="I3193" s="391"/>
      <c r="J3193" s="385">
        <v>36</v>
      </c>
      <c r="K3193" s="391"/>
      <c r="L3193" s="385"/>
      <c r="M3193" s="391"/>
      <c r="N3193" s="385"/>
      <c r="O3193" s="190"/>
    </row>
    <row r="3194" spans="2:15" ht="16" x14ac:dyDescent="0.2">
      <c r="C3194" s="119">
        <v>9</v>
      </c>
      <c r="D3194" s="383">
        <v>0.95833333333333337</v>
      </c>
      <c r="E3194" s="389">
        <v>0.97916666666666663</v>
      </c>
      <c r="F3194" s="385"/>
      <c r="G3194" s="391"/>
      <c r="H3194" s="316"/>
      <c r="I3194" s="391"/>
      <c r="J3194" s="385">
        <v>36</v>
      </c>
      <c r="K3194" s="391"/>
      <c r="L3194" s="385"/>
      <c r="M3194" s="391"/>
      <c r="N3194" s="385"/>
      <c r="O3194" s="190"/>
    </row>
    <row r="3195" spans="2:15" ht="16" x14ac:dyDescent="0.2">
      <c r="C3195" s="119">
        <v>10</v>
      </c>
      <c r="D3195" s="383">
        <v>0.97916666666666663</v>
      </c>
      <c r="E3195" s="389">
        <v>0</v>
      </c>
      <c r="F3195" s="385"/>
      <c r="G3195" s="391"/>
      <c r="H3195" s="316"/>
      <c r="I3195" s="391"/>
      <c r="J3195" s="385">
        <v>18</v>
      </c>
      <c r="K3195" s="391"/>
      <c r="L3195" s="385"/>
      <c r="M3195" s="391"/>
      <c r="N3195" s="385"/>
      <c r="O3195" s="190"/>
    </row>
    <row r="3196" spans="2:15" ht="16" x14ac:dyDescent="0.2">
      <c r="C3196" s="119">
        <v>11</v>
      </c>
      <c r="D3196" s="383">
        <v>0.97916666666666663</v>
      </c>
      <c r="E3196" s="389">
        <v>0</v>
      </c>
      <c r="F3196" s="385"/>
      <c r="G3196" s="391"/>
      <c r="H3196" s="316"/>
      <c r="I3196" s="391">
        <v>22</v>
      </c>
      <c r="J3196" s="28"/>
      <c r="K3196" s="391"/>
      <c r="L3196" s="385"/>
      <c r="M3196" s="391"/>
      <c r="N3196" s="385"/>
      <c r="O3196" s="190"/>
    </row>
    <row r="3197" spans="2:15" ht="16" x14ac:dyDescent="0.2">
      <c r="C3197" s="193">
        <v>12</v>
      </c>
      <c r="D3197" s="383">
        <v>0</v>
      </c>
      <c r="E3197" s="389">
        <v>2.0833333333333332E-2</v>
      </c>
      <c r="F3197" s="385"/>
      <c r="G3197" s="391"/>
      <c r="H3197" s="316"/>
      <c r="I3197" s="391">
        <v>44</v>
      </c>
      <c r="J3197" s="385"/>
      <c r="K3197" s="391"/>
      <c r="L3197" s="385"/>
      <c r="M3197" s="391"/>
      <c r="N3197" s="385"/>
      <c r="O3197" s="190"/>
    </row>
    <row r="3198" spans="2:15" ht="16" x14ac:dyDescent="0.2">
      <c r="C3198" s="119">
        <v>13</v>
      </c>
      <c r="D3198" s="383"/>
      <c r="E3198" s="389"/>
      <c r="F3198" s="385"/>
      <c r="G3198" s="391"/>
      <c r="H3198" s="316"/>
      <c r="I3198" s="391"/>
      <c r="J3198" s="385"/>
      <c r="K3198" s="391"/>
      <c r="L3198" s="385"/>
      <c r="M3198" s="391"/>
      <c r="N3198" s="385"/>
      <c r="O3198" s="190"/>
    </row>
    <row r="3199" spans="2:15" ht="16" x14ac:dyDescent="0.2">
      <c r="C3199" s="119">
        <v>14</v>
      </c>
      <c r="D3199" s="383"/>
      <c r="E3199" s="389"/>
      <c r="F3199" s="385"/>
      <c r="G3199" s="391"/>
      <c r="H3199" s="316"/>
      <c r="I3199" s="391"/>
      <c r="J3199" s="385"/>
      <c r="K3199" s="391"/>
      <c r="L3199" s="385"/>
      <c r="M3199" s="391"/>
      <c r="N3199" s="385"/>
      <c r="O3199" s="190"/>
    </row>
    <row r="3200" spans="2:15" ht="16" x14ac:dyDescent="0.2">
      <c r="C3200" s="119">
        <v>15</v>
      </c>
      <c r="D3200" s="383"/>
      <c r="E3200" s="389"/>
      <c r="F3200" s="385"/>
      <c r="G3200" s="391"/>
      <c r="H3200" s="316"/>
      <c r="I3200" s="391"/>
      <c r="J3200" s="385"/>
      <c r="K3200" s="391"/>
      <c r="L3200" s="385"/>
      <c r="M3200" s="391"/>
      <c r="N3200" s="385"/>
      <c r="O3200" s="190"/>
    </row>
    <row r="3201" spans="3:15" ht="16" x14ac:dyDescent="0.2">
      <c r="C3201" s="119">
        <v>16</v>
      </c>
      <c r="D3201" s="383"/>
      <c r="E3201" s="389"/>
      <c r="F3201" s="385"/>
      <c r="G3201" s="391"/>
      <c r="H3201" s="316"/>
      <c r="I3201" s="391"/>
      <c r="J3201" s="385"/>
      <c r="K3201" s="391"/>
      <c r="L3201" s="385"/>
      <c r="M3201" s="391"/>
      <c r="N3201" s="385"/>
      <c r="O3201" s="190"/>
    </row>
    <row r="3202" spans="3:15" ht="16" x14ac:dyDescent="0.2">
      <c r="C3202" s="119">
        <v>17</v>
      </c>
      <c r="D3202" s="383"/>
      <c r="E3202" s="389"/>
      <c r="F3202" s="384"/>
      <c r="G3202" s="33"/>
      <c r="H3202" s="316"/>
      <c r="I3202" s="390"/>
      <c r="J3202" s="385"/>
      <c r="K3202" s="391"/>
      <c r="L3202" s="385"/>
      <c r="M3202" s="391"/>
      <c r="N3202" s="385"/>
      <c r="O3202" s="190"/>
    </row>
    <row r="3203" spans="3:15" ht="16" x14ac:dyDescent="0.2">
      <c r="C3203" s="119">
        <v>18</v>
      </c>
      <c r="D3203" s="383"/>
      <c r="E3203" s="389"/>
      <c r="F3203" s="394"/>
      <c r="G3203" s="229"/>
      <c r="H3203" s="394"/>
      <c r="I3203" s="391"/>
      <c r="J3203" s="385"/>
      <c r="K3203" s="391"/>
      <c r="L3203" s="385"/>
      <c r="M3203" s="391"/>
      <c r="N3203" s="385"/>
      <c r="O3203" s="190"/>
    </row>
    <row r="3204" spans="3:15" ht="16" x14ac:dyDescent="0.2">
      <c r="C3204" s="119">
        <v>19</v>
      </c>
      <c r="D3204" s="383"/>
      <c r="E3204" s="389"/>
      <c r="F3204" s="385"/>
      <c r="G3204" s="391"/>
      <c r="H3204" s="385"/>
      <c r="I3204" s="391"/>
      <c r="J3204" s="385"/>
      <c r="K3204" s="391"/>
      <c r="L3204" s="403"/>
      <c r="M3204" s="391"/>
      <c r="N3204" s="385"/>
      <c r="O3204" s="190"/>
    </row>
    <row r="3205" spans="3:15" ht="16" x14ac:dyDescent="0.2">
      <c r="C3205" s="119">
        <v>20</v>
      </c>
      <c r="D3205" s="383"/>
      <c r="E3205" s="389"/>
      <c r="F3205" s="385"/>
      <c r="G3205" s="391"/>
      <c r="H3205" s="385"/>
      <c r="I3205" s="391"/>
      <c r="J3205" s="385"/>
      <c r="K3205" s="391"/>
      <c r="L3205" s="403"/>
      <c r="M3205" s="391"/>
      <c r="N3205" s="385"/>
      <c r="O3205" s="190"/>
    </row>
    <row r="3206" spans="3:15" ht="16" x14ac:dyDescent="0.2">
      <c r="C3206" s="119">
        <v>21</v>
      </c>
      <c r="D3206" s="383"/>
      <c r="E3206" s="389"/>
      <c r="F3206" s="385"/>
      <c r="G3206" s="391"/>
      <c r="H3206" s="385"/>
      <c r="I3206" s="391"/>
      <c r="J3206" s="385"/>
      <c r="K3206" s="391"/>
      <c r="L3206" s="385"/>
      <c r="M3206" s="391"/>
      <c r="N3206" s="385"/>
      <c r="O3206" s="190"/>
    </row>
    <row r="3207" spans="3:15" ht="16" x14ac:dyDescent="0.2">
      <c r="C3207" s="119">
        <v>22</v>
      </c>
      <c r="D3207" s="383"/>
      <c r="E3207" s="389"/>
      <c r="F3207" s="385"/>
      <c r="G3207" s="391"/>
      <c r="H3207" s="385"/>
      <c r="I3207" s="391"/>
      <c r="J3207" s="385"/>
      <c r="K3207" s="391"/>
      <c r="L3207" s="385"/>
      <c r="M3207" s="391"/>
      <c r="N3207" s="385"/>
      <c r="O3207" s="190"/>
    </row>
    <row r="3208" spans="3:15" ht="16" x14ac:dyDescent="0.2">
      <c r="C3208" s="119">
        <v>23</v>
      </c>
      <c r="D3208" s="383"/>
      <c r="E3208" s="389"/>
      <c r="F3208" s="385"/>
      <c r="G3208" s="391"/>
      <c r="H3208" s="385"/>
      <c r="I3208" s="391"/>
      <c r="J3208" s="385"/>
      <c r="K3208" s="391"/>
      <c r="L3208" s="385"/>
      <c r="M3208" s="391"/>
      <c r="N3208" s="385"/>
      <c r="O3208" s="190"/>
    </row>
    <row r="3209" spans="3:15" ht="16" x14ac:dyDescent="0.2">
      <c r="C3209" s="119">
        <v>24</v>
      </c>
      <c r="D3209" s="383"/>
      <c r="E3209" s="389"/>
      <c r="F3209" s="385"/>
      <c r="G3209" s="391"/>
      <c r="H3209" s="385"/>
      <c r="I3209" s="391"/>
      <c r="J3209" s="385"/>
      <c r="K3209" s="391"/>
      <c r="L3209" s="385"/>
      <c r="M3209" s="391"/>
      <c r="N3209" s="385"/>
      <c r="O3209" s="190"/>
    </row>
    <row r="3210" spans="3:15" ht="16" x14ac:dyDescent="0.2">
      <c r="C3210" s="119">
        <v>25</v>
      </c>
      <c r="D3210" s="383"/>
      <c r="E3210" s="389"/>
      <c r="F3210" s="385"/>
      <c r="G3210" s="391"/>
      <c r="H3210" s="385"/>
      <c r="I3210" s="391"/>
      <c r="J3210" s="385"/>
      <c r="K3210" s="391"/>
      <c r="L3210" s="385"/>
      <c r="M3210" s="391"/>
      <c r="N3210" s="385"/>
      <c r="O3210" s="190"/>
    </row>
    <row r="3211" spans="3:15" ht="16" x14ac:dyDescent="0.2">
      <c r="C3211" s="119">
        <v>26</v>
      </c>
      <c r="D3211" s="383"/>
      <c r="E3211" s="389"/>
      <c r="F3211" s="385"/>
      <c r="G3211" s="391"/>
      <c r="H3211" s="385"/>
      <c r="I3211" s="391"/>
      <c r="J3211" s="385"/>
      <c r="K3211" s="391"/>
      <c r="L3211" s="385"/>
      <c r="M3211" s="391"/>
      <c r="N3211" s="385"/>
      <c r="O3211" s="190"/>
    </row>
    <row r="3212" spans="3:15" ht="16" x14ac:dyDescent="0.2">
      <c r="C3212" s="119">
        <v>27</v>
      </c>
      <c r="D3212" s="383"/>
      <c r="E3212" s="389"/>
      <c r="F3212" s="385"/>
      <c r="G3212" s="391"/>
      <c r="H3212" s="385"/>
      <c r="I3212" s="391"/>
      <c r="J3212" s="385"/>
      <c r="K3212" s="391"/>
      <c r="L3212" s="385"/>
      <c r="M3212" s="391"/>
      <c r="N3212" s="385"/>
      <c r="O3212" s="190"/>
    </row>
    <row r="3213" spans="3:15" ht="16" x14ac:dyDescent="0.2">
      <c r="C3213" s="119">
        <v>28</v>
      </c>
      <c r="D3213" s="383"/>
      <c r="E3213" s="389"/>
      <c r="F3213" s="385"/>
      <c r="G3213" s="391"/>
      <c r="H3213" s="385"/>
      <c r="I3213" s="391"/>
      <c r="J3213" s="385"/>
      <c r="K3213" s="391"/>
      <c r="L3213" s="385"/>
      <c r="M3213" s="391"/>
      <c r="N3213" s="385"/>
      <c r="O3213" s="190"/>
    </row>
    <row r="3214" spans="3:15" ht="16" x14ac:dyDescent="0.2">
      <c r="C3214" s="119">
        <v>29</v>
      </c>
      <c r="D3214" s="383"/>
      <c r="E3214" s="389"/>
      <c r="F3214" s="385"/>
      <c r="G3214" s="391"/>
      <c r="H3214" s="385"/>
      <c r="I3214" s="391"/>
      <c r="J3214" s="385"/>
      <c r="K3214" s="391"/>
      <c r="L3214" s="385"/>
      <c r="M3214" s="391"/>
      <c r="N3214" s="385"/>
      <c r="O3214" s="190"/>
    </row>
    <row r="3215" spans="3:15" ht="16" x14ac:dyDescent="0.2">
      <c r="C3215" s="119">
        <v>30</v>
      </c>
      <c r="D3215" s="383"/>
      <c r="E3215" s="389"/>
      <c r="F3215" s="385"/>
      <c r="G3215" s="391"/>
      <c r="H3215" s="385"/>
      <c r="I3215" s="391"/>
      <c r="J3215" s="385"/>
      <c r="K3215" s="391"/>
      <c r="L3215" s="385"/>
      <c r="M3215" s="391"/>
      <c r="N3215" s="385"/>
      <c r="O3215" s="190"/>
    </row>
    <row r="3216" spans="3:15" ht="16" x14ac:dyDescent="0.2">
      <c r="C3216" s="120">
        <v>31</v>
      </c>
      <c r="D3216" s="383"/>
      <c r="E3216" s="389"/>
      <c r="F3216" s="384"/>
      <c r="G3216" s="390"/>
      <c r="H3216" s="384"/>
      <c r="I3216" s="390"/>
      <c r="J3216" s="384"/>
      <c r="K3216" s="390"/>
      <c r="L3216" s="384"/>
      <c r="M3216" s="390"/>
      <c r="N3216" s="384"/>
      <c r="O3216" s="190"/>
    </row>
    <row r="3217" spans="2:15" ht="16" x14ac:dyDescent="0.2">
      <c r="B3217" s="256"/>
      <c r="C3217" s="377">
        <v>32</v>
      </c>
      <c r="D3217" s="384"/>
      <c r="E3217" s="390"/>
      <c r="F3217" s="384"/>
      <c r="G3217" s="390"/>
      <c r="H3217" s="384"/>
      <c r="I3217" s="390"/>
      <c r="J3217" s="384"/>
      <c r="K3217" s="390"/>
      <c r="L3217" s="384"/>
      <c r="M3217" s="390"/>
      <c r="N3217" s="384"/>
      <c r="O3217" s="190"/>
    </row>
    <row r="3218" spans="2:15" ht="16" x14ac:dyDescent="0.2">
      <c r="B3218" s="256"/>
      <c r="C3218" s="119">
        <v>33</v>
      </c>
      <c r="D3218" s="385"/>
      <c r="E3218" s="391"/>
      <c r="F3218" s="385"/>
      <c r="G3218" s="391"/>
      <c r="H3218" s="385"/>
      <c r="I3218" s="391"/>
      <c r="J3218" s="385"/>
      <c r="K3218" s="391"/>
      <c r="L3218" s="385"/>
      <c r="M3218" s="391"/>
      <c r="N3218" s="385"/>
      <c r="O3218" s="190"/>
    </row>
    <row r="3219" spans="2:15" ht="16" x14ac:dyDescent="0.2">
      <c r="B3219" s="256"/>
      <c r="C3219" s="119">
        <v>34</v>
      </c>
      <c r="D3219" s="385"/>
      <c r="E3219" s="391"/>
      <c r="F3219" s="385"/>
      <c r="G3219" s="391"/>
      <c r="H3219" s="385"/>
      <c r="I3219" s="391"/>
      <c r="J3219" s="385"/>
      <c r="K3219" s="391"/>
      <c r="L3219" s="385"/>
      <c r="M3219" s="391"/>
      <c r="N3219" s="385"/>
      <c r="O3219" s="190"/>
    </row>
    <row r="3220" spans="2:15" ht="16" x14ac:dyDescent="0.2">
      <c r="B3220" s="256"/>
      <c r="C3220" s="119">
        <v>35</v>
      </c>
      <c r="D3220" s="385"/>
      <c r="E3220" s="391"/>
      <c r="F3220" s="385"/>
      <c r="G3220" s="391"/>
      <c r="H3220" s="385"/>
      <c r="I3220" s="391"/>
      <c r="J3220" s="385"/>
      <c r="K3220" s="391"/>
      <c r="L3220" s="385"/>
      <c r="M3220" s="391"/>
      <c r="N3220" s="385"/>
      <c r="O3220" s="190"/>
    </row>
    <row r="3221" spans="2:15" ht="16" x14ac:dyDescent="0.2">
      <c r="B3221" s="256"/>
      <c r="C3221" s="119">
        <v>36</v>
      </c>
      <c r="D3221" s="385"/>
      <c r="E3221" s="391"/>
      <c r="F3221" s="385"/>
      <c r="G3221" s="391"/>
      <c r="H3221" s="385"/>
      <c r="I3221" s="391"/>
      <c r="J3221" s="385"/>
      <c r="K3221" s="391"/>
      <c r="L3221" s="385"/>
      <c r="M3221" s="391"/>
      <c r="N3221" s="385"/>
      <c r="O3221" s="190"/>
    </row>
    <row r="3222" spans="2:15" ht="17" thickBot="1" x14ac:dyDescent="0.25">
      <c r="B3222" s="256"/>
      <c r="C3222" s="378">
        <v>37</v>
      </c>
      <c r="D3222" s="386"/>
      <c r="E3222" s="392"/>
      <c r="F3222" s="386"/>
      <c r="G3222" s="392"/>
      <c r="H3222" s="386"/>
      <c r="I3222" s="392"/>
      <c r="J3222" s="386"/>
      <c r="K3222" s="392"/>
      <c r="L3222" s="386"/>
      <c r="M3222" s="392"/>
      <c r="N3222" s="386"/>
      <c r="O3222" s="190"/>
    </row>
    <row r="3223" spans="2:15" ht="17" thickBot="1" x14ac:dyDescent="0.25">
      <c r="C3223" s="825" t="s">
        <v>19</v>
      </c>
      <c r="D3223" s="826"/>
      <c r="E3223" s="380"/>
      <c r="F3223" s="376">
        <f>(F3186+F3187+F3188+F3189+F3190+F3191+F3207+F3194+F3195+F3192+F3193+F3196+F3197+F3198+F3199+F3200+F3201+F3202+F3203+F3204+F3205+F3206+F3208+F3209+F3211+F3212+F3213+F3214+F3215+F3216+F3217+F3218+F3219+F3222)/2</f>
        <v>56</v>
      </c>
      <c r="G3223" s="397">
        <f>(G3186+G3187+G3188+G3189+G3190+G3207+G3191+G3195+G3194+G3192+G3193+G3196+G3197+G3198+G3199+G3200+G3201+G3202+G3203+G3204+G3205+G3206+G3208+G3209+G3211+G3212+G3213+G3214+G3215+G3216+G3217+G3218)/2</f>
        <v>28</v>
      </c>
      <c r="H3223" s="399">
        <f>(H3186+H3187+H3188+H3189+H3190+H3191+H3207+H3210+H3194+H3195+H3192+H3193+H3196+H3197+H3198+H3199+H3200+H3201+H3202+H3203+H3204+H3205+H3206+H3208+H3209+H3211+H3212+H3213+H3214+H3215+H3216+H3217+H3218+H3219+H3222)/2</f>
        <v>14</v>
      </c>
      <c r="I3223" s="398">
        <f>(I3186+I3187+I3188+I3189+I3190+I3220+I3221+I3191+I3207+I3194+I3210+I3195+I3192+I3193+I3196+I3197+I3198+I3199+I3200+I3201+I3202+I3203+I3204+I3205+I3206+I3208+I3209+I3211+I3212+I3213+I3214+I3215+I3216+I3217+I3218+I3219+I3222)/2</f>
        <v>33</v>
      </c>
      <c r="J3223" s="376">
        <f>(J3186+J3187+J3188+J3189+J3190+J3191+J3195+J3192+J3194+J3193+J3210+J3196+J3197+J3198+J3199+J3200+J3201+J3202+J3203+J3204+J3205+J3206+J3207+J3208+J3209+J3211+J3212+J3213+J3214+J3215+J3216+J3217+J3218)/2</f>
        <v>45</v>
      </c>
      <c r="K3223" s="397">
        <f>(K3186+K3187+K3188+K3189+K3190+K3191+K3195+K3192+K3193+K3196+K3197+K3198+K3199+K3200+K3201+K3202+K3203+K3204+K3205+K3206+K3208+K3209+K3211+K3212+K3213+K3214+K3215+K3216+K3217+K3218+K3207)</f>
        <v>0</v>
      </c>
      <c r="L3223" s="399">
        <f>SUM(L3186:L3222)</f>
        <v>0</v>
      </c>
      <c r="M3223" s="398">
        <f>(M3186+M3187+M3188+M3189+M3190+M3191+M3195+M3194+M3192+M3193+M3196+M3197+M3198+M3199+M3200+M3201+M3202+M3203+M3204+M3205+M3206+M3208+M3209+M3211+M3212+M3213+M3214+M3215+M3216+M3217+M3218)/2</f>
        <v>0</v>
      </c>
      <c r="N3223" s="376"/>
      <c r="O3223" s="41"/>
    </row>
    <row r="3224" spans="2:15" ht="17" thickBot="1" x14ac:dyDescent="0.25">
      <c r="C3224" s="825" t="s">
        <v>91</v>
      </c>
      <c r="D3224" s="826"/>
      <c r="E3224" s="381">
        <f>SUM(F3223:J3223)</f>
        <v>176</v>
      </c>
    </row>
    <row r="3225" spans="2:15" ht="16" thickBot="1" x14ac:dyDescent="0.25"/>
    <row r="3226" spans="2:15" ht="17" thickBot="1" x14ac:dyDescent="0.25">
      <c r="C3226" s="17"/>
      <c r="D3226" s="379" t="s">
        <v>83</v>
      </c>
      <c r="E3226" s="818" t="s">
        <v>65</v>
      </c>
      <c r="F3226" s="819"/>
      <c r="G3226" s="819"/>
      <c r="H3226" s="819"/>
      <c r="I3226" s="819"/>
      <c r="J3226" s="400" t="s">
        <v>76</v>
      </c>
      <c r="K3226" s="820">
        <v>45763</v>
      </c>
      <c r="L3226" s="821"/>
      <c r="M3226" s="821"/>
      <c r="N3226" s="821"/>
      <c r="O3226" s="822"/>
    </row>
    <row r="3227" spans="2:15" ht="16" thickBot="1" x14ac:dyDescent="0.25">
      <c r="B3227" s="175" t="s">
        <v>76</v>
      </c>
      <c r="C3227" s="175" t="s">
        <v>77</v>
      </c>
      <c r="D3227" s="823" t="s">
        <v>122</v>
      </c>
      <c r="E3227" s="824"/>
      <c r="F3227" s="175" t="s">
        <v>104</v>
      </c>
      <c r="G3227" s="395" t="s">
        <v>86</v>
      </c>
      <c r="H3227" s="175" t="s">
        <v>88</v>
      </c>
      <c r="I3227" s="395" t="s">
        <v>87</v>
      </c>
      <c r="J3227" s="401" t="s">
        <v>85</v>
      </c>
      <c r="K3227" s="395" t="s">
        <v>123</v>
      </c>
      <c r="L3227" s="175" t="s">
        <v>124</v>
      </c>
      <c r="M3227" s="395" t="s">
        <v>100</v>
      </c>
      <c r="N3227" s="175" t="s">
        <v>213</v>
      </c>
      <c r="O3227" s="404" t="s">
        <v>125</v>
      </c>
    </row>
    <row r="3228" spans="2:15" ht="16" thickBot="1" x14ac:dyDescent="0.25">
      <c r="B3228" s="176">
        <f>K3226</f>
        <v>45763</v>
      </c>
      <c r="C3228" s="374"/>
      <c r="D3228" s="375" t="s">
        <v>126</v>
      </c>
      <c r="E3228" s="387" t="s">
        <v>127</v>
      </c>
      <c r="F3228" s="331">
        <v>9</v>
      </c>
      <c r="G3228" s="237">
        <v>7</v>
      </c>
      <c r="H3228" s="331">
        <v>0</v>
      </c>
      <c r="I3228" s="237">
        <v>5</v>
      </c>
      <c r="J3228" s="331">
        <v>9</v>
      </c>
      <c r="K3228" s="231"/>
      <c r="L3228" s="125"/>
      <c r="M3228" s="231"/>
      <c r="N3228" s="125"/>
      <c r="O3228" s="326"/>
    </row>
    <row r="3229" spans="2:15" ht="16" x14ac:dyDescent="0.2">
      <c r="C3229" s="118">
        <v>1</v>
      </c>
      <c r="D3229" s="382">
        <v>0.3263888888888889</v>
      </c>
      <c r="E3229" s="388">
        <v>0.34722222222222227</v>
      </c>
      <c r="F3229" s="393"/>
      <c r="G3229" s="396">
        <v>28</v>
      </c>
      <c r="H3229" s="393"/>
      <c r="I3229" s="396"/>
      <c r="J3229" s="393"/>
      <c r="K3229" s="396"/>
      <c r="L3229" s="393"/>
      <c r="M3229" s="396"/>
      <c r="N3229" s="393"/>
      <c r="O3229" s="190"/>
    </row>
    <row r="3230" spans="2:15" ht="16" x14ac:dyDescent="0.2">
      <c r="C3230" s="119">
        <v>2</v>
      </c>
      <c r="D3230" s="383">
        <v>0.34722222222222227</v>
      </c>
      <c r="E3230" s="389">
        <v>0.36805555555555558</v>
      </c>
      <c r="F3230" s="385"/>
      <c r="G3230" s="391">
        <v>28</v>
      </c>
      <c r="H3230" s="385"/>
      <c r="I3230" s="391"/>
      <c r="J3230" s="385"/>
      <c r="K3230" s="391"/>
      <c r="L3230" s="385"/>
      <c r="M3230" s="391"/>
      <c r="N3230" s="385"/>
      <c r="O3230" s="190"/>
    </row>
    <row r="3231" spans="2:15" ht="16" x14ac:dyDescent="0.2">
      <c r="C3231" s="119">
        <v>3</v>
      </c>
      <c r="D3231" s="383">
        <v>0.37152777777777773</v>
      </c>
      <c r="E3231" s="389">
        <v>0.3923611111111111</v>
      </c>
      <c r="F3231" s="385"/>
      <c r="G3231" s="391">
        <v>28</v>
      </c>
      <c r="H3231" s="385"/>
      <c r="I3231" s="391"/>
      <c r="J3231" s="385"/>
      <c r="K3231" s="391"/>
      <c r="L3231" s="384"/>
      <c r="M3231" s="391"/>
      <c r="N3231" s="385"/>
      <c r="O3231" s="190"/>
    </row>
    <row r="3232" spans="2:15" ht="16" x14ac:dyDescent="0.2">
      <c r="C3232" s="119">
        <v>4</v>
      </c>
      <c r="D3232" s="383">
        <v>0.40277777777777773</v>
      </c>
      <c r="E3232" s="389">
        <v>0.4236111111111111</v>
      </c>
      <c r="F3232" s="385">
        <v>28</v>
      </c>
      <c r="G3232" s="391"/>
      <c r="H3232" s="316"/>
      <c r="I3232" s="391"/>
      <c r="J3232" s="385"/>
      <c r="K3232" s="391"/>
      <c r="L3232" s="402"/>
      <c r="M3232" s="391"/>
      <c r="N3232" s="385"/>
      <c r="O3232" s="190"/>
    </row>
    <row r="3233" spans="3:15" ht="16" x14ac:dyDescent="0.2">
      <c r="C3233" s="119">
        <v>5</v>
      </c>
      <c r="D3233" s="383">
        <v>0.41666666666666669</v>
      </c>
      <c r="E3233" s="389">
        <v>0.4375</v>
      </c>
      <c r="F3233" s="385"/>
      <c r="G3233" s="391">
        <v>14</v>
      </c>
      <c r="H3233" s="316"/>
      <c r="I3233" s="391"/>
      <c r="J3233" s="385"/>
      <c r="K3233" s="391"/>
      <c r="L3233" s="393"/>
      <c r="M3233" s="391"/>
      <c r="N3233" s="385"/>
      <c r="O3233" s="190"/>
    </row>
    <row r="3234" spans="3:15" ht="16" x14ac:dyDescent="0.2">
      <c r="C3234" s="119">
        <v>6</v>
      </c>
      <c r="D3234" s="383">
        <v>0.4375</v>
      </c>
      <c r="E3234" s="389">
        <v>0.45833333333333331</v>
      </c>
      <c r="F3234" s="385"/>
      <c r="G3234" s="391"/>
      <c r="H3234" s="316"/>
      <c r="I3234" s="391">
        <v>22</v>
      </c>
      <c r="J3234" s="385"/>
      <c r="K3234" s="391"/>
      <c r="L3234" s="393"/>
      <c r="M3234" s="391"/>
      <c r="N3234" s="385"/>
      <c r="O3234" s="190"/>
    </row>
    <row r="3235" spans="3:15" ht="16" x14ac:dyDescent="0.2">
      <c r="C3235" s="119">
        <v>7</v>
      </c>
      <c r="D3235" s="383">
        <v>0.4513888888888889</v>
      </c>
      <c r="E3235" s="389">
        <v>0.47222222222222227</v>
      </c>
      <c r="F3235" s="385">
        <v>14</v>
      </c>
      <c r="G3235" s="391"/>
      <c r="H3235" s="316"/>
      <c r="I3235" s="391"/>
      <c r="J3235" s="385"/>
      <c r="K3235" s="391"/>
      <c r="L3235" s="393"/>
      <c r="M3235" s="391"/>
      <c r="N3235" s="385"/>
      <c r="O3235" s="190"/>
    </row>
    <row r="3236" spans="3:15" ht="16" x14ac:dyDescent="0.2">
      <c r="C3236" s="119">
        <v>8</v>
      </c>
      <c r="D3236" s="383">
        <v>0.47222222222222227</v>
      </c>
      <c r="E3236" s="389">
        <v>0.49305555555555558</v>
      </c>
      <c r="F3236" s="385"/>
      <c r="G3236" s="391"/>
      <c r="H3236" s="316"/>
      <c r="I3236" s="391"/>
      <c r="J3236" s="385">
        <v>18</v>
      </c>
      <c r="K3236" s="391"/>
      <c r="L3236" s="385"/>
      <c r="M3236" s="391"/>
      <c r="N3236" s="385"/>
      <c r="O3236" s="190"/>
    </row>
    <row r="3237" spans="3:15" ht="16" x14ac:dyDescent="0.2">
      <c r="C3237" s="119">
        <v>9</v>
      </c>
      <c r="D3237" s="383">
        <v>0.52777777777777779</v>
      </c>
      <c r="E3237" s="389">
        <v>0.54861111111111105</v>
      </c>
      <c r="F3237" s="385"/>
      <c r="G3237" s="391"/>
      <c r="H3237" s="316"/>
      <c r="I3237" s="391">
        <v>44</v>
      </c>
      <c r="J3237" s="385"/>
      <c r="K3237" s="391"/>
      <c r="L3237" s="385"/>
      <c r="M3237" s="391"/>
      <c r="N3237" s="385"/>
      <c r="O3237" s="190"/>
    </row>
    <row r="3238" spans="3:15" ht="16" x14ac:dyDescent="0.2">
      <c r="C3238" s="119">
        <v>10</v>
      </c>
      <c r="D3238" s="383">
        <v>0.55902777777777779</v>
      </c>
      <c r="E3238" s="389">
        <v>0.57986111111111105</v>
      </c>
      <c r="F3238" s="385">
        <v>28</v>
      </c>
      <c r="G3238" s="391"/>
      <c r="H3238" s="316"/>
      <c r="I3238" s="391"/>
      <c r="J3238" s="385"/>
      <c r="K3238" s="391"/>
      <c r="L3238" s="385"/>
      <c r="M3238" s="391"/>
      <c r="N3238" s="385"/>
      <c r="O3238" s="190"/>
    </row>
    <row r="3239" spans="3:15" ht="16" x14ac:dyDescent="0.2">
      <c r="C3239" s="119">
        <v>11</v>
      </c>
      <c r="D3239" s="383">
        <v>0.59027777777777779</v>
      </c>
      <c r="E3239" s="389">
        <v>0.61111111111111105</v>
      </c>
      <c r="F3239" s="385"/>
      <c r="G3239" s="391"/>
      <c r="H3239" s="316"/>
      <c r="I3239" s="391">
        <v>44</v>
      </c>
      <c r="J3239" s="28"/>
      <c r="K3239" s="391"/>
      <c r="L3239" s="385"/>
      <c r="M3239" s="391"/>
      <c r="N3239" s="385"/>
      <c r="O3239" s="190"/>
    </row>
    <row r="3240" spans="3:15" ht="16" x14ac:dyDescent="0.2">
      <c r="C3240" s="193">
        <v>12</v>
      </c>
      <c r="D3240" s="383">
        <v>0.61805555555555558</v>
      </c>
      <c r="E3240" s="389">
        <v>0.63888888888888895</v>
      </c>
      <c r="F3240" s="385">
        <v>28</v>
      </c>
      <c r="G3240" s="391"/>
      <c r="H3240" s="316"/>
      <c r="I3240" s="391"/>
      <c r="J3240" s="385"/>
      <c r="K3240" s="391"/>
      <c r="L3240" s="385"/>
      <c r="M3240" s="391"/>
      <c r="N3240" s="385"/>
      <c r="O3240" s="190"/>
    </row>
    <row r="3241" spans="3:15" ht="16" x14ac:dyDescent="0.2">
      <c r="C3241" s="119">
        <v>13</v>
      </c>
      <c r="D3241" s="383">
        <v>0.64236111111111105</v>
      </c>
      <c r="E3241" s="389">
        <v>0.66319444444444442</v>
      </c>
      <c r="F3241" s="385"/>
      <c r="G3241" s="391"/>
      <c r="H3241" s="316"/>
      <c r="I3241" s="391"/>
      <c r="J3241" s="385">
        <v>36</v>
      </c>
      <c r="K3241" s="391"/>
      <c r="L3241" s="385"/>
      <c r="M3241" s="391"/>
      <c r="N3241" s="385"/>
      <c r="O3241" s="190"/>
    </row>
    <row r="3242" spans="3:15" ht="16" x14ac:dyDescent="0.2">
      <c r="C3242" s="119">
        <v>14</v>
      </c>
      <c r="D3242" s="383">
        <v>0.66319444444444442</v>
      </c>
      <c r="E3242" s="389">
        <v>0.68402777777777779</v>
      </c>
      <c r="F3242" s="385">
        <v>28</v>
      </c>
      <c r="G3242" s="391"/>
      <c r="H3242" s="316"/>
      <c r="I3242" s="391"/>
      <c r="J3242" s="385"/>
      <c r="K3242" s="391"/>
      <c r="L3242" s="385"/>
      <c r="M3242" s="391"/>
      <c r="N3242" s="385"/>
      <c r="O3242" s="190"/>
    </row>
    <row r="3243" spans="3:15" ht="16" x14ac:dyDescent="0.2">
      <c r="C3243" s="119">
        <v>15</v>
      </c>
      <c r="D3243" s="383">
        <v>0.69791666666666663</v>
      </c>
      <c r="E3243" s="389">
        <v>0.71875</v>
      </c>
      <c r="F3243" s="385"/>
      <c r="G3243" s="391"/>
      <c r="H3243" s="316"/>
      <c r="I3243" s="391"/>
      <c r="J3243" s="385">
        <v>36</v>
      </c>
      <c r="K3243" s="391"/>
      <c r="L3243" s="385"/>
      <c r="M3243" s="391"/>
      <c r="N3243" s="385"/>
      <c r="O3243" s="190"/>
    </row>
    <row r="3244" spans="3:15" ht="16" x14ac:dyDescent="0.2">
      <c r="C3244" s="119">
        <v>16</v>
      </c>
      <c r="D3244" s="383">
        <v>0.72569444444444453</v>
      </c>
      <c r="E3244" s="389">
        <v>0.74652777777777779</v>
      </c>
      <c r="F3244" s="385"/>
      <c r="G3244" s="391"/>
      <c r="H3244" s="316"/>
      <c r="I3244" s="391"/>
      <c r="J3244" s="385">
        <v>20</v>
      </c>
      <c r="K3244" s="391">
        <v>2</v>
      </c>
      <c r="L3244" s="385"/>
      <c r="M3244" s="391"/>
      <c r="N3244" s="385"/>
      <c r="O3244" s="190"/>
    </row>
    <row r="3245" spans="3:15" ht="16" x14ac:dyDescent="0.2">
      <c r="C3245" s="119">
        <v>17</v>
      </c>
      <c r="D3245" s="383">
        <v>0.76388888888888884</v>
      </c>
      <c r="E3245" s="389">
        <v>0.78472222222222221</v>
      </c>
      <c r="F3245" s="384"/>
      <c r="G3245" s="33"/>
      <c r="H3245" s="316"/>
      <c r="I3245" s="390"/>
      <c r="J3245" s="385">
        <v>36</v>
      </c>
      <c r="K3245" s="391"/>
      <c r="L3245" s="385"/>
      <c r="M3245" s="391"/>
      <c r="N3245" s="385"/>
      <c r="O3245" s="190"/>
    </row>
    <row r="3246" spans="3:15" ht="16" x14ac:dyDescent="0.2">
      <c r="C3246" s="119">
        <v>18</v>
      </c>
      <c r="D3246" s="383"/>
      <c r="E3246" s="389"/>
      <c r="F3246" s="394"/>
      <c r="G3246" s="229"/>
      <c r="H3246" s="394"/>
      <c r="I3246" s="391"/>
      <c r="J3246" s="385"/>
      <c r="K3246" s="391"/>
      <c r="L3246" s="385"/>
      <c r="M3246" s="391"/>
      <c r="N3246" s="385"/>
      <c r="O3246" s="190"/>
    </row>
    <row r="3247" spans="3:15" ht="16" x14ac:dyDescent="0.2">
      <c r="C3247" s="119">
        <v>19</v>
      </c>
      <c r="D3247" s="383"/>
      <c r="E3247" s="389"/>
      <c r="F3247" s="385"/>
      <c r="G3247" s="391"/>
      <c r="H3247" s="385"/>
      <c r="I3247" s="391"/>
      <c r="J3247" s="385"/>
      <c r="K3247" s="391"/>
      <c r="L3247" s="403"/>
      <c r="M3247" s="391"/>
      <c r="N3247" s="385"/>
      <c r="O3247" s="190"/>
    </row>
    <row r="3248" spans="3:15" ht="16" x14ac:dyDescent="0.2">
      <c r="C3248" s="119">
        <v>20</v>
      </c>
      <c r="D3248" s="383"/>
      <c r="E3248" s="389"/>
      <c r="F3248" s="385"/>
      <c r="G3248" s="391"/>
      <c r="H3248" s="385"/>
      <c r="I3248" s="391"/>
      <c r="J3248" s="385"/>
      <c r="K3248" s="391"/>
      <c r="L3248" s="403"/>
      <c r="M3248" s="391"/>
      <c r="N3248" s="385"/>
      <c r="O3248" s="190"/>
    </row>
    <row r="3249" spans="2:15" ht="16" x14ac:dyDescent="0.2">
      <c r="C3249" s="119">
        <v>21</v>
      </c>
      <c r="D3249" s="383"/>
      <c r="E3249" s="389"/>
      <c r="F3249" s="385"/>
      <c r="G3249" s="391"/>
      <c r="H3249" s="385"/>
      <c r="I3249" s="391"/>
      <c r="J3249" s="385"/>
      <c r="K3249" s="391"/>
      <c r="L3249" s="385"/>
      <c r="M3249" s="391"/>
      <c r="N3249" s="385"/>
      <c r="O3249" s="190"/>
    </row>
    <row r="3250" spans="2:15" ht="16" x14ac:dyDescent="0.2">
      <c r="C3250" s="119">
        <v>22</v>
      </c>
      <c r="D3250" s="383"/>
      <c r="E3250" s="389"/>
      <c r="F3250" s="385"/>
      <c r="G3250" s="391"/>
      <c r="H3250" s="385"/>
      <c r="I3250" s="391"/>
      <c r="J3250" s="385"/>
      <c r="K3250" s="391"/>
      <c r="L3250" s="385"/>
      <c r="M3250" s="391"/>
      <c r="N3250" s="385"/>
      <c r="O3250" s="190"/>
    </row>
    <row r="3251" spans="2:15" ht="16" x14ac:dyDescent="0.2">
      <c r="C3251" s="119">
        <v>23</v>
      </c>
      <c r="D3251" s="383"/>
      <c r="E3251" s="389"/>
      <c r="F3251" s="385"/>
      <c r="G3251" s="391"/>
      <c r="H3251" s="385"/>
      <c r="I3251" s="391"/>
      <c r="J3251" s="385"/>
      <c r="K3251" s="391"/>
      <c r="L3251" s="385"/>
      <c r="M3251" s="391"/>
      <c r="N3251" s="385"/>
      <c r="O3251" s="190"/>
    </row>
    <row r="3252" spans="2:15" ht="16" x14ac:dyDescent="0.2">
      <c r="C3252" s="119">
        <v>24</v>
      </c>
      <c r="D3252" s="383"/>
      <c r="E3252" s="389"/>
      <c r="F3252" s="385"/>
      <c r="G3252" s="391"/>
      <c r="H3252" s="385"/>
      <c r="I3252" s="391"/>
      <c r="J3252" s="385"/>
      <c r="K3252" s="391"/>
      <c r="L3252" s="385"/>
      <c r="M3252" s="391"/>
      <c r="N3252" s="385"/>
      <c r="O3252" s="190"/>
    </row>
    <row r="3253" spans="2:15" ht="16" x14ac:dyDescent="0.2">
      <c r="C3253" s="119">
        <v>25</v>
      </c>
      <c r="D3253" s="383"/>
      <c r="E3253" s="389"/>
      <c r="F3253" s="385"/>
      <c r="G3253" s="391"/>
      <c r="H3253" s="385"/>
      <c r="I3253" s="391"/>
      <c r="J3253" s="385"/>
      <c r="K3253" s="391"/>
      <c r="L3253" s="385"/>
      <c r="M3253" s="391"/>
      <c r="N3253" s="385"/>
      <c r="O3253" s="190"/>
    </row>
    <row r="3254" spans="2:15" ht="16" x14ac:dyDescent="0.2">
      <c r="C3254" s="119">
        <v>26</v>
      </c>
      <c r="D3254" s="383"/>
      <c r="E3254" s="389"/>
      <c r="F3254" s="385"/>
      <c r="G3254" s="391"/>
      <c r="H3254" s="385"/>
      <c r="I3254" s="391"/>
      <c r="J3254" s="385"/>
      <c r="K3254" s="391"/>
      <c r="L3254" s="385"/>
      <c r="M3254" s="391"/>
      <c r="N3254" s="385"/>
      <c r="O3254" s="190"/>
    </row>
    <row r="3255" spans="2:15" ht="16" x14ac:dyDescent="0.2">
      <c r="C3255" s="119">
        <v>27</v>
      </c>
      <c r="D3255" s="383"/>
      <c r="E3255" s="389"/>
      <c r="F3255" s="385"/>
      <c r="G3255" s="391"/>
      <c r="H3255" s="385"/>
      <c r="I3255" s="391"/>
      <c r="J3255" s="385"/>
      <c r="K3255" s="391"/>
      <c r="L3255" s="385"/>
      <c r="M3255" s="391"/>
      <c r="N3255" s="385"/>
      <c r="O3255" s="190"/>
    </row>
    <row r="3256" spans="2:15" ht="16" x14ac:dyDescent="0.2">
      <c r="C3256" s="119">
        <v>28</v>
      </c>
      <c r="D3256" s="383"/>
      <c r="E3256" s="389"/>
      <c r="F3256" s="385"/>
      <c r="G3256" s="391"/>
      <c r="H3256" s="385"/>
      <c r="I3256" s="391"/>
      <c r="J3256" s="385"/>
      <c r="K3256" s="391"/>
      <c r="L3256" s="385"/>
      <c r="M3256" s="391"/>
      <c r="N3256" s="385"/>
      <c r="O3256" s="190"/>
    </row>
    <row r="3257" spans="2:15" ht="16" x14ac:dyDescent="0.2">
      <c r="C3257" s="119">
        <v>29</v>
      </c>
      <c r="D3257" s="383"/>
      <c r="E3257" s="389"/>
      <c r="F3257" s="385"/>
      <c r="G3257" s="391"/>
      <c r="H3257" s="385"/>
      <c r="I3257" s="391"/>
      <c r="J3257" s="385"/>
      <c r="K3257" s="391"/>
      <c r="L3257" s="385"/>
      <c r="M3257" s="391"/>
      <c r="N3257" s="385"/>
      <c r="O3257" s="190"/>
    </row>
    <row r="3258" spans="2:15" ht="16" x14ac:dyDescent="0.2">
      <c r="C3258" s="119">
        <v>30</v>
      </c>
      <c r="D3258" s="383"/>
      <c r="E3258" s="389"/>
      <c r="F3258" s="385"/>
      <c r="G3258" s="391"/>
      <c r="H3258" s="385"/>
      <c r="I3258" s="391"/>
      <c r="J3258" s="385"/>
      <c r="K3258" s="391"/>
      <c r="L3258" s="385"/>
      <c r="M3258" s="391"/>
      <c r="N3258" s="385"/>
      <c r="O3258" s="190"/>
    </row>
    <row r="3259" spans="2:15" ht="16" x14ac:dyDescent="0.2">
      <c r="C3259" s="120">
        <v>31</v>
      </c>
      <c r="D3259" s="383"/>
      <c r="E3259" s="389"/>
      <c r="F3259" s="384"/>
      <c r="G3259" s="390"/>
      <c r="H3259" s="384"/>
      <c r="I3259" s="390"/>
      <c r="J3259" s="384"/>
      <c r="K3259" s="390"/>
      <c r="L3259" s="384"/>
      <c r="M3259" s="390"/>
      <c r="N3259" s="384"/>
      <c r="O3259" s="190"/>
    </row>
    <row r="3260" spans="2:15" ht="16" x14ac:dyDescent="0.2">
      <c r="B3260" s="256"/>
      <c r="C3260" s="377">
        <v>32</v>
      </c>
      <c r="D3260" s="384"/>
      <c r="E3260" s="390"/>
      <c r="F3260" s="384"/>
      <c r="G3260" s="390"/>
      <c r="H3260" s="384"/>
      <c r="I3260" s="390"/>
      <c r="J3260" s="384"/>
      <c r="K3260" s="390"/>
      <c r="L3260" s="384"/>
      <c r="M3260" s="390"/>
      <c r="N3260" s="384"/>
      <c r="O3260" s="190"/>
    </row>
    <row r="3261" spans="2:15" ht="16" x14ac:dyDescent="0.2">
      <c r="B3261" s="256"/>
      <c r="C3261" s="119">
        <v>33</v>
      </c>
      <c r="D3261" s="385"/>
      <c r="E3261" s="391"/>
      <c r="F3261" s="385"/>
      <c r="G3261" s="391"/>
      <c r="H3261" s="385"/>
      <c r="I3261" s="391"/>
      <c r="J3261" s="385"/>
      <c r="K3261" s="391"/>
      <c r="L3261" s="385"/>
      <c r="M3261" s="391"/>
      <c r="N3261" s="385"/>
      <c r="O3261" s="190"/>
    </row>
    <row r="3262" spans="2:15" ht="16" x14ac:dyDescent="0.2">
      <c r="B3262" s="256"/>
      <c r="C3262" s="119">
        <v>34</v>
      </c>
      <c r="D3262" s="385"/>
      <c r="E3262" s="391"/>
      <c r="F3262" s="385"/>
      <c r="G3262" s="391"/>
      <c r="H3262" s="385"/>
      <c r="I3262" s="391"/>
      <c r="J3262" s="385"/>
      <c r="K3262" s="391"/>
      <c r="L3262" s="385"/>
      <c r="M3262" s="391"/>
      <c r="N3262" s="385"/>
      <c r="O3262" s="190"/>
    </row>
    <row r="3263" spans="2:15" ht="16" x14ac:dyDescent="0.2">
      <c r="B3263" s="256"/>
      <c r="C3263" s="119">
        <v>35</v>
      </c>
      <c r="D3263" s="385"/>
      <c r="E3263" s="391"/>
      <c r="F3263" s="385"/>
      <c r="G3263" s="391"/>
      <c r="H3263" s="385"/>
      <c r="I3263" s="391"/>
      <c r="J3263" s="385"/>
      <c r="K3263" s="391"/>
      <c r="L3263" s="385"/>
      <c r="M3263" s="391"/>
      <c r="N3263" s="385"/>
      <c r="O3263" s="190"/>
    </row>
    <row r="3264" spans="2:15" ht="16" x14ac:dyDescent="0.2">
      <c r="B3264" s="256"/>
      <c r="C3264" s="119">
        <v>36</v>
      </c>
      <c r="D3264" s="385"/>
      <c r="E3264" s="391"/>
      <c r="F3264" s="385"/>
      <c r="G3264" s="391"/>
      <c r="H3264" s="385"/>
      <c r="I3264" s="391"/>
      <c r="J3264" s="385"/>
      <c r="K3264" s="391"/>
      <c r="L3264" s="385"/>
      <c r="M3264" s="391"/>
      <c r="N3264" s="385"/>
      <c r="O3264" s="190"/>
    </row>
    <row r="3265" spans="2:15" ht="17" thickBot="1" x14ac:dyDescent="0.25">
      <c r="B3265" s="256"/>
      <c r="C3265" s="378">
        <v>37</v>
      </c>
      <c r="D3265" s="386"/>
      <c r="E3265" s="392"/>
      <c r="F3265" s="386"/>
      <c r="G3265" s="392"/>
      <c r="H3265" s="386"/>
      <c r="I3265" s="392"/>
      <c r="J3265" s="386"/>
      <c r="K3265" s="392"/>
      <c r="L3265" s="386"/>
      <c r="M3265" s="392"/>
      <c r="N3265" s="386"/>
      <c r="O3265" s="190"/>
    </row>
    <row r="3266" spans="2:15" ht="17" thickBot="1" x14ac:dyDescent="0.25">
      <c r="C3266" s="825" t="s">
        <v>19</v>
      </c>
      <c r="D3266" s="826"/>
      <c r="E3266" s="380"/>
      <c r="F3266" s="376">
        <f>(F3229+F3230+F3231+F3232+F3233+F3234+F3250+F3237+F3238+F3235+F3236+F3239+F3240+F3241+F3242+F3243+F3244+F3245+F3246+F3247+F3248+F3249+F3251+F3252+F3254+F3255+F3256+F3257+F3258+F3259+F3260+F3261+F3262+F3265)/2</f>
        <v>63</v>
      </c>
      <c r="G3266" s="397">
        <f>(G3229+G3230+G3231+G3232+G3233+G3250+G3234+G3238+G3237+G3235+G3236+G3239+G3240+G3241+G3242+G3243+G3244+G3245+G3246+G3247+G3248+G3249+G3251+G3252+G3254+G3255+G3256+G3257+G3258+G3259+G3260+G3261)/2</f>
        <v>49</v>
      </c>
      <c r="H3266" s="399">
        <f>(H3229+H3230+H3231+H3232+H3233+H3234+H3250+H3253+H3237+H3238+H3235+H3236+H3239+H3240+H3241+H3242+H3243+H3244+H3245+H3246+H3247+H3248+H3249+H3251+H3252+H3254+H3255+H3256+H3257+H3258+H3259+H3260+H3261+H3262+H3265)/2</f>
        <v>0</v>
      </c>
      <c r="I3266" s="398">
        <f>(I3229+I3230+I3231+I3232+I3233+I3263+I3264+I3234+I3250+I3237+I3253+I3238+I3235+I3236+I3239+I3240+I3241+I3242+I3243+I3244+I3245+I3246+I3247+I3248+I3249+I3251+I3252+I3254+I3255+I3256+I3257+I3258+I3259+I3260+I3261+I3262+I3265)/2</f>
        <v>55</v>
      </c>
      <c r="J3266" s="376">
        <f>(J3229+J3230+J3231+J3232+J3233+J3234+J3238+J3235+J3237+J3236+J3253+J3239+J3240+J3241+J3242+J3243+J3244+J3245+J3246+J3247+J3248+J3249+J3250+J3251+J3252+J3254+J3255+J3256+J3257+J3258+J3259+J3260+J3261)/2</f>
        <v>73</v>
      </c>
      <c r="K3266" s="397">
        <f>(K3229+K3230+K3231+K3232+K3233+K3234+K3238+K3235+K3236+K3239+K3240+K3241+K3242+K3243+K3244+K3245+K3246+K3247+K3248+K3249+K3251+K3252+K3254+K3255+K3256+K3257+K3258+K3259+K3260+K3261+K3250)</f>
        <v>2</v>
      </c>
      <c r="L3266" s="399">
        <f>SUM(L3229:L3265)</f>
        <v>0</v>
      </c>
      <c r="M3266" s="398">
        <f>(M3229+M3230+M3231+M3232+M3233+M3234+M3238+M3237+M3235+M3236+M3239+M3240+M3241+M3242+M3243+M3244+M3245+M3246+M3247+M3248+M3249+M3251+M3252+M3254+M3255+M3256+M3257+M3258+M3259+M3260+M3261)/2</f>
        <v>0</v>
      </c>
      <c r="N3266" s="376"/>
      <c r="O3266" s="41"/>
    </row>
    <row r="3267" spans="2:15" ht="17" thickBot="1" x14ac:dyDescent="0.25">
      <c r="C3267" s="825" t="s">
        <v>91</v>
      </c>
      <c r="D3267" s="826"/>
      <c r="E3267" s="381">
        <f>SUM(F3266:J3266)</f>
        <v>240</v>
      </c>
    </row>
    <row r="3268" spans="2:15" ht="16" thickBot="1" x14ac:dyDescent="0.25"/>
    <row r="3269" spans="2:15" ht="17" thickBot="1" x14ac:dyDescent="0.25">
      <c r="C3269" s="17"/>
      <c r="D3269" s="379" t="s">
        <v>83</v>
      </c>
      <c r="E3269" s="818" t="s">
        <v>65</v>
      </c>
      <c r="F3269" s="819"/>
      <c r="G3269" s="819"/>
      <c r="H3269" s="819"/>
      <c r="I3269" s="819"/>
      <c r="J3269" s="400" t="s">
        <v>76</v>
      </c>
      <c r="K3269" s="820">
        <v>45763</v>
      </c>
      <c r="L3269" s="821"/>
      <c r="M3269" s="821"/>
      <c r="N3269" s="821"/>
      <c r="O3269" s="822"/>
    </row>
    <row r="3270" spans="2:15" ht="16" thickBot="1" x14ac:dyDescent="0.25">
      <c r="B3270" s="175" t="s">
        <v>76</v>
      </c>
      <c r="C3270" s="175" t="s">
        <v>77</v>
      </c>
      <c r="D3270" s="823" t="s">
        <v>122</v>
      </c>
      <c r="E3270" s="824"/>
      <c r="F3270" s="175" t="s">
        <v>104</v>
      </c>
      <c r="G3270" s="395" t="s">
        <v>86</v>
      </c>
      <c r="H3270" s="175" t="s">
        <v>88</v>
      </c>
      <c r="I3270" s="395" t="s">
        <v>87</v>
      </c>
      <c r="J3270" s="401" t="s">
        <v>85</v>
      </c>
      <c r="K3270" s="395" t="s">
        <v>123</v>
      </c>
      <c r="L3270" s="175" t="s">
        <v>124</v>
      </c>
      <c r="M3270" s="395" t="s">
        <v>100</v>
      </c>
      <c r="N3270" s="175" t="s">
        <v>213</v>
      </c>
      <c r="O3270" s="404" t="s">
        <v>125</v>
      </c>
    </row>
    <row r="3271" spans="2:15" ht="16" thickBot="1" x14ac:dyDescent="0.25">
      <c r="B3271" s="176">
        <f>K3269</f>
        <v>45763</v>
      </c>
      <c r="C3271" s="374"/>
      <c r="D3271" s="375" t="s">
        <v>126</v>
      </c>
      <c r="E3271" s="387" t="s">
        <v>127</v>
      </c>
      <c r="F3271" s="331">
        <v>9</v>
      </c>
      <c r="G3271" s="237">
        <v>7</v>
      </c>
      <c r="H3271" s="331">
        <v>0</v>
      </c>
      <c r="I3271" s="237">
        <v>4</v>
      </c>
      <c r="J3271" s="331">
        <v>9</v>
      </c>
      <c r="K3271" s="231"/>
      <c r="L3271" s="125"/>
      <c r="M3271" s="231"/>
      <c r="N3271" s="125"/>
      <c r="O3271" s="326"/>
    </row>
    <row r="3272" spans="2:15" ht="16" x14ac:dyDescent="0.2">
      <c r="C3272" s="118">
        <v>1</v>
      </c>
      <c r="D3272" s="382">
        <v>0.88541666666666663</v>
      </c>
      <c r="E3272" s="388">
        <v>0.90625</v>
      </c>
      <c r="F3272" s="393"/>
      <c r="G3272" s="396">
        <v>28</v>
      </c>
      <c r="H3272" s="393"/>
      <c r="I3272" s="396"/>
      <c r="J3272" s="393"/>
      <c r="K3272" s="396"/>
      <c r="L3272" s="393"/>
      <c r="M3272" s="396"/>
      <c r="N3272" s="393"/>
      <c r="O3272" s="190"/>
    </row>
    <row r="3273" spans="2:15" ht="16" x14ac:dyDescent="0.2">
      <c r="C3273" s="119">
        <v>2</v>
      </c>
      <c r="D3273" s="383">
        <v>0.90972222222222221</v>
      </c>
      <c r="E3273" s="389">
        <v>0.93055555555555547</v>
      </c>
      <c r="F3273" s="385"/>
      <c r="G3273" s="391">
        <v>28</v>
      </c>
      <c r="H3273" s="385"/>
      <c r="I3273" s="391"/>
      <c r="J3273" s="385"/>
      <c r="K3273" s="391"/>
      <c r="L3273" s="385"/>
      <c r="M3273" s="391"/>
      <c r="N3273" s="385"/>
      <c r="O3273" s="190"/>
    </row>
    <row r="3274" spans="2:15" ht="16" x14ac:dyDescent="0.2">
      <c r="C3274" s="119">
        <v>3</v>
      </c>
      <c r="D3274" s="383">
        <v>0.93055555555555547</v>
      </c>
      <c r="E3274" s="389">
        <v>0.95138888888888884</v>
      </c>
      <c r="F3274" s="385"/>
      <c r="G3274" s="391">
        <v>28</v>
      </c>
      <c r="H3274" s="385"/>
      <c r="I3274" s="391"/>
      <c r="J3274" s="385"/>
      <c r="K3274" s="391"/>
      <c r="L3274" s="384"/>
      <c r="M3274" s="391"/>
      <c r="N3274" s="385"/>
      <c r="O3274" s="190"/>
    </row>
    <row r="3275" spans="2:15" ht="16" x14ac:dyDescent="0.2">
      <c r="C3275" s="119">
        <v>4</v>
      </c>
      <c r="D3275" s="383">
        <v>0.95138888888888884</v>
      </c>
      <c r="E3275" s="389">
        <v>0.97222222222222221</v>
      </c>
      <c r="F3275" s="385"/>
      <c r="G3275" s="391">
        <v>14</v>
      </c>
      <c r="H3275" s="316"/>
      <c r="I3275" s="391"/>
      <c r="J3275" s="385"/>
      <c r="K3275" s="391"/>
      <c r="L3275" s="402"/>
      <c r="M3275" s="391"/>
      <c r="N3275" s="385"/>
      <c r="O3275" s="190"/>
    </row>
    <row r="3276" spans="2:15" ht="16" x14ac:dyDescent="0.2">
      <c r="C3276" s="119">
        <v>5</v>
      </c>
      <c r="D3276" s="383">
        <v>0.95138888888888884</v>
      </c>
      <c r="E3276" s="389">
        <v>0.97222222222222221</v>
      </c>
      <c r="F3276" s="385">
        <v>14</v>
      </c>
      <c r="G3276" s="391"/>
      <c r="H3276" s="316"/>
      <c r="I3276" s="391"/>
      <c r="J3276" s="385"/>
      <c r="K3276" s="391"/>
      <c r="L3276" s="393"/>
      <c r="M3276" s="391"/>
      <c r="N3276" s="385"/>
      <c r="O3276" s="190"/>
    </row>
    <row r="3277" spans="2:15" ht="16" x14ac:dyDescent="0.2">
      <c r="C3277" s="119">
        <v>6</v>
      </c>
      <c r="D3277" s="383">
        <v>0.97222222222222221</v>
      </c>
      <c r="E3277" s="389">
        <v>0.99305555555555547</v>
      </c>
      <c r="F3277" s="385">
        <v>28</v>
      </c>
      <c r="G3277" s="391"/>
      <c r="H3277" s="316"/>
      <c r="I3277" s="391"/>
      <c r="J3277" s="385"/>
      <c r="K3277" s="391"/>
      <c r="L3277" s="393"/>
      <c r="M3277" s="391"/>
      <c r="N3277" s="385"/>
      <c r="O3277" s="190"/>
    </row>
    <row r="3278" spans="2:15" ht="16" x14ac:dyDescent="0.2">
      <c r="C3278" s="119">
        <v>7</v>
      </c>
      <c r="D3278" s="383">
        <v>0.99305555555555547</v>
      </c>
      <c r="E3278" s="389">
        <v>1.3888888888888888E-2</v>
      </c>
      <c r="F3278" s="385">
        <v>28</v>
      </c>
      <c r="G3278" s="391"/>
      <c r="H3278" s="316"/>
      <c r="I3278" s="391"/>
      <c r="J3278" s="385"/>
      <c r="K3278" s="391"/>
      <c r="L3278" s="393"/>
      <c r="M3278" s="391"/>
      <c r="N3278" s="385"/>
      <c r="O3278" s="190"/>
    </row>
    <row r="3279" spans="2:15" ht="16" x14ac:dyDescent="0.2">
      <c r="C3279" s="119">
        <v>8</v>
      </c>
      <c r="D3279" s="383">
        <v>1.3888888888888888E-2</v>
      </c>
      <c r="E3279" s="389">
        <v>3.4722222222222224E-2</v>
      </c>
      <c r="F3279" s="385">
        <v>28</v>
      </c>
      <c r="G3279" s="391"/>
      <c r="H3279" s="316"/>
      <c r="I3279" s="391"/>
      <c r="J3279" s="385"/>
      <c r="K3279" s="391"/>
      <c r="L3279" s="385"/>
      <c r="M3279" s="391"/>
      <c r="N3279" s="385"/>
      <c r="O3279" s="190"/>
    </row>
    <row r="3280" spans="2:15" ht="16" x14ac:dyDescent="0.2">
      <c r="C3280" s="119">
        <v>9</v>
      </c>
      <c r="D3280" s="383">
        <v>3.4722222222222224E-2</v>
      </c>
      <c r="E3280" s="389">
        <v>5.5555555555555552E-2</v>
      </c>
      <c r="F3280" s="385">
        <v>28</v>
      </c>
      <c r="G3280" s="391"/>
      <c r="H3280" s="316"/>
      <c r="I3280" s="391"/>
      <c r="J3280" s="385"/>
      <c r="K3280" s="391"/>
      <c r="L3280" s="385"/>
      <c r="M3280" s="391"/>
      <c r="N3280" s="385"/>
      <c r="O3280" s="190"/>
    </row>
    <row r="3281" spans="3:15" ht="16" x14ac:dyDescent="0.2">
      <c r="C3281" s="119">
        <v>10</v>
      </c>
      <c r="D3281" s="383">
        <v>1.3888888888888888E-2</v>
      </c>
      <c r="E3281" s="389">
        <v>3.4722222222222224E-2</v>
      </c>
      <c r="F3281" s="385"/>
      <c r="G3281" s="391"/>
      <c r="H3281" s="316"/>
      <c r="I3281" s="391"/>
      <c r="J3281" s="385">
        <v>18</v>
      </c>
      <c r="K3281" s="391"/>
      <c r="L3281" s="385"/>
      <c r="M3281" s="391"/>
      <c r="N3281" s="385"/>
      <c r="O3281" s="190"/>
    </row>
    <row r="3282" spans="3:15" ht="16" x14ac:dyDescent="0.2">
      <c r="C3282" s="119">
        <v>11</v>
      </c>
      <c r="D3282" s="383">
        <v>3.4722222222222224E-2</v>
      </c>
      <c r="E3282" s="389">
        <v>5.5555555555555552E-2</v>
      </c>
      <c r="F3282" s="385"/>
      <c r="G3282" s="391"/>
      <c r="H3282" s="316"/>
      <c r="I3282" s="391"/>
      <c r="J3282" s="28">
        <v>36</v>
      </c>
      <c r="K3282" s="391"/>
      <c r="L3282" s="385"/>
      <c r="M3282" s="391"/>
      <c r="N3282" s="385"/>
      <c r="O3282" s="190"/>
    </row>
    <row r="3283" spans="3:15" ht="16" x14ac:dyDescent="0.2">
      <c r="C3283" s="193">
        <v>12</v>
      </c>
      <c r="D3283" s="383">
        <v>5.5555555555555552E-2</v>
      </c>
      <c r="E3283" s="389">
        <v>0.11805555555555557</v>
      </c>
      <c r="F3283" s="385"/>
      <c r="G3283" s="391"/>
      <c r="H3283" s="316"/>
      <c r="I3283" s="391"/>
      <c r="J3283" s="385">
        <v>36</v>
      </c>
      <c r="K3283" s="391"/>
      <c r="L3283" s="385"/>
      <c r="M3283" s="391"/>
      <c r="N3283" s="385"/>
      <c r="O3283" s="190"/>
    </row>
    <row r="3284" spans="3:15" ht="16" x14ac:dyDescent="0.2">
      <c r="C3284" s="119">
        <v>13</v>
      </c>
      <c r="D3284" s="383">
        <v>0.11805555555555557</v>
      </c>
      <c r="E3284" s="389">
        <v>0.1388888888888889</v>
      </c>
      <c r="F3284" s="385"/>
      <c r="G3284" s="391"/>
      <c r="H3284" s="316"/>
      <c r="I3284" s="391"/>
      <c r="J3284" s="385">
        <v>36</v>
      </c>
      <c r="K3284" s="391"/>
      <c r="L3284" s="385"/>
      <c r="M3284" s="391"/>
      <c r="N3284" s="385"/>
      <c r="O3284" s="190"/>
    </row>
    <row r="3285" spans="3:15" ht="16" x14ac:dyDescent="0.2">
      <c r="C3285" s="119">
        <v>14</v>
      </c>
      <c r="D3285" s="383">
        <v>0.1388888888888889</v>
      </c>
      <c r="E3285" s="389">
        <v>0.15972222222222224</v>
      </c>
      <c r="F3285" s="385"/>
      <c r="G3285" s="391"/>
      <c r="H3285" s="316"/>
      <c r="I3285" s="391"/>
      <c r="J3285" s="385">
        <v>36</v>
      </c>
      <c r="K3285" s="391"/>
      <c r="L3285" s="385"/>
      <c r="M3285" s="391"/>
      <c r="N3285" s="385"/>
      <c r="O3285" s="190"/>
    </row>
    <row r="3286" spans="3:15" ht="16" x14ac:dyDescent="0.2">
      <c r="C3286" s="119">
        <v>15</v>
      </c>
      <c r="D3286" s="383">
        <v>0.15972222222222224</v>
      </c>
      <c r="E3286" s="389">
        <v>0.18055555555555555</v>
      </c>
      <c r="F3286" s="385"/>
      <c r="G3286" s="391"/>
      <c r="H3286" s="316"/>
      <c r="I3286" s="391">
        <v>44</v>
      </c>
      <c r="J3286" s="385"/>
      <c r="K3286" s="391"/>
      <c r="L3286" s="385"/>
      <c r="M3286" s="391"/>
      <c r="N3286" s="385"/>
      <c r="O3286" s="190"/>
    </row>
    <row r="3287" spans="3:15" ht="16" x14ac:dyDescent="0.2">
      <c r="C3287" s="119">
        <v>16</v>
      </c>
      <c r="D3287" s="383">
        <v>0.18055555555555555</v>
      </c>
      <c r="E3287" s="389">
        <v>0.20138888888888887</v>
      </c>
      <c r="F3287" s="385"/>
      <c r="G3287" s="391"/>
      <c r="H3287" s="316"/>
      <c r="I3287" s="391">
        <v>44</v>
      </c>
      <c r="J3287" s="385"/>
      <c r="K3287" s="391"/>
      <c r="L3287" s="385"/>
      <c r="M3287" s="391"/>
      <c r="N3287" s="385"/>
      <c r="O3287" s="190"/>
    </row>
    <row r="3288" spans="3:15" ht="16" x14ac:dyDescent="0.2">
      <c r="C3288" s="119">
        <v>17</v>
      </c>
      <c r="D3288" s="383"/>
      <c r="E3288" s="389"/>
      <c r="F3288" s="384"/>
      <c r="G3288" s="33"/>
      <c r="H3288" s="316"/>
      <c r="I3288" s="390"/>
      <c r="J3288" s="385"/>
      <c r="K3288" s="391"/>
      <c r="L3288" s="385"/>
      <c r="M3288" s="391"/>
      <c r="N3288" s="385"/>
      <c r="O3288" s="190"/>
    </row>
    <row r="3289" spans="3:15" ht="16" x14ac:dyDescent="0.2">
      <c r="C3289" s="119">
        <v>18</v>
      </c>
      <c r="D3289" s="383"/>
      <c r="E3289" s="389"/>
      <c r="F3289" s="394"/>
      <c r="G3289" s="229"/>
      <c r="H3289" s="394"/>
      <c r="I3289" s="391"/>
      <c r="J3289" s="385"/>
      <c r="K3289" s="391"/>
      <c r="L3289" s="385"/>
      <c r="M3289" s="391"/>
      <c r="N3289" s="385"/>
      <c r="O3289" s="190"/>
    </row>
    <row r="3290" spans="3:15" ht="16" x14ac:dyDescent="0.2">
      <c r="C3290" s="119">
        <v>19</v>
      </c>
      <c r="D3290" s="383"/>
      <c r="E3290" s="389"/>
      <c r="F3290" s="385"/>
      <c r="G3290" s="391"/>
      <c r="H3290" s="385"/>
      <c r="I3290" s="391"/>
      <c r="J3290" s="385"/>
      <c r="K3290" s="391"/>
      <c r="L3290" s="403"/>
      <c r="M3290" s="391"/>
      <c r="N3290" s="385"/>
      <c r="O3290" s="190"/>
    </row>
    <row r="3291" spans="3:15" ht="16" x14ac:dyDescent="0.2">
      <c r="C3291" s="119">
        <v>20</v>
      </c>
      <c r="D3291" s="383"/>
      <c r="E3291" s="389"/>
      <c r="F3291" s="385"/>
      <c r="G3291" s="391"/>
      <c r="H3291" s="385"/>
      <c r="I3291" s="391"/>
      <c r="J3291" s="385"/>
      <c r="K3291" s="391"/>
      <c r="L3291" s="403"/>
      <c r="M3291" s="391"/>
      <c r="N3291" s="385"/>
      <c r="O3291" s="190"/>
    </row>
    <row r="3292" spans="3:15" ht="16" x14ac:dyDescent="0.2">
      <c r="C3292" s="119">
        <v>21</v>
      </c>
      <c r="D3292" s="383"/>
      <c r="E3292" s="389"/>
      <c r="F3292" s="385"/>
      <c r="G3292" s="391"/>
      <c r="H3292" s="385"/>
      <c r="I3292" s="391"/>
      <c r="J3292" s="385"/>
      <c r="K3292" s="391"/>
      <c r="L3292" s="385"/>
      <c r="M3292" s="391"/>
      <c r="N3292" s="385"/>
      <c r="O3292" s="190"/>
    </row>
    <row r="3293" spans="3:15" ht="16" x14ac:dyDescent="0.2">
      <c r="C3293" s="119">
        <v>22</v>
      </c>
      <c r="D3293" s="383"/>
      <c r="E3293" s="389"/>
      <c r="F3293" s="385"/>
      <c r="G3293" s="391"/>
      <c r="H3293" s="385"/>
      <c r="I3293" s="391"/>
      <c r="J3293" s="385"/>
      <c r="K3293" s="391"/>
      <c r="L3293" s="385"/>
      <c r="M3293" s="391"/>
      <c r="N3293" s="385"/>
      <c r="O3293" s="190"/>
    </row>
    <row r="3294" spans="3:15" ht="16" x14ac:dyDescent="0.2">
      <c r="C3294" s="119">
        <v>23</v>
      </c>
      <c r="D3294" s="383"/>
      <c r="E3294" s="389"/>
      <c r="F3294" s="385"/>
      <c r="G3294" s="391"/>
      <c r="H3294" s="385"/>
      <c r="I3294" s="391"/>
      <c r="J3294" s="385"/>
      <c r="K3294" s="391"/>
      <c r="L3294" s="385"/>
      <c r="M3294" s="391"/>
      <c r="N3294" s="385"/>
      <c r="O3294" s="190"/>
    </row>
    <row r="3295" spans="3:15" ht="16" x14ac:dyDescent="0.2">
      <c r="C3295" s="119">
        <v>24</v>
      </c>
      <c r="D3295" s="383"/>
      <c r="E3295" s="389"/>
      <c r="F3295" s="385"/>
      <c r="G3295" s="391"/>
      <c r="H3295" s="385"/>
      <c r="I3295" s="391"/>
      <c r="J3295" s="385"/>
      <c r="K3295" s="391"/>
      <c r="L3295" s="385"/>
      <c r="M3295" s="391"/>
      <c r="N3295" s="385"/>
      <c r="O3295" s="190"/>
    </row>
    <row r="3296" spans="3:15" ht="16" x14ac:dyDescent="0.2">
      <c r="C3296" s="119">
        <v>25</v>
      </c>
      <c r="D3296" s="383"/>
      <c r="E3296" s="389"/>
      <c r="F3296" s="385"/>
      <c r="G3296" s="391"/>
      <c r="H3296" s="385"/>
      <c r="I3296" s="391"/>
      <c r="J3296" s="385"/>
      <c r="K3296" s="391"/>
      <c r="L3296" s="385"/>
      <c r="M3296" s="391"/>
      <c r="N3296" s="385"/>
      <c r="O3296" s="190"/>
    </row>
    <row r="3297" spans="2:15" ht="16" x14ac:dyDescent="0.2">
      <c r="C3297" s="119">
        <v>26</v>
      </c>
      <c r="D3297" s="383"/>
      <c r="E3297" s="389"/>
      <c r="F3297" s="385"/>
      <c r="G3297" s="391"/>
      <c r="H3297" s="385"/>
      <c r="I3297" s="391"/>
      <c r="J3297" s="385"/>
      <c r="K3297" s="391"/>
      <c r="L3297" s="385"/>
      <c r="M3297" s="391"/>
      <c r="N3297" s="385"/>
      <c r="O3297" s="190"/>
    </row>
    <row r="3298" spans="2:15" ht="16" x14ac:dyDescent="0.2">
      <c r="C3298" s="119">
        <v>27</v>
      </c>
      <c r="D3298" s="383"/>
      <c r="E3298" s="389"/>
      <c r="F3298" s="385"/>
      <c r="G3298" s="391"/>
      <c r="H3298" s="385"/>
      <c r="I3298" s="391"/>
      <c r="J3298" s="385"/>
      <c r="K3298" s="391"/>
      <c r="L3298" s="385"/>
      <c r="M3298" s="391"/>
      <c r="N3298" s="385"/>
      <c r="O3298" s="190"/>
    </row>
    <row r="3299" spans="2:15" ht="16" x14ac:dyDescent="0.2">
      <c r="C3299" s="119">
        <v>28</v>
      </c>
      <c r="D3299" s="383"/>
      <c r="E3299" s="389"/>
      <c r="F3299" s="385"/>
      <c r="G3299" s="391"/>
      <c r="H3299" s="385"/>
      <c r="I3299" s="391"/>
      <c r="J3299" s="385"/>
      <c r="K3299" s="391"/>
      <c r="L3299" s="385"/>
      <c r="M3299" s="391"/>
      <c r="N3299" s="385"/>
      <c r="O3299" s="190"/>
    </row>
    <row r="3300" spans="2:15" ht="16" x14ac:dyDescent="0.2">
      <c r="C3300" s="119">
        <v>29</v>
      </c>
      <c r="D3300" s="383"/>
      <c r="E3300" s="389"/>
      <c r="F3300" s="385"/>
      <c r="G3300" s="391"/>
      <c r="H3300" s="385"/>
      <c r="I3300" s="391"/>
      <c r="J3300" s="385"/>
      <c r="K3300" s="391"/>
      <c r="L3300" s="385"/>
      <c r="M3300" s="391"/>
      <c r="N3300" s="385"/>
      <c r="O3300" s="190"/>
    </row>
    <row r="3301" spans="2:15" ht="16" x14ac:dyDescent="0.2">
      <c r="C3301" s="119">
        <v>30</v>
      </c>
      <c r="D3301" s="383"/>
      <c r="E3301" s="389"/>
      <c r="F3301" s="385"/>
      <c r="G3301" s="391"/>
      <c r="H3301" s="385"/>
      <c r="I3301" s="391"/>
      <c r="J3301" s="385"/>
      <c r="K3301" s="391"/>
      <c r="L3301" s="385"/>
      <c r="M3301" s="391"/>
      <c r="N3301" s="385"/>
      <c r="O3301" s="190"/>
    </row>
    <row r="3302" spans="2:15" ht="16" x14ac:dyDescent="0.2">
      <c r="C3302" s="120">
        <v>31</v>
      </c>
      <c r="D3302" s="383"/>
      <c r="E3302" s="389"/>
      <c r="F3302" s="384"/>
      <c r="G3302" s="390"/>
      <c r="H3302" s="384"/>
      <c r="I3302" s="390"/>
      <c r="J3302" s="384"/>
      <c r="K3302" s="390"/>
      <c r="L3302" s="384"/>
      <c r="M3302" s="390"/>
      <c r="N3302" s="384"/>
      <c r="O3302" s="190"/>
    </row>
    <row r="3303" spans="2:15" ht="16" x14ac:dyDescent="0.2">
      <c r="B3303" s="256"/>
      <c r="C3303" s="377">
        <v>32</v>
      </c>
      <c r="D3303" s="384"/>
      <c r="E3303" s="390"/>
      <c r="F3303" s="384"/>
      <c r="G3303" s="390"/>
      <c r="H3303" s="384"/>
      <c r="I3303" s="390"/>
      <c r="J3303" s="384"/>
      <c r="K3303" s="390"/>
      <c r="L3303" s="384"/>
      <c r="M3303" s="390"/>
      <c r="N3303" s="384"/>
      <c r="O3303" s="190"/>
    </row>
    <row r="3304" spans="2:15" ht="16" x14ac:dyDescent="0.2">
      <c r="B3304" s="256"/>
      <c r="C3304" s="119">
        <v>33</v>
      </c>
      <c r="D3304" s="385"/>
      <c r="E3304" s="391"/>
      <c r="F3304" s="385"/>
      <c r="G3304" s="391"/>
      <c r="H3304" s="385"/>
      <c r="I3304" s="391"/>
      <c r="J3304" s="385"/>
      <c r="K3304" s="391"/>
      <c r="L3304" s="385"/>
      <c r="M3304" s="391"/>
      <c r="N3304" s="385"/>
      <c r="O3304" s="190"/>
    </row>
    <row r="3305" spans="2:15" ht="16" x14ac:dyDescent="0.2">
      <c r="B3305" s="256"/>
      <c r="C3305" s="119">
        <v>34</v>
      </c>
      <c r="D3305" s="385"/>
      <c r="E3305" s="391"/>
      <c r="F3305" s="385"/>
      <c r="G3305" s="391"/>
      <c r="H3305" s="385"/>
      <c r="I3305" s="391"/>
      <c r="J3305" s="385"/>
      <c r="K3305" s="391"/>
      <c r="L3305" s="385"/>
      <c r="M3305" s="391"/>
      <c r="N3305" s="385"/>
      <c r="O3305" s="190"/>
    </row>
    <row r="3306" spans="2:15" ht="16" x14ac:dyDescent="0.2">
      <c r="B3306" s="256"/>
      <c r="C3306" s="119">
        <v>35</v>
      </c>
      <c r="D3306" s="385"/>
      <c r="E3306" s="391"/>
      <c r="F3306" s="385"/>
      <c r="G3306" s="391"/>
      <c r="H3306" s="385"/>
      <c r="I3306" s="391"/>
      <c r="J3306" s="385"/>
      <c r="K3306" s="391"/>
      <c r="L3306" s="385"/>
      <c r="M3306" s="391"/>
      <c r="N3306" s="385"/>
      <c r="O3306" s="190"/>
    </row>
    <row r="3307" spans="2:15" ht="16" x14ac:dyDescent="0.2">
      <c r="B3307" s="256"/>
      <c r="C3307" s="119">
        <v>36</v>
      </c>
      <c r="D3307" s="385"/>
      <c r="E3307" s="391"/>
      <c r="F3307" s="385"/>
      <c r="G3307" s="391"/>
      <c r="H3307" s="385"/>
      <c r="I3307" s="391"/>
      <c r="J3307" s="385"/>
      <c r="K3307" s="391"/>
      <c r="L3307" s="385"/>
      <c r="M3307" s="391"/>
      <c r="N3307" s="385"/>
      <c r="O3307" s="190"/>
    </row>
    <row r="3308" spans="2:15" ht="17" thickBot="1" x14ac:dyDescent="0.25">
      <c r="B3308" s="256"/>
      <c r="C3308" s="378">
        <v>37</v>
      </c>
      <c r="D3308" s="386"/>
      <c r="E3308" s="392"/>
      <c r="F3308" s="386"/>
      <c r="G3308" s="392"/>
      <c r="H3308" s="386"/>
      <c r="I3308" s="392"/>
      <c r="J3308" s="386"/>
      <c r="K3308" s="392"/>
      <c r="L3308" s="386"/>
      <c r="M3308" s="392"/>
      <c r="N3308" s="386"/>
      <c r="O3308" s="190"/>
    </row>
    <row r="3309" spans="2:15" ht="17" thickBot="1" x14ac:dyDescent="0.25">
      <c r="C3309" s="825" t="s">
        <v>19</v>
      </c>
      <c r="D3309" s="826"/>
      <c r="E3309" s="380"/>
      <c r="F3309" s="376">
        <f>(F3272+F3273+F3274+F3275+F3276+F3277+F3293+F3280+F3281+F3278+F3279+F3282+F3283+F3284+F3285+F3286+F3287+F3288+F3289+F3290+F3291+F3292+F3294+F3295+F3297+F3298+F3299+F3300+F3301+F3302+F3303+F3304+F3305+F3308)/2</f>
        <v>63</v>
      </c>
      <c r="G3309" s="397">
        <f>(G3272+G3273+G3274+G3275+G3276+G3293+G3277+G3281+G3280+G3278+G3279+G3282+G3283+G3284+G3285+G3286+G3287+G3288+G3289+G3290+G3291+G3292+G3294+G3295+G3297+G3298+G3299+G3300+G3301+G3302+G3303+G3304)/2</f>
        <v>49</v>
      </c>
      <c r="H3309" s="399">
        <f>(H3272+H3273+H3274+H3275+H3276+H3277+H3293+H3296+H3280+H3281+H3278+H3279+H3282+H3283+H3284+H3285+H3286+H3287+H3288+H3289+H3290+H3291+H3292+H3294+H3295+H3297+H3298+H3299+H3300+H3301+H3302+H3303+H3304+H3305+H3308)/2</f>
        <v>0</v>
      </c>
      <c r="I3309" s="398">
        <f>(I3272+I3273+I3274+I3275+I3276+I3306+I3307+I3277+I3293+I3280+I3296+I3281+I3278+I3279+I3282+I3283+I3284+I3285+I3286+I3287+I3288+I3289+I3290+I3291+I3292+I3294+I3295+I3297+I3298+I3299+I3300+I3301+I3302+I3303+I3304+I3305+I3308)/2</f>
        <v>44</v>
      </c>
      <c r="J3309" s="376">
        <f>(J3272+J3273+J3274+J3275+J3276+J3277+J3281+J3278+J3280+J3279+J3296+J3282+J3283+J3284+J3285+J3286+J3287+J3288+J3289+J3290+J3291+J3292+J3293+J3294+J3295+J3297+J3298+J3299+J3300+J3301+J3302+J3303+J3304)/2</f>
        <v>81</v>
      </c>
      <c r="K3309" s="397">
        <f>(K3272+K3273+K3274+K3275+K3276+K3277+K3281+K3278+K3279+K3282+K3283+K3284+K3285+K3286+K3287+K3288+K3289+K3290+K3291+K3292+K3294+K3295+K3297+K3298+K3299+K3300+K3301+K3302+K3303+K3304+K3293)</f>
        <v>0</v>
      </c>
      <c r="L3309" s="399">
        <f>SUM(L3272:L3308)</f>
        <v>0</v>
      </c>
      <c r="M3309" s="398">
        <f>(M3272+M3273+M3274+M3275+M3276+M3277+M3281+M3280+M3278+M3279+M3282+M3283+M3284+M3285+M3286+M3287+M3288+M3289+M3290+M3291+M3292+M3294+M3295+M3297+M3298+M3299+M3300+M3301+M3302+M3303+M3304)/2</f>
        <v>0</v>
      </c>
      <c r="N3309" s="376"/>
      <c r="O3309" s="41"/>
    </row>
    <row r="3310" spans="2:15" ht="17" thickBot="1" x14ac:dyDescent="0.25">
      <c r="C3310" s="825" t="s">
        <v>91</v>
      </c>
      <c r="D3310" s="826"/>
      <c r="E3310" s="381">
        <f>SUM(F3309:J3309)</f>
        <v>237</v>
      </c>
    </row>
    <row r="3311" spans="2:15" ht="16" thickBot="1" x14ac:dyDescent="0.25"/>
    <row r="3312" spans="2:15" ht="17" thickBot="1" x14ac:dyDescent="0.25">
      <c r="C3312" s="17"/>
      <c r="D3312" s="379" t="s">
        <v>83</v>
      </c>
      <c r="E3312" s="818" t="s">
        <v>66</v>
      </c>
      <c r="F3312" s="819"/>
      <c r="G3312" s="819"/>
      <c r="H3312" s="819"/>
      <c r="I3312" s="819"/>
      <c r="J3312" s="400" t="s">
        <v>76</v>
      </c>
      <c r="K3312" s="820">
        <v>45764</v>
      </c>
      <c r="L3312" s="821"/>
      <c r="M3312" s="821"/>
      <c r="N3312" s="821"/>
      <c r="O3312" s="822"/>
    </row>
    <row r="3313" spans="2:15" ht="16" thickBot="1" x14ac:dyDescent="0.25">
      <c r="B3313" s="175" t="s">
        <v>76</v>
      </c>
      <c r="C3313" s="175" t="s">
        <v>77</v>
      </c>
      <c r="D3313" s="823" t="s">
        <v>122</v>
      </c>
      <c r="E3313" s="824"/>
      <c r="F3313" s="175" t="s">
        <v>104</v>
      </c>
      <c r="G3313" s="395" t="s">
        <v>86</v>
      </c>
      <c r="H3313" s="175" t="s">
        <v>88</v>
      </c>
      <c r="I3313" s="395" t="s">
        <v>87</v>
      </c>
      <c r="J3313" s="401" t="s">
        <v>85</v>
      </c>
      <c r="K3313" s="395" t="s">
        <v>123</v>
      </c>
      <c r="L3313" s="175" t="s">
        <v>124</v>
      </c>
      <c r="M3313" s="395" t="s">
        <v>100</v>
      </c>
      <c r="N3313" s="175" t="s">
        <v>213</v>
      </c>
      <c r="O3313" s="404" t="s">
        <v>125</v>
      </c>
    </row>
    <row r="3314" spans="2:15" ht="16" thickBot="1" x14ac:dyDescent="0.25">
      <c r="B3314" s="176">
        <f>K3312</f>
        <v>45764</v>
      </c>
      <c r="C3314" s="374"/>
      <c r="D3314" s="375" t="s">
        <v>126</v>
      </c>
      <c r="E3314" s="387" t="s">
        <v>127</v>
      </c>
      <c r="F3314" s="331">
        <v>9</v>
      </c>
      <c r="G3314" s="237">
        <v>6</v>
      </c>
      <c r="H3314" s="331">
        <v>4</v>
      </c>
      <c r="I3314" s="237">
        <v>4</v>
      </c>
      <c r="J3314" s="331">
        <v>8</v>
      </c>
      <c r="K3314" s="231"/>
      <c r="L3314" s="125"/>
      <c r="M3314" s="231"/>
      <c r="N3314" s="125"/>
      <c r="O3314" s="326"/>
    </row>
    <row r="3315" spans="2:15" ht="16" x14ac:dyDescent="0.2">
      <c r="C3315" s="118">
        <v>1</v>
      </c>
      <c r="D3315" s="382">
        <v>0.33680555555555558</v>
      </c>
      <c r="E3315" s="388">
        <v>0.3576388888888889</v>
      </c>
      <c r="F3315" s="393">
        <v>10</v>
      </c>
      <c r="G3315" s="396"/>
      <c r="H3315" s="393"/>
      <c r="I3315" s="396"/>
      <c r="J3315" s="393"/>
      <c r="K3315" s="396"/>
      <c r="L3315" s="393"/>
      <c r="M3315" s="396"/>
      <c r="N3315" s="393"/>
      <c r="O3315" s="190"/>
    </row>
    <row r="3316" spans="2:15" ht="16" x14ac:dyDescent="0.2">
      <c r="C3316" s="119">
        <v>2</v>
      </c>
      <c r="D3316" s="383">
        <v>0.36458333333333331</v>
      </c>
      <c r="E3316" s="389">
        <v>0.38541666666666669</v>
      </c>
      <c r="F3316" s="385"/>
      <c r="G3316" s="391">
        <v>28</v>
      </c>
      <c r="H3316" s="385"/>
      <c r="I3316" s="391"/>
      <c r="J3316" s="385"/>
      <c r="K3316" s="391"/>
      <c r="L3316" s="385"/>
      <c r="M3316" s="391"/>
      <c r="N3316" s="385"/>
      <c r="O3316" s="190"/>
    </row>
    <row r="3317" spans="2:15" ht="16" x14ac:dyDescent="0.2">
      <c r="C3317" s="119">
        <v>3</v>
      </c>
      <c r="D3317" s="383">
        <v>0.3923611111111111</v>
      </c>
      <c r="E3317" s="389">
        <v>0.41319444444444442</v>
      </c>
      <c r="F3317" s="385"/>
      <c r="G3317" s="391">
        <v>28</v>
      </c>
      <c r="H3317" s="385"/>
      <c r="I3317" s="391"/>
      <c r="J3317" s="385"/>
      <c r="K3317" s="391"/>
      <c r="L3317" s="384"/>
      <c r="M3317" s="391"/>
      <c r="N3317" s="385"/>
      <c r="O3317" s="190"/>
    </row>
    <row r="3318" spans="2:15" ht="16" x14ac:dyDescent="0.2">
      <c r="C3318" s="119">
        <v>4</v>
      </c>
      <c r="D3318" s="383">
        <v>0.41319444444444442</v>
      </c>
      <c r="E3318" s="389">
        <v>0.43402777777777773</v>
      </c>
      <c r="F3318" s="385"/>
      <c r="G3318" s="391">
        <v>28</v>
      </c>
      <c r="H3318" s="316"/>
      <c r="I3318" s="391"/>
      <c r="J3318" s="385"/>
      <c r="K3318" s="391"/>
      <c r="L3318" s="402"/>
      <c r="M3318" s="391"/>
      <c r="N3318" s="385"/>
      <c r="O3318" s="190"/>
    </row>
    <row r="3319" spans="2:15" ht="16" x14ac:dyDescent="0.2">
      <c r="C3319" s="119">
        <v>5</v>
      </c>
      <c r="D3319" s="383">
        <v>0.43402777777777773</v>
      </c>
      <c r="E3319" s="389">
        <v>0.4548611111111111</v>
      </c>
      <c r="F3319" s="385"/>
      <c r="G3319" s="391"/>
      <c r="H3319" s="316">
        <v>28</v>
      </c>
      <c r="I3319" s="391"/>
      <c r="J3319" s="385"/>
      <c r="K3319" s="391"/>
      <c r="L3319" s="393"/>
      <c r="M3319" s="391"/>
      <c r="N3319" s="385"/>
      <c r="O3319" s="190"/>
    </row>
    <row r="3320" spans="2:15" ht="16" x14ac:dyDescent="0.2">
      <c r="C3320" s="119">
        <v>6</v>
      </c>
      <c r="D3320" s="383">
        <v>0.4548611111111111</v>
      </c>
      <c r="E3320" s="389">
        <v>0.47569444444444442</v>
      </c>
      <c r="F3320" s="385"/>
      <c r="G3320" s="391"/>
      <c r="H3320" s="316">
        <v>28</v>
      </c>
      <c r="I3320" s="391"/>
      <c r="J3320" s="385"/>
      <c r="K3320" s="391"/>
      <c r="L3320" s="393"/>
      <c r="M3320" s="391"/>
      <c r="N3320" s="385"/>
      <c r="O3320" s="190"/>
    </row>
    <row r="3321" spans="2:15" ht="16" x14ac:dyDescent="0.2">
      <c r="C3321" s="119">
        <v>7</v>
      </c>
      <c r="D3321" s="383">
        <v>0.47569444444444442</v>
      </c>
      <c r="E3321" s="389">
        <v>0.49652777777777773</v>
      </c>
      <c r="F3321" s="385">
        <v>28</v>
      </c>
      <c r="G3321" s="391"/>
      <c r="H3321" s="316"/>
      <c r="I3321" s="391"/>
      <c r="J3321" s="385"/>
      <c r="K3321" s="391"/>
      <c r="L3321" s="393"/>
      <c r="M3321" s="391"/>
      <c r="N3321" s="385"/>
      <c r="O3321" s="190"/>
    </row>
    <row r="3322" spans="2:15" ht="16" x14ac:dyDescent="0.2">
      <c r="C3322" s="119">
        <v>8</v>
      </c>
      <c r="D3322" s="383">
        <v>0.51041666666666663</v>
      </c>
      <c r="E3322" s="389">
        <v>0.53125</v>
      </c>
      <c r="F3322" s="385"/>
      <c r="G3322" s="391"/>
      <c r="H3322" s="316"/>
      <c r="I3322" s="391">
        <v>44</v>
      </c>
      <c r="J3322" s="385"/>
      <c r="K3322" s="391"/>
      <c r="L3322" s="385"/>
      <c r="M3322" s="391"/>
      <c r="N3322" s="385"/>
      <c r="O3322" s="190"/>
    </row>
    <row r="3323" spans="2:15" ht="16" x14ac:dyDescent="0.2">
      <c r="C3323" s="119">
        <v>9</v>
      </c>
      <c r="D3323" s="383">
        <v>0.54166666666666663</v>
      </c>
      <c r="E3323" s="389">
        <v>0.5625</v>
      </c>
      <c r="F3323" s="385">
        <v>28</v>
      </c>
      <c r="G3323" s="391"/>
      <c r="H3323" s="316"/>
      <c r="I3323" s="391"/>
      <c r="J3323" s="385"/>
      <c r="K3323" s="391"/>
      <c r="L3323" s="385"/>
      <c r="M3323" s="391"/>
      <c r="N3323" s="385"/>
      <c r="O3323" s="190"/>
    </row>
    <row r="3324" spans="2:15" ht="16" x14ac:dyDescent="0.2">
      <c r="C3324" s="119">
        <v>10</v>
      </c>
      <c r="D3324" s="383">
        <v>0.57291666666666663</v>
      </c>
      <c r="E3324" s="389">
        <v>0.59375</v>
      </c>
      <c r="F3324" s="385"/>
      <c r="G3324" s="391"/>
      <c r="H3324" s="316"/>
      <c r="I3324" s="391">
        <v>44</v>
      </c>
      <c r="J3324" s="385"/>
      <c r="K3324" s="391"/>
      <c r="L3324" s="385"/>
      <c r="M3324" s="391"/>
      <c r="N3324" s="385"/>
      <c r="O3324" s="190"/>
    </row>
    <row r="3325" spans="2:15" ht="16" x14ac:dyDescent="0.2">
      <c r="C3325" s="119">
        <v>11</v>
      </c>
      <c r="D3325" s="383">
        <v>0.61458333333333337</v>
      </c>
      <c r="E3325" s="389">
        <v>0.63541666666666663</v>
      </c>
      <c r="F3325" s="385"/>
      <c r="G3325" s="391"/>
      <c r="H3325" s="316"/>
      <c r="I3325" s="391"/>
      <c r="J3325" s="28">
        <v>36</v>
      </c>
      <c r="K3325" s="391"/>
      <c r="L3325" s="385"/>
      <c r="M3325" s="391"/>
      <c r="N3325" s="385"/>
      <c r="O3325" s="190"/>
    </row>
    <row r="3326" spans="2:15" ht="16" x14ac:dyDescent="0.2">
      <c r="C3326" s="193">
        <v>12</v>
      </c>
      <c r="D3326" s="383">
        <v>0.63888888888888895</v>
      </c>
      <c r="E3326" s="389">
        <v>0.65972222222222221</v>
      </c>
      <c r="F3326" s="385">
        <v>28</v>
      </c>
      <c r="G3326" s="391"/>
      <c r="H3326" s="316"/>
      <c r="I3326" s="391"/>
      <c r="J3326" s="385"/>
      <c r="K3326" s="391"/>
      <c r="L3326" s="385"/>
      <c r="M3326" s="391"/>
      <c r="N3326" s="385"/>
      <c r="O3326" s="190"/>
    </row>
    <row r="3327" spans="2:15" ht="16" x14ac:dyDescent="0.2">
      <c r="C3327" s="119">
        <v>13</v>
      </c>
      <c r="D3327" s="383">
        <v>0.625</v>
      </c>
      <c r="E3327" s="389">
        <v>0.64583333333333337</v>
      </c>
      <c r="F3327" s="385"/>
      <c r="G3327" s="391"/>
      <c r="H3327" s="316"/>
      <c r="I3327" s="391"/>
      <c r="J3327" s="385">
        <v>36</v>
      </c>
      <c r="K3327" s="391"/>
      <c r="L3327" s="385"/>
      <c r="M3327" s="391"/>
      <c r="N3327" s="385"/>
      <c r="O3327" s="190"/>
    </row>
    <row r="3328" spans="2:15" ht="16" x14ac:dyDescent="0.2">
      <c r="C3328" s="119">
        <v>14</v>
      </c>
      <c r="D3328" s="383">
        <v>0.73263888888888884</v>
      </c>
      <c r="E3328" s="389">
        <v>0.67013888888888884</v>
      </c>
      <c r="F3328" s="385">
        <v>28</v>
      </c>
      <c r="G3328" s="391"/>
      <c r="H3328" s="316"/>
      <c r="I3328" s="391"/>
      <c r="J3328" s="385"/>
      <c r="K3328" s="391"/>
      <c r="L3328" s="385"/>
      <c r="M3328" s="391"/>
      <c r="N3328" s="385"/>
      <c r="O3328" s="190"/>
    </row>
    <row r="3329" spans="3:15" ht="16" x14ac:dyDescent="0.2">
      <c r="C3329" s="119">
        <v>15</v>
      </c>
      <c r="D3329" s="383">
        <v>0.71875</v>
      </c>
      <c r="E3329" s="389">
        <v>0.73958333333333337</v>
      </c>
      <c r="F3329" s="385"/>
      <c r="G3329" s="391"/>
      <c r="H3329" s="316"/>
      <c r="I3329" s="391"/>
      <c r="J3329" s="385">
        <v>36</v>
      </c>
      <c r="K3329" s="391"/>
      <c r="L3329" s="385"/>
      <c r="M3329" s="391"/>
      <c r="N3329" s="385"/>
      <c r="O3329" s="190"/>
    </row>
    <row r="3330" spans="3:15" ht="16" x14ac:dyDescent="0.2">
      <c r="C3330" s="119">
        <v>16</v>
      </c>
      <c r="D3330" s="383">
        <v>0.75694444444444453</v>
      </c>
      <c r="E3330" s="389">
        <v>0.77777777777777779</v>
      </c>
      <c r="F3330" s="385"/>
      <c r="G3330" s="391"/>
      <c r="H3330" s="316"/>
      <c r="I3330" s="391"/>
      <c r="J3330" s="385">
        <v>34</v>
      </c>
      <c r="K3330" s="391"/>
      <c r="L3330" s="385"/>
      <c r="M3330" s="391"/>
      <c r="N3330" s="385"/>
      <c r="O3330" s="190"/>
    </row>
    <row r="3331" spans="3:15" ht="16" x14ac:dyDescent="0.2">
      <c r="C3331" s="119">
        <v>17</v>
      </c>
      <c r="D3331" s="383"/>
      <c r="E3331" s="389"/>
      <c r="F3331" s="384"/>
      <c r="G3331" s="33"/>
      <c r="H3331" s="316"/>
      <c r="I3331" s="390"/>
      <c r="J3331" s="385"/>
      <c r="K3331" s="391"/>
      <c r="L3331" s="385"/>
      <c r="M3331" s="391"/>
      <c r="N3331" s="385"/>
      <c r="O3331" s="190"/>
    </row>
    <row r="3332" spans="3:15" ht="16" x14ac:dyDescent="0.2">
      <c r="C3332" s="119">
        <v>18</v>
      </c>
      <c r="D3332" s="383"/>
      <c r="E3332" s="389"/>
      <c r="F3332" s="394"/>
      <c r="G3332" s="229"/>
      <c r="H3332" s="394"/>
      <c r="I3332" s="391"/>
      <c r="J3332" s="385"/>
      <c r="K3332" s="391"/>
      <c r="L3332" s="385"/>
      <c r="M3332" s="391"/>
      <c r="N3332" s="385"/>
      <c r="O3332" s="190"/>
    </row>
    <row r="3333" spans="3:15" ht="16" x14ac:dyDescent="0.2">
      <c r="C3333" s="119">
        <v>19</v>
      </c>
      <c r="D3333" s="383"/>
      <c r="E3333" s="389"/>
      <c r="F3333" s="385"/>
      <c r="G3333" s="391"/>
      <c r="H3333" s="385"/>
      <c r="I3333" s="391"/>
      <c r="J3333" s="385"/>
      <c r="K3333" s="391"/>
      <c r="L3333" s="403"/>
      <c r="M3333" s="391"/>
      <c r="N3333" s="385"/>
      <c r="O3333" s="190"/>
    </row>
    <row r="3334" spans="3:15" ht="16" x14ac:dyDescent="0.2">
      <c r="C3334" s="119">
        <v>20</v>
      </c>
      <c r="D3334" s="383"/>
      <c r="E3334" s="389"/>
      <c r="F3334" s="385"/>
      <c r="G3334" s="391"/>
      <c r="H3334" s="385"/>
      <c r="I3334" s="391"/>
      <c r="J3334" s="385"/>
      <c r="K3334" s="391"/>
      <c r="L3334" s="403"/>
      <c r="M3334" s="391"/>
      <c r="N3334" s="385"/>
      <c r="O3334" s="190"/>
    </row>
    <row r="3335" spans="3:15" ht="16" x14ac:dyDescent="0.2">
      <c r="C3335" s="119">
        <v>21</v>
      </c>
      <c r="D3335" s="383"/>
      <c r="E3335" s="389"/>
      <c r="F3335" s="385"/>
      <c r="G3335" s="391"/>
      <c r="H3335" s="385"/>
      <c r="I3335" s="391"/>
      <c r="J3335" s="385"/>
      <c r="K3335" s="391"/>
      <c r="L3335" s="385"/>
      <c r="M3335" s="391"/>
      <c r="N3335" s="385"/>
      <c r="O3335" s="190"/>
    </row>
    <row r="3336" spans="3:15" ht="16" x14ac:dyDescent="0.2">
      <c r="C3336" s="119">
        <v>22</v>
      </c>
      <c r="D3336" s="383"/>
      <c r="E3336" s="389"/>
      <c r="F3336" s="385"/>
      <c r="G3336" s="391"/>
      <c r="H3336" s="385"/>
      <c r="I3336" s="391"/>
      <c r="J3336" s="385"/>
      <c r="K3336" s="391"/>
      <c r="L3336" s="385"/>
      <c r="M3336" s="391"/>
      <c r="N3336" s="385"/>
      <c r="O3336" s="190"/>
    </row>
    <row r="3337" spans="3:15" ht="16" x14ac:dyDescent="0.2">
      <c r="C3337" s="119">
        <v>23</v>
      </c>
      <c r="D3337" s="383"/>
      <c r="E3337" s="389"/>
      <c r="F3337" s="385"/>
      <c r="G3337" s="391"/>
      <c r="H3337" s="385"/>
      <c r="I3337" s="391"/>
      <c r="J3337" s="385"/>
      <c r="K3337" s="391"/>
      <c r="L3337" s="385"/>
      <c r="M3337" s="391"/>
      <c r="N3337" s="385"/>
      <c r="O3337" s="190"/>
    </row>
    <row r="3338" spans="3:15" ht="16" x14ac:dyDescent="0.2">
      <c r="C3338" s="119">
        <v>24</v>
      </c>
      <c r="D3338" s="383"/>
      <c r="E3338" s="389"/>
      <c r="F3338" s="385"/>
      <c r="G3338" s="391"/>
      <c r="H3338" s="385"/>
      <c r="I3338" s="391"/>
      <c r="J3338" s="385"/>
      <c r="K3338" s="391"/>
      <c r="L3338" s="385"/>
      <c r="M3338" s="391"/>
      <c r="N3338" s="385"/>
      <c r="O3338" s="190"/>
    </row>
    <row r="3339" spans="3:15" ht="16" x14ac:dyDescent="0.2">
      <c r="C3339" s="119">
        <v>25</v>
      </c>
      <c r="D3339" s="383"/>
      <c r="E3339" s="389"/>
      <c r="F3339" s="385"/>
      <c r="G3339" s="391"/>
      <c r="H3339" s="385"/>
      <c r="I3339" s="391"/>
      <c r="J3339" s="385"/>
      <c r="K3339" s="391"/>
      <c r="L3339" s="385"/>
      <c r="M3339" s="391"/>
      <c r="N3339" s="385"/>
      <c r="O3339" s="190"/>
    </row>
    <row r="3340" spans="3:15" ht="16" x14ac:dyDescent="0.2">
      <c r="C3340" s="119">
        <v>26</v>
      </c>
      <c r="D3340" s="383"/>
      <c r="E3340" s="389"/>
      <c r="F3340" s="385"/>
      <c r="G3340" s="391"/>
      <c r="H3340" s="385"/>
      <c r="I3340" s="391"/>
      <c r="J3340" s="385"/>
      <c r="K3340" s="391"/>
      <c r="L3340" s="385"/>
      <c r="M3340" s="391"/>
      <c r="N3340" s="385"/>
      <c r="O3340" s="190"/>
    </row>
    <row r="3341" spans="3:15" ht="16" x14ac:dyDescent="0.2">
      <c r="C3341" s="119">
        <v>27</v>
      </c>
      <c r="D3341" s="383"/>
      <c r="E3341" s="389"/>
      <c r="F3341" s="385"/>
      <c r="G3341" s="391"/>
      <c r="H3341" s="385"/>
      <c r="I3341" s="391"/>
      <c r="J3341" s="385"/>
      <c r="K3341" s="391"/>
      <c r="L3341" s="385"/>
      <c r="M3341" s="391"/>
      <c r="N3341" s="385"/>
      <c r="O3341" s="190"/>
    </row>
    <row r="3342" spans="3:15" ht="16" x14ac:dyDescent="0.2">
      <c r="C3342" s="119">
        <v>28</v>
      </c>
      <c r="D3342" s="383"/>
      <c r="E3342" s="389"/>
      <c r="F3342" s="385"/>
      <c r="G3342" s="391"/>
      <c r="H3342" s="385"/>
      <c r="I3342" s="391"/>
      <c r="J3342" s="385"/>
      <c r="K3342" s="391"/>
      <c r="L3342" s="385"/>
      <c r="M3342" s="391"/>
      <c r="N3342" s="385"/>
      <c r="O3342" s="190"/>
    </row>
    <row r="3343" spans="3:15" ht="16" x14ac:dyDescent="0.2">
      <c r="C3343" s="119">
        <v>29</v>
      </c>
      <c r="D3343" s="383"/>
      <c r="E3343" s="389"/>
      <c r="F3343" s="385"/>
      <c r="G3343" s="391"/>
      <c r="H3343" s="385"/>
      <c r="I3343" s="391"/>
      <c r="J3343" s="385"/>
      <c r="K3343" s="391"/>
      <c r="L3343" s="385"/>
      <c r="M3343" s="391"/>
      <c r="N3343" s="385"/>
      <c r="O3343" s="190"/>
    </row>
    <row r="3344" spans="3:15" ht="16" x14ac:dyDescent="0.2">
      <c r="C3344" s="119">
        <v>30</v>
      </c>
      <c r="D3344" s="383"/>
      <c r="E3344" s="389"/>
      <c r="F3344" s="385"/>
      <c r="G3344" s="391"/>
      <c r="H3344" s="385"/>
      <c r="I3344" s="391"/>
      <c r="J3344" s="385"/>
      <c r="K3344" s="391"/>
      <c r="L3344" s="385"/>
      <c r="M3344" s="391"/>
      <c r="N3344" s="385"/>
      <c r="O3344" s="190"/>
    </row>
    <row r="3345" spans="2:15" ht="16" x14ac:dyDescent="0.2">
      <c r="C3345" s="120">
        <v>31</v>
      </c>
      <c r="D3345" s="383"/>
      <c r="E3345" s="389"/>
      <c r="F3345" s="384"/>
      <c r="G3345" s="390"/>
      <c r="H3345" s="384"/>
      <c r="I3345" s="390"/>
      <c r="J3345" s="384"/>
      <c r="K3345" s="390"/>
      <c r="L3345" s="384"/>
      <c r="M3345" s="390"/>
      <c r="N3345" s="384"/>
      <c r="O3345" s="190"/>
    </row>
    <row r="3346" spans="2:15" ht="16" x14ac:dyDescent="0.2">
      <c r="B3346" s="256"/>
      <c r="C3346" s="377">
        <v>32</v>
      </c>
      <c r="D3346" s="384"/>
      <c r="E3346" s="390"/>
      <c r="F3346" s="384"/>
      <c r="G3346" s="390"/>
      <c r="H3346" s="384"/>
      <c r="I3346" s="390"/>
      <c r="J3346" s="384"/>
      <c r="K3346" s="390"/>
      <c r="L3346" s="384"/>
      <c r="M3346" s="390"/>
      <c r="N3346" s="384"/>
      <c r="O3346" s="190"/>
    </row>
    <row r="3347" spans="2:15" ht="16" x14ac:dyDescent="0.2">
      <c r="B3347" s="256"/>
      <c r="C3347" s="119">
        <v>33</v>
      </c>
      <c r="D3347" s="385"/>
      <c r="E3347" s="391"/>
      <c r="F3347" s="385"/>
      <c r="G3347" s="391"/>
      <c r="H3347" s="385"/>
      <c r="I3347" s="391"/>
      <c r="J3347" s="385"/>
      <c r="K3347" s="391"/>
      <c r="L3347" s="385"/>
      <c r="M3347" s="391"/>
      <c r="N3347" s="385"/>
      <c r="O3347" s="190"/>
    </row>
    <row r="3348" spans="2:15" ht="16" x14ac:dyDescent="0.2">
      <c r="B3348" s="256"/>
      <c r="C3348" s="119">
        <v>34</v>
      </c>
      <c r="D3348" s="385"/>
      <c r="E3348" s="391"/>
      <c r="F3348" s="385"/>
      <c r="G3348" s="391"/>
      <c r="H3348" s="385"/>
      <c r="I3348" s="391"/>
      <c r="J3348" s="385"/>
      <c r="K3348" s="391"/>
      <c r="L3348" s="385"/>
      <c r="M3348" s="391"/>
      <c r="N3348" s="385"/>
      <c r="O3348" s="190"/>
    </row>
    <row r="3349" spans="2:15" ht="16" x14ac:dyDescent="0.2">
      <c r="B3349" s="256"/>
      <c r="C3349" s="119">
        <v>35</v>
      </c>
      <c r="D3349" s="385"/>
      <c r="E3349" s="391"/>
      <c r="F3349" s="385"/>
      <c r="G3349" s="391"/>
      <c r="H3349" s="385"/>
      <c r="I3349" s="391"/>
      <c r="J3349" s="385"/>
      <c r="K3349" s="391"/>
      <c r="L3349" s="385"/>
      <c r="M3349" s="391"/>
      <c r="N3349" s="385"/>
      <c r="O3349" s="190"/>
    </row>
    <row r="3350" spans="2:15" ht="16" x14ac:dyDescent="0.2">
      <c r="B3350" s="256"/>
      <c r="C3350" s="119">
        <v>36</v>
      </c>
      <c r="D3350" s="385"/>
      <c r="E3350" s="391"/>
      <c r="F3350" s="385"/>
      <c r="G3350" s="391"/>
      <c r="H3350" s="385"/>
      <c r="I3350" s="391"/>
      <c r="J3350" s="385"/>
      <c r="K3350" s="391"/>
      <c r="L3350" s="385"/>
      <c r="M3350" s="391"/>
      <c r="N3350" s="385"/>
      <c r="O3350" s="190"/>
    </row>
    <row r="3351" spans="2:15" ht="17" thickBot="1" x14ac:dyDescent="0.25">
      <c r="B3351" s="256"/>
      <c r="C3351" s="378">
        <v>37</v>
      </c>
      <c r="D3351" s="386"/>
      <c r="E3351" s="392"/>
      <c r="F3351" s="386"/>
      <c r="G3351" s="392"/>
      <c r="H3351" s="386"/>
      <c r="I3351" s="392"/>
      <c r="J3351" s="386"/>
      <c r="K3351" s="392"/>
      <c r="L3351" s="386"/>
      <c r="M3351" s="392"/>
      <c r="N3351" s="386"/>
      <c r="O3351" s="190"/>
    </row>
    <row r="3352" spans="2:15" ht="17" thickBot="1" x14ac:dyDescent="0.25">
      <c r="C3352" s="825" t="s">
        <v>19</v>
      </c>
      <c r="D3352" s="826"/>
      <c r="E3352" s="380"/>
      <c r="F3352" s="376">
        <f>(F3315+F3316+F3317+F3318+F3319+F3320+F3336+F3323+F3324+F3321+F3322+F3325+F3326+F3327+F3328+F3329+F3330+F3331+F3332+F3333+F3334+F3335+F3337+F3338+F3340+F3341+F3342+F3343+F3344+F3345+F3346+F3347+F3348+F3351)/2</f>
        <v>61</v>
      </c>
      <c r="G3352" s="397">
        <f>(G3315+G3316+G3317+G3318+G3319+G3336+G3320+G3324+G3323+G3321+G3322+G3325+G3326+G3327+G3328+G3329+G3330+G3331+G3332+G3333+G3334+G3335+G3337+G3338+G3340+G3341+G3342+G3343+G3344+G3345+G3346+G3347)/2</f>
        <v>42</v>
      </c>
      <c r="H3352" s="399">
        <f>(H3315+H3316+H3317+H3318+H3319+H3320+H3336+H3339+H3323+H3324+H3321+H3322+H3325+H3326+H3327+H3328+H3329+H3330+H3331+H3332+H3333+H3334+H3335+H3337+H3338+H3340+H3341+H3342+H3343+H3344+H3345+H3346+H3347+H3348+H3351)/2</f>
        <v>28</v>
      </c>
      <c r="I3352" s="398">
        <f>(I3315+I3316+I3317+I3318+I3319+I3349+I3350+I3320+I3336+I3323+I3339+I3324+I3321+I3322+I3325+I3326+I3327+I3328+I3329+I3330+I3331+I3332+I3333+I3334+I3335+I3337+I3338+I3340+I3341+I3342+I3343+I3344+I3345+I3346+I3347+I3348+I3351)/2</f>
        <v>44</v>
      </c>
      <c r="J3352" s="376">
        <f>(J3315+J3316+J3317+J3318+J3319+J3320+J3324+J3321+J3323+J3322+J3339+J3325+J3326+J3327+J3328+J3329+J3330+J3331+J3332+J3333+J3334+J3335+J3336+J3337+J3338+J3340+J3341+J3342+J3343+J3344+J3345+J3346+J3347)/2</f>
        <v>71</v>
      </c>
      <c r="K3352" s="397">
        <f>(K3315+K3316+K3317+K3318+K3319+K3320+K3324+K3321+K3322+K3325+K3326+K3327+K3328+K3329+K3330+K3331+K3332+K3333+K3334+K3335+K3337+K3338+K3340+K3341+K3342+K3343+K3344+K3345+K3346+K3347+K3336)</f>
        <v>0</v>
      </c>
      <c r="L3352" s="399">
        <f>SUM(L3315:L3351)</f>
        <v>0</v>
      </c>
      <c r="M3352" s="398">
        <f>(M3315+M3316+M3317+M3318+M3319+M3320+M3324+M3323+M3321+M3322+M3325+M3326+M3327+M3328+M3329+M3330+M3331+M3332+M3333+M3334+M3335+M3337+M3338+M3340+M3341+M3342+M3343+M3344+M3345+M3346+M3347)/2</f>
        <v>0</v>
      </c>
      <c r="N3352" s="376"/>
      <c r="O3352" s="41"/>
    </row>
    <row r="3353" spans="2:15" ht="17" thickBot="1" x14ac:dyDescent="0.25">
      <c r="C3353" s="825" t="s">
        <v>91</v>
      </c>
      <c r="D3353" s="826"/>
      <c r="E3353" s="381">
        <f>SUM(F3352:J3352)</f>
        <v>246</v>
      </c>
    </row>
    <row r="3354" spans="2:15" ht="16" thickBot="1" x14ac:dyDescent="0.25"/>
    <row r="3355" spans="2:15" ht="17" thickBot="1" x14ac:dyDescent="0.25">
      <c r="C3355" s="17"/>
      <c r="D3355" s="379" t="s">
        <v>83</v>
      </c>
      <c r="E3355" s="818" t="s">
        <v>67</v>
      </c>
      <c r="F3355" s="819"/>
      <c r="G3355" s="819"/>
      <c r="H3355" s="819"/>
      <c r="I3355" s="819"/>
      <c r="J3355" s="400" t="s">
        <v>76</v>
      </c>
      <c r="K3355" s="820">
        <v>45765</v>
      </c>
      <c r="L3355" s="821"/>
      <c r="M3355" s="821"/>
      <c r="N3355" s="821"/>
      <c r="O3355" s="822"/>
    </row>
    <row r="3356" spans="2:15" ht="16" thickBot="1" x14ac:dyDescent="0.25">
      <c r="B3356" s="175" t="s">
        <v>76</v>
      </c>
      <c r="C3356" s="175" t="s">
        <v>77</v>
      </c>
      <c r="D3356" s="823" t="s">
        <v>122</v>
      </c>
      <c r="E3356" s="824"/>
      <c r="F3356" s="175" t="s">
        <v>104</v>
      </c>
      <c r="G3356" s="395" t="s">
        <v>86</v>
      </c>
      <c r="H3356" s="175" t="s">
        <v>88</v>
      </c>
      <c r="I3356" s="395" t="s">
        <v>87</v>
      </c>
      <c r="J3356" s="401" t="s">
        <v>85</v>
      </c>
      <c r="K3356" s="395" t="s">
        <v>123</v>
      </c>
      <c r="L3356" s="175" t="s">
        <v>124</v>
      </c>
      <c r="M3356" s="395" t="s">
        <v>100</v>
      </c>
      <c r="N3356" s="175" t="s">
        <v>213</v>
      </c>
      <c r="O3356" s="404" t="s">
        <v>125</v>
      </c>
    </row>
    <row r="3357" spans="2:15" ht="16" thickBot="1" x14ac:dyDescent="0.25">
      <c r="B3357" s="176">
        <f>K3355</f>
        <v>45765</v>
      </c>
      <c r="C3357" s="374"/>
      <c r="D3357" s="375" t="s">
        <v>126</v>
      </c>
      <c r="E3357" s="387" t="s">
        <v>127</v>
      </c>
      <c r="F3357" s="331">
        <v>12</v>
      </c>
      <c r="G3357" s="237">
        <v>6</v>
      </c>
      <c r="H3357" s="331">
        <v>2</v>
      </c>
      <c r="I3357" s="237">
        <v>4</v>
      </c>
      <c r="J3357" s="331">
        <v>8</v>
      </c>
      <c r="K3357" s="231"/>
      <c r="L3357" s="125"/>
      <c r="M3357" s="231"/>
      <c r="N3357" s="125"/>
      <c r="O3357" s="326"/>
    </row>
    <row r="3358" spans="2:15" ht="16" x14ac:dyDescent="0.2">
      <c r="C3358" s="118">
        <v>1</v>
      </c>
      <c r="D3358" s="382">
        <v>0.39583333333333331</v>
      </c>
      <c r="E3358" s="388">
        <v>0.41666666666666669</v>
      </c>
      <c r="F3358" s="393"/>
      <c r="G3358" s="396">
        <v>28</v>
      </c>
      <c r="H3358" s="393"/>
      <c r="I3358" s="396"/>
      <c r="J3358" s="393"/>
      <c r="K3358" s="396"/>
      <c r="L3358" s="393"/>
      <c r="M3358" s="396"/>
      <c r="N3358" s="393"/>
      <c r="O3358" s="190"/>
    </row>
    <row r="3359" spans="2:15" ht="16" x14ac:dyDescent="0.2">
      <c r="C3359" s="119">
        <v>2</v>
      </c>
      <c r="D3359" s="383">
        <v>0.41666666666666669</v>
      </c>
      <c r="E3359" s="389">
        <v>0.4375</v>
      </c>
      <c r="F3359" s="385"/>
      <c r="G3359" s="391">
        <v>28</v>
      </c>
      <c r="H3359" s="385"/>
      <c r="I3359" s="391"/>
      <c r="J3359" s="385"/>
      <c r="K3359" s="391"/>
      <c r="L3359" s="385"/>
      <c r="M3359" s="391"/>
      <c r="N3359" s="385"/>
      <c r="O3359" s="190"/>
    </row>
    <row r="3360" spans="2:15" ht="16" x14ac:dyDescent="0.2">
      <c r="C3360" s="119">
        <v>3</v>
      </c>
      <c r="D3360" s="383">
        <v>0.4375</v>
      </c>
      <c r="E3360" s="389">
        <v>0.45833333333333331</v>
      </c>
      <c r="F3360" s="385"/>
      <c r="G3360" s="391">
        <v>28</v>
      </c>
      <c r="H3360" s="385"/>
      <c r="I3360" s="391"/>
      <c r="J3360" s="385"/>
      <c r="K3360" s="391"/>
      <c r="L3360" s="384"/>
      <c r="M3360" s="391"/>
      <c r="N3360" s="385"/>
      <c r="O3360" s="190"/>
    </row>
    <row r="3361" spans="3:15" ht="16" x14ac:dyDescent="0.2">
      <c r="C3361" s="119">
        <v>4</v>
      </c>
      <c r="D3361" s="383">
        <v>0.45833333333333331</v>
      </c>
      <c r="E3361" s="389">
        <v>0.47916666666666669</v>
      </c>
      <c r="F3361" s="385"/>
      <c r="G3361" s="391"/>
      <c r="H3361" s="316">
        <v>28</v>
      </c>
      <c r="I3361" s="391"/>
      <c r="J3361" s="385"/>
      <c r="K3361" s="391"/>
      <c r="L3361" s="402"/>
      <c r="M3361" s="391"/>
      <c r="N3361" s="385"/>
      <c r="O3361" s="190"/>
    </row>
    <row r="3362" spans="3:15" ht="16" x14ac:dyDescent="0.2">
      <c r="C3362" s="119">
        <v>5</v>
      </c>
      <c r="D3362" s="383">
        <v>0.47916666666666669</v>
      </c>
      <c r="E3362" s="389">
        <v>0.5</v>
      </c>
      <c r="F3362" s="385">
        <v>28</v>
      </c>
      <c r="G3362" s="391"/>
      <c r="H3362" s="316"/>
      <c r="I3362" s="391"/>
      <c r="J3362" s="385"/>
      <c r="K3362" s="391"/>
      <c r="L3362" s="393"/>
      <c r="M3362" s="391"/>
      <c r="N3362" s="385"/>
      <c r="O3362" s="190"/>
    </row>
    <row r="3363" spans="3:15" ht="16" x14ac:dyDescent="0.2">
      <c r="C3363" s="119">
        <v>6</v>
      </c>
      <c r="D3363" s="383">
        <v>0.52430555555555558</v>
      </c>
      <c r="E3363" s="389">
        <v>0.54166666666666663</v>
      </c>
      <c r="F3363" s="385">
        <v>28</v>
      </c>
      <c r="G3363" s="391"/>
      <c r="H3363" s="316"/>
      <c r="I3363" s="391"/>
      <c r="J3363" s="385"/>
      <c r="K3363" s="391"/>
      <c r="L3363" s="393"/>
      <c r="M3363" s="391"/>
      <c r="N3363" s="385"/>
      <c r="O3363" s="190"/>
    </row>
    <row r="3364" spans="3:15" ht="16" x14ac:dyDescent="0.2">
      <c r="C3364" s="119">
        <v>7</v>
      </c>
      <c r="D3364" s="383">
        <v>0.54513888888888895</v>
      </c>
      <c r="E3364" s="389">
        <v>0.56597222222222221</v>
      </c>
      <c r="F3364" s="385">
        <v>28</v>
      </c>
      <c r="G3364" s="391"/>
      <c r="H3364" s="316"/>
      <c r="I3364" s="391"/>
      <c r="J3364" s="385"/>
      <c r="K3364" s="391"/>
      <c r="L3364" s="393"/>
      <c r="M3364" s="391"/>
      <c r="N3364" s="385"/>
      <c r="O3364" s="190"/>
    </row>
    <row r="3365" spans="3:15" ht="16" x14ac:dyDescent="0.2">
      <c r="C3365" s="119">
        <v>8</v>
      </c>
      <c r="D3365" s="383">
        <v>0.56597222222222221</v>
      </c>
      <c r="E3365" s="389">
        <v>0.58680555555555558</v>
      </c>
      <c r="F3365" s="385">
        <v>28</v>
      </c>
      <c r="G3365" s="391"/>
      <c r="H3365" s="316"/>
      <c r="I3365" s="391"/>
      <c r="J3365" s="385"/>
      <c r="K3365" s="391"/>
      <c r="L3365" s="385"/>
      <c r="M3365" s="391"/>
      <c r="N3365" s="385"/>
      <c r="O3365" s="190"/>
    </row>
    <row r="3366" spans="3:15" ht="16" x14ac:dyDescent="0.2">
      <c r="C3366" s="119">
        <v>9</v>
      </c>
      <c r="D3366" s="383">
        <v>0.58680555555555558</v>
      </c>
      <c r="E3366" s="389">
        <v>0.60763888888888895</v>
      </c>
      <c r="F3366" s="385">
        <v>28</v>
      </c>
      <c r="G3366" s="391"/>
      <c r="H3366" s="316"/>
      <c r="I3366" s="391"/>
      <c r="J3366" s="385"/>
      <c r="K3366" s="391"/>
      <c r="L3366" s="385"/>
      <c r="M3366" s="391"/>
      <c r="N3366" s="385"/>
      <c r="O3366" s="190"/>
    </row>
    <row r="3367" spans="3:15" ht="16" x14ac:dyDescent="0.2">
      <c r="C3367" s="119">
        <v>10</v>
      </c>
      <c r="D3367" s="383">
        <v>0.60763888888888895</v>
      </c>
      <c r="E3367" s="389">
        <v>0.62847222222222221</v>
      </c>
      <c r="F3367" s="385">
        <v>28</v>
      </c>
      <c r="G3367" s="391"/>
      <c r="H3367" s="316"/>
      <c r="I3367" s="391"/>
      <c r="J3367" s="385"/>
      <c r="K3367" s="391"/>
      <c r="L3367" s="385"/>
      <c r="M3367" s="391"/>
      <c r="N3367" s="385"/>
      <c r="O3367" s="190"/>
    </row>
    <row r="3368" spans="3:15" ht="16" x14ac:dyDescent="0.2">
      <c r="C3368" s="119">
        <v>11</v>
      </c>
      <c r="D3368" s="383">
        <v>0.625</v>
      </c>
      <c r="E3368" s="389">
        <v>0.64583333333333337</v>
      </c>
      <c r="F3368" s="385"/>
      <c r="G3368" s="391"/>
      <c r="H3368" s="316"/>
      <c r="I3368" s="391"/>
      <c r="J3368" s="28">
        <v>36</v>
      </c>
      <c r="K3368" s="391"/>
      <c r="L3368" s="385"/>
      <c r="M3368" s="391"/>
      <c r="N3368" s="385"/>
      <c r="O3368" s="190"/>
    </row>
    <row r="3369" spans="3:15" ht="16" x14ac:dyDescent="0.2">
      <c r="C3369" s="193">
        <v>12</v>
      </c>
      <c r="D3369" s="383">
        <v>0.64583333333333337</v>
      </c>
      <c r="E3369" s="389">
        <v>0.66666666666666663</v>
      </c>
      <c r="F3369" s="385"/>
      <c r="G3369" s="391"/>
      <c r="H3369" s="316"/>
      <c r="I3369" s="391"/>
      <c r="J3369" s="385">
        <v>36</v>
      </c>
      <c r="K3369" s="391"/>
      <c r="L3369" s="385"/>
      <c r="M3369" s="391"/>
      <c r="N3369" s="385"/>
      <c r="O3369" s="190"/>
    </row>
    <row r="3370" spans="3:15" ht="16" x14ac:dyDescent="0.2">
      <c r="C3370" s="119">
        <v>13</v>
      </c>
      <c r="D3370" s="383">
        <v>0.66666666666666663</v>
      </c>
      <c r="E3370" s="389">
        <v>0.6875</v>
      </c>
      <c r="F3370" s="385"/>
      <c r="G3370" s="391"/>
      <c r="H3370" s="316"/>
      <c r="I3370" s="391"/>
      <c r="J3370" s="385">
        <v>32</v>
      </c>
      <c r="K3370" s="391"/>
      <c r="L3370" s="385"/>
      <c r="M3370" s="391"/>
      <c r="N3370" s="385"/>
      <c r="O3370" s="190"/>
    </row>
    <row r="3371" spans="3:15" ht="16" x14ac:dyDescent="0.2">
      <c r="C3371" s="119">
        <v>14</v>
      </c>
      <c r="D3371" s="383">
        <v>0.6875</v>
      </c>
      <c r="E3371" s="389">
        <v>0.70833333333333337</v>
      </c>
      <c r="F3371" s="385"/>
      <c r="G3371" s="391"/>
      <c r="H3371" s="316"/>
      <c r="I3371" s="391"/>
      <c r="J3371" s="385">
        <v>36</v>
      </c>
      <c r="K3371" s="391"/>
      <c r="L3371" s="385"/>
      <c r="M3371" s="391"/>
      <c r="N3371" s="385"/>
      <c r="O3371" s="190"/>
    </row>
    <row r="3372" spans="3:15" ht="16" x14ac:dyDescent="0.2">
      <c r="C3372" s="119">
        <v>15</v>
      </c>
      <c r="D3372" s="383">
        <v>0.70833333333333337</v>
      </c>
      <c r="E3372" s="389">
        <v>0.72916666666666663</v>
      </c>
      <c r="F3372" s="385"/>
      <c r="G3372" s="391"/>
      <c r="H3372" s="316"/>
      <c r="I3372" s="391">
        <v>44</v>
      </c>
      <c r="J3372" s="385"/>
      <c r="K3372" s="391"/>
      <c r="L3372" s="385"/>
      <c r="M3372" s="391"/>
      <c r="N3372" s="385"/>
      <c r="O3372" s="190"/>
    </row>
    <row r="3373" spans="3:15" ht="16" x14ac:dyDescent="0.2">
      <c r="C3373" s="119">
        <v>16</v>
      </c>
      <c r="D3373" s="383">
        <v>0.72916666666666663</v>
      </c>
      <c r="E3373" s="389">
        <v>0.75</v>
      </c>
      <c r="F3373" s="385"/>
      <c r="G3373" s="391"/>
      <c r="H3373" s="316"/>
      <c r="I3373" s="391">
        <v>44</v>
      </c>
      <c r="J3373" s="385"/>
      <c r="K3373" s="391"/>
      <c r="L3373" s="385"/>
      <c r="M3373" s="391"/>
      <c r="N3373" s="385"/>
      <c r="O3373" s="190"/>
    </row>
    <row r="3374" spans="3:15" ht="16" x14ac:dyDescent="0.2">
      <c r="C3374" s="119">
        <v>17</v>
      </c>
      <c r="D3374" s="383"/>
      <c r="E3374" s="389"/>
      <c r="F3374" s="384"/>
      <c r="G3374" s="33"/>
      <c r="H3374" s="316"/>
      <c r="I3374" s="390"/>
      <c r="J3374" s="385"/>
      <c r="K3374" s="391"/>
      <c r="L3374" s="385"/>
      <c r="M3374" s="391"/>
      <c r="N3374" s="385"/>
      <c r="O3374" s="190"/>
    </row>
    <row r="3375" spans="3:15" ht="16" x14ac:dyDescent="0.2">
      <c r="C3375" s="119">
        <v>18</v>
      </c>
      <c r="D3375" s="383"/>
      <c r="E3375" s="389"/>
      <c r="F3375" s="394"/>
      <c r="G3375" s="229"/>
      <c r="H3375" s="394"/>
      <c r="I3375" s="391"/>
      <c r="J3375" s="385"/>
      <c r="K3375" s="391"/>
      <c r="L3375" s="385"/>
      <c r="M3375" s="391"/>
      <c r="N3375" s="385"/>
      <c r="O3375" s="190"/>
    </row>
    <row r="3376" spans="3:15" ht="16" x14ac:dyDescent="0.2">
      <c r="C3376" s="119">
        <v>19</v>
      </c>
      <c r="D3376" s="383"/>
      <c r="E3376" s="389"/>
      <c r="F3376" s="385"/>
      <c r="G3376" s="391"/>
      <c r="H3376" s="385"/>
      <c r="I3376" s="391"/>
      <c r="J3376" s="385"/>
      <c r="K3376" s="391"/>
      <c r="L3376" s="403"/>
      <c r="M3376" s="391"/>
      <c r="N3376" s="385"/>
      <c r="O3376" s="190"/>
    </row>
    <row r="3377" spans="2:15" ht="16" x14ac:dyDescent="0.2">
      <c r="C3377" s="119">
        <v>20</v>
      </c>
      <c r="D3377" s="383"/>
      <c r="E3377" s="389"/>
      <c r="F3377" s="385"/>
      <c r="G3377" s="391"/>
      <c r="H3377" s="385"/>
      <c r="I3377" s="391"/>
      <c r="J3377" s="385"/>
      <c r="K3377" s="391"/>
      <c r="L3377" s="403"/>
      <c r="M3377" s="391"/>
      <c r="N3377" s="385"/>
      <c r="O3377" s="190"/>
    </row>
    <row r="3378" spans="2:15" ht="16" x14ac:dyDescent="0.2">
      <c r="C3378" s="119">
        <v>21</v>
      </c>
      <c r="D3378" s="383"/>
      <c r="E3378" s="389"/>
      <c r="F3378" s="385"/>
      <c r="G3378" s="391"/>
      <c r="H3378" s="385"/>
      <c r="I3378" s="391"/>
      <c r="J3378" s="385"/>
      <c r="K3378" s="391"/>
      <c r="L3378" s="385"/>
      <c r="M3378" s="391"/>
      <c r="N3378" s="385"/>
      <c r="O3378" s="190"/>
    </row>
    <row r="3379" spans="2:15" ht="16" x14ac:dyDescent="0.2">
      <c r="C3379" s="119">
        <v>22</v>
      </c>
      <c r="D3379" s="383"/>
      <c r="E3379" s="389"/>
      <c r="F3379" s="385"/>
      <c r="G3379" s="391"/>
      <c r="H3379" s="385"/>
      <c r="I3379" s="391"/>
      <c r="J3379" s="385"/>
      <c r="K3379" s="391"/>
      <c r="L3379" s="385"/>
      <c r="M3379" s="391"/>
      <c r="N3379" s="385"/>
      <c r="O3379" s="190"/>
    </row>
    <row r="3380" spans="2:15" ht="16" x14ac:dyDescent="0.2">
      <c r="C3380" s="119">
        <v>23</v>
      </c>
      <c r="D3380" s="383"/>
      <c r="E3380" s="389"/>
      <c r="F3380" s="385"/>
      <c r="G3380" s="391"/>
      <c r="H3380" s="385"/>
      <c r="I3380" s="391"/>
      <c r="J3380" s="385"/>
      <c r="K3380" s="391"/>
      <c r="L3380" s="385"/>
      <c r="M3380" s="391"/>
      <c r="N3380" s="385"/>
      <c r="O3380" s="190"/>
    </row>
    <row r="3381" spans="2:15" ht="16" x14ac:dyDescent="0.2">
      <c r="C3381" s="119">
        <v>24</v>
      </c>
      <c r="D3381" s="383"/>
      <c r="E3381" s="389"/>
      <c r="F3381" s="385"/>
      <c r="G3381" s="391"/>
      <c r="H3381" s="385"/>
      <c r="I3381" s="391"/>
      <c r="J3381" s="385"/>
      <c r="K3381" s="391"/>
      <c r="L3381" s="385"/>
      <c r="M3381" s="391"/>
      <c r="N3381" s="385"/>
      <c r="O3381" s="190"/>
    </row>
    <row r="3382" spans="2:15" ht="16" x14ac:dyDescent="0.2">
      <c r="C3382" s="119">
        <v>25</v>
      </c>
      <c r="D3382" s="383"/>
      <c r="E3382" s="389"/>
      <c r="F3382" s="385"/>
      <c r="G3382" s="391"/>
      <c r="H3382" s="385"/>
      <c r="I3382" s="391"/>
      <c r="J3382" s="385"/>
      <c r="K3382" s="391"/>
      <c r="L3382" s="385"/>
      <c r="M3382" s="391"/>
      <c r="N3382" s="385"/>
      <c r="O3382" s="190"/>
    </row>
    <row r="3383" spans="2:15" ht="16" x14ac:dyDescent="0.2">
      <c r="C3383" s="119">
        <v>26</v>
      </c>
      <c r="D3383" s="383"/>
      <c r="E3383" s="389"/>
      <c r="F3383" s="385"/>
      <c r="G3383" s="391"/>
      <c r="H3383" s="385"/>
      <c r="I3383" s="391"/>
      <c r="J3383" s="385"/>
      <c r="K3383" s="391"/>
      <c r="L3383" s="385"/>
      <c r="M3383" s="391"/>
      <c r="N3383" s="385"/>
      <c r="O3383" s="190"/>
    </row>
    <row r="3384" spans="2:15" ht="16" x14ac:dyDescent="0.2">
      <c r="C3384" s="119">
        <v>27</v>
      </c>
      <c r="D3384" s="383"/>
      <c r="E3384" s="389"/>
      <c r="F3384" s="385"/>
      <c r="G3384" s="391"/>
      <c r="H3384" s="385"/>
      <c r="I3384" s="391"/>
      <c r="J3384" s="385"/>
      <c r="K3384" s="391"/>
      <c r="L3384" s="385"/>
      <c r="M3384" s="391"/>
      <c r="N3384" s="385"/>
      <c r="O3384" s="190"/>
    </row>
    <row r="3385" spans="2:15" ht="16" x14ac:dyDescent="0.2">
      <c r="C3385" s="119">
        <v>28</v>
      </c>
      <c r="D3385" s="383"/>
      <c r="E3385" s="389"/>
      <c r="F3385" s="385"/>
      <c r="G3385" s="391"/>
      <c r="H3385" s="385"/>
      <c r="I3385" s="391"/>
      <c r="J3385" s="385"/>
      <c r="K3385" s="391"/>
      <c r="L3385" s="385"/>
      <c r="M3385" s="391"/>
      <c r="N3385" s="385"/>
      <c r="O3385" s="190"/>
    </row>
    <row r="3386" spans="2:15" ht="16" x14ac:dyDescent="0.2">
      <c r="C3386" s="119">
        <v>29</v>
      </c>
      <c r="D3386" s="383"/>
      <c r="E3386" s="389"/>
      <c r="F3386" s="385"/>
      <c r="G3386" s="391"/>
      <c r="H3386" s="385"/>
      <c r="I3386" s="391"/>
      <c r="J3386" s="385"/>
      <c r="K3386" s="391"/>
      <c r="L3386" s="385"/>
      <c r="M3386" s="391"/>
      <c r="N3386" s="385"/>
      <c r="O3386" s="190"/>
    </row>
    <row r="3387" spans="2:15" ht="16" x14ac:dyDescent="0.2">
      <c r="C3387" s="119">
        <v>30</v>
      </c>
      <c r="D3387" s="383"/>
      <c r="E3387" s="389"/>
      <c r="F3387" s="385"/>
      <c r="G3387" s="391"/>
      <c r="H3387" s="385"/>
      <c r="I3387" s="391"/>
      <c r="J3387" s="385"/>
      <c r="K3387" s="391"/>
      <c r="L3387" s="385"/>
      <c r="M3387" s="391"/>
      <c r="N3387" s="385"/>
      <c r="O3387" s="190"/>
    </row>
    <row r="3388" spans="2:15" ht="16" x14ac:dyDescent="0.2">
      <c r="C3388" s="120">
        <v>31</v>
      </c>
      <c r="D3388" s="383"/>
      <c r="E3388" s="389"/>
      <c r="F3388" s="384"/>
      <c r="G3388" s="390"/>
      <c r="H3388" s="384"/>
      <c r="I3388" s="390"/>
      <c r="J3388" s="384"/>
      <c r="K3388" s="390"/>
      <c r="L3388" s="384"/>
      <c r="M3388" s="390"/>
      <c r="N3388" s="384"/>
      <c r="O3388" s="190"/>
    </row>
    <row r="3389" spans="2:15" ht="16" x14ac:dyDescent="0.2">
      <c r="B3389" s="256"/>
      <c r="C3389" s="377">
        <v>32</v>
      </c>
      <c r="D3389" s="384"/>
      <c r="E3389" s="390"/>
      <c r="F3389" s="384"/>
      <c r="G3389" s="390"/>
      <c r="H3389" s="384"/>
      <c r="I3389" s="390"/>
      <c r="J3389" s="384"/>
      <c r="K3389" s="390"/>
      <c r="L3389" s="384"/>
      <c r="M3389" s="390"/>
      <c r="N3389" s="384"/>
      <c r="O3389" s="190"/>
    </row>
    <row r="3390" spans="2:15" ht="16" x14ac:dyDescent="0.2">
      <c r="B3390" s="256"/>
      <c r="C3390" s="119">
        <v>33</v>
      </c>
      <c r="D3390" s="385"/>
      <c r="E3390" s="391"/>
      <c r="F3390" s="385"/>
      <c r="G3390" s="391"/>
      <c r="H3390" s="385"/>
      <c r="I3390" s="391"/>
      <c r="J3390" s="385"/>
      <c r="K3390" s="391"/>
      <c r="L3390" s="385"/>
      <c r="M3390" s="391"/>
      <c r="N3390" s="385"/>
      <c r="O3390" s="190"/>
    </row>
    <row r="3391" spans="2:15" ht="16" x14ac:dyDescent="0.2">
      <c r="B3391" s="256"/>
      <c r="C3391" s="119">
        <v>34</v>
      </c>
      <c r="D3391" s="385"/>
      <c r="E3391" s="391"/>
      <c r="F3391" s="385"/>
      <c r="G3391" s="391"/>
      <c r="H3391" s="385"/>
      <c r="I3391" s="391"/>
      <c r="J3391" s="385"/>
      <c r="K3391" s="391"/>
      <c r="L3391" s="385"/>
      <c r="M3391" s="391"/>
      <c r="N3391" s="385"/>
      <c r="O3391" s="190"/>
    </row>
    <row r="3392" spans="2:15" ht="16" x14ac:dyDescent="0.2">
      <c r="B3392" s="256"/>
      <c r="C3392" s="119">
        <v>35</v>
      </c>
      <c r="D3392" s="385"/>
      <c r="E3392" s="391"/>
      <c r="F3392" s="385"/>
      <c r="G3392" s="391"/>
      <c r="H3392" s="385"/>
      <c r="I3392" s="391"/>
      <c r="J3392" s="385"/>
      <c r="K3392" s="391"/>
      <c r="L3392" s="385"/>
      <c r="M3392" s="391"/>
      <c r="N3392" s="385"/>
      <c r="O3392" s="190"/>
    </row>
    <row r="3393" spans="2:15" ht="16" x14ac:dyDescent="0.2">
      <c r="B3393" s="256"/>
      <c r="C3393" s="119">
        <v>36</v>
      </c>
      <c r="D3393" s="385"/>
      <c r="E3393" s="391"/>
      <c r="F3393" s="385"/>
      <c r="G3393" s="391"/>
      <c r="H3393" s="385"/>
      <c r="I3393" s="391"/>
      <c r="J3393" s="385"/>
      <c r="K3393" s="391"/>
      <c r="L3393" s="385"/>
      <c r="M3393" s="391"/>
      <c r="N3393" s="385"/>
      <c r="O3393" s="190"/>
    </row>
    <row r="3394" spans="2:15" ht="17" thickBot="1" x14ac:dyDescent="0.25">
      <c r="B3394" s="256"/>
      <c r="C3394" s="378">
        <v>37</v>
      </c>
      <c r="D3394" s="386"/>
      <c r="E3394" s="392"/>
      <c r="F3394" s="386"/>
      <c r="G3394" s="392"/>
      <c r="H3394" s="386"/>
      <c r="I3394" s="392"/>
      <c r="J3394" s="386"/>
      <c r="K3394" s="392"/>
      <c r="L3394" s="386"/>
      <c r="M3394" s="392"/>
      <c r="N3394" s="386"/>
      <c r="O3394" s="190"/>
    </row>
    <row r="3395" spans="2:15" ht="17" thickBot="1" x14ac:dyDescent="0.25">
      <c r="C3395" s="825" t="s">
        <v>19</v>
      </c>
      <c r="D3395" s="826"/>
      <c r="E3395" s="380"/>
      <c r="F3395" s="376">
        <f>(F3358+F3359+F3360+F3361+F3362+F3363+F3379+F3366+F3367+F3364+F3365+F3368+F3369+F3370+F3371+F3372+F3373+F3374+F3375+F3376+F3377+F3378+F3380+F3381+F3383+F3384+F3385+F3386+F3387+F3388+F3389+F3390+F3391+F3394)/2</f>
        <v>84</v>
      </c>
      <c r="G3395" s="397">
        <f>(G3358+G3359+G3360+G3361+G3362+G3379+G3363+G3367+G3366+G3364+G3365+G3368+G3369+G3370+G3371+G3372+G3373+G3374+G3375+G3376+G3377+G3378+G3380+G3381+G3383+G3384+G3385+G3386+G3387+G3388+G3389+G3390)/2</f>
        <v>42</v>
      </c>
      <c r="H3395" s="399">
        <f>(H3358+H3359+H3360+H3361+H3362+H3363+H3379+H3382+H3366+H3367+H3364+H3365+H3368+H3369+H3370+H3371+H3372+H3373+H3374+H3375+H3376+H3377+H3378+H3380+H3381+H3383+H3384+H3385+H3386+H3387+H3388+H3389+H3390+H3391+H3394)/2</f>
        <v>14</v>
      </c>
      <c r="I3395" s="398">
        <f>(I3358+I3359+I3360+I3361+I3362+I3392+I3393+I3363+I3379+I3366+I3382+I3367+I3364+I3365+I3368+I3369+I3370+I3371+I3372+I3373+I3374+I3375+I3376+I3377+I3378+I3380+I3381+I3383+I3384+I3385+I3386+I3387+I3388+I3389+I3390+I3391+I3394)/2</f>
        <v>44</v>
      </c>
      <c r="J3395" s="376">
        <f>(J3358+J3359+J3360+J3361+J3362+J3363+J3367+J3364+J3366+J3365+J3382+J3368+J3369+J3370+J3371+J3372+J3373+J3374+J3375+J3376+J3377+J3378+J3379+J3380+J3381+J3383+J3384+J3385+J3386+J3387+J3388+J3389+J3390)/2</f>
        <v>70</v>
      </c>
      <c r="K3395" s="397">
        <f>(K3358+K3359+K3360+K3361+K3362+K3363+K3367+K3364+K3365+K3368+K3369+K3370+K3371+K3372+K3373+K3374+K3375+K3376+K3377+K3378+K3380+K3381+K3383+K3384+K3385+K3386+K3387+K3388+K3389+K3390+K3379)</f>
        <v>0</v>
      </c>
      <c r="L3395" s="399">
        <f>SUM(L3358:L3394)</f>
        <v>0</v>
      </c>
      <c r="M3395" s="398">
        <f>(M3358+M3359+M3360+M3361+M3362+M3363+M3367+M3366+M3364+M3365+M3368+M3369+M3370+M3371+M3372+M3373+M3374+M3375+M3376+M3377+M3378+M3380+M3381+M3383+M3384+M3385+M3386+M3387+M3388+M3389+M3390)/2</f>
        <v>0</v>
      </c>
      <c r="N3395" s="376"/>
      <c r="O3395" s="41"/>
    </row>
    <row r="3396" spans="2:15" ht="17" thickBot="1" x14ac:dyDescent="0.25">
      <c r="C3396" s="825" t="s">
        <v>91</v>
      </c>
      <c r="D3396" s="826"/>
      <c r="E3396" s="381">
        <f>SUM(F3395:J3395)</f>
        <v>254</v>
      </c>
    </row>
    <row r="3397" spans="2:15" ht="16" thickBot="1" x14ac:dyDescent="0.25"/>
    <row r="3398" spans="2:15" ht="17" thickBot="1" x14ac:dyDescent="0.25">
      <c r="C3398" s="17"/>
      <c r="D3398" s="379" t="s">
        <v>83</v>
      </c>
      <c r="E3398" s="818" t="s">
        <v>63</v>
      </c>
      <c r="F3398" s="819"/>
      <c r="G3398" s="819"/>
      <c r="H3398" s="819"/>
      <c r="I3398" s="819"/>
      <c r="J3398" s="400" t="s">
        <v>76</v>
      </c>
      <c r="K3398" s="820">
        <v>45768</v>
      </c>
      <c r="L3398" s="821"/>
      <c r="M3398" s="821"/>
      <c r="N3398" s="821"/>
      <c r="O3398" s="822"/>
    </row>
    <row r="3399" spans="2:15" ht="16" thickBot="1" x14ac:dyDescent="0.25">
      <c r="B3399" s="175" t="s">
        <v>76</v>
      </c>
      <c r="C3399" s="175" t="s">
        <v>77</v>
      </c>
      <c r="D3399" s="823" t="s">
        <v>122</v>
      </c>
      <c r="E3399" s="824"/>
      <c r="F3399" s="175" t="s">
        <v>104</v>
      </c>
      <c r="G3399" s="395" t="s">
        <v>86</v>
      </c>
      <c r="H3399" s="175" t="s">
        <v>88</v>
      </c>
      <c r="I3399" s="395" t="s">
        <v>87</v>
      </c>
      <c r="J3399" s="401" t="s">
        <v>85</v>
      </c>
      <c r="K3399" s="395" t="s">
        <v>123</v>
      </c>
      <c r="L3399" s="175" t="s">
        <v>124</v>
      </c>
      <c r="M3399" s="395" t="s">
        <v>100</v>
      </c>
      <c r="N3399" s="175" t="s">
        <v>213</v>
      </c>
      <c r="O3399" s="404" t="s">
        <v>125</v>
      </c>
    </row>
    <row r="3400" spans="2:15" ht="16" thickBot="1" x14ac:dyDescent="0.25">
      <c r="B3400" s="176">
        <f>K3398</f>
        <v>45768</v>
      </c>
      <c r="C3400" s="374"/>
      <c r="D3400" s="375" t="s">
        <v>126</v>
      </c>
      <c r="E3400" s="387" t="s">
        <v>127</v>
      </c>
      <c r="F3400" s="331">
        <v>12</v>
      </c>
      <c r="G3400" s="237">
        <v>7</v>
      </c>
      <c r="H3400" s="331">
        <v>0</v>
      </c>
      <c r="I3400" s="237">
        <v>5</v>
      </c>
      <c r="J3400" s="331">
        <v>10</v>
      </c>
      <c r="K3400" s="231"/>
      <c r="L3400" s="125"/>
      <c r="M3400" s="231"/>
      <c r="N3400" s="125"/>
      <c r="O3400" s="326"/>
    </row>
    <row r="3401" spans="2:15" ht="16" x14ac:dyDescent="0.2">
      <c r="C3401" s="118">
        <v>1</v>
      </c>
      <c r="D3401" s="382">
        <v>0.375</v>
      </c>
      <c r="E3401" s="388">
        <v>0.39583333333333331</v>
      </c>
      <c r="F3401" s="393"/>
      <c r="G3401" s="396">
        <v>28</v>
      </c>
      <c r="H3401" s="393"/>
      <c r="I3401" s="396"/>
      <c r="J3401" s="393"/>
      <c r="K3401" s="396"/>
      <c r="L3401" s="393"/>
      <c r="M3401" s="396"/>
      <c r="N3401" s="393"/>
      <c r="O3401" s="190"/>
    </row>
    <row r="3402" spans="2:15" ht="16" x14ac:dyDescent="0.2">
      <c r="C3402" s="119">
        <v>2</v>
      </c>
      <c r="D3402" s="383">
        <v>0.39583333333333331</v>
      </c>
      <c r="E3402" s="389">
        <v>0.41666666666666669</v>
      </c>
      <c r="F3402" s="385"/>
      <c r="G3402" s="391">
        <v>28</v>
      </c>
      <c r="H3402" s="385"/>
      <c r="I3402" s="391"/>
      <c r="J3402" s="385"/>
      <c r="K3402" s="391"/>
      <c r="L3402" s="385"/>
      <c r="M3402" s="391"/>
      <c r="N3402" s="385"/>
      <c r="O3402" s="190"/>
    </row>
    <row r="3403" spans="2:15" ht="16" x14ac:dyDescent="0.2">
      <c r="C3403" s="119">
        <v>3</v>
      </c>
      <c r="D3403" s="383">
        <v>0.4375</v>
      </c>
      <c r="E3403" s="389">
        <v>0.45833333333333331</v>
      </c>
      <c r="F3403" s="385"/>
      <c r="G3403" s="391">
        <v>28</v>
      </c>
      <c r="H3403" s="385"/>
      <c r="I3403" s="391"/>
      <c r="J3403" s="385"/>
      <c r="K3403" s="391"/>
      <c r="L3403" s="384"/>
      <c r="M3403" s="391"/>
      <c r="N3403" s="385"/>
      <c r="O3403" s="190"/>
    </row>
    <row r="3404" spans="2:15" ht="16" x14ac:dyDescent="0.2">
      <c r="C3404" s="119">
        <v>4</v>
      </c>
      <c r="D3404" s="383">
        <v>0.44444444444444442</v>
      </c>
      <c r="E3404" s="389">
        <v>0.46527777777777773</v>
      </c>
      <c r="F3404" s="385"/>
      <c r="G3404" s="391">
        <v>14</v>
      </c>
      <c r="H3404" s="316"/>
      <c r="I3404" s="391"/>
      <c r="J3404" s="385"/>
      <c r="K3404" s="391"/>
      <c r="L3404" s="402"/>
      <c r="M3404" s="391"/>
      <c r="N3404" s="385"/>
      <c r="O3404" s="190"/>
    </row>
    <row r="3405" spans="2:15" ht="16" x14ac:dyDescent="0.2">
      <c r="C3405" s="119">
        <v>5</v>
      </c>
      <c r="D3405" s="383">
        <v>0.45833333333333331</v>
      </c>
      <c r="E3405" s="389">
        <v>0.47916666666666669</v>
      </c>
      <c r="F3405" s="385">
        <v>28</v>
      </c>
      <c r="G3405" s="391"/>
      <c r="H3405" s="316"/>
      <c r="I3405" s="391"/>
      <c r="J3405" s="385"/>
      <c r="K3405" s="391"/>
      <c r="L3405" s="393"/>
      <c r="M3405" s="391"/>
      <c r="N3405" s="385"/>
      <c r="O3405" s="190"/>
    </row>
    <row r="3406" spans="2:15" ht="16" x14ac:dyDescent="0.2">
      <c r="C3406" s="119">
        <v>6</v>
      </c>
      <c r="D3406" s="383">
        <v>0.47916666666666669</v>
      </c>
      <c r="E3406" s="389">
        <v>0.5</v>
      </c>
      <c r="F3406" s="385">
        <v>28</v>
      </c>
      <c r="G3406" s="391"/>
      <c r="H3406" s="316"/>
      <c r="I3406" s="391"/>
      <c r="J3406" s="385"/>
      <c r="K3406" s="391"/>
      <c r="L3406" s="393"/>
      <c r="M3406" s="391"/>
      <c r="N3406" s="385"/>
      <c r="O3406" s="190"/>
    </row>
    <row r="3407" spans="2:15" ht="16" x14ac:dyDescent="0.2">
      <c r="C3407" s="119">
        <v>7</v>
      </c>
      <c r="D3407" s="383">
        <v>0.5</v>
      </c>
      <c r="E3407" s="389">
        <v>0.52083333333333337</v>
      </c>
      <c r="F3407" s="385">
        <v>28</v>
      </c>
      <c r="G3407" s="391"/>
      <c r="H3407" s="316"/>
      <c r="I3407" s="391"/>
      <c r="J3407" s="385"/>
      <c r="K3407" s="391"/>
      <c r="L3407" s="393"/>
      <c r="M3407" s="391"/>
      <c r="N3407" s="385"/>
      <c r="O3407" s="190"/>
    </row>
    <row r="3408" spans="2:15" ht="16" x14ac:dyDescent="0.2">
      <c r="C3408" s="119">
        <v>8</v>
      </c>
      <c r="D3408" s="383">
        <v>0.52083333333333337</v>
      </c>
      <c r="E3408" s="389">
        <v>0.54166666666666663</v>
      </c>
      <c r="F3408" s="385">
        <v>28</v>
      </c>
      <c r="G3408" s="391"/>
      <c r="H3408" s="316"/>
      <c r="I3408" s="391"/>
      <c r="J3408" s="385"/>
      <c r="K3408" s="391"/>
      <c r="L3408" s="385"/>
      <c r="M3408" s="391"/>
      <c r="N3408" s="385"/>
      <c r="O3408" s="190"/>
    </row>
    <row r="3409" spans="3:15" ht="16" x14ac:dyDescent="0.2">
      <c r="C3409" s="119">
        <v>9</v>
      </c>
      <c r="D3409" s="383">
        <v>0.54166666666666663</v>
      </c>
      <c r="E3409" s="389">
        <v>0.5625</v>
      </c>
      <c r="F3409" s="385">
        <v>28</v>
      </c>
      <c r="G3409" s="391"/>
      <c r="H3409" s="316"/>
      <c r="I3409" s="391"/>
      <c r="J3409" s="385"/>
      <c r="K3409" s="391"/>
      <c r="L3409" s="385"/>
      <c r="M3409" s="391"/>
      <c r="N3409" s="385"/>
      <c r="O3409" s="190"/>
    </row>
    <row r="3410" spans="3:15" ht="16" x14ac:dyDescent="0.2">
      <c r="C3410" s="119">
        <v>10</v>
      </c>
      <c r="D3410" s="383">
        <v>0.5625</v>
      </c>
      <c r="E3410" s="389">
        <v>0.58333333333333337</v>
      </c>
      <c r="F3410" s="385">
        <v>28</v>
      </c>
      <c r="G3410" s="391"/>
      <c r="H3410" s="316"/>
      <c r="I3410" s="391"/>
      <c r="J3410" s="385"/>
      <c r="K3410" s="391"/>
      <c r="L3410" s="385"/>
      <c r="M3410" s="391"/>
      <c r="N3410" s="385"/>
      <c r="O3410" s="190"/>
    </row>
    <row r="3411" spans="3:15" ht="16" x14ac:dyDescent="0.2">
      <c r="C3411" s="119">
        <v>11</v>
      </c>
      <c r="D3411" s="383">
        <v>0.55555555555555558</v>
      </c>
      <c r="E3411" s="389">
        <v>0.57638888888888895</v>
      </c>
      <c r="F3411" s="385"/>
      <c r="G3411" s="391"/>
      <c r="H3411" s="316"/>
      <c r="I3411" s="391"/>
      <c r="J3411" s="28">
        <v>36</v>
      </c>
      <c r="K3411" s="391"/>
      <c r="L3411" s="385"/>
      <c r="M3411" s="391"/>
      <c r="N3411" s="385"/>
      <c r="O3411" s="190"/>
    </row>
    <row r="3412" spans="3:15" ht="16" x14ac:dyDescent="0.2">
      <c r="C3412" s="193">
        <v>12</v>
      </c>
      <c r="D3412" s="383">
        <v>0.57638888888888895</v>
      </c>
      <c r="E3412" s="389">
        <v>0.59722222222222221</v>
      </c>
      <c r="F3412" s="385"/>
      <c r="G3412" s="391"/>
      <c r="H3412" s="316"/>
      <c r="I3412" s="391"/>
      <c r="J3412" s="385">
        <v>36</v>
      </c>
      <c r="K3412" s="391"/>
      <c r="L3412" s="385"/>
      <c r="M3412" s="391"/>
      <c r="N3412" s="385"/>
      <c r="O3412" s="190"/>
    </row>
    <row r="3413" spans="3:15" ht="16" x14ac:dyDescent="0.2">
      <c r="C3413" s="119">
        <v>13</v>
      </c>
      <c r="D3413" s="383">
        <v>0.59722222222222221</v>
      </c>
      <c r="E3413" s="389">
        <v>0.61805555555555558</v>
      </c>
      <c r="F3413" s="385"/>
      <c r="G3413" s="391"/>
      <c r="H3413" s="316"/>
      <c r="I3413" s="391"/>
      <c r="J3413" s="385">
        <v>36</v>
      </c>
      <c r="K3413" s="391"/>
      <c r="L3413" s="385"/>
      <c r="M3413" s="391"/>
      <c r="N3413" s="385"/>
      <c r="O3413" s="190"/>
    </row>
    <row r="3414" spans="3:15" ht="16" x14ac:dyDescent="0.2">
      <c r="C3414" s="119">
        <v>14</v>
      </c>
      <c r="D3414" s="383">
        <v>0.61805555555555558</v>
      </c>
      <c r="E3414" s="389">
        <v>0.63888888888888895</v>
      </c>
      <c r="F3414" s="385"/>
      <c r="G3414" s="391"/>
      <c r="H3414" s="316"/>
      <c r="I3414" s="391"/>
      <c r="J3414" s="385">
        <v>36</v>
      </c>
      <c r="K3414" s="391"/>
      <c r="L3414" s="385"/>
      <c r="M3414" s="391"/>
      <c r="N3414" s="385"/>
      <c r="O3414" s="190"/>
    </row>
    <row r="3415" spans="3:15" ht="16" x14ac:dyDescent="0.2">
      <c r="C3415" s="119">
        <v>15</v>
      </c>
      <c r="D3415" s="383">
        <v>0.64236111111111105</v>
      </c>
      <c r="E3415" s="389">
        <v>0.66319444444444442</v>
      </c>
      <c r="F3415" s="385"/>
      <c r="G3415" s="391"/>
      <c r="H3415" s="316"/>
      <c r="I3415" s="391"/>
      <c r="J3415" s="385">
        <v>28</v>
      </c>
      <c r="K3415" s="391">
        <v>1</v>
      </c>
      <c r="L3415" s="385"/>
      <c r="M3415" s="391"/>
      <c r="N3415" s="385"/>
      <c r="O3415" s="190"/>
    </row>
    <row r="3416" spans="3:15" ht="16" x14ac:dyDescent="0.2">
      <c r="C3416" s="119">
        <v>16</v>
      </c>
      <c r="D3416" s="383">
        <v>0.66666666666666663</v>
      </c>
      <c r="E3416" s="389">
        <v>0.6875</v>
      </c>
      <c r="F3416" s="385"/>
      <c r="G3416" s="391"/>
      <c r="H3416" s="316"/>
      <c r="I3416" s="391">
        <v>44</v>
      </c>
      <c r="J3416" s="385"/>
      <c r="K3416" s="391"/>
      <c r="L3416" s="385"/>
      <c r="M3416" s="391"/>
      <c r="N3416" s="385"/>
      <c r="O3416" s="190"/>
    </row>
    <row r="3417" spans="3:15" ht="16" x14ac:dyDescent="0.2">
      <c r="C3417" s="119">
        <v>17</v>
      </c>
      <c r="D3417" s="383">
        <v>0.6875</v>
      </c>
      <c r="E3417" s="389">
        <v>0.70833333333333337</v>
      </c>
      <c r="F3417" s="384"/>
      <c r="G3417" s="33"/>
      <c r="H3417" s="316"/>
      <c r="I3417" s="390">
        <v>44</v>
      </c>
      <c r="J3417" s="385"/>
      <c r="K3417" s="391"/>
      <c r="L3417" s="385"/>
      <c r="M3417" s="391"/>
      <c r="N3417" s="385"/>
      <c r="O3417" s="190"/>
    </row>
    <row r="3418" spans="3:15" ht="16" x14ac:dyDescent="0.2">
      <c r="C3418" s="119">
        <v>18</v>
      </c>
      <c r="D3418" s="383">
        <v>0.70833333333333337</v>
      </c>
      <c r="E3418" s="389">
        <v>0.72916666666666663</v>
      </c>
      <c r="F3418" s="394"/>
      <c r="G3418" s="229"/>
      <c r="H3418" s="394"/>
      <c r="I3418" s="391">
        <v>22</v>
      </c>
      <c r="J3418" s="385"/>
      <c r="K3418" s="391"/>
      <c r="L3418" s="385"/>
      <c r="M3418" s="391"/>
      <c r="N3418" s="385"/>
      <c r="O3418" s="190"/>
    </row>
    <row r="3419" spans="3:15" ht="16" x14ac:dyDescent="0.2">
      <c r="C3419" s="119">
        <v>19</v>
      </c>
      <c r="D3419" s="383"/>
      <c r="E3419" s="389"/>
      <c r="F3419" s="385"/>
      <c r="G3419" s="391"/>
      <c r="H3419" s="385"/>
      <c r="I3419" s="391"/>
      <c r="J3419" s="385"/>
      <c r="K3419" s="391"/>
      <c r="L3419" s="403"/>
      <c r="M3419" s="391"/>
      <c r="N3419" s="385"/>
      <c r="O3419" s="190"/>
    </row>
    <row r="3420" spans="3:15" ht="16" x14ac:dyDescent="0.2">
      <c r="C3420" s="119">
        <v>20</v>
      </c>
      <c r="D3420" s="383"/>
      <c r="E3420" s="389"/>
      <c r="F3420" s="385"/>
      <c r="G3420" s="391"/>
      <c r="H3420" s="385"/>
      <c r="I3420" s="391"/>
      <c r="J3420" s="385"/>
      <c r="K3420" s="391"/>
      <c r="L3420" s="403"/>
      <c r="M3420" s="391"/>
      <c r="N3420" s="385"/>
      <c r="O3420" s="190"/>
    </row>
    <row r="3421" spans="3:15" ht="16" x14ac:dyDescent="0.2">
      <c r="C3421" s="119">
        <v>21</v>
      </c>
      <c r="D3421" s="383"/>
      <c r="E3421" s="389"/>
      <c r="F3421" s="385"/>
      <c r="G3421" s="391"/>
      <c r="H3421" s="385"/>
      <c r="I3421" s="391"/>
      <c r="J3421" s="385"/>
      <c r="K3421" s="391"/>
      <c r="L3421" s="385"/>
      <c r="M3421" s="391"/>
      <c r="N3421" s="385"/>
      <c r="O3421" s="190"/>
    </row>
    <row r="3422" spans="3:15" ht="16" x14ac:dyDescent="0.2">
      <c r="C3422" s="119">
        <v>22</v>
      </c>
      <c r="D3422" s="383"/>
      <c r="E3422" s="389"/>
      <c r="F3422" s="385"/>
      <c r="G3422" s="391"/>
      <c r="H3422" s="385"/>
      <c r="I3422" s="391"/>
      <c r="J3422" s="385"/>
      <c r="K3422" s="391"/>
      <c r="L3422" s="385"/>
      <c r="M3422" s="391"/>
      <c r="N3422" s="385"/>
      <c r="O3422" s="190"/>
    </row>
    <row r="3423" spans="3:15" ht="16" x14ac:dyDescent="0.2">
      <c r="C3423" s="119">
        <v>23</v>
      </c>
      <c r="D3423" s="383"/>
      <c r="E3423" s="389"/>
      <c r="F3423" s="385"/>
      <c r="G3423" s="391"/>
      <c r="H3423" s="385"/>
      <c r="I3423" s="391"/>
      <c r="J3423" s="385"/>
      <c r="K3423" s="391"/>
      <c r="L3423" s="385"/>
      <c r="M3423" s="391"/>
      <c r="N3423" s="385"/>
      <c r="O3423" s="190"/>
    </row>
    <row r="3424" spans="3:15" ht="16" x14ac:dyDescent="0.2">
      <c r="C3424" s="119">
        <v>24</v>
      </c>
      <c r="D3424" s="383"/>
      <c r="E3424" s="389"/>
      <c r="F3424" s="385"/>
      <c r="G3424" s="391"/>
      <c r="H3424" s="385"/>
      <c r="I3424" s="391"/>
      <c r="J3424" s="385"/>
      <c r="K3424" s="391"/>
      <c r="L3424" s="385"/>
      <c r="M3424" s="391"/>
      <c r="N3424" s="385"/>
      <c r="O3424" s="190"/>
    </row>
    <row r="3425" spans="2:15" ht="16" x14ac:dyDescent="0.2">
      <c r="C3425" s="119">
        <v>25</v>
      </c>
      <c r="D3425" s="383"/>
      <c r="E3425" s="389"/>
      <c r="F3425" s="385"/>
      <c r="G3425" s="391"/>
      <c r="H3425" s="385"/>
      <c r="I3425" s="391"/>
      <c r="J3425" s="385"/>
      <c r="K3425" s="391"/>
      <c r="L3425" s="385"/>
      <c r="M3425" s="391"/>
      <c r="N3425" s="385"/>
      <c r="O3425" s="190"/>
    </row>
    <row r="3426" spans="2:15" ht="16" x14ac:dyDescent="0.2">
      <c r="C3426" s="119">
        <v>26</v>
      </c>
      <c r="D3426" s="383"/>
      <c r="E3426" s="389"/>
      <c r="F3426" s="385"/>
      <c r="G3426" s="391"/>
      <c r="H3426" s="385"/>
      <c r="I3426" s="391"/>
      <c r="J3426" s="385"/>
      <c r="K3426" s="391"/>
      <c r="L3426" s="385"/>
      <c r="M3426" s="391"/>
      <c r="N3426" s="385"/>
      <c r="O3426" s="190"/>
    </row>
    <row r="3427" spans="2:15" ht="16" x14ac:dyDescent="0.2">
      <c r="C3427" s="119">
        <v>27</v>
      </c>
      <c r="D3427" s="383"/>
      <c r="E3427" s="389"/>
      <c r="F3427" s="385"/>
      <c r="G3427" s="391"/>
      <c r="H3427" s="385"/>
      <c r="I3427" s="391"/>
      <c r="J3427" s="385"/>
      <c r="K3427" s="391"/>
      <c r="L3427" s="385"/>
      <c r="M3427" s="391"/>
      <c r="N3427" s="385"/>
      <c r="O3427" s="190"/>
    </row>
    <row r="3428" spans="2:15" ht="16" x14ac:dyDescent="0.2">
      <c r="C3428" s="119">
        <v>28</v>
      </c>
      <c r="D3428" s="383"/>
      <c r="E3428" s="389"/>
      <c r="F3428" s="385"/>
      <c r="G3428" s="391"/>
      <c r="H3428" s="385"/>
      <c r="I3428" s="391"/>
      <c r="J3428" s="385"/>
      <c r="K3428" s="391"/>
      <c r="L3428" s="385"/>
      <c r="M3428" s="391"/>
      <c r="N3428" s="385"/>
      <c r="O3428" s="190"/>
    </row>
    <row r="3429" spans="2:15" ht="16" x14ac:dyDescent="0.2">
      <c r="C3429" s="119">
        <v>29</v>
      </c>
      <c r="D3429" s="383"/>
      <c r="E3429" s="389"/>
      <c r="F3429" s="385"/>
      <c r="G3429" s="391"/>
      <c r="H3429" s="385"/>
      <c r="I3429" s="391"/>
      <c r="J3429" s="385"/>
      <c r="K3429" s="391"/>
      <c r="L3429" s="385"/>
      <c r="M3429" s="391"/>
      <c r="N3429" s="385"/>
      <c r="O3429" s="190"/>
    </row>
    <row r="3430" spans="2:15" ht="16" x14ac:dyDescent="0.2">
      <c r="C3430" s="119">
        <v>30</v>
      </c>
      <c r="D3430" s="383"/>
      <c r="E3430" s="389"/>
      <c r="F3430" s="385"/>
      <c r="G3430" s="391"/>
      <c r="H3430" s="385"/>
      <c r="I3430" s="391"/>
      <c r="J3430" s="385"/>
      <c r="K3430" s="391"/>
      <c r="L3430" s="385"/>
      <c r="M3430" s="391"/>
      <c r="N3430" s="385"/>
      <c r="O3430" s="190"/>
    </row>
    <row r="3431" spans="2:15" ht="16" x14ac:dyDescent="0.2">
      <c r="C3431" s="120">
        <v>31</v>
      </c>
      <c r="D3431" s="383"/>
      <c r="E3431" s="389"/>
      <c r="F3431" s="384"/>
      <c r="G3431" s="390"/>
      <c r="H3431" s="384"/>
      <c r="I3431" s="390"/>
      <c r="J3431" s="384"/>
      <c r="K3431" s="390"/>
      <c r="L3431" s="384"/>
      <c r="M3431" s="390"/>
      <c r="N3431" s="384"/>
      <c r="O3431" s="190"/>
    </row>
    <row r="3432" spans="2:15" ht="16" x14ac:dyDescent="0.2">
      <c r="B3432" s="256"/>
      <c r="C3432" s="377">
        <v>32</v>
      </c>
      <c r="D3432" s="384"/>
      <c r="E3432" s="390"/>
      <c r="F3432" s="384"/>
      <c r="G3432" s="390"/>
      <c r="H3432" s="384"/>
      <c r="I3432" s="390"/>
      <c r="J3432" s="384"/>
      <c r="K3432" s="390"/>
      <c r="L3432" s="384"/>
      <c r="M3432" s="390"/>
      <c r="N3432" s="384"/>
      <c r="O3432" s="190"/>
    </row>
    <row r="3433" spans="2:15" ht="16" x14ac:dyDescent="0.2">
      <c r="B3433" s="256"/>
      <c r="C3433" s="119">
        <v>33</v>
      </c>
      <c r="D3433" s="385"/>
      <c r="E3433" s="391"/>
      <c r="F3433" s="385"/>
      <c r="G3433" s="391"/>
      <c r="H3433" s="385"/>
      <c r="I3433" s="391"/>
      <c r="J3433" s="385"/>
      <c r="K3433" s="391"/>
      <c r="L3433" s="385"/>
      <c r="M3433" s="391"/>
      <c r="N3433" s="385"/>
      <c r="O3433" s="190"/>
    </row>
    <row r="3434" spans="2:15" ht="16" x14ac:dyDescent="0.2">
      <c r="B3434" s="256"/>
      <c r="C3434" s="119">
        <v>34</v>
      </c>
      <c r="D3434" s="385"/>
      <c r="E3434" s="391"/>
      <c r="F3434" s="385"/>
      <c r="G3434" s="391"/>
      <c r="H3434" s="385"/>
      <c r="I3434" s="391"/>
      <c r="J3434" s="385"/>
      <c r="K3434" s="391"/>
      <c r="L3434" s="385"/>
      <c r="M3434" s="391"/>
      <c r="N3434" s="385"/>
      <c r="O3434" s="190"/>
    </row>
    <row r="3435" spans="2:15" ht="16" x14ac:dyDescent="0.2">
      <c r="B3435" s="256"/>
      <c r="C3435" s="119">
        <v>35</v>
      </c>
      <c r="D3435" s="385"/>
      <c r="E3435" s="391"/>
      <c r="F3435" s="385"/>
      <c r="G3435" s="391"/>
      <c r="H3435" s="385"/>
      <c r="I3435" s="391"/>
      <c r="J3435" s="385"/>
      <c r="K3435" s="391"/>
      <c r="L3435" s="385"/>
      <c r="M3435" s="391"/>
      <c r="N3435" s="385"/>
      <c r="O3435" s="190"/>
    </row>
    <row r="3436" spans="2:15" ht="16" x14ac:dyDescent="0.2">
      <c r="B3436" s="256"/>
      <c r="C3436" s="119">
        <v>36</v>
      </c>
      <c r="D3436" s="385"/>
      <c r="E3436" s="391"/>
      <c r="F3436" s="385"/>
      <c r="G3436" s="391"/>
      <c r="H3436" s="385"/>
      <c r="I3436" s="391"/>
      <c r="J3436" s="385"/>
      <c r="K3436" s="391"/>
      <c r="L3436" s="385"/>
      <c r="M3436" s="391"/>
      <c r="N3436" s="385"/>
      <c r="O3436" s="190"/>
    </row>
    <row r="3437" spans="2:15" ht="17" thickBot="1" x14ac:dyDescent="0.25">
      <c r="B3437" s="256"/>
      <c r="C3437" s="378">
        <v>37</v>
      </c>
      <c r="D3437" s="386"/>
      <c r="E3437" s="392"/>
      <c r="F3437" s="386"/>
      <c r="G3437" s="392"/>
      <c r="H3437" s="386"/>
      <c r="I3437" s="392"/>
      <c r="J3437" s="386"/>
      <c r="K3437" s="392"/>
      <c r="L3437" s="386"/>
      <c r="M3437" s="392"/>
      <c r="N3437" s="386"/>
      <c r="O3437" s="190"/>
    </row>
    <row r="3438" spans="2:15" ht="17" thickBot="1" x14ac:dyDescent="0.25">
      <c r="C3438" s="825" t="s">
        <v>19</v>
      </c>
      <c r="D3438" s="826"/>
      <c r="E3438" s="380"/>
      <c r="F3438" s="376">
        <f>(F3401+F3402+F3403+F3404+F3405+F3406+F3422+F3409+F3410+F3407+F3408+F3411+F3412+F3413+F3414+F3415+F3416+F3417+F3418+F3419+F3420+F3421+F3423+F3424+F3426+F3427+F3428+F3429+F3430+F3431+F3432+F3433+F3434+F3437)/2</f>
        <v>84</v>
      </c>
      <c r="G3438" s="397">
        <f>(G3401+G3402+G3403+G3404+G3405+G3422+G3406+G3410+G3409+G3407+G3408+G3411+G3412+G3413+G3414+G3415+G3416+G3417+G3418+G3419+G3420+G3421+G3423+G3424+G3426+G3427+G3428+G3429+G3430+G3431+G3432+G3433)/2</f>
        <v>49</v>
      </c>
      <c r="H3438" s="399">
        <f>(H3401+H3402+H3403+H3404+H3405+H3406+H3422+H3425+H3409+H3410+H3407+H3408+H3411+H3412+H3413+H3414+H3415+H3416+H3417+H3418+H3419+H3420+H3421+H3423+H3424+H3426+H3427+H3428+H3429+H3430+H3431+H3432+H3433+H3434+H3437)/2</f>
        <v>0</v>
      </c>
      <c r="I3438" s="398">
        <f>(I3401+I3402+I3403+I3404+I3405+I3435+I3436+I3406+I3422+I3409+I3425+I3410+I3407+I3408+I3411+I3412+I3413+I3414+I3415+I3416+I3417+I3418+I3419+I3420+I3421+I3423+I3424+I3426+I3427+I3428+I3429+I3430+I3431+I3432+I3433+I3434+I3437)/2</f>
        <v>55</v>
      </c>
      <c r="J3438" s="376">
        <f>(J3401+J3402+J3403+J3404+J3405+J3406+J3410+J3407+J3409+J3408+J3425+J3411+J3412+J3413+J3414+J3415+J3416+J3417+J3418+J3419+J3420+J3421+J3422+J3423+J3424+J3426+J3427+J3428+J3429+J3430+J3431+J3432+J3433)/2</f>
        <v>86</v>
      </c>
      <c r="K3438" s="397">
        <f>(K3401+K3402+K3403+K3404+K3405+K3406+K3410+K3407+K3408+K3411+K3412+K3413+K3414+K3415+K3416+K3417+K3418+K3419+K3420+K3421+K3423+K3424+K3426+K3427+K3428+K3429+K3430+K3431+K3432+K3433+K3422)</f>
        <v>1</v>
      </c>
      <c r="L3438" s="399">
        <f>SUM(L3401:L3437)</f>
        <v>0</v>
      </c>
      <c r="M3438" s="398">
        <f>(M3401+M3402+M3403+M3404+M3405+M3406+M3410+M3409+M3407+M3408+M3411+M3412+M3413+M3414+M3415+M3416+M3417+M3418+M3419+M3420+M3421+M3423+M3424+M3426+M3427+M3428+M3429+M3430+M3431+M3432+M3433)/2</f>
        <v>0</v>
      </c>
      <c r="N3438" s="376"/>
      <c r="O3438" s="41"/>
    </row>
    <row r="3439" spans="2:15" ht="17" thickBot="1" x14ac:dyDescent="0.25">
      <c r="C3439" s="825" t="s">
        <v>91</v>
      </c>
      <c r="D3439" s="826"/>
      <c r="E3439" s="381">
        <f>SUM(F3438:J3438)</f>
        <v>274</v>
      </c>
    </row>
    <row r="3440" spans="2:15" ht="16" thickBot="1" x14ac:dyDescent="0.25"/>
    <row r="3441" spans="2:15" ht="17" thickBot="1" x14ac:dyDescent="0.25">
      <c r="C3441" s="17"/>
      <c r="D3441" s="379" t="s">
        <v>83</v>
      </c>
      <c r="E3441" s="818" t="s">
        <v>65</v>
      </c>
      <c r="F3441" s="819"/>
      <c r="G3441" s="819"/>
      <c r="H3441" s="819"/>
      <c r="I3441" s="819"/>
      <c r="J3441" s="400" t="s">
        <v>76</v>
      </c>
      <c r="K3441" s="820">
        <v>45769</v>
      </c>
      <c r="L3441" s="821"/>
      <c r="M3441" s="821"/>
      <c r="N3441" s="821"/>
      <c r="O3441" s="822"/>
    </row>
    <row r="3442" spans="2:15" ht="16" thickBot="1" x14ac:dyDescent="0.25">
      <c r="B3442" s="175" t="s">
        <v>76</v>
      </c>
      <c r="C3442" s="175" t="s">
        <v>77</v>
      </c>
      <c r="D3442" s="823" t="s">
        <v>122</v>
      </c>
      <c r="E3442" s="824"/>
      <c r="F3442" s="175" t="s">
        <v>104</v>
      </c>
      <c r="G3442" s="395" t="s">
        <v>86</v>
      </c>
      <c r="H3442" s="175" t="s">
        <v>88</v>
      </c>
      <c r="I3442" s="395" t="s">
        <v>87</v>
      </c>
      <c r="J3442" s="401" t="s">
        <v>85</v>
      </c>
      <c r="K3442" s="395" t="s">
        <v>123</v>
      </c>
      <c r="L3442" s="175" t="s">
        <v>124</v>
      </c>
      <c r="M3442" s="395" t="s">
        <v>100</v>
      </c>
      <c r="N3442" s="175" t="s">
        <v>213</v>
      </c>
      <c r="O3442" s="404" t="s">
        <v>125</v>
      </c>
    </row>
    <row r="3443" spans="2:15" ht="16" thickBot="1" x14ac:dyDescent="0.25">
      <c r="B3443" s="176">
        <f>K3441</f>
        <v>45769</v>
      </c>
      <c r="C3443" s="374"/>
      <c r="D3443" s="375" t="s">
        <v>126</v>
      </c>
      <c r="E3443" s="387" t="s">
        <v>127</v>
      </c>
      <c r="F3443" s="331">
        <v>15</v>
      </c>
      <c r="G3443" s="237">
        <v>8</v>
      </c>
      <c r="H3443" s="331">
        <v>4</v>
      </c>
      <c r="I3443" s="237">
        <v>5</v>
      </c>
      <c r="J3443" s="331">
        <v>10</v>
      </c>
      <c r="K3443" s="231"/>
      <c r="L3443" s="125"/>
      <c r="M3443" s="231"/>
      <c r="N3443" s="125"/>
      <c r="O3443" s="326"/>
    </row>
    <row r="3444" spans="2:15" ht="16" x14ac:dyDescent="0.2">
      <c r="C3444" s="118">
        <v>1</v>
      </c>
      <c r="D3444" s="382">
        <v>0.375</v>
      </c>
      <c r="E3444" s="388">
        <v>0.39583333333333331</v>
      </c>
      <c r="F3444" s="393"/>
      <c r="G3444" s="396">
        <v>28</v>
      </c>
      <c r="H3444" s="393"/>
      <c r="I3444" s="396"/>
      <c r="J3444" s="393"/>
      <c r="K3444" s="396"/>
      <c r="L3444" s="393"/>
      <c r="M3444" s="396"/>
      <c r="N3444" s="393"/>
      <c r="O3444" s="190"/>
    </row>
    <row r="3445" spans="2:15" ht="16" x14ac:dyDescent="0.2">
      <c r="C3445" s="119">
        <v>2</v>
      </c>
      <c r="D3445" s="383">
        <v>0.39583333333333331</v>
      </c>
      <c r="E3445" s="389">
        <v>0.41666666666666669</v>
      </c>
      <c r="F3445" s="385"/>
      <c r="G3445" s="391">
        <v>28</v>
      </c>
      <c r="H3445" s="385"/>
      <c r="I3445" s="391"/>
      <c r="J3445" s="385"/>
      <c r="K3445" s="391"/>
      <c r="L3445" s="385"/>
      <c r="M3445" s="391"/>
      <c r="N3445" s="385"/>
      <c r="O3445" s="190"/>
    </row>
    <row r="3446" spans="2:15" ht="16" x14ac:dyDescent="0.2">
      <c r="C3446" s="119">
        <v>3</v>
      </c>
      <c r="D3446" s="383">
        <v>0.41666666666666669</v>
      </c>
      <c r="E3446" s="389">
        <v>0.4375</v>
      </c>
      <c r="F3446" s="385"/>
      <c r="G3446" s="391">
        <v>28</v>
      </c>
      <c r="H3446" s="385"/>
      <c r="I3446" s="391"/>
      <c r="J3446" s="385"/>
      <c r="K3446" s="391"/>
      <c r="L3446" s="384"/>
      <c r="M3446" s="391"/>
      <c r="N3446" s="385"/>
      <c r="O3446" s="190"/>
    </row>
    <row r="3447" spans="2:15" ht="16" x14ac:dyDescent="0.2">
      <c r="C3447" s="119">
        <v>4</v>
      </c>
      <c r="D3447" s="383">
        <v>0.4375</v>
      </c>
      <c r="E3447" s="389">
        <v>0.45833333333333331</v>
      </c>
      <c r="F3447" s="385"/>
      <c r="G3447" s="391">
        <v>28</v>
      </c>
      <c r="H3447" s="316"/>
      <c r="I3447" s="391"/>
      <c r="J3447" s="385"/>
      <c r="K3447" s="391"/>
      <c r="L3447" s="402"/>
      <c r="M3447" s="391"/>
      <c r="N3447" s="385"/>
      <c r="O3447" s="190"/>
    </row>
    <row r="3448" spans="2:15" ht="16" x14ac:dyDescent="0.2">
      <c r="C3448" s="119">
        <v>5</v>
      </c>
      <c r="D3448" s="383">
        <v>0.45833333333333331</v>
      </c>
      <c r="E3448" s="389">
        <v>0.47916666666666669</v>
      </c>
      <c r="F3448" s="385"/>
      <c r="G3448" s="391"/>
      <c r="H3448" s="316">
        <v>28</v>
      </c>
      <c r="I3448" s="391"/>
      <c r="J3448" s="385"/>
      <c r="K3448" s="391"/>
      <c r="L3448" s="393"/>
      <c r="M3448" s="391"/>
      <c r="N3448" s="385"/>
      <c r="O3448" s="190"/>
    </row>
    <row r="3449" spans="2:15" ht="16" x14ac:dyDescent="0.2">
      <c r="C3449" s="119">
        <v>6</v>
      </c>
      <c r="D3449" s="383">
        <v>0.47916666666666669</v>
      </c>
      <c r="E3449" s="389">
        <v>0.5</v>
      </c>
      <c r="F3449" s="385">
        <v>28</v>
      </c>
      <c r="G3449" s="391"/>
      <c r="H3449" s="316"/>
      <c r="I3449" s="391"/>
      <c r="J3449" s="385"/>
      <c r="K3449" s="391"/>
      <c r="L3449" s="393"/>
      <c r="M3449" s="391"/>
      <c r="N3449" s="385"/>
      <c r="O3449" s="190"/>
    </row>
    <row r="3450" spans="2:15" ht="16" x14ac:dyDescent="0.2">
      <c r="C3450" s="119">
        <v>7</v>
      </c>
      <c r="D3450" s="383">
        <v>0.53125</v>
      </c>
      <c r="E3450" s="389">
        <v>0.55208333333333337</v>
      </c>
      <c r="F3450" s="385"/>
      <c r="G3450" s="391"/>
      <c r="H3450" s="316">
        <v>28</v>
      </c>
      <c r="I3450" s="391"/>
      <c r="J3450" s="385"/>
      <c r="K3450" s="391"/>
      <c r="L3450" s="393"/>
      <c r="M3450" s="391"/>
      <c r="N3450" s="385"/>
      <c r="O3450" s="190"/>
    </row>
    <row r="3451" spans="2:15" ht="16" x14ac:dyDescent="0.2">
      <c r="C3451" s="119">
        <v>8</v>
      </c>
      <c r="D3451" s="383">
        <v>0.55208333333333337</v>
      </c>
      <c r="E3451" s="389">
        <v>0.57291666666666663</v>
      </c>
      <c r="F3451" s="385">
        <v>28</v>
      </c>
      <c r="G3451" s="391"/>
      <c r="H3451" s="316"/>
      <c r="I3451" s="391"/>
      <c r="J3451" s="385"/>
      <c r="K3451" s="391"/>
      <c r="L3451" s="385"/>
      <c r="M3451" s="391"/>
      <c r="N3451" s="385"/>
      <c r="O3451" s="190"/>
    </row>
    <row r="3452" spans="2:15" ht="16" x14ac:dyDescent="0.2">
      <c r="C3452" s="119">
        <v>9</v>
      </c>
      <c r="D3452" s="383">
        <v>0.57291666666666663</v>
      </c>
      <c r="E3452" s="389">
        <v>0.59375</v>
      </c>
      <c r="F3452" s="385">
        <v>28</v>
      </c>
      <c r="G3452" s="391"/>
      <c r="H3452" s="316"/>
      <c r="I3452" s="391"/>
      <c r="J3452" s="385"/>
      <c r="K3452" s="391"/>
      <c r="L3452" s="385"/>
      <c r="M3452" s="391"/>
      <c r="N3452" s="385"/>
      <c r="O3452" s="190"/>
    </row>
    <row r="3453" spans="2:15" ht="16" x14ac:dyDescent="0.2">
      <c r="C3453" s="119">
        <v>10</v>
      </c>
      <c r="D3453" s="383">
        <v>0.59375</v>
      </c>
      <c r="E3453" s="389">
        <v>0.61458333333333337</v>
      </c>
      <c r="F3453" s="385">
        <v>28</v>
      </c>
      <c r="G3453" s="391"/>
      <c r="H3453" s="316"/>
      <c r="I3453" s="391"/>
      <c r="J3453" s="385"/>
      <c r="K3453" s="391"/>
      <c r="L3453" s="385"/>
      <c r="M3453" s="391"/>
      <c r="N3453" s="385"/>
      <c r="O3453" s="190"/>
    </row>
    <row r="3454" spans="2:15" ht="16" x14ac:dyDescent="0.2">
      <c r="C3454" s="119">
        <v>11</v>
      </c>
      <c r="D3454" s="383">
        <v>0.61458333333333337</v>
      </c>
      <c r="E3454" s="389">
        <v>0.63541666666666663</v>
      </c>
      <c r="F3454" s="385">
        <v>28</v>
      </c>
      <c r="G3454" s="391"/>
      <c r="H3454" s="316"/>
      <c r="I3454" s="391"/>
      <c r="J3454" s="28"/>
      <c r="K3454" s="391"/>
      <c r="L3454" s="385"/>
      <c r="M3454" s="391"/>
      <c r="N3454" s="385"/>
      <c r="O3454" s="190"/>
    </row>
    <row r="3455" spans="2:15" ht="16" x14ac:dyDescent="0.2">
      <c r="C3455" s="193">
        <v>12</v>
      </c>
      <c r="D3455" s="383">
        <v>0.63541666666666663</v>
      </c>
      <c r="E3455" s="389">
        <v>0.65625</v>
      </c>
      <c r="F3455" s="385">
        <v>28</v>
      </c>
      <c r="G3455" s="391"/>
      <c r="H3455" s="316"/>
      <c r="I3455" s="391"/>
      <c r="J3455" s="385"/>
      <c r="K3455" s="391"/>
      <c r="L3455" s="385"/>
      <c r="M3455" s="391"/>
      <c r="N3455" s="385"/>
      <c r="O3455" s="190"/>
    </row>
    <row r="3456" spans="2:15" ht="16" x14ac:dyDescent="0.2">
      <c r="C3456" s="119">
        <v>13</v>
      </c>
      <c r="D3456" s="383">
        <v>0.65625</v>
      </c>
      <c r="E3456" s="389">
        <v>0.67708333333333337</v>
      </c>
      <c r="F3456" s="385">
        <v>28</v>
      </c>
      <c r="G3456" s="391"/>
      <c r="H3456" s="316"/>
      <c r="I3456" s="391"/>
      <c r="J3456" s="385"/>
      <c r="K3456" s="391"/>
      <c r="L3456" s="385"/>
      <c r="M3456" s="391"/>
      <c r="N3456" s="385"/>
      <c r="O3456" s="190"/>
    </row>
    <row r="3457" spans="3:15" ht="16" x14ac:dyDescent="0.2">
      <c r="C3457" s="119">
        <v>14</v>
      </c>
      <c r="D3457" s="383">
        <v>0.66319444444444442</v>
      </c>
      <c r="E3457" s="389">
        <v>0.68402777777777779</v>
      </c>
      <c r="F3457" s="385">
        <v>14</v>
      </c>
      <c r="G3457" s="391"/>
      <c r="H3457" s="316"/>
      <c r="I3457" s="391"/>
      <c r="J3457" s="385"/>
      <c r="K3457" s="391"/>
      <c r="L3457" s="385"/>
      <c r="M3457" s="391"/>
      <c r="N3457" s="385"/>
      <c r="O3457" s="190"/>
    </row>
    <row r="3458" spans="3:15" ht="16" x14ac:dyDescent="0.2">
      <c r="C3458" s="119">
        <v>15</v>
      </c>
      <c r="D3458" s="383">
        <v>0.66319444444444442</v>
      </c>
      <c r="E3458" s="389">
        <v>0.68402777777777779</v>
      </c>
      <c r="F3458" s="385"/>
      <c r="G3458" s="391"/>
      <c r="H3458" s="316"/>
      <c r="I3458" s="391"/>
      <c r="J3458" s="385">
        <v>36</v>
      </c>
      <c r="K3458" s="391"/>
      <c r="L3458" s="385"/>
      <c r="M3458" s="391"/>
      <c r="N3458" s="385"/>
      <c r="O3458" s="190"/>
    </row>
    <row r="3459" spans="3:15" ht="16" x14ac:dyDescent="0.2">
      <c r="C3459" s="119">
        <v>16</v>
      </c>
      <c r="D3459" s="383">
        <v>0.68402777777777779</v>
      </c>
      <c r="E3459" s="389">
        <v>0.70486111111111116</v>
      </c>
      <c r="F3459" s="385"/>
      <c r="G3459" s="391"/>
      <c r="H3459" s="316"/>
      <c r="I3459" s="391"/>
      <c r="J3459" s="385">
        <v>34</v>
      </c>
      <c r="K3459" s="391"/>
      <c r="L3459" s="385"/>
      <c r="M3459" s="391"/>
      <c r="N3459" s="385"/>
      <c r="O3459" s="190"/>
    </row>
    <row r="3460" spans="3:15" ht="16" x14ac:dyDescent="0.2">
      <c r="C3460" s="119">
        <v>17</v>
      </c>
      <c r="D3460" s="383">
        <v>0.69097222222222221</v>
      </c>
      <c r="E3460" s="389">
        <v>0.72569444444444453</v>
      </c>
      <c r="F3460" s="384"/>
      <c r="G3460" s="33"/>
      <c r="H3460" s="316"/>
      <c r="I3460" s="390"/>
      <c r="J3460" s="385">
        <v>34</v>
      </c>
      <c r="K3460" s="391"/>
      <c r="L3460" s="385"/>
      <c r="M3460" s="391"/>
      <c r="N3460" s="385"/>
      <c r="O3460" s="190"/>
    </row>
    <row r="3461" spans="3:15" ht="16" x14ac:dyDescent="0.2">
      <c r="C3461" s="119">
        <v>18</v>
      </c>
      <c r="D3461" s="383">
        <v>0.72569444444444453</v>
      </c>
      <c r="E3461" s="389">
        <v>0.74652777777777779</v>
      </c>
      <c r="F3461" s="394"/>
      <c r="G3461" s="229"/>
      <c r="H3461" s="394"/>
      <c r="I3461" s="391"/>
      <c r="J3461" s="385">
        <v>36</v>
      </c>
      <c r="K3461" s="391"/>
      <c r="L3461" s="385"/>
      <c r="M3461" s="391"/>
      <c r="N3461" s="385"/>
      <c r="O3461" s="190"/>
    </row>
    <row r="3462" spans="3:15" ht="16" x14ac:dyDescent="0.2">
      <c r="C3462" s="119">
        <v>19</v>
      </c>
      <c r="D3462" s="383">
        <v>0.75</v>
      </c>
      <c r="E3462" s="389">
        <v>0.77083333333333337</v>
      </c>
      <c r="F3462" s="385"/>
      <c r="G3462" s="391"/>
      <c r="H3462" s="385"/>
      <c r="I3462" s="391"/>
      <c r="J3462" s="385">
        <v>36</v>
      </c>
      <c r="K3462" s="391"/>
      <c r="L3462" s="403"/>
      <c r="M3462" s="391"/>
      <c r="N3462" s="385"/>
      <c r="O3462" s="190"/>
    </row>
    <row r="3463" spans="3:15" ht="16" x14ac:dyDescent="0.2">
      <c r="C3463" s="119">
        <v>20</v>
      </c>
      <c r="D3463" s="383">
        <v>0.77083333333333337</v>
      </c>
      <c r="E3463" s="389">
        <v>0.79166666666666663</v>
      </c>
      <c r="F3463" s="385"/>
      <c r="G3463" s="391"/>
      <c r="H3463" s="385"/>
      <c r="I3463" s="391">
        <v>44</v>
      </c>
      <c r="J3463" s="385"/>
      <c r="K3463" s="391"/>
      <c r="L3463" s="403"/>
      <c r="M3463" s="391"/>
      <c r="N3463" s="385"/>
      <c r="O3463" s="190"/>
    </row>
    <row r="3464" spans="3:15" ht="16" x14ac:dyDescent="0.2">
      <c r="C3464" s="119">
        <v>21</v>
      </c>
      <c r="D3464" s="383">
        <v>0.79166666666666663</v>
      </c>
      <c r="E3464" s="389">
        <v>0.8125</v>
      </c>
      <c r="F3464" s="385"/>
      <c r="G3464" s="391"/>
      <c r="H3464" s="385"/>
      <c r="I3464" s="391">
        <v>44</v>
      </c>
      <c r="J3464" s="385"/>
      <c r="K3464" s="391"/>
      <c r="L3464" s="385"/>
      <c r="M3464" s="391"/>
      <c r="N3464" s="385"/>
      <c r="O3464" s="190"/>
    </row>
    <row r="3465" spans="3:15" ht="16" x14ac:dyDescent="0.2">
      <c r="C3465" s="119">
        <v>22</v>
      </c>
      <c r="D3465" s="383">
        <v>0.8125</v>
      </c>
      <c r="E3465" s="389">
        <v>0.83333333333333337</v>
      </c>
      <c r="F3465" s="385"/>
      <c r="G3465" s="391"/>
      <c r="H3465" s="385"/>
      <c r="I3465" s="391">
        <v>22</v>
      </c>
      <c r="J3465" s="385"/>
      <c r="K3465" s="391"/>
      <c r="L3465" s="385"/>
      <c r="M3465" s="391"/>
      <c r="N3465" s="385"/>
      <c r="O3465" s="190"/>
    </row>
    <row r="3466" spans="3:15" ht="16" x14ac:dyDescent="0.2">
      <c r="C3466" s="119">
        <v>23</v>
      </c>
      <c r="D3466" s="383"/>
      <c r="E3466" s="389"/>
      <c r="F3466" s="385"/>
      <c r="G3466" s="391"/>
      <c r="H3466" s="385"/>
      <c r="I3466" s="391"/>
      <c r="J3466" s="385"/>
      <c r="K3466" s="391"/>
      <c r="L3466" s="385"/>
      <c r="M3466" s="391"/>
      <c r="N3466" s="385"/>
      <c r="O3466" s="190"/>
    </row>
    <row r="3467" spans="3:15" ht="16" x14ac:dyDescent="0.2">
      <c r="C3467" s="119">
        <v>24</v>
      </c>
      <c r="D3467" s="383"/>
      <c r="E3467" s="389"/>
      <c r="F3467" s="385"/>
      <c r="G3467" s="391"/>
      <c r="H3467" s="385"/>
      <c r="I3467" s="391"/>
      <c r="J3467" s="385"/>
      <c r="K3467" s="391"/>
      <c r="L3467" s="385"/>
      <c r="M3467" s="391"/>
      <c r="N3467" s="385"/>
      <c r="O3467" s="190"/>
    </row>
    <row r="3468" spans="3:15" ht="16" x14ac:dyDescent="0.2">
      <c r="C3468" s="119">
        <v>25</v>
      </c>
      <c r="D3468" s="383"/>
      <c r="E3468" s="389"/>
      <c r="F3468" s="385"/>
      <c r="G3468" s="391"/>
      <c r="H3468" s="385"/>
      <c r="I3468" s="391"/>
      <c r="J3468" s="385"/>
      <c r="K3468" s="391"/>
      <c r="L3468" s="385"/>
      <c r="M3468" s="391"/>
      <c r="N3468" s="385"/>
      <c r="O3468" s="190"/>
    </row>
    <row r="3469" spans="3:15" ht="16" x14ac:dyDescent="0.2">
      <c r="C3469" s="119">
        <v>26</v>
      </c>
      <c r="D3469" s="383"/>
      <c r="E3469" s="389"/>
      <c r="F3469" s="385"/>
      <c r="G3469" s="391"/>
      <c r="H3469" s="385"/>
      <c r="I3469" s="391"/>
      <c r="J3469" s="385"/>
      <c r="K3469" s="391"/>
      <c r="L3469" s="385"/>
      <c r="M3469" s="391"/>
      <c r="N3469" s="385"/>
      <c r="O3469" s="190"/>
    </row>
    <row r="3470" spans="3:15" ht="16" x14ac:dyDescent="0.2">
      <c r="C3470" s="119">
        <v>27</v>
      </c>
      <c r="D3470" s="383"/>
      <c r="E3470" s="389"/>
      <c r="F3470" s="385"/>
      <c r="G3470" s="391"/>
      <c r="H3470" s="385"/>
      <c r="I3470" s="391"/>
      <c r="J3470" s="385"/>
      <c r="K3470" s="391"/>
      <c r="L3470" s="385"/>
      <c r="M3470" s="391"/>
      <c r="N3470" s="385"/>
      <c r="O3470" s="190"/>
    </row>
    <row r="3471" spans="3:15" ht="16" x14ac:dyDescent="0.2">
      <c r="C3471" s="119">
        <v>28</v>
      </c>
      <c r="D3471" s="383"/>
      <c r="E3471" s="389"/>
      <c r="F3471" s="385"/>
      <c r="G3471" s="391"/>
      <c r="H3471" s="385"/>
      <c r="I3471" s="391"/>
      <c r="J3471" s="385"/>
      <c r="K3471" s="391"/>
      <c r="L3471" s="385"/>
      <c r="M3471" s="391"/>
      <c r="N3471" s="385"/>
      <c r="O3471" s="190"/>
    </row>
    <row r="3472" spans="3:15" ht="16" x14ac:dyDescent="0.2">
      <c r="C3472" s="119">
        <v>29</v>
      </c>
      <c r="D3472" s="383"/>
      <c r="E3472" s="389"/>
      <c r="F3472" s="385"/>
      <c r="G3472" s="391"/>
      <c r="H3472" s="385"/>
      <c r="I3472" s="391"/>
      <c r="J3472" s="385"/>
      <c r="K3472" s="391"/>
      <c r="L3472" s="385"/>
      <c r="M3472" s="391"/>
      <c r="N3472" s="385"/>
      <c r="O3472" s="190"/>
    </row>
    <row r="3473" spans="2:15" ht="16" x14ac:dyDescent="0.2">
      <c r="C3473" s="119">
        <v>30</v>
      </c>
      <c r="D3473" s="383"/>
      <c r="E3473" s="389"/>
      <c r="F3473" s="385"/>
      <c r="G3473" s="391"/>
      <c r="H3473" s="385"/>
      <c r="I3473" s="391"/>
      <c r="J3473" s="385"/>
      <c r="K3473" s="391"/>
      <c r="L3473" s="385"/>
      <c r="M3473" s="391"/>
      <c r="N3473" s="385"/>
      <c r="O3473" s="190"/>
    </row>
    <row r="3474" spans="2:15" ht="16" x14ac:dyDescent="0.2">
      <c r="C3474" s="120">
        <v>31</v>
      </c>
      <c r="D3474" s="383"/>
      <c r="E3474" s="389"/>
      <c r="F3474" s="384"/>
      <c r="G3474" s="390"/>
      <c r="H3474" s="384"/>
      <c r="I3474" s="390"/>
      <c r="J3474" s="384"/>
      <c r="K3474" s="390"/>
      <c r="L3474" s="384"/>
      <c r="M3474" s="390"/>
      <c r="N3474" s="384"/>
      <c r="O3474" s="190"/>
    </row>
    <row r="3475" spans="2:15" ht="16" x14ac:dyDescent="0.2">
      <c r="B3475" s="256"/>
      <c r="C3475" s="377">
        <v>32</v>
      </c>
      <c r="D3475" s="384"/>
      <c r="E3475" s="390"/>
      <c r="F3475" s="384"/>
      <c r="G3475" s="390"/>
      <c r="H3475" s="384"/>
      <c r="I3475" s="390"/>
      <c r="J3475" s="384"/>
      <c r="K3475" s="390"/>
      <c r="L3475" s="384"/>
      <c r="M3475" s="390"/>
      <c r="N3475" s="384"/>
      <c r="O3475" s="190"/>
    </row>
    <row r="3476" spans="2:15" ht="16" x14ac:dyDescent="0.2">
      <c r="B3476" s="256"/>
      <c r="C3476" s="119">
        <v>33</v>
      </c>
      <c r="D3476" s="385"/>
      <c r="E3476" s="391"/>
      <c r="F3476" s="385"/>
      <c r="G3476" s="391"/>
      <c r="H3476" s="385"/>
      <c r="I3476" s="391"/>
      <c r="J3476" s="385"/>
      <c r="K3476" s="391"/>
      <c r="L3476" s="385"/>
      <c r="M3476" s="391"/>
      <c r="N3476" s="385"/>
      <c r="O3476" s="190"/>
    </row>
    <row r="3477" spans="2:15" ht="16" x14ac:dyDescent="0.2">
      <c r="B3477" s="256"/>
      <c r="C3477" s="119">
        <v>34</v>
      </c>
      <c r="D3477" s="385"/>
      <c r="E3477" s="391"/>
      <c r="F3477" s="385"/>
      <c r="G3477" s="391"/>
      <c r="H3477" s="385"/>
      <c r="I3477" s="391"/>
      <c r="J3477" s="385"/>
      <c r="K3477" s="391"/>
      <c r="L3477" s="385"/>
      <c r="M3477" s="391"/>
      <c r="N3477" s="385"/>
      <c r="O3477" s="190"/>
    </row>
    <row r="3478" spans="2:15" ht="16" x14ac:dyDescent="0.2">
      <c r="B3478" s="256"/>
      <c r="C3478" s="119">
        <v>35</v>
      </c>
      <c r="D3478" s="385"/>
      <c r="E3478" s="391"/>
      <c r="F3478" s="385"/>
      <c r="G3478" s="391"/>
      <c r="H3478" s="385"/>
      <c r="I3478" s="391"/>
      <c r="J3478" s="385"/>
      <c r="K3478" s="391"/>
      <c r="L3478" s="385"/>
      <c r="M3478" s="391"/>
      <c r="N3478" s="385"/>
      <c r="O3478" s="190"/>
    </row>
    <row r="3479" spans="2:15" ht="16" x14ac:dyDescent="0.2">
      <c r="B3479" s="256"/>
      <c r="C3479" s="119">
        <v>36</v>
      </c>
      <c r="D3479" s="385"/>
      <c r="E3479" s="391"/>
      <c r="F3479" s="385"/>
      <c r="G3479" s="391"/>
      <c r="H3479" s="385"/>
      <c r="I3479" s="391"/>
      <c r="J3479" s="385"/>
      <c r="K3479" s="391"/>
      <c r="L3479" s="385"/>
      <c r="M3479" s="391"/>
      <c r="N3479" s="385"/>
      <c r="O3479" s="190"/>
    </row>
    <row r="3480" spans="2:15" ht="17" thickBot="1" x14ac:dyDescent="0.25">
      <c r="B3480" s="256"/>
      <c r="C3480" s="378">
        <v>37</v>
      </c>
      <c r="D3480" s="386"/>
      <c r="E3480" s="392"/>
      <c r="F3480" s="386"/>
      <c r="G3480" s="392"/>
      <c r="H3480" s="386"/>
      <c r="I3480" s="392"/>
      <c r="J3480" s="386"/>
      <c r="K3480" s="392"/>
      <c r="L3480" s="386"/>
      <c r="M3480" s="392"/>
      <c r="N3480" s="386"/>
      <c r="O3480" s="190"/>
    </row>
    <row r="3481" spans="2:15" ht="17" thickBot="1" x14ac:dyDescent="0.25">
      <c r="C3481" s="825" t="s">
        <v>19</v>
      </c>
      <c r="D3481" s="826"/>
      <c r="E3481" s="380"/>
      <c r="F3481" s="376">
        <f>(F3444+F3445+F3446+F3447+F3448+F3449+F3465+F3452+F3453+F3450+F3451+F3454+F3455+F3456+F3457+F3458+F3459+F3460+F3461+F3462+F3463+F3464+F3466+F3467+F3469+F3470+F3471+F3472+F3473+F3474+F3475+F3476+F3477+F3480)/2</f>
        <v>105</v>
      </c>
      <c r="G3481" s="397">
        <f>(G3444+G3445+G3446+G3447+G3448+G3465+G3449+G3453+G3452+G3450+G3451+G3454+G3455+G3456+G3457+G3458+G3459+G3460+G3461+G3462+G3463+G3464+G3466+G3467+G3469+G3470+G3471+G3472+G3473+G3474+G3475+G3476)/2</f>
        <v>56</v>
      </c>
      <c r="H3481" s="399">
        <f>(H3444+H3445+H3446+H3447+H3448+H3449+H3465+H3468+H3452+H3453+H3450+H3451+H3454+H3455+H3456+H3457+H3458+H3459+H3460+H3461+H3462+H3463+H3464+H3466+H3467+H3469+H3470+H3471+H3472+H3473+H3474+H3475+H3476+H3477+H3480)/2</f>
        <v>28</v>
      </c>
      <c r="I3481" s="398">
        <f>(I3444+I3445+I3446+I3447+I3448+I3478+I3479+I3449+I3465+I3452+I3468+I3453+I3450+I3451+I3454+I3455+I3456+I3457+I3458+I3459+I3460+I3461+I3462+I3463+I3464+I3466+I3467+I3469+I3470+I3471+I3472+I3473+I3474+I3475+I3476+I3477+I3480)/2</f>
        <v>55</v>
      </c>
      <c r="J3481" s="376">
        <f>(J3444+J3445+J3446+J3447+J3448+J3449+J3453+J3450+J3452+J3451+J3468+J3454+J3455+J3456+J3457+J3458+J3459+J3460+J3461+J3462+J3463+J3464+J3465+J3466+J3467+J3469+J3470+J3471+J3472+J3473+J3474+J3475+J3476)/2</f>
        <v>88</v>
      </c>
      <c r="K3481" s="397">
        <f>(K3444+K3445+K3446+K3447+K3448+K3449+K3453+K3450+K3451+K3454+K3455+K3456+K3457+K3458+K3459+K3460+K3461+K3462+K3463+K3464+K3466+K3467+K3469+K3470+K3471+K3472+K3473+K3474+K3475+K3476+K3465)</f>
        <v>0</v>
      </c>
      <c r="L3481" s="399">
        <f>SUM(L3444:L3480)</f>
        <v>0</v>
      </c>
      <c r="M3481" s="398">
        <f>(M3444+M3445+M3446+M3447+M3448+M3449+M3453+M3452+M3450+M3451+M3454+M3455+M3456+M3457+M3458+M3459+M3460+M3461+M3462+M3463+M3464+M3466+M3467+M3469+M3470+M3471+M3472+M3473+M3474+M3475+M3476)/2</f>
        <v>0</v>
      </c>
      <c r="N3481" s="376"/>
      <c r="O3481" s="41"/>
    </row>
    <row r="3482" spans="2:15" ht="17" thickBot="1" x14ac:dyDescent="0.25">
      <c r="C3482" s="825" t="s">
        <v>91</v>
      </c>
      <c r="D3482" s="826"/>
      <c r="E3482" s="381">
        <f>SUM(F3481:J3481)</f>
        <v>332</v>
      </c>
    </row>
    <row r="3483" spans="2:15" ht="16" thickBot="1" x14ac:dyDescent="0.25"/>
    <row r="3484" spans="2:15" ht="17" thickBot="1" x14ac:dyDescent="0.25">
      <c r="C3484" s="17"/>
      <c r="D3484" s="379" t="s">
        <v>83</v>
      </c>
      <c r="E3484" s="818" t="s">
        <v>66</v>
      </c>
      <c r="F3484" s="819"/>
      <c r="G3484" s="819"/>
      <c r="H3484" s="819"/>
      <c r="I3484" s="819"/>
      <c r="J3484" s="400" t="s">
        <v>76</v>
      </c>
      <c r="K3484" s="820">
        <v>45771</v>
      </c>
      <c r="L3484" s="821"/>
      <c r="M3484" s="821"/>
      <c r="N3484" s="821"/>
      <c r="O3484" s="822"/>
    </row>
    <row r="3485" spans="2:15" ht="16" thickBot="1" x14ac:dyDescent="0.25">
      <c r="B3485" s="175" t="s">
        <v>76</v>
      </c>
      <c r="C3485" s="175" t="s">
        <v>77</v>
      </c>
      <c r="D3485" s="823" t="s">
        <v>122</v>
      </c>
      <c r="E3485" s="824"/>
      <c r="F3485" s="175" t="s">
        <v>104</v>
      </c>
      <c r="G3485" s="395" t="s">
        <v>86</v>
      </c>
      <c r="H3485" s="175" t="s">
        <v>88</v>
      </c>
      <c r="I3485" s="395" t="s">
        <v>87</v>
      </c>
      <c r="J3485" s="401" t="s">
        <v>85</v>
      </c>
      <c r="K3485" s="395" t="s">
        <v>123</v>
      </c>
      <c r="L3485" s="175" t="s">
        <v>124</v>
      </c>
      <c r="M3485" s="395" t="s">
        <v>100</v>
      </c>
      <c r="N3485" s="175" t="s">
        <v>213</v>
      </c>
      <c r="O3485" s="404" t="s">
        <v>125</v>
      </c>
    </row>
    <row r="3486" spans="2:15" ht="16" thickBot="1" x14ac:dyDescent="0.25">
      <c r="B3486" s="176">
        <f>K3484</f>
        <v>45771</v>
      </c>
      <c r="C3486" s="374"/>
      <c r="D3486" s="375" t="s">
        <v>126</v>
      </c>
      <c r="E3486" s="387" t="s">
        <v>127</v>
      </c>
      <c r="F3486" s="331">
        <v>13</v>
      </c>
      <c r="G3486" s="237">
        <v>7</v>
      </c>
      <c r="H3486" s="331">
        <v>3</v>
      </c>
      <c r="I3486" s="237">
        <v>4</v>
      </c>
      <c r="J3486" s="331">
        <v>8</v>
      </c>
      <c r="K3486" s="231"/>
      <c r="L3486" s="125"/>
      <c r="M3486" s="231"/>
      <c r="N3486" s="125"/>
      <c r="O3486" s="326"/>
    </row>
    <row r="3487" spans="2:15" ht="16" x14ac:dyDescent="0.2">
      <c r="C3487" s="118">
        <v>1</v>
      </c>
      <c r="D3487" s="382">
        <v>0.36458333333333331</v>
      </c>
      <c r="E3487" s="388">
        <v>0.38541666666666669</v>
      </c>
      <c r="F3487" s="393"/>
      <c r="G3487" s="396">
        <v>26</v>
      </c>
      <c r="H3487" s="393"/>
      <c r="I3487" s="396"/>
      <c r="J3487" s="393"/>
      <c r="K3487" s="396"/>
      <c r="L3487" s="393"/>
      <c r="M3487" s="396"/>
      <c r="N3487" s="393"/>
      <c r="O3487" s="190"/>
    </row>
    <row r="3488" spans="2:15" ht="16" x14ac:dyDescent="0.2">
      <c r="C3488" s="119">
        <v>2</v>
      </c>
      <c r="D3488" s="383">
        <v>0.38541666666666669</v>
      </c>
      <c r="E3488" s="389">
        <v>0.40625</v>
      </c>
      <c r="F3488" s="385"/>
      <c r="G3488" s="391">
        <v>28</v>
      </c>
      <c r="H3488" s="385"/>
      <c r="I3488" s="391"/>
      <c r="J3488" s="385"/>
      <c r="K3488" s="391"/>
      <c r="L3488" s="385"/>
      <c r="M3488" s="391"/>
      <c r="N3488" s="385"/>
      <c r="O3488" s="190"/>
    </row>
    <row r="3489" spans="3:15" ht="16" x14ac:dyDescent="0.2">
      <c r="C3489" s="119">
        <v>3</v>
      </c>
      <c r="D3489" s="383">
        <v>0.41666666666666669</v>
      </c>
      <c r="E3489" s="389">
        <v>0.4375</v>
      </c>
      <c r="F3489" s="385"/>
      <c r="G3489" s="391">
        <v>28</v>
      </c>
      <c r="H3489" s="385"/>
      <c r="I3489" s="391"/>
      <c r="J3489" s="385"/>
      <c r="K3489" s="391"/>
      <c r="L3489" s="384"/>
      <c r="M3489" s="391"/>
      <c r="N3489" s="385"/>
      <c r="O3489" s="190"/>
    </row>
    <row r="3490" spans="3:15" ht="16" x14ac:dyDescent="0.2">
      <c r="C3490" s="119">
        <v>4</v>
      </c>
      <c r="D3490" s="383">
        <v>0.4375</v>
      </c>
      <c r="E3490" s="389">
        <v>0.45833333333333331</v>
      </c>
      <c r="F3490" s="385"/>
      <c r="G3490" s="391"/>
      <c r="H3490" s="316">
        <v>28</v>
      </c>
      <c r="I3490" s="391"/>
      <c r="J3490" s="385"/>
      <c r="K3490" s="391"/>
      <c r="L3490" s="402"/>
      <c r="M3490" s="391"/>
      <c r="N3490" s="385"/>
      <c r="O3490" s="190"/>
    </row>
    <row r="3491" spans="3:15" ht="16" x14ac:dyDescent="0.2">
      <c r="C3491" s="119">
        <v>5</v>
      </c>
      <c r="D3491" s="383">
        <v>0.4826388888888889</v>
      </c>
      <c r="E3491" s="389">
        <v>0.50347222222222221</v>
      </c>
      <c r="F3491" s="385"/>
      <c r="G3491" s="391">
        <v>14</v>
      </c>
      <c r="H3491" s="316"/>
      <c r="I3491" s="391"/>
      <c r="J3491" s="385"/>
      <c r="K3491" s="391"/>
      <c r="L3491" s="393"/>
      <c r="M3491" s="391"/>
      <c r="N3491" s="385"/>
      <c r="O3491" s="190"/>
    </row>
    <row r="3492" spans="3:15" ht="16" x14ac:dyDescent="0.2">
      <c r="C3492" s="119">
        <v>6</v>
      </c>
      <c r="D3492" s="383">
        <v>0.4826388888888889</v>
      </c>
      <c r="E3492" s="389">
        <v>0.50347222222222221</v>
      </c>
      <c r="F3492" s="385"/>
      <c r="G3492" s="391"/>
      <c r="H3492" s="316">
        <v>14</v>
      </c>
      <c r="I3492" s="391"/>
      <c r="J3492" s="385"/>
      <c r="K3492" s="391"/>
      <c r="L3492" s="393"/>
      <c r="M3492" s="391"/>
      <c r="N3492" s="385"/>
      <c r="O3492" s="190"/>
    </row>
    <row r="3493" spans="3:15" ht="16" x14ac:dyDescent="0.2">
      <c r="C3493" s="119">
        <v>7</v>
      </c>
      <c r="D3493" s="383">
        <v>0.50694444444444442</v>
      </c>
      <c r="E3493" s="389">
        <v>0.52777777777777779</v>
      </c>
      <c r="F3493" s="385">
        <v>14</v>
      </c>
      <c r="G3493" s="391"/>
      <c r="H3493" s="316"/>
      <c r="I3493" s="391"/>
      <c r="J3493" s="385"/>
      <c r="K3493" s="391"/>
      <c r="L3493" s="393"/>
      <c r="M3493" s="391"/>
      <c r="N3493" s="385"/>
      <c r="O3493" s="190"/>
    </row>
    <row r="3494" spans="3:15" ht="16" x14ac:dyDescent="0.2">
      <c r="C3494" s="119">
        <v>8</v>
      </c>
      <c r="D3494" s="383">
        <v>0.55555555555555558</v>
      </c>
      <c r="E3494" s="389">
        <v>0.57638888888888895</v>
      </c>
      <c r="F3494" s="385">
        <v>28</v>
      </c>
      <c r="G3494" s="391"/>
      <c r="H3494" s="316"/>
      <c r="I3494" s="391"/>
      <c r="J3494" s="385"/>
      <c r="K3494" s="391"/>
      <c r="L3494" s="385"/>
      <c r="M3494" s="391"/>
      <c r="N3494" s="385"/>
      <c r="O3494" s="190"/>
    </row>
    <row r="3495" spans="3:15" ht="16" x14ac:dyDescent="0.2">
      <c r="C3495" s="119">
        <v>9</v>
      </c>
      <c r="D3495" s="383">
        <v>0.57638888888888895</v>
      </c>
      <c r="E3495" s="389">
        <v>0.59722222222222221</v>
      </c>
      <c r="F3495" s="385">
        <v>28</v>
      </c>
      <c r="G3495" s="391"/>
      <c r="H3495" s="316"/>
      <c r="I3495" s="391"/>
      <c r="J3495" s="385"/>
      <c r="K3495" s="391"/>
      <c r="L3495" s="385"/>
      <c r="M3495" s="391"/>
      <c r="N3495" s="385"/>
      <c r="O3495" s="190"/>
    </row>
    <row r="3496" spans="3:15" ht="16" x14ac:dyDescent="0.2">
      <c r="C3496" s="119">
        <v>10</v>
      </c>
      <c r="D3496" s="383">
        <v>0.59722222222222221</v>
      </c>
      <c r="E3496" s="389">
        <v>0.61805555555555558</v>
      </c>
      <c r="F3496" s="385">
        <v>28</v>
      </c>
      <c r="G3496" s="391"/>
      <c r="H3496" s="316"/>
      <c r="I3496" s="391"/>
      <c r="J3496" s="385"/>
      <c r="K3496" s="391"/>
      <c r="L3496" s="385"/>
      <c r="M3496" s="391"/>
      <c r="N3496" s="385"/>
      <c r="O3496" s="190"/>
    </row>
    <row r="3497" spans="3:15" ht="16" x14ac:dyDescent="0.2">
      <c r="C3497" s="119">
        <v>11</v>
      </c>
      <c r="D3497" s="383">
        <v>0.61805555555555558</v>
      </c>
      <c r="E3497" s="389">
        <v>0.63888888888888895</v>
      </c>
      <c r="F3497" s="385">
        <v>28</v>
      </c>
      <c r="G3497" s="391"/>
      <c r="H3497" s="316"/>
      <c r="I3497" s="391"/>
      <c r="J3497" s="28"/>
      <c r="K3497" s="391"/>
      <c r="L3497" s="385"/>
      <c r="M3497" s="391"/>
      <c r="N3497" s="385"/>
      <c r="O3497" s="190"/>
    </row>
    <row r="3498" spans="3:15" ht="16" x14ac:dyDescent="0.2">
      <c r="C3498" s="193">
        <v>12</v>
      </c>
      <c r="D3498" s="383">
        <v>0.63888888888888895</v>
      </c>
      <c r="E3498" s="389">
        <v>0.65972222222222221</v>
      </c>
      <c r="F3498" s="385">
        <v>28</v>
      </c>
      <c r="G3498" s="391"/>
      <c r="H3498" s="316"/>
      <c r="I3498" s="391"/>
      <c r="J3498" s="385"/>
      <c r="K3498" s="391"/>
      <c r="L3498" s="385"/>
      <c r="M3498" s="391"/>
      <c r="N3498" s="385"/>
      <c r="O3498" s="190"/>
    </row>
    <row r="3499" spans="3:15" ht="16" x14ac:dyDescent="0.2">
      <c r="C3499" s="119">
        <v>13</v>
      </c>
      <c r="D3499" s="383">
        <v>0.65972222222222221</v>
      </c>
      <c r="E3499" s="389">
        <v>0.68055555555555547</v>
      </c>
      <c r="F3499" s="385">
        <v>28</v>
      </c>
      <c r="G3499" s="391"/>
      <c r="H3499" s="316"/>
      <c r="I3499" s="391"/>
      <c r="J3499" s="385"/>
      <c r="K3499" s="391"/>
      <c r="L3499" s="385"/>
      <c r="M3499" s="391"/>
      <c r="N3499" s="385"/>
      <c r="O3499" s="190"/>
    </row>
    <row r="3500" spans="3:15" ht="16" x14ac:dyDescent="0.2">
      <c r="C3500" s="119">
        <v>14</v>
      </c>
      <c r="D3500" s="383">
        <v>0.68402777777777779</v>
      </c>
      <c r="E3500" s="389">
        <v>0.70486111111111116</v>
      </c>
      <c r="F3500" s="385"/>
      <c r="G3500" s="391"/>
      <c r="H3500" s="316"/>
      <c r="I3500" s="391"/>
      <c r="J3500" s="385">
        <v>36</v>
      </c>
      <c r="K3500" s="391"/>
      <c r="L3500" s="385"/>
      <c r="M3500" s="391"/>
      <c r="N3500" s="385"/>
      <c r="O3500" s="190"/>
    </row>
    <row r="3501" spans="3:15" ht="16" x14ac:dyDescent="0.2">
      <c r="C3501" s="119">
        <v>15</v>
      </c>
      <c r="D3501" s="383">
        <v>0.70833333333333337</v>
      </c>
      <c r="E3501" s="389">
        <v>0.72916666666666663</v>
      </c>
      <c r="F3501" s="385"/>
      <c r="G3501" s="391"/>
      <c r="H3501" s="316"/>
      <c r="I3501" s="391"/>
      <c r="J3501" s="385">
        <v>36</v>
      </c>
      <c r="K3501" s="391"/>
      <c r="L3501" s="385"/>
      <c r="M3501" s="391"/>
      <c r="N3501" s="385"/>
      <c r="O3501" s="190"/>
    </row>
    <row r="3502" spans="3:15" ht="16" x14ac:dyDescent="0.2">
      <c r="C3502" s="119">
        <v>16</v>
      </c>
      <c r="D3502" s="383">
        <v>0.72916666666666663</v>
      </c>
      <c r="E3502" s="389">
        <v>0.75</v>
      </c>
      <c r="F3502" s="385"/>
      <c r="G3502" s="391"/>
      <c r="H3502" s="316"/>
      <c r="I3502" s="391"/>
      <c r="J3502" s="385">
        <v>36</v>
      </c>
      <c r="K3502" s="391"/>
      <c r="L3502" s="385"/>
      <c r="M3502" s="391"/>
      <c r="N3502" s="385"/>
      <c r="O3502" s="190"/>
    </row>
    <row r="3503" spans="3:15" ht="16" x14ac:dyDescent="0.2">
      <c r="C3503" s="119">
        <v>17</v>
      </c>
      <c r="D3503" s="383">
        <v>0.75</v>
      </c>
      <c r="E3503" s="389">
        <v>0.77083333333333337</v>
      </c>
      <c r="F3503" s="384"/>
      <c r="G3503" s="33"/>
      <c r="H3503" s="316"/>
      <c r="I3503" s="390"/>
      <c r="J3503" s="385">
        <v>32</v>
      </c>
      <c r="K3503" s="391"/>
      <c r="L3503" s="385"/>
      <c r="M3503" s="391"/>
      <c r="N3503" s="385"/>
      <c r="O3503" s="190"/>
    </row>
    <row r="3504" spans="3:15" ht="16" x14ac:dyDescent="0.2">
      <c r="C3504" s="119">
        <v>18</v>
      </c>
      <c r="D3504" s="383">
        <v>0.77083333333333337</v>
      </c>
      <c r="E3504" s="389">
        <v>0.79166666666666663</v>
      </c>
      <c r="F3504" s="394"/>
      <c r="G3504" s="229"/>
      <c r="H3504" s="394"/>
      <c r="I3504" s="391">
        <v>44</v>
      </c>
      <c r="J3504" s="385"/>
      <c r="K3504" s="391"/>
      <c r="L3504" s="385"/>
      <c r="M3504" s="391"/>
      <c r="N3504" s="385"/>
      <c r="O3504" s="190"/>
    </row>
    <row r="3505" spans="2:15" ht="16" x14ac:dyDescent="0.2">
      <c r="C3505" s="119">
        <v>19</v>
      </c>
      <c r="D3505" s="383">
        <v>0.79166666666666663</v>
      </c>
      <c r="E3505" s="389">
        <v>0.8125</v>
      </c>
      <c r="F3505" s="385"/>
      <c r="G3505" s="391"/>
      <c r="H3505" s="385"/>
      <c r="I3505" s="391">
        <v>44</v>
      </c>
      <c r="J3505" s="385"/>
      <c r="K3505" s="391"/>
      <c r="L3505" s="403"/>
      <c r="M3505" s="391"/>
      <c r="N3505" s="385"/>
      <c r="O3505" s="190"/>
    </row>
    <row r="3506" spans="2:15" ht="16" x14ac:dyDescent="0.2">
      <c r="C3506" s="119">
        <v>20</v>
      </c>
      <c r="D3506" s="383"/>
      <c r="E3506" s="389"/>
      <c r="F3506" s="385"/>
      <c r="G3506" s="391"/>
      <c r="H3506" s="385"/>
      <c r="I3506" s="391"/>
      <c r="J3506" s="385"/>
      <c r="K3506" s="391"/>
      <c r="L3506" s="403"/>
      <c r="M3506" s="391"/>
      <c r="N3506" s="385"/>
      <c r="O3506" s="190"/>
    </row>
    <row r="3507" spans="2:15" ht="16" x14ac:dyDescent="0.2">
      <c r="C3507" s="119">
        <v>21</v>
      </c>
      <c r="D3507" s="383"/>
      <c r="E3507" s="389"/>
      <c r="F3507" s="385"/>
      <c r="G3507" s="391"/>
      <c r="H3507" s="385"/>
      <c r="I3507" s="391"/>
      <c r="J3507" s="385"/>
      <c r="K3507" s="391"/>
      <c r="L3507" s="385"/>
      <c r="M3507" s="391"/>
      <c r="N3507" s="385"/>
      <c r="O3507" s="190"/>
    </row>
    <row r="3508" spans="2:15" ht="16" x14ac:dyDescent="0.2">
      <c r="C3508" s="119">
        <v>22</v>
      </c>
      <c r="D3508" s="383"/>
      <c r="E3508" s="389"/>
      <c r="F3508" s="385"/>
      <c r="G3508" s="391"/>
      <c r="H3508" s="385"/>
      <c r="I3508" s="391"/>
      <c r="J3508" s="385"/>
      <c r="K3508" s="391"/>
      <c r="L3508" s="385"/>
      <c r="M3508" s="391"/>
      <c r="N3508" s="385"/>
      <c r="O3508" s="190"/>
    </row>
    <row r="3509" spans="2:15" ht="16" x14ac:dyDescent="0.2">
      <c r="C3509" s="119">
        <v>23</v>
      </c>
      <c r="D3509" s="383"/>
      <c r="E3509" s="389"/>
      <c r="F3509" s="385"/>
      <c r="G3509" s="391"/>
      <c r="H3509" s="385"/>
      <c r="I3509" s="391"/>
      <c r="J3509" s="385"/>
      <c r="K3509" s="391"/>
      <c r="L3509" s="385"/>
      <c r="M3509" s="391"/>
      <c r="N3509" s="385"/>
      <c r="O3509" s="190"/>
    </row>
    <row r="3510" spans="2:15" ht="16" x14ac:dyDescent="0.2">
      <c r="C3510" s="119">
        <v>24</v>
      </c>
      <c r="D3510" s="383"/>
      <c r="E3510" s="389"/>
      <c r="F3510" s="385"/>
      <c r="G3510" s="391"/>
      <c r="H3510" s="385"/>
      <c r="I3510" s="391"/>
      <c r="J3510" s="385"/>
      <c r="K3510" s="391"/>
      <c r="L3510" s="385"/>
      <c r="M3510" s="391"/>
      <c r="N3510" s="385"/>
      <c r="O3510" s="190"/>
    </row>
    <row r="3511" spans="2:15" ht="16" x14ac:dyDescent="0.2">
      <c r="C3511" s="119">
        <v>25</v>
      </c>
      <c r="D3511" s="383"/>
      <c r="E3511" s="389"/>
      <c r="F3511" s="385"/>
      <c r="G3511" s="391"/>
      <c r="H3511" s="385"/>
      <c r="I3511" s="391"/>
      <c r="J3511" s="385"/>
      <c r="K3511" s="391"/>
      <c r="L3511" s="385"/>
      <c r="M3511" s="391"/>
      <c r="N3511" s="385"/>
      <c r="O3511" s="190"/>
    </row>
    <row r="3512" spans="2:15" ht="16" x14ac:dyDescent="0.2">
      <c r="C3512" s="119">
        <v>26</v>
      </c>
      <c r="D3512" s="383"/>
      <c r="E3512" s="389"/>
      <c r="F3512" s="385"/>
      <c r="G3512" s="391"/>
      <c r="H3512" s="385"/>
      <c r="I3512" s="391"/>
      <c r="J3512" s="385"/>
      <c r="K3512" s="391"/>
      <c r="L3512" s="385"/>
      <c r="M3512" s="391"/>
      <c r="N3512" s="385"/>
      <c r="O3512" s="190"/>
    </row>
    <row r="3513" spans="2:15" ht="16" x14ac:dyDescent="0.2">
      <c r="C3513" s="119">
        <v>27</v>
      </c>
      <c r="D3513" s="383"/>
      <c r="E3513" s="389"/>
      <c r="F3513" s="385"/>
      <c r="G3513" s="391"/>
      <c r="H3513" s="385"/>
      <c r="I3513" s="391"/>
      <c r="J3513" s="385"/>
      <c r="K3513" s="391"/>
      <c r="L3513" s="385"/>
      <c r="M3513" s="391"/>
      <c r="N3513" s="385"/>
      <c r="O3513" s="190"/>
    </row>
    <row r="3514" spans="2:15" ht="16" x14ac:dyDescent="0.2">
      <c r="C3514" s="119">
        <v>28</v>
      </c>
      <c r="D3514" s="383"/>
      <c r="E3514" s="389"/>
      <c r="F3514" s="385"/>
      <c r="G3514" s="391"/>
      <c r="H3514" s="385"/>
      <c r="I3514" s="391"/>
      <c r="J3514" s="385"/>
      <c r="K3514" s="391"/>
      <c r="L3514" s="385"/>
      <c r="M3514" s="391"/>
      <c r="N3514" s="385"/>
      <c r="O3514" s="190"/>
    </row>
    <row r="3515" spans="2:15" ht="16" x14ac:dyDescent="0.2">
      <c r="C3515" s="119">
        <v>29</v>
      </c>
      <c r="D3515" s="383"/>
      <c r="E3515" s="389"/>
      <c r="F3515" s="385"/>
      <c r="G3515" s="391"/>
      <c r="H3515" s="385"/>
      <c r="I3515" s="391"/>
      <c r="J3515" s="385"/>
      <c r="K3515" s="391"/>
      <c r="L3515" s="385"/>
      <c r="M3515" s="391"/>
      <c r="N3515" s="385"/>
      <c r="O3515" s="190"/>
    </row>
    <row r="3516" spans="2:15" ht="16" x14ac:dyDescent="0.2">
      <c r="C3516" s="119">
        <v>30</v>
      </c>
      <c r="D3516" s="383"/>
      <c r="E3516" s="389"/>
      <c r="F3516" s="385"/>
      <c r="G3516" s="391"/>
      <c r="H3516" s="385"/>
      <c r="I3516" s="391"/>
      <c r="J3516" s="385"/>
      <c r="K3516" s="391"/>
      <c r="L3516" s="385"/>
      <c r="M3516" s="391"/>
      <c r="N3516" s="385"/>
      <c r="O3516" s="190"/>
    </row>
    <row r="3517" spans="2:15" ht="16" x14ac:dyDescent="0.2">
      <c r="C3517" s="120">
        <v>31</v>
      </c>
      <c r="D3517" s="383"/>
      <c r="E3517" s="389"/>
      <c r="F3517" s="384"/>
      <c r="G3517" s="390"/>
      <c r="H3517" s="384"/>
      <c r="I3517" s="390"/>
      <c r="J3517" s="384"/>
      <c r="K3517" s="390"/>
      <c r="L3517" s="384"/>
      <c r="M3517" s="390"/>
      <c r="N3517" s="384"/>
      <c r="O3517" s="190"/>
    </row>
    <row r="3518" spans="2:15" ht="16" x14ac:dyDescent="0.2">
      <c r="B3518" s="256"/>
      <c r="C3518" s="377">
        <v>32</v>
      </c>
      <c r="D3518" s="384"/>
      <c r="E3518" s="390"/>
      <c r="F3518" s="384"/>
      <c r="G3518" s="390"/>
      <c r="H3518" s="384"/>
      <c r="I3518" s="390"/>
      <c r="J3518" s="384"/>
      <c r="K3518" s="390"/>
      <c r="L3518" s="384"/>
      <c r="M3518" s="390"/>
      <c r="N3518" s="384"/>
      <c r="O3518" s="190"/>
    </row>
    <row r="3519" spans="2:15" ht="16" x14ac:dyDescent="0.2">
      <c r="B3519" s="256"/>
      <c r="C3519" s="119">
        <v>33</v>
      </c>
      <c r="D3519" s="385"/>
      <c r="E3519" s="391"/>
      <c r="F3519" s="385"/>
      <c r="G3519" s="391"/>
      <c r="H3519" s="385"/>
      <c r="I3519" s="391"/>
      <c r="J3519" s="385"/>
      <c r="K3519" s="391"/>
      <c r="L3519" s="385"/>
      <c r="M3519" s="391"/>
      <c r="N3519" s="385"/>
      <c r="O3519" s="190"/>
    </row>
    <row r="3520" spans="2:15" ht="16" x14ac:dyDescent="0.2">
      <c r="B3520" s="256"/>
      <c r="C3520" s="119">
        <v>34</v>
      </c>
      <c r="D3520" s="385"/>
      <c r="E3520" s="391"/>
      <c r="F3520" s="385"/>
      <c r="G3520" s="391"/>
      <c r="H3520" s="385"/>
      <c r="I3520" s="391"/>
      <c r="J3520" s="385"/>
      <c r="K3520" s="391"/>
      <c r="L3520" s="385"/>
      <c r="M3520" s="391"/>
      <c r="N3520" s="385"/>
      <c r="O3520" s="190"/>
    </row>
    <row r="3521" spans="2:15" ht="16" x14ac:dyDescent="0.2">
      <c r="B3521" s="256"/>
      <c r="C3521" s="119">
        <v>35</v>
      </c>
      <c r="D3521" s="385"/>
      <c r="E3521" s="391"/>
      <c r="F3521" s="385"/>
      <c r="G3521" s="391"/>
      <c r="H3521" s="385"/>
      <c r="I3521" s="391"/>
      <c r="J3521" s="385"/>
      <c r="K3521" s="391"/>
      <c r="L3521" s="385"/>
      <c r="M3521" s="391"/>
      <c r="N3521" s="385"/>
      <c r="O3521" s="190"/>
    </row>
    <row r="3522" spans="2:15" ht="16" x14ac:dyDescent="0.2">
      <c r="B3522" s="256"/>
      <c r="C3522" s="119">
        <v>36</v>
      </c>
      <c r="D3522" s="385"/>
      <c r="E3522" s="391"/>
      <c r="F3522" s="385"/>
      <c r="G3522" s="391"/>
      <c r="H3522" s="385"/>
      <c r="I3522" s="391"/>
      <c r="J3522" s="385"/>
      <c r="K3522" s="391"/>
      <c r="L3522" s="385"/>
      <c r="M3522" s="391"/>
      <c r="N3522" s="385"/>
      <c r="O3522" s="190"/>
    </row>
    <row r="3523" spans="2:15" ht="17" thickBot="1" x14ac:dyDescent="0.25">
      <c r="B3523" s="256"/>
      <c r="C3523" s="378">
        <v>37</v>
      </c>
      <c r="D3523" s="386"/>
      <c r="E3523" s="392"/>
      <c r="F3523" s="386"/>
      <c r="G3523" s="392"/>
      <c r="H3523" s="386"/>
      <c r="I3523" s="392"/>
      <c r="J3523" s="386"/>
      <c r="K3523" s="392"/>
      <c r="L3523" s="386"/>
      <c r="M3523" s="392"/>
      <c r="N3523" s="386"/>
      <c r="O3523" s="190"/>
    </row>
    <row r="3524" spans="2:15" ht="17" thickBot="1" x14ac:dyDescent="0.25">
      <c r="C3524" s="825" t="s">
        <v>19</v>
      </c>
      <c r="D3524" s="826"/>
      <c r="E3524" s="380"/>
      <c r="F3524" s="376">
        <f>(F3487+F3488+F3489+F3490+F3491+F3492+F3508+F3495+F3496+F3493+F3494+F3497+F3498+F3499+F3500+F3501+F3502+F3503+F3504+F3505+F3506+F3507+F3509+F3510+F3512+F3513+F3514+F3515+F3516+F3517+F3518+F3519+F3520+F3523)/2</f>
        <v>91</v>
      </c>
      <c r="G3524" s="397">
        <f>(G3487+G3488+G3489+G3490+G3491+G3508+G3492+G3496+G3495+G3493+G3494+G3497+G3498+G3499+G3500+G3501+G3502+G3503+G3504+G3505+G3506+G3507+G3509+G3510+G3512+G3513+G3514+G3515+G3516+G3517+G3518+G3519)/2</f>
        <v>48</v>
      </c>
      <c r="H3524" s="399">
        <f>(H3487+H3488+H3489+H3490+H3491+H3492+H3508+H3511+H3495+H3496+H3493+H3494+H3497+H3498+H3499+H3500+H3501+H3502+H3503+H3504+H3505+H3506+H3507+H3509+H3510+H3512+H3513+H3514+H3515+H3516+H3517+H3518+H3519+H3520+H3523)/2</f>
        <v>21</v>
      </c>
      <c r="I3524" s="398">
        <f>(I3487+I3488+I3489+I3490+I3491+I3521+I3522+I3492+I3508+I3495+I3511+I3496+I3493+I3494+I3497+I3498+I3499+I3500+I3501+I3502+I3503+I3504+I3505+I3506+I3507+I3509+I3510+I3512+I3513+I3514+I3515+I3516+I3517+I3518+I3519+I3520+I3523)/2</f>
        <v>44</v>
      </c>
      <c r="J3524" s="376">
        <f>(J3487+J3488+J3489+J3490+J3491+J3492+J3496+J3493+J3495+J3494+J3511+J3497+J3498+J3499+J3500+J3501+J3502+J3503+J3504+J3505+J3506+J3507+J3508+J3509+J3510+J3512+J3513+J3514+J3515+J3516+J3517+J3518+J3519)/2</f>
        <v>70</v>
      </c>
      <c r="K3524" s="397">
        <f>(K3487+K3488+K3489+K3490+K3491+K3492+K3496+K3493+K3494+K3497+K3498+K3499+K3500+K3501+K3502+K3503+K3504+K3505+K3506+K3507+K3509+K3510+K3512+K3513+K3514+K3515+K3516+K3517+K3518+K3519+K3508)</f>
        <v>0</v>
      </c>
      <c r="L3524" s="399">
        <f>SUM(L3487:L3523)</f>
        <v>0</v>
      </c>
      <c r="M3524" s="398">
        <f>(M3487+M3488+M3489+M3490+M3491+M3492+M3496+M3495+M3493+M3494+M3497+M3498+M3499+M3500+M3501+M3502+M3503+M3504+M3505+M3506+M3507+M3509+M3510+M3512+M3513+M3514+M3515+M3516+M3517+M3518+M3519)/2</f>
        <v>0</v>
      </c>
      <c r="N3524" s="376"/>
      <c r="O3524" s="41"/>
    </row>
    <row r="3525" spans="2:15" ht="17" thickBot="1" x14ac:dyDescent="0.25">
      <c r="C3525" s="825" t="s">
        <v>91</v>
      </c>
      <c r="D3525" s="826"/>
      <c r="E3525" s="381">
        <f>SUM(F3524:J3524)</f>
        <v>274</v>
      </c>
    </row>
    <row r="3526" spans="2:15" ht="16" thickBot="1" x14ac:dyDescent="0.25"/>
    <row r="3527" spans="2:15" ht="17" thickBot="1" x14ac:dyDescent="0.25">
      <c r="C3527" s="17"/>
      <c r="D3527" s="379" t="s">
        <v>83</v>
      </c>
      <c r="E3527" s="818" t="s">
        <v>69</v>
      </c>
      <c r="F3527" s="819"/>
      <c r="G3527" s="819"/>
      <c r="H3527" s="819"/>
      <c r="I3527" s="819"/>
      <c r="J3527" s="400" t="s">
        <v>76</v>
      </c>
      <c r="K3527" s="820">
        <v>45774</v>
      </c>
      <c r="L3527" s="821"/>
      <c r="M3527" s="821"/>
      <c r="N3527" s="821"/>
      <c r="O3527" s="822"/>
    </row>
    <row r="3528" spans="2:15" ht="16" thickBot="1" x14ac:dyDescent="0.25">
      <c r="B3528" s="175" t="s">
        <v>76</v>
      </c>
      <c r="C3528" s="175" t="s">
        <v>77</v>
      </c>
      <c r="D3528" s="823" t="s">
        <v>122</v>
      </c>
      <c r="E3528" s="824"/>
      <c r="F3528" s="175" t="s">
        <v>104</v>
      </c>
      <c r="G3528" s="395" t="s">
        <v>86</v>
      </c>
      <c r="H3528" s="175" t="s">
        <v>88</v>
      </c>
      <c r="I3528" s="395" t="s">
        <v>87</v>
      </c>
      <c r="J3528" s="401" t="s">
        <v>85</v>
      </c>
      <c r="K3528" s="395" t="s">
        <v>123</v>
      </c>
      <c r="L3528" s="175" t="s">
        <v>124</v>
      </c>
      <c r="M3528" s="395" t="s">
        <v>100</v>
      </c>
      <c r="N3528" s="175" t="s">
        <v>213</v>
      </c>
      <c r="O3528" s="404" t="s">
        <v>125</v>
      </c>
    </row>
    <row r="3529" spans="2:15" ht="16" thickBot="1" x14ac:dyDescent="0.25">
      <c r="B3529" s="176">
        <f>K3527</f>
        <v>45774</v>
      </c>
      <c r="C3529" s="374"/>
      <c r="D3529" s="375" t="s">
        <v>126</v>
      </c>
      <c r="E3529" s="387" t="s">
        <v>127</v>
      </c>
      <c r="F3529" s="331">
        <v>11</v>
      </c>
      <c r="G3529" s="237">
        <v>7</v>
      </c>
      <c r="H3529" s="331">
        <v>3</v>
      </c>
      <c r="I3529" s="237">
        <v>4</v>
      </c>
      <c r="J3529" s="331">
        <v>9</v>
      </c>
      <c r="K3529" s="231"/>
      <c r="L3529" s="125"/>
      <c r="M3529" s="231"/>
      <c r="N3529" s="125"/>
      <c r="O3529" s="326"/>
    </row>
    <row r="3530" spans="2:15" ht="16" x14ac:dyDescent="0.2">
      <c r="C3530" s="118">
        <v>1</v>
      </c>
      <c r="D3530" s="382">
        <v>0.39583333333333331</v>
      </c>
      <c r="E3530" s="388">
        <v>0.41666666666666669</v>
      </c>
      <c r="F3530" s="393"/>
      <c r="G3530" s="396">
        <v>28</v>
      </c>
      <c r="H3530" s="393"/>
      <c r="I3530" s="396"/>
      <c r="J3530" s="393"/>
      <c r="K3530" s="396"/>
      <c r="L3530" s="393"/>
      <c r="M3530" s="396"/>
      <c r="N3530" s="393"/>
      <c r="O3530" s="190"/>
    </row>
    <row r="3531" spans="2:15" ht="16" x14ac:dyDescent="0.2">
      <c r="C3531" s="119">
        <v>2</v>
      </c>
      <c r="D3531" s="383">
        <v>0.41666666666666669</v>
      </c>
      <c r="E3531" s="389">
        <v>0.4375</v>
      </c>
      <c r="F3531" s="385"/>
      <c r="G3531" s="391">
        <v>28</v>
      </c>
      <c r="H3531" s="385"/>
      <c r="I3531" s="391"/>
      <c r="J3531" s="385"/>
      <c r="K3531" s="391"/>
      <c r="L3531" s="385"/>
      <c r="M3531" s="391"/>
      <c r="N3531" s="385"/>
      <c r="O3531" s="190"/>
    </row>
    <row r="3532" spans="2:15" ht="16" x14ac:dyDescent="0.2">
      <c r="C3532" s="119">
        <v>3</v>
      </c>
      <c r="D3532" s="383">
        <v>0.4375</v>
      </c>
      <c r="E3532" s="389">
        <v>0.45833333333333331</v>
      </c>
      <c r="F3532" s="385"/>
      <c r="G3532" s="391">
        <v>28</v>
      </c>
      <c r="H3532" s="385"/>
      <c r="I3532" s="391"/>
      <c r="J3532" s="385"/>
      <c r="K3532" s="391"/>
      <c r="L3532" s="384"/>
      <c r="M3532" s="391"/>
      <c r="N3532" s="385"/>
      <c r="O3532" s="190"/>
    </row>
    <row r="3533" spans="2:15" ht="16" x14ac:dyDescent="0.2">
      <c r="C3533" s="119">
        <v>4</v>
      </c>
      <c r="D3533" s="383">
        <v>0.47916666666666669</v>
      </c>
      <c r="E3533" s="389">
        <v>0.5</v>
      </c>
      <c r="F3533" s="385"/>
      <c r="G3533" s="391"/>
      <c r="H3533" s="316">
        <v>28</v>
      </c>
      <c r="I3533" s="391"/>
      <c r="J3533" s="385"/>
      <c r="K3533" s="391"/>
      <c r="L3533" s="402"/>
      <c r="M3533" s="391"/>
      <c r="N3533" s="385"/>
      <c r="O3533" s="190"/>
    </row>
    <row r="3534" spans="2:15" ht="16" x14ac:dyDescent="0.2">
      <c r="C3534" s="119">
        <v>5</v>
      </c>
      <c r="D3534" s="383">
        <v>0.4826388888888889</v>
      </c>
      <c r="E3534" s="389">
        <v>0.50347222222222221</v>
      </c>
      <c r="F3534" s="385"/>
      <c r="G3534" s="391"/>
      <c r="H3534" s="316">
        <v>14</v>
      </c>
      <c r="I3534" s="391"/>
      <c r="J3534" s="385"/>
      <c r="K3534" s="391"/>
      <c r="L3534" s="393"/>
      <c r="M3534" s="391"/>
      <c r="N3534" s="385"/>
      <c r="O3534" s="190"/>
    </row>
    <row r="3535" spans="2:15" ht="16" x14ac:dyDescent="0.2">
      <c r="C3535" s="119">
        <v>6</v>
      </c>
      <c r="D3535" s="383">
        <v>0.4861111111111111</v>
      </c>
      <c r="E3535" s="389">
        <v>0.50694444444444442</v>
      </c>
      <c r="F3535" s="385"/>
      <c r="G3535" s="391">
        <v>14</v>
      </c>
      <c r="H3535" s="316"/>
      <c r="I3535" s="391"/>
      <c r="J3535" s="385"/>
      <c r="K3535" s="391"/>
      <c r="L3535" s="393"/>
      <c r="M3535" s="391"/>
      <c r="N3535" s="385"/>
      <c r="O3535" s="190"/>
    </row>
    <row r="3536" spans="2:15" ht="16" x14ac:dyDescent="0.2">
      <c r="C3536" s="119">
        <v>7</v>
      </c>
      <c r="D3536" s="383">
        <v>0.48958333333333331</v>
      </c>
      <c r="E3536" s="389">
        <v>0.51041666666666663</v>
      </c>
      <c r="F3536" s="385">
        <v>14</v>
      </c>
      <c r="G3536" s="391"/>
      <c r="H3536" s="316"/>
      <c r="I3536" s="391"/>
      <c r="J3536" s="385"/>
      <c r="K3536" s="391"/>
      <c r="L3536" s="393"/>
      <c r="M3536" s="391"/>
      <c r="N3536" s="385"/>
      <c r="O3536" s="190"/>
    </row>
    <row r="3537" spans="3:15" ht="16" x14ac:dyDescent="0.2">
      <c r="C3537" s="119">
        <v>8</v>
      </c>
      <c r="D3537" s="383">
        <v>0.49652777777777773</v>
      </c>
      <c r="E3537" s="389">
        <v>0.51736111111111105</v>
      </c>
      <c r="F3537" s="385"/>
      <c r="G3537" s="391"/>
      <c r="H3537" s="316"/>
      <c r="I3537" s="391"/>
      <c r="J3537" s="385">
        <v>14</v>
      </c>
      <c r="K3537" s="391"/>
      <c r="L3537" s="385"/>
      <c r="M3537" s="391"/>
      <c r="N3537" s="385"/>
      <c r="O3537" s="190"/>
    </row>
    <row r="3538" spans="3:15" ht="16" x14ac:dyDescent="0.2">
      <c r="C3538" s="119">
        <v>9</v>
      </c>
      <c r="D3538" s="383">
        <v>0.51736111111111105</v>
      </c>
      <c r="E3538" s="389">
        <v>0.53819444444444442</v>
      </c>
      <c r="F3538" s="385">
        <v>28</v>
      </c>
      <c r="G3538" s="391"/>
      <c r="H3538" s="316"/>
      <c r="I3538" s="391"/>
      <c r="J3538" s="385"/>
      <c r="K3538" s="391"/>
      <c r="L3538" s="385"/>
      <c r="M3538" s="391"/>
      <c r="N3538" s="385"/>
      <c r="O3538" s="190"/>
    </row>
    <row r="3539" spans="3:15" ht="16" x14ac:dyDescent="0.2">
      <c r="C3539" s="119">
        <v>10</v>
      </c>
      <c r="D3539" s="383">
        <v>0.53819444444444442</v>
      </c>
      <c r="E3539" s="389">
        <v>0.55902777777777779</v>
      </c>
      <c r="F3539" s="385">
        <v>28</v>
      </c>
      <c r="G3539" s="391"/>
      <c r="H3539" s="316"/>
      <c r="I3539" s="391"/>
      <c r="J3539" s="385"/>
      <c r="K3539" s="391"/>
      <c r="L3539" s="385"/>
      <c r="M3539" s="391"/>
      <c r="N3539" s="385"/>
      <c r="O3539" s="190"/>
    </row>
    <row r="3540" spans="3:15" ht="16" x14ac:dyDescent="0.2">
      <c r="C3540" s="119">
        <v>11</v>
      </c>
      <c r="D3540" s="383">
        <v>0.55902777777777779</v>
      </c>
      <c r="E3540" s="389">
        <v>0.57986111111111105</v>
      </c>
      <c r="F3540" s="385">
        <v>28</v>
      </c>
      <c r="G3540" s="391"/>
      <c r="H3540" s="316"/>
      <c r="I3540" s="391"/>
      <c r="J3540" s="28"/>
      <c r="K3540" s="391"/>
      <c r="L3540" s="385"/>
      <c r="M3540" s="391"/>
      <c r="N3540" s="385"/>
      <c r="O3540" s="190"/>
    </row>
    <row r="3541" spans="3:15" ht="16" x14ac:dyDescent="0.2">
      <c r="C3541" s="193">
        <v>12</v>
      </c>
      <c r="D3541" s="383">
        <v>0.57986111111111105</v>
      </c>
      <c r="E3541" s="389">
        <v>0.60069444444444442</v>
      </c>
      <c r="F3541" s="385">
        <v>28</v>
      </c>
      <c r="G3541" s="391"/>
      <c r="H3541" s="316"/>
      <c r="I3541" s="391"/>
      <c r="J3541" s="385"/>
      <c r="K3541" s="391"/>
      <c r="L3541" s="385"/>
      <c r="M3541" s="391"/>
      <c r="N3541" s="385"/>
      <c r="O3541" s="190"/>
    </row>
    <row r="3542" spans="3:15" ht="16" x14ac:dyDescent="0.2">
      <c r="C3542" s="119">
        <v>13</v>
      </c>
      <c r="D3542" s="383">
        <v>0.60069444444444442</v>
      </c>
      <c r="E3542" s="389">
        <v>0.62152777777777779</v>
      </c>
      <c r="F3542" s="385">
        <v>28</v>
      </c>
      <c r="G3542" s="391"/>
      <c r="H3542" s="316"/>
      <c r="I3542" s="391"/>
      <c r="J3542" s="385"/>
      <c r="K3542" s="391"/>
      <c r="L3542" s="385"/>
      <c r="M3542" s="391"/>
      <c r="N3542" s="385"/>
      <c r="O3542" s="190"/>
    </row>
    <row r="3543" spans="3:15" ht="16" x14ac:dyDescent="0.2">
      <c r="C3543" s="119">
        <v>14</v>
      </c>
      <c r="D3543" s="383">
        <v>0.625</v>
      </c>
      <c r="E3543" s="389">
        <v>0.64583333333333337</v>
      </c>
      <c r="F3543" s="385"/>
      <c r="G3543" s="391"/>
      <c r="H3543" s="316"/>
      <c r="I3543" s="391"/>
      <c r="J3543" s="385">
        <v>36</v>
      </c>
      <c r="K3543" s="391"/>
      <c r="L3543" s="385"/>
      <c r="M3543" s="391"/>
      <c r="N3543" s="385"/>
      <c r="O3543" s="190"/>
    </row>
    <row r="3544" spans="3:15" ht="16" x14ac:dyDescent="0.2">
      <c r="C3544" s="119">
        <v>15</v>
      </c>
      <c r="D3544" s="383">
        <v>0.64583333333333337</v>
      </c>
      <c r="E3544" s="389">
        <v>0.66666666666666663</v>
      </c>
      <c r="F3544" s="385"/>
      <c r="G3544" s="391"/>
      <c r="H3544" s="316"/>
      <c r="I3544" s="391"/>
      <c r="J3544" s="385">
        <v>36</v>
      </c>
      <c r="K3544" s="391"/>
      <c r="L3544" s="385"/>
      <c r="M3544" s="391"/>
      <c r="N3544" s="385"/>
      <c r="O3544" s="190"/>
    </row>
    <row r="3545" spans="3:15" ht="16" x14ac:dyDescent="0.2">
      <c r="C3545" s="119">
        <v>16</v>
      </c>
      <c r="D3545" s="383">
        <v>0.66666666666666663</v>
      </c>
      <c r="E3545" s="389">
        <v>0.6875</v>
      </c>
      <c r="F3545" s="385"/>
      <c r="G3545" s="391"/>
      <c r="H3545" s="316"/>
      <c r="I3545" s="391"/>
      <c r="J3545" s="385">
        <v>36</v>
      </c>
      <c r="K3545" s="391"/>
      <c r="L3545" s="385"/>
      <c r="M3545" s="391"/>
      <c r="N3545" s="385"/>
      <c r="O3545" s="190"/>
    </row>
    <row r="3546" spans="3:15" ht="16" x14ac:dyDescent="0.2">
      <c r="C3546" s="119">
        <v>17</v>
      </c>
      <c r="D3546" s="383">
        <v>0.6875</v>
      </c>
      <c r="E3546" s="389">
        <v>0.70833333333333337</v>
      </c>
      <c r="F3546" s="384"/>
      <c r="G3546" s="33"/>
      <c r="H3546" s="316"/>
      <c r="I3546" s="390"/>
      <c r="J3546" s="385">
        <v>36</v>
      </c>
      <c r="K3546" s="391"/>
      <c r="L3546" s="385"/>
      <c r="M3546" s="391"/>
      <c r="N3546" s="385"/>
      <c r="O3546" s="190"/>
    </row>
    <row r="3547" spans="3:15" ht="16" x14ac:dyDescent="0.2">
      <c r="C3547" s="119">
        <v>18</v>
      </c>
      <c r="D3547" s="383">
        <v>0.70833333333333337</v>
      </c>
      <c r="E3547" s="389">
        <v>0.72916666666666663</v>
      </c>
      <c r="F3547" s="394"/>
      <c r="G3547" s="229"/>
      <c r="H3547" s="394"/>
      <c r="I3547" s="391">
        <v>44</v>
      </c>
      <c r="J3547" s="385"/>
      <c r="K3547" s="391"/>
      <c r="L3547" s="385"/>
      <c r="M3547" s="391"/>
      <c r="N3547" s="385"/>
      <c r="O3547" s="190"/>
    </row>
    <row r="3548" spans="3:15" ht="16" x14ac:dyDescent="0.2">
      <c r="C3548" s="119">
        <v>19</v>
      </c>
      <c r="D3548" s="383">
        <v>0.72916666666666663</v>
      </c>
      <c r="E3548" s="389">
        <v>0.75</v>
      </c>
      <c r="F3548" s="385"/>
      <c r="G3548" s="391"/>
      <c r="H3548" s="385"/>
      <c r="I3548" s="391">
        <v>44</v>
      </c>
      <c r="J3548" s="385"/>
      <c r="K3548" s="391"/>
      <c r="L3548" s="403"/>
      <c r="M3548" s="391"/>
      <c r="N3548" s="385"/>
      <c r="O3548" s="190"/>
    </row>
    <row r="3549" spans="3:15" ht="16" x14ac:dyDescent="0.2">
      <c r="C3549" s="119">
        <v>20</v>
      </c>
      <c r="D3549" s="383"/>
      <c r="E3549" s="389"/>
      <c r="F3549" s="385"/>
      <c r="G3549" s="391"/>
      <c r="H3549" s="385"/>
      <c r="I3549" s="391"/>
      <c r="J3549" s="385"/>
      <c r="K3549" s="391"/>
      <c r="L3549" s="403"/>
      <c r="M3549" s="391"/>
      <c r="N3549" s="385"/>
      <c r="O3549" s="190"/>
    </row>
    <row r="3550" spans="3:15" ht="16" x14ac:dyDescent="0.2">
      <c r="C3550" s="119">
        <v>21</v>
      </c>
      <c r="D3550" s="383"/>
      <c r="E3550" s="389"/>
      <c r="F3550" s="385"/>
      <c r="G3550" s="391"/>
      <c r="H3550" s="385"/>
      <c r="I3550" s="391"/>
      <c r="J3550" s="385"/>
      <c r="K3550" s="391"/>
      <c r="L3550" s="385"/>
      <c r="M3550" s="391"/>
      <c r="N3550" s="385"/>
      <c r="O3550" s="190"/>
    </row>
    <row r="3551" spans="3:15" ht="16" x14ac:dyDescent="0.2">
      <c r="C3551" s="119">
        <v>22</v>
      </c>
      <c r="D3551" s="383"/>
      <c r="E3551" s="389"/>
      <c r="F3551" s="385"/>
      <c r="G3551" s="391"/>
      <c r="H3551" s="385"/>
      <c r="I3551" s="391"/>
      <c r="J3551" s="385"/>
      <c r="K3551" s="391"/>
      <c r="L3551" s="385"/>
      <c r="M3551" s="391"/>
      <c r="N3551" s="385"/>
      <c r="O3551" s="190"/>
    </row>
    <row r="3552" spans="3:15" ht="16" x14ac:dyDescent="0.2">
      <c r="C3552" s="119">
        <v>23</v>
      </c>
      <c r="D3552" s="383"/>
      <c r="E3552" s="389"/>
      <c r="F3552" s="385"/>
      <c r="G3552" s="391"/>
      <c r="H3552" s="385"/>
      <c r="I3552" s="391"/>
      <c r="J3552" s="385"/>
      <c r="K3552" s="391"/>
      <c r="L3552" s="385"/>
      <c r="M3552" s="391"/>
      <c r="N3552" s="385"/>
      <c r="O3552" s="190"/>
    </row>
    <row r="3553" spans="2:15" ht="16" x14ac:dyDescent="0.2">
      <c r="C3553" s="119">
        <v>24</v>
      </c>
      <c r="D3553" s="383"/>
      <c r="E3553" s="389"/>
      <c r="F3553" s="385"/>
      <c r="G3553" s="391"/>
      <c r="H3553" s="385"/>
      <c r="I3553" s="391"/>
      <c r="J3553" s="385"/>
      <c r="K3553" s="391"/>
      <c r="L3553" s="385"/>
      <c r="M3553" s="391"/>
      <c r="N3553" s="385"/>
      <c r="O3553" s="190"/>
    </row>
    <row r="3554" spans="2:15" ht="16" x14ac:dyDescent="0.2">
      <c r="C3554" s="119">
        <v>25</v>
      </c>
      <c r="D3554" s="383"/>
      <c r="E3554" s="389"/>
      <c r="F3554" s="385"/>
      <c r="G3554" s="391"/>
      <c r="H3554" s="385"/>
      <c r="I3554" s="391"/>
      <c r="J3554" s="385"/>
      <c r="K3554" s="391"/>
      <c r="L3554" s="385"/>
      <c r="M3554" s="391"/>
      <c r="N3554" s="385"/>
      <c r="O3554" s="190"/>
    </row>
    <row r="3555" spans="2:15" ht="16" x14ac:dyDescent="0.2">
      <c r="C3555" s="119">
        <v>26</v>
      </c>
      <c r="D3555" s="383"/>
      <c r="E3555" s="389"/>
      <c r="F3555" s="385"/>
      <c r="G3555" s="391"/>
      <c r="H3555" s="385"/>
      <c r="I3555" s="391"/>
      <c r="J3555" s="385"/>
      <c r="K3555" s="391"/>
      <c r="L3555" s="385"/>
      <c r="M3555" s="391"/>
      <c r="N3555" s="385"/>
      <c r="O3555" s="190"/>
    </row>
    <row r="3556" spans="2:15" ht="16" x14ac:dyDescent="0.2">
      <c r="C3556" s="119">
        <v>27</v>
      </c>
      <c r="D3556" s="383"/>
      <c r="E3556" s="389"/>
      <c r="F3556" s="385"/>
      <c r="G3556" s="391"/>
      <c r="H3556" s="385"/>
      <c r="I3556" s="391"/>
      <c r="J3556" s="385"/>
      <c r="K3556" s="391"/>
      <c r="L3556" s="385"/>
      <c r="M3556" s="391"/>
      <c r="N3556" s="385"/>
      <c r="O3556" s="190"/>
    </row>
    <row r="3557" spans="2:15" ht="16" x14ac:dyDescent="0.2">
      <c r="C3557" s="119">
        <v>28</v>
      </c>
      <c r="D3557" s="383"/>
      <c r="E3557" s="389"/>
      <c r="F3557" s="385"/>
      <c r="G3557" s="391"/>
      <c r="H3557" s="385"/>
      <c r="I3557" s="391"/>
      <c r="J3557" s="385"/>
      <c r="K3557" s="391"/>
      <c r="L3557" s="385"/>
      <c r="M3557" s="391"/>
      <c r="N3557" s="385"/>
      <c r="O3557" s="190"/>
    </row>
    <row r="3558" spans="2:15" ht="16" x14ac:dyDescent="0.2">
      <c r="C3558" s="119">
        <v>29</v>
      </c>
      <c r="D3558" s="383"/>
      <c r="E3558" s="389"/>
      <c r="F3558" s="385"/>
      <c r="G3558" s="391"/>
      <c r="H3558" s="385"/>
      <c r="I3558" s="391"/>
      <c r="J3558" s="385"/>
      <c r="K3558" s="391"/>
      <c r="L3558" s="385"/>
      <c r="M3558" s="391"/>
      <c r="N3558" s="385"/>
      <c r="O3558" s="190"/>
    </row>
    <row r="3559" spans="2:15" ht="16" x14ac:dyDescent="0.2">
      <c r="C3559" s="119">
        <v>30</v>
      </c>
      <c r="D3559" s="383"/>
      <c r="E3559" s="389"/>
      <c r="F3559" s="385"/>
      <c r="G3559" s="391"/>
      <c r="H3559" s="385"/>
      <c r="I3559" s="391"/>
      <c r="J3559" s="385"/>
      <c r="K3559" s="391"/>
      <c r="L3559" s="385"/>
      <c r="M3559" s="391"/>
      <c r="N3559" s="385"/>
      <c r="O3559" s="190"/>
    </row>
    <row r="3560" spans="2:15" ht="16" x14ac:dyDescent="0.2">
      <c r="C3560" s="120">
        <v>31</v>
      </c>
      <c r="D3560" s="383"/>
      <c r="E3560" s="389"/>
      <c r="F3560" s="384"/>
      <c r="G3560" s="390"/>
      <c r="H3560" s="384"/>
      <c r="I3560" s="390"/>
      <c r="J3560" s="384"/>
      <c r="K3560" s="390"/>
      <c r="L3560" s="384"/>
      <c r="M3560" s="390"/>
      <c r="N3560" s="384"/>
      <c r="O3560" s="190"/>
    </row>
    <row r="3561" spans="2:15" ht="16" x14ac:dyDescent="0.2">
      <c r="B3561" s="256"/>
      <c r="C3561" s="377">
        <v>32</v>
      </c>
      <c r="D3561" s="384"/>
      <c r="E3561" s="390"/>
      <c r="F3561" s="384"/>
      <c r="G3561" s="390"/>
      <c r="H3561" s="384"/>
      <c r="I3561" s="390"/>
      <c r="J3561" s="384"/>
      <c r="K3561" s="390"/>
      <c r="L3561" s="384"/>
      <c r="M3561" s="390"/>
      <c r="N3561" s="384"/>
      <c r="O3561" s="190"/>
    </row>
    <row r="3562" spans="2:15" ht="16" x14ac:dyDescent="0.2">
      <c r="B3562" s="256"/>
      <c r="C3562" s="119">
        <v>33</v>
      </c>
      <c r="D3562" s="385"/>
      <c r="E3562" s="391"/>
      <c r="F3562" s="385"/>
      <c r="G3562" s="391"/>
      <c r="H3562" s="385"/>
      <c r="I3562" s="391"/>
      <c r="J3562" s="385"/>
      <c r="K3562" s="391"/>
      <c r="L3562" s="385"/>
      <c r="M3562" s="391"/>
      <c r="N3562" s="385"/>
      <c r="O3562" s="190"/>
    </row>
    <row r="3563" spans="2:15" ht="16" x14ac:dyDescent="0.2">
      <c r="B3563" s="256"/>
      <c r="C3563" s="119">
        <v>34</v>
      </c>
      <c r="D3563" s="385"/>
      <c r="E3563" s="391"/>
      <c r="F3563" s="385"/>
      <c r="G3563" s="391"/>
      <c r="H3563" s="385"/>
      <c r="I3563" s="391"/>
      <c r="J3563" s="385"/>
      <c r="K3563" s="391"/>
      <c r="L3563" s="385"/>
      <c r="M3563" s="391"/>
      <c r="N3563" s="385"/>
      <c r="O3563" s="190"/>
    </row>
    <row r="3564" spans="2:15" ht="16" x14ac:dyDescent="0.2">
      <c r="B3564" s="256"/>
      <c r="C3564" s="119">
        <v>35</v>
      </c>
      <c r="D3564" s="385"/>
      <c r="E3564" s="391"/>
      <c r="F3564" s="385"/>
      <c r="G3564" s="391"/>
      <c r="H3564" s="385"/>
      <c r="I3564" s="391"/>
      <c r="J3564" s="385"/>
      <c r="K3564" s="391"/>
      <c r="L3564" s="385"/>
      <c r="M3564" s="391"/>
      <c r="N3564" s="385"/>
      <c r="O3564" s="190"/>
    </row>
    <row r="3565" spans="2:15" ht="16" x14ac:dyDescent="0.2">
      <c r="B3565" s="256"/>
      <c r="C3565" s="119">
        <v>36</v>
      </c>
      <c r="D3565" s="385"/>
      <c r="E3565" s="391"/>
      <c r="F3565" s="385"/>
      <c r="G3565" s="391"/>
      <c r="H3565" s="385"/>
      <c r="I3565" s="391"/>
      <c r="J3565" s="385"/>
      <c r="K3565" s="391"/>
      <c r="L3565" s="385"/>
      <c r="M3565" s="391"/>
      <c r="N3565" s="385"/>
      <c r="O3565" s="190"/>
    </row>
    <row r="3566" spans="2:15" ht="17" thickBot="1" x14ac:dyDescent="0.25">
      <c r="B3566" s="256"/>
      <c r="C3566" s="378">
        <v>37</v>
      </c>
      <c r="D3566" s="386"/>
      <c r="E3566" s="392"/>
      <c r="F3566" s="386"/>
      <c r="G3566" s="392"/>
      <c r="H3566" s="386"/>
      <c r="I3566" s="392"/>
      <c r="J3566" s="386"/>
      <c r="K3566" s="392"/>
      <c r="L3566" s="386"/>
      <c r="M3566" s="392"/>
      <c r="N3566" s="386"/>
      <c r="O3566" s="190"/>
    </row>
    <row r="3567" spans="2:15" ht="17" thickBot="1" x14ac:dyDescent="0.25">
      <c r="C3567" s="825" t="s">
        <v>19</v>
      </c>
      <c r="D3567" s="826"/>
      <c r="E3567" s="380"/>
      <c r="F3567" s="376">
        <f>(F3530+F3531+F3532+F3533+F3534+F3535+F3551+F3538+F3539+F3536+F3537+F3540+F3541+F3542+F3543+F3544+F3545+F3546+F3547+F3548+F3549+F3550+F3552+F3553+F3555+F3556+F3557+F3558+F3559+F3560+F3561+F3562+F3563+F3566)/2</f>
        <v>77</v>
      </c>
      <c r="G3567" s="397">
        <f>(G3530+G3531+G3532+G3533+G3534+G3551+G3535+G3539+G3538+G3536+G3537+G3540+G3541+G3542+G3543+G3544+G3545+G3546+G3547+G3548+G3549+G3550+G3552+G3553+G3555+G3556+G3557+G3558+G3559+G3560+G3561+G3562)/2</f>
        <v>49</v>
      </c>
      <c r="H3567" s="399">
        <f>(H3530+H3531+H3532+H3533+H3534+H3535+H3551+H3554+H3538+H3539+H3536+H3537+H3540+H3541+H3542+H3543+H3544+H3545+H3546+H3547+H3548+H3549+H3550+H3552+H3553+H3555+H3556+H3557+H3558+H3559+H3560+H3561+H3562+H3563+H3566)/2</f>
        <v>21</v>
      </c>
      <c r="I3567" s="398">
        <f>(I3530+I3531+I3532+I3533+I3534+I3564+I3565+I3535+I3551+I3538+I3554+I3539+I3536+I3537+I3540+I3541+I3542+I3543+I3544+I3545+I3546+I3547+I3548+I3549+I3550+I3552+I3553+I3555+I3556+I3557+I3558+I3559+I3560+I3561+I3562+I3563+I3566)/2</f>
        <v>44</v>
      </c>
      <c r="J3567" s="376">
        <f>(J3530+J3531+J3532+J3533+J3534+J3535+J3539+J3536+J3538+J3537+J3554+J3540+J3541+J3542+J3543+J3544+J3545+J3546+J3547+J3548+J3549+J3550+J3551+J3552+J3553+J3555+J3556+J3557+J3558+J3559+J3560+J3561+J3562)/2</f>
        <v>79</v>
      </c>
      <c r="K3567" s="397">
        <f>(K3530+K3531+K3532+K3533+K3534+K3535+K3539+K3536+K3537+K3540+K3541+K3542+K3543+K3544+K3545+K3546+K3547+K3548+K3549+K3550+K3552+K3553+K3555+K3556+K3557+K3558+K3559+K3560+K3561+K3562+K3551)</f>
        <v>0</v>
      </c>
      <c r="L3567" s="399">
        <f>SUM(L3530:L3566)</f>
        <v>0</v>
      </c>
      <c r="M3567" s="398">
        <f>(M3530+M3531+M3532+M3533+M3534+M3535+M3539+M3538+M3536+M3537+M3540+M3541+M3542+M3543+M3544+M3545+M3546+M3547+M3548+M3549+M3550+M3552+M3553+M3555+M3556+M3557+M3558+M3559+M3560+M3561+M3562)/2</f>
        <v>0</v>
      </c>
      <c r="N3567" s="376"/>
      <c r="O3567" s="41"/>
    </row>
    <row r="3568" spans="2:15" ht="17" thickBot="1" x14ac:dyDescent="0.25">
      <c r="C3568" s="825" t="s">
        <v>91</v>
      </c>
      <c r="D3568" s="826"/>
      <c r="E3568" s="381">
        <f>SUM(F3567:J3567)</f>
        <v>270</v>
      </c>
    </row>
    <row r="3569" spans="2:15" ht="16" thickBot="1" x14ac:dyDescent="0.25"/>
    <row r="3570" spans="2:15" ht="17" thickBot="1" x14ac:dyDescent="0.25">
      <c r="C3570" s="17"/>
      <c r="D3570" s="379" t="s">
        <v>83</v>
      </c>
      <c r="E3570" s="818" t="s">
        <v>63</v>
      </c>
      <c r="F3570" s="819"/>
      <c r="G3570" s="819"/>
      <c r="H3570" s="819"/>
      <c r="I3570" s="819"/>
      <c r="J3570" s="400" t="s">
        <v>76</v>
      </c>
      <c r="K3570" s="820">
        <v>45775</v>
      </c>
      <c r="L3570" s="821"/>
      <c r="M3570" s="821"/>
      <c r="N3570" s="821"/>
      <c r="O3570" s="822"/>
    </row>
    <row r="3571" spans="2:15" ht="16" thickBot="1" x14ac:dyDescent="0.25">
      <c r="B3571" s="175" t="s">
        <v>76</v>
      </c>
      <c r="C3571" s="175" t="s">
        <v>77</v>
      </c>
      <c r="D3571" s="823" t="s">
        <v>122</v>
      </c>
      <c r="E3571" s="824"/>
      <c r="F3571" s="175" t="s">
        <v>104</v>
      </c>
      <c r="G3571" s="395" t="s">
        <v>86</v>
      </c>
      <c r="H3571" s="175" t="s">
        <v>88</v>
      </c>
      <c r="I3571" s="395" t="s">
        <v>87</v>
      </c>
      <c r="J3571" s="401" t="s">
        <v>85</v>
      </c>
      <c r="K3571" s="395" t="s">
        <v>123</v>
      </c>
      <c r="L3571" s="175" t="s">
        <v>124</v>
      </c>
      <c r="M3571" s="395" t="s">
        <v>100</v>
      </c>
      <c r="N3571" s="175" t="s">
        <v>213</v>
      </c>
      <c r="O3571" s="404" t="s">
        <v>125</v>
      </c>
    </row>
    <row r="3572" spans="2:15" ht="16" thickBot="1" x14ac:dyDescent="0.25">
      <c r="B3572" s="176">
        <f>K3570</f>
        <v>45775</v>
      </c>
      <c r="C3572" s="374"/>
      <c r="D3572" s="375" t="s">
        <v>126</v>
      </c>
      <c r="E3572" s="387" t="s">
        <v>127</v>
      </c>
      <c r="F3572" s="331">
        <v>11</v>
      </c>
      <c r="G3572" s="237">
        <v>8</v>
      </c>
      <c r="H3572" s="331">
        <v>0</v>
      </c>
      <c r="I3572" s="237">
        <v>5</v>
      </c>
      <c r="J3572" s="331">
        <v>10</v>
      </c>
      <c r="K3572" s="231"/>
      <c r="L3572" s="125"/>
      <c r="M3572" s="231"/>
      <c r="N3572" s="125"/>
      <c r="O3572" s="326"/>
    </row>
    <row r="3573" spans="2:15" ht="16" x14ac:dyDescent="0.2">
      <c r="C3573" s="118">
        <v>1</v>
      </c>
      <c r="D3573" s="382">
        <v>0.3125</v>
      </c>
      <c r="E3573" s="388">
        <v>0.33333333333333331</v>
      </c>
      <c r="F3573" s="393"/>
      <c r="G3573" s="396">
        <v>28</v>
      </c>
      <c r="H3573" s="393"/>
      <c r="I3573" s="396"/>
      <c r="J3573" s="393"/>
      <c r="K3573" s="396"/>
      <c r="L3573" s="393"/>
      <c r="M3573" s="396"/>
      <c r="N3573" s="393"/>
      <c r="O3573" s="190"/>
    </row>
    <row r="3574" spans="2:15" ht="16" x14ac:dyDescent="0.2">
      <c r="C3574" s="119">
        <v>2</v>
      </c>
      <c r="D3574" s="383">
        <v>0.33333333333333331</v>
      </c>
      <c r="E3574" s="389">
        <v>0.35416666666666669</v>
      </c>
      <c r="F3574" s="385"/>
      <c r="G3574" s="391">
        <v>28</v>
      </c>
      <c r="H3574" s="385"/>
      <c r="I3574" s="391"/>
      <c r="J3574" s="385"/>
      <c r="K3574" s="391"/>
      <c r="L3574" s="385"/>
      <c r="M3574" s="391"/>
      <c r="N3574" s="385"/>
      <c r="O3574" s="190"/>
    </row>
    <row r="3575" spans="2:15" ht="16" x14ac:dyDescent="0.2">
      <c r="C3575" s="119">
        <v>3</v>
      </c>
      <c r="D3575" s="383">
        <v>0.36458333333333331</v>
      </c>
      <c r="E3575" s="389">
        <v>0.38541666666666669</v>
      </c>
      <c r="F3575" s="385">
        <v>14</v>
      </c>
      <c r="G3575" s="391"/>
      <c r="H3575" s="385"/>
      <c r="I3575" s="391"/>
      <c r="J3575" s="385"/>
      <c r="K3575" s="391"/>
      <c r="L3575" s="384"/>
      <c r="M3575" s="391"/>
      <c r="N3575" s="385"/>
      <c r="O3575" s="190"/>
    </row>
    <row r="3576" spans="2:15" ht="16" x14ac:dyDescent="0.2">
      <c r="C3576" s="119">
        <v>4</v>
      </c>
      <c r="D3576" s="383">
        <v>0.45833333333333331</v>
      </c>
      <c r="E3576" s="389">
        <v>0.47916666666666669</v>
      </c>
      <c r="F3576" s="385"/>
      <c r="G3576" s="391">
        <v>28</v>
      </c>
      <c r="H3576" s="316"/>
      <c r="I3576" s="391"/>
      <c r="J3576" s="385"/>
      <c r="K3576" s="391"/>
      <c r="L3576" s="402"/>
      <c r="M3576" s="391"/>
      <c r="N3576" s="385"/>
      <c r="O3576" s="190"/>
    </row>
    <row r="3577" spans="2:15" ht="16" x14ac:dyDescent="0.2">
      <c r="C3577" s="119">
        <v>5</v>
      </c>
      <c r="D3577" s="383">
        <v>0.4826388888888889</v>
      </c>
      <c r="E3577" s="389">
        <v>0.50347222222222221</v>
      </c>
      <c r="F3577" s="385"/>
      <c r="G3577" s="391">
        <v>28</v>
      </c>
      <c r="H3577" s="316"/>
      <c r="I3577" s="391"/>
      <c r="J3577" s="385"/>
      <c r="K3577" s="391"/>
      <c r="L3577" s="393"/>
      <c r="M3577" s="391"/>
      <c r="N3577" s="385"/>
      <c r="O3577" s="190"/>
    </row>
    <row r="3578" spans="2:15" ht="16" x14ac:dyDescent="0.2">
      <c r="C3578" s="119">
        <v>6</v>
      </c>
      <c r="D3578" s="383">
        <v>0.51041666666666663</v>
      </c>
      <c r="E3578" s="389">
        <v>0.53125</v>
      </c>
      <c r="F3578" s="385"/>
      <c r="G3578" s="391"/>
      <c r="H3578" s="316"/>
      <c r="I3578" s="391">
        <v>44</v>
      </c>
      <c r="J3578" s="385"/>
      <c r="K3578" s="391"/>
      <c r="L3578" s="393"/>
      <c r="M3578" s="391"/>
      <c r="N3578" s="385"/>
      <c r="O3578" s="190"/>
    </row>
    <row r="3579" spans="2:15" ht="16" x14ac:dyDescent="0.2">
      <c r="C3579" s="119">
        <v>7</v>
      </c>
      <c r="D3579" s="383">
        <v>0.52777777777777779</v>
      </c>
      <c r="E3579" s="389">
        <v>0.54861111111111105</v>
      </c>
      <c r="F3579" s="385">
        <v>28</v>
      </c>
      <c r="G3579" s="391"/>
      <c r="H3579" s="316"/>
      <c r="I3579" s="391"/>
      <c r="J3579" s="385"/>
      <c r="K3579" s="391"/>
      <c r="L3579" s="393"/>
      <c r="M3579" s="391"/>
      <c r="N3579" s="385"/>
      <c r="O3579" s="190"/>
    </row>
    <row r="3580" spans="2:15" ht="16" x14ac:dyDescent="0.2">
      <c r="C3580" s="119">
        <v>8</v>
      </c>
      <c r="D3580" s="383">
        <v>0.56944444444444442</v>
      </c>
      <c r="E3580" s="389">
        <v>0.59027777777777779</v>
      </c>
      <c r="F3580" s="385"/>
      <c r="G3580" s="391"/>
      <c r="H3580" s="316"/>
      <c r="I3580" s="391">
        <v>44</v>
      </c>
      <c r="J3580" s="385"/>
      <c r="K3580" s="391"/>
      <c r="L3580" s="385"/>
      <c r="M3580" s="391"/>
      <c r="N3580" s="385"/>
      <c r="O3580" s="190"/>
    </row>
    <row r="3581" spans="2:15" ht="16" x14ac:dyDescent="0.2">
      <c r="C3581" s="119">
        <v>9</v>
      </c>
      <c r="D3581" s="383">
        <v>0.60069444444444442</v>
      </c>
      <c r="E3581" s="389">
        <v>0.62152777777777779</v>
      </c>
      <c r="F3581" s="385">
        <v>28</v>
      </c>
      <c r="G3581" s="391"/>
      <c r="H3581" s="316"/>
      <c r="I3581" s="391"/>
      <c r="J3581" s="385"/>
      <c r="K3581" s="391"/>
      <c r="L3581" s="385"/>
      <c r="M3581" s="391"/>
      <c r="N3581" s="385"/>
      <c r="O3581" s="190"/>
    </row>
    <row r="3582" spans="2:15" ht="16" x14ac:dyDescent="0.2">
      <c r="C3582" s="119">
        <v>10</v>
      </c>
      <c r="D3582" s="383">
        <v>0.625</v>
      </c>
      <c r="E3582" s="389">
        <v>0.64583333333333337</v>
      </c>
      <c r="F3582" s="385"/>
      <c r="G3582" s="391"/>
      <c r="H3582" s="316"/>
      <c r="I3582" s="391"/>
      <c r="J3582" s="385">
        <v>36</v>
      </c>
      <c r="K3582" s="391"/>
      <c r="L3582" s="385"/>
      <c r="M3582" s="391"/>
      <c r="N3582" s="385"/>
      <c r="O3582" s="190"/>
    </row>
    <row r="3583" spans="2:15" ht="16" x14ac:dyDescent="0.2">
      <c r="C3583" s="119">
        <v>11</v>
      </c>
      <c r="D3583" s="383">
        <v>0.65625</v>
      </c>
      <c r="E3583" s="389">
        <v>0.67708333333333337</v>
      </c>
      <c r="F3583" s="385">
        <v>28</v>
      </c>
      <c r="G3583" s="391"/>
      <c r="H3583" s="316"/>
      <c r="I3583" s="391"/>
      <c r="J3583" s="28"/>
      <c r="K3583" s="391"/>
      <c r="L3583" s="385"/>
      <c r="M3583" s="391"/>
      <c r="N3583" s="385"/>
      <c r="O3583" s="190"/>
    </row>
    <row r="3584" spans="2:15" ht="16" x14ac:dyDescent="0.2">
      <c r="C3584" s="193">
        <v>12</v>
      </c>
      <c r="D3584" s="383">
        <v>0.67708333333333337</v>
      </c>
      <c r="E3584" s="389">
        <v>0.69791666666666663</v>
      </c>
      <c r="F3584" s="385"/>
      <c r="G3584" s="391"/>
      <c r="H3584" s="316"/>
      <c r="I3584" s="391"/>
      <c r="J3584" s="385">
        <v>36</v>
      </c>
      <c r="K3584" s="391"/>
      <c r="L3584" s="385"/>
      <c r="M3584" s="391"/>
      <c r="N3584" s="385"/>
      <c r="O3584" s="190"/>
    </row>
    <row r="3585" spans="3:15" ht="16" x14ac:dyDescent="0.2">
      <c r="C3585" s="119">
        <v>13</v>
      </c>
      <c r="D3585" s="383">
        <v>0.70486111111111116</v>
      </c>
      <c r="E3585" s="389">
        <v>0.72569444444444453</v>
      </c>
      <c r="F3585" s="385">
        <v>28</v>
      </c>
      <c r="G3585" s="391"/>
      <c r="H3585" s="316"/>
      <c r="I3585" s="391"/>
      <c r="J3585" s="385"/>
      <c r="K3585" s="391"/>
      <c r="L3585" s="385"/>
      <c r="M3585" s="391"/>
      <c r="N3585" s="385"/>
      <c r="O3585" s="190"/>
    </row>
    <row r="3586" spans="3:15" ht="16" x14ac:dyDescent="0.2">
      <c r="C3586" s="119">
        <v>14</v>
      </c>
      <c r="D3586" s="383">
        <v>0.73611111111111116</v>
      </c>
      <c r="E3586" s="389">
        <v>0.75694444444444453</v>
      </c>
      <c r="F3586" s="385"/>
      <c r="G3586" s="391"/>
      <c r="H3586" s="316"/>
      <c r="I3586" s="391"/>
      <c r="J3586" s="385">
        <v>36</v>
      </c>
      <c r="K3586" s="391"/>
      <c r="L3586" s="385"/>
      <c r="M3586" s="391"/>
      <c r="N3586" s="385"/>
      <c r="O3586" s="190"/>
    </row>
    <row r="3587" spans="3:15" ht="16" x14ac:dyDescent="0.2">
      <c r="C3587" s="119">
        <v>15</v>
      </c>
      <c r="D3587" s="383">
        <v>0.76736111111111116</v>
      </c>
      <c r="E3587" s="389">
        <v>0.78819444444444453</v>
      </c>
      <c r="F3587" s="385">
        <v>28</v>
      </c>
      <c r="G3587" s="391"/>
      <c r="H3587" s="316"/>
      <c r="I3587" s="391"/>
      <c r="J3587" s="385"/>
      <c r="K3587" s="391"/>
      <c r="L3587" s="385"/>
      <c r="M3587" s="391"/>
      <c r="N3587" s="385"/>
      <c r="O3587" s="190"/>
    </row>
    <row r="3588" spans="3:15" ht="16" x14ac:dyDescent="0.2">
      <c r="C3588" s="119">
        <v>16</v>
      </c>
      <c r="D3588" s="383">
        <v>0.78819444444444453</v>
      </c>
      <c r="E3588" s="389">
        <v>0.80902777777777779</v>
      </c>
      <c r="F3588" s="385"/>
      <c r="G3588" s="391"/>
      <c r="H3588" s="316"/>
      <c r="I3588" s="391"/>
      <c r="J3588" s="385">
        <v>36</v>
      </c>
      <c r="K3588" s="391"/>
      <c r="L3588" s="385"/>
      <c r="M3588" s="391"/>
      <c r="N3588" s="385"/>
      <c r="O3588" s="190"/>
    </row>
    <row r="3589" spans="3:15" ht="16" x14ac:dyDescent="0.2">
      <c r="C3589" s="119">
        <v>17</v>
      </c>
      <c r="D3589" s="383">
        <v>0.80902777777777779</v>
      </c>
      <c r="E3589" s="389">
        <v>0.82986111111111116</v>
      </c>
      <c r="F3589" s="384"/>
      <c r="G3589" s="33"/>
      <c r="H3589" s="316"/>
      <c r="I3589" s="390">
        <v>22</v>
      </c>
      <c r="J3589" s="385"/>
      <c r="K3589" s="391"/>
      <c r="L3589" s="385"/>
      <c r="M3589" s="391"/>
      <c r="N3589" s="385"/>
      <c r="O3589" s="190"/>
    </row>
    <row r="3590" spans="3:15" ht="16" x14ac:dyDescent="0.2">
      <c r="C3590" s="119">
        <v>18</v>
      </c>
      <c r="D3590" s="383">
        <v>0.84722222222222221</v>
      </c>
      <c r="E3590" s="389">
        <v>0.86805555555555547</v>
      </c>
      <c r="F3590" s="394"/>
      <c r="G3590" s="229"/>
      <c r="H3590" s="394"/>
      <c r="I3590" s="391"/>
      <c r="J3590" s="385">
        <v>32</v>
      </c>
      <c r="K3590" s="391"/>
      <c r="L3590" s="385"/>
      <c r="M3590" s="391"/>
      <c r="N3590" s="385"/>
      <c r="O3590" s="190"/>
    </row>
    <row r="3591" spans="3:15" ht="16" x14ac:dyDescent="0.2">
      <c r="C3591" s="119">
        <v>19</v>
      </c>
      <c r="D3591" s="383"/>
      <c r="E3591" s="389"/>
      <c r="F3591" s="385"/>
      <c r="G3591" s="391"/>
      <c r="H3591" s="385"/>
      <c r="I3591" s="391"/>
      <c r="J3591" s="385"/>
      <c r="K3591" s="391"/>
      <c r="L3591" s="403"/>
      <c r="M3591" s="391"/>
      <c r="N3591" s="385"/>
      <c r="O3591" s="190"/>
    </row>
    <row r="3592" spans="3:15" ht="16" x14ac:dyDescent="0.2">
      <c r="C3592" s="119">
        <v>20</v>
      </c>
      <c r="D3592" s="383"/>
      <c r="E3592" s="389"/>
      <c r="F3592" s="385"/>
      <c r="G3592" s="391"/>
      <c r="H3592" s="385"/>
      <c r="I3592" s="391"/>
      <c r="J3592" s="385"/>
      <c r="K3592" s="391"/>
      <c r="L3592" s="403"/>
      <c r="M3592" s="391"/>
      <c r="N3592" s="385"/>
      <c r="O3592" s="190"/>
    </row>
    <row r="3593" spans="3:15" ht="16" x14ac:dyDescent="0.2">
      <c r="C3593" s="119">
        <v>21</v>
      </c>
      <c r="D3593" s="383"/>
      <c r="E3593" s="389"/>
      <c r="F3593" s="385"/>
      <c r="G3593" s="391"/>
      <c r="H3593" s="385"/>
      <c r="I3593" s="391"/>
      <c r="J3593" s="385"/>
      <c r="K3593" s="391"/>
      <c r="L3593" s="385"/>
      <c r="M3593" s="391"/>
      <c r="N3593" s="385"/>
      <c r="O3593" s="190"/>
    </row>
    <row r="3594" spans="3:15" ht="16" x14ac:dyDescent="0.2">
      <c r="C3594" s="119">
        <v>22</v>
      </c>
      <c r="D3594" s="383"/>
      <c r="E3594" s="389"/>
      <c r="F3594" s="385"/>
      <c r="G3594" s="391"/>
      <c r="H3594" s="385"/>
      <c r="I3594" s="391"/>
      <c r="J3594" s="385"/>
      <c r="K3594" s="391"/>
      <c r="L3594" s="385"/>
      <c r="M3594" s="391"/>
      <c r="N3594" s="385"/>
      <c r="O3594" s="190"/>
    </row>
    <row r="3595" spans="3:15" ht="16" x14ac:dyDescent="0.2">
      <c r="C3595" s="119">
        <v>23</v>
      </c>
      <c r="D3595" s="383"/>
      <c r="E3595" s="389"/>
      <c r="F3595" s="385"/>
      <c r="G3595" s="391"/>
      <c r="H3595" s="385"/>
      <c r="I3595" s="391"/>
      <c r="J3595" s="385"/>
      <c r="K3595" s="391"/>
      <c r="L3595" s="385"/>
      <c r="M3595" s="391"/>
      <c r="N3595" s="385"/>
      <c r="O3595" s="190"/>
    </row>
    <row r="3596" spans="3:15" ht="16" x14ac:dyDescent="0.2">
      <c r="C3596" s="119">
        <v>24</v>
      </c>
      <c r="D3596" s="383"/>
      <c r="E3596" s="389"/>
      <c r="F3596" s="385"/>
      <c r="G3596" s="391"/>
      <c r="H3596" s="385"/>
      <c r="I3596" s="391"/>
      <c r="J3596" s="385"/>
      <c r="K3596" s="391"/>
      <c r="L3596" s="385"/>
      <c r="M3596" s="391"/>
      <c r="N3596" s="385"/>
      <c r="O3596" s="190"/>
    </row>
    <row r="3597" spans="3:15" ht="16" x14ac:dyDescent="0.2">
      <c r="C3597" s="119">
        <v>25</v>
      </c>
      <c r="D3597" s="383"/>
      <c r="E3597" s="389"/>
      <c r="F3597" s="385"/>
      <c r="G3597" s="391"/>
      <c r="H3597" s="385"/>
      <c r="I3597" s="391"/>
      <c r="J3597" s="385"/>
      <c r="K3597" s="391"/>
      <c r="L3597" s="385"/>
      <c r="M3597" s="391"/>
      <c r="N3597" s="385"/>
      <c r="O3597" s="190"/>
    </row>
    <row r="3598" spans="3:15" ht="16" x14ac:dyDescent="0.2">
      <c r="C3598" s="119">
        <v>26</v>
      </c>
      <c r="D3598" s="383"/>
      <c r="E3598" s="389"/>
      <c r="F3598" s="385"/>
      <c r="G3598" s="391"/>
      <c r="H3598" s="385"/>
      <c r="I3598" s="391"/>
      <c r="J3598" s="385"/>
      <c r="K3598" s="391"/>
      <c r="L3598" s="385"/>
      <c r="M3598" s="391"/>
      <c r="N3598" s="385"/>
      <c r="O3598" s="190"/>
    </row>
    <row r="3599" spans="3:15" ht="16" x14ac:dyDescent="0.2">
      <c r="C3599" s="119">
        <v>27</v>
      </c>
      <c r="D3599" s="383"/>
      <c r="E3599" s="389"/>
      <c r="F3599" s="385"/>
      <c r="G3599" s="391"/>
      <c r="H3599" s="385"/>
      <c r="I3599" s="391"/>
      <c r="J3599" s="385"/>
      <c r="K3599" s="391"/>
      <c r="L3599" s="385"/>
      <c r="M3599" s="391"/>
      <c r="N3599" s="385"/>
      <c r="O3599" s="190"/>
    </row>
    <row r="3600" spans="3:15" ht="16" x14ac:dyDescent="0.2">
      <c r="C3600" s="119">
        <v>28</v>
      </c>
      <c r="D3600" s="383"/>
      <c r="E3600" s="389"/>
      <c r="F3600" s="385"/>
      <c r="G3600" s="391"/>
      <c r="H3600" s="385"/>
      <c r="I3600" s="391"/>
      <c r="J3600" s="385"/>
      <c r="K3600" s="391"/>
      <c r="L3600" s="385"/>
      <c r="M3600" s="391"/>
      <c r="N3600" s="385"/>
      <c r="O3600" s="190"/>
    </row>
    <row r="3601" spans="2:15" ht="16" x14ac:dyDescent="0.2">
      <c r="C3601" s="119">
        <v>29</v>
      </c>
      <c r="D3601" s="383"/>
      <c r="E3601" s="389"/>
      <c r="F3601" s="385"/>
      <c r="G3601" s="391"/>
      <c r="H3601" s="385"/>
      <c r="I3601" s="391"/>
      <c r="J3601" s="385"/>
      <c r="K3601" s="391"/>
      <c r="L3601" s="385"/>
      <c r="M3601" s="391"/>
      <c r="N3601" s="385"/>
      <c r="O3601" s="190"/>
    </row>
    <row r="3602" spans="2:15" ht="16" x14ac:dyDescent="0.2">
      <c r="C3602" s="119">
        <v>30</v>
      </c>
      <c r="D3602" s="383"/>
      <c r="E3602" s="389"/>
      <c r="F3602" s="385"/>
      <c r="G3602" s="391"/>
      <c r="H3602" s="385"/>
      <c r="I3602" s="391"/>
      <c r="J3602" s="385"/>
      <c r="K3602" s="391"/>
      <c r="L3602" s="385"/>
      <c r="M3602" s="391"/>
      <c r="N3602" s="385"/>
      <c r="O3602" s="190"/>
    </row>
    <row r="3603" spans="2:15" ht="16" x14ac:dyDescent="0.2">
      <c r="C3603" s="120">
        <v>31</v>
      </c>
      <c r="D3603" s="383"/>
      <c r="E3603" s="389"/>
      <c r="F3603" s="384"/>
      <c r="G3603" s="390"/>
      <c r="H3603" s="384"/>
      <c r="I3603" s="390"/>
      <c r="J3603" s="384"/>
      <c r="K3603" s="390"/>
      <c r="L3603" s="384"/>
      <c r="M3603" s="390"/>
      <c r="N3603" s="384"/>
      <c r="O3603" s="190"/>
    </row>
    <row r="3604" spans="2:15" ht="16" x14ac:dyDescent="0.2">
      <c r="B3604" s="256"/>
      <c r="C3604" s="377">
        <v>32</v>
      </c>
      <c r="D3604" s="384"/>
      <c r="E3604" s="390"/>
      <c r="F3604" s="384"/>
      <c r="G3604" s="390"/>
      <c r="H3604" s="384"/>
      <c r="I3604" s="390"/>
      <c r="J3604" s="384"/>
      <c r="K3604" s="390"/>
      <c r="L3604" s="384"/>
      <c r="M3604" s="390"/>
      <c r="N3604" s="384"/>
      <c r="O3604" s="190"/>
    </row>
    <row r="3605" spans="2:15" ht="16" x14ac:dyDescent="0.2">
      <c r="B3605" s="256"/>
      <c r="C3605" s="119">
        <v>33</v>
      </c>
      <c r="D3605" s="385"/>
      <c r="E3605" s="391"/>
      <c r="F3605" s="385"/>
      <c r="G3605" s="391"/>
      <c r="H3605" s="385"/>
      <c r="I3605" s="391"/>
      <c r="J3605" s="385"/>
      <c r="K3605" s="391"/>
      <c r="L3605" s="385"/>
      <c r="M3605" s="391"/>
      <c r="N3605" s="385"/>
      <c r="O3605" s="190"/>
    </row>
    <row r="3606" spans="2:15" ht="16" x14ac:dyDescent="0.2">
      <c r="B3606" s="256"/>
      <c r="C3606" s="119">
        <v>34</v>
      </c>
      <c r="D3606" s="385"/>
      <c r="E3606" s="391"/>
      <c r="F3606" s="385"/>
      <c r="G3606" s="391"/>
      <c r="H3606" s="385"/>
      <c r="I3606" s="391"/>
      <c r="J3606" s="385"/>
      <c r="K3606" s="391"/>
      <c r="L3606" s="385"/>
      <c r="M3606" s="391"/>
      <c r="N3606" s="385"/>
      <c r="O3606" s="190"/>
    </row>
    <row r="3607" spans="2:15" ht="16" x14ac:dyDescent="0.2">
      <c r="B3607" s="256"/>
      <c r="C3607" s="119">
        <v>35</v>
      </c>
      <c r="D3607" s="385"/>
      <c r="E3607" s="391"/>
      <c r="F3607" s="385"/>
      <c r="G3607" s="391"/>
      <c r="H3607" s="385"/>
      <c r="I3607" s="391"/>
      <c r="J3607" s="385"/>
      <c r="K3607" s="391"/>
      <c r="L3607" s="385"/>
      <c r="M3607" s="391"/>
      <c r="N3607" s="385"/>
      <c r="O3607" s="190"/>
    </row>
    <row r="3608" spans="2:15" ht="16" x14ac:dyDescent="0.2">
      <c r="B3608" s="256"/>
      <c r="C3608" s="119">
        <v>36</v>
      </c>
      <c r="D3608" s="385"/>
      <c r="E3608" s="391"/>
      <c r="F3608" s="385"/>
      <c r="G3608" s="391"/>
      <c r="H3608" s="385"/>
      <c r="I3608" s="391"/>
      <c r="J3608" s="385"/>
      <c r="K3608" s="391"/>
      <c r="L3608" s="385"/>
      <c r="M3608" s="391"/>
      <c r="N3608" s="385"/>
      <c r="O3608" s="190"/>
    </row>
    <row r="3609" spans="2:15" ht="17" thickBot="1" x14ac:dyDescent="0.25">
      <c r="B3609" s="256"/>
      <c r="C3609" s="378">
        <v>37</v>
      </c>
      <c r="D3609" s="386"/>
      <c r="E3609" s="392"/>
      <c r="F3609" s="386"/>
      <c r="G3609" s="392"/>
      <c r="H3609" s="386"/>
      <c r="I3609" s="392"/>
      <c r="J3609" s="386"/>
      <c r="K3609" s="392"/>
      <c r="L3609" s="386"/>
      <c r="M3609" s="392"/>
      <c r="N3609" s="386"/>
      <c r="O3609" s="190"/>
    </row>
    <row r="3610" spans="2:15" ht="17" thickBot="1" x14ac:dyDescent="0.25">
      <c r="C3610" s="825" t="s">
        <v>19</v>
      </c>
      <c r="D3610" s="826"/>
      <c r="E3610" s="380"/>
      <c r="F3610" s="376">
        <f>(F3573+F3574+F3575+F3576+F3577+F3578+F3594+F3581+F3582+F3579+F3580+F3583+F3584+F3585+F3586+F3587+F3588+F3589+F3590+F3591+F3592+F3593+F3595+F3596+F3598+F3599+F3600+F3601+F3602+F3603+F3604+F3605+F3606+F3609)/2</f>
        <v>77</v>
      </c>
      <c r="G3610" s="397">
        <f>(G3573+G3574+G3575+G3576+G3577+G3594+G3578+G3582+G3581+G3579+G3580+G3583+G3584+G3585+G3586+G3587+G3588+G3589+G3590+G3591+G3592+G3593+G3595+G3596+G3598+G3599+G3600+G3601+G3602+G3603+G3604+G3605)/2</f>
        <v>56</v>
      </c>
      <c r="H3610" s="399">
        <f>(H3573+H3574+H3575+H3576+H3577+H3578+H3594+H3597+H3581+H3582+H3579+H3580+H3583+H3584+H3585+H3586+H3587+H3588+H3589+H3590+H3591+H3592+H3593+H3595+H3596+H3598+H3599+H3600+H3601+H3602+H3603+H3604+H3605+H3606+H3609)/2</f>
        <v>0</v>
      </c>
      <c r="I3610" s="398">
        <f>(I3573+I3574+I3575+I3576+I3577+I3607+I3608+I3578+I3594+I3581+I3597+I3582+I3579+I3580+I3583+I3584+I3585+I3586+I3587+I3588+I3589+I3590+I3591+I3592+I3593+I3595+I3596+I3598+I3599+I3600+I3601+I3602+I3603+I3604+I3605+I3606+I3609)/2</f>
        <v>55</v>
      </c>
      <c r="J3610" s="376">
        <f>(J3573+J3574+J3575+J3576+J3577+J3578+J3582+J3579+J3581+J3580+J3597+J3583+J3584+J3585+J3586+J3587+J3588+J3589+J3590+J3591+J3592+J3593+J3594+J3595+J3596+J3598+J3599+J3600+J3601+J3602+J3603+J3604+J3605)/2</f>
        <v>88</v>
      </c>
      <c r="K3610" s="397">
        <f>(K3573+K3574+K3575+K3576+K3577+K3578+K3582+K3579+K3580+K3583+K3584+K3585+K3586+K3587+K3588+K3589+K3590+K3591+K3592+K3593+K3595+K3596+K3598+K3599+K3600+K3601+K3602+K3603+K3604+K3605+K3594)</f>
        <v>0</v>
      </c>
      <c r="L3610" s="399">
        <f>SUM(L3573:L3609)</f>
        <v>0</v>
      </c>
      <c r="M3610" s="398">
        <f>(M3573+M3574+M3575+M3576+M3577+M3578+M3582+M3581+M3579+M3580+M3583+M3584+M3585+M3586+M3587+M3588+M3589+M3590+M3591+M3592+M3593+M3595+M3596+M3598+M3599+M3600+M3601+M3602+M3603+M3604+M3605)/2</f>
        <v>0</v>
      </c>
      <c r="N3610" s="376"/>
      <c r="O3610" s="41"/>
    </row>
    <row r="3611" spans="2:15" ht="17" thickBot="1" x14ac:dyDescent="0.25">
      <c r="C3611" s="825" t="s">
        <v>91</v>
      </c>
      <c r="D3611" s="826"/>
      <c r="E3611" s="381">
        <f>SUM(F3610:J3610)</f>
        <v>276</v>
      </c>
    </row>
    <row r="3612" spans="2:15" ht="16" thickBot="1" x14ac:dyDescent="0.25"/>
    <row r="3613" spans="2:15" ht="17" thickBot="1" x14ac:dyDescent="0.25">
      <c r="C3613" s="17"/>
      <c r="D3613" s="379" t="s">
        <v>83</v>
      </c>
      <c r="E3613" s="818" t="s">
        <v>64</v>
      </c>
      <c r="F3613" s="819"/>
      <c r="G3613" s="819"/>
      <c r="H3613" s="819"/>
      <c r="I3613" s="819"/>
      <c r="J3613" s="400" t="s">
        <v>76</v>
      </c>
      <c r="K3613" s="820">
        <v>45776</v>
      </c>
      <c r="L3613" s="821"/>
      <c r="M3613" s="821"/>
      <c r="N3613" s="821"/>
      <c r="O3613" s="822"/>
    </row>
    <row r="3614" spans="2:15" ht="16" thickBot="1" x14ac:dyDescent="0.25">
      <c r="B3614" s="175" t="s">
        <v>76</v>
      </c>
      <c r="C3614" s="175" t="s">
        <v>77</v>
      </c>
      <c r="D3614" s="823" t="s">
        <v>122</v>
      </c>
      <c r="E3614" s="824"/>
      <c r="F3614" s="175" t="s">
        <v>104</v>
      </c>
      <c r="G3614" s="395" t="s">
        <v>86</v>
      </c>
      <c r="H3614" s="175" t="s">
        <v>88</v>
      </c>
      <c r="I3614" s="395" t="s">
        <v>87</v>
      </c>
      <c r="J3614" s="401" t="s">
        <v>85</v>
      </c>
      <c r="K3614" s="395" t="s">
        <v>123</v>
      </c>
      <c r="L3614" s="175" t="s">
        <v>124</v>
      </c>
      <c r="M3614" s="395" t="s">
        <v>100</v>
      </c>
      <c r="N3614" s="175" t="s">
        <v>213</v>
      </c>
      <c r="O3614" s="404" t="s">
        <v>125</v>
      </c>
    </row>
    <row r="3615" spans="2:15" ht="16" thickBot="1" x14ac:dyDescent="0.25">
      <c r="B3615" s="176">
        <f>K3613</f>
        <v>45776</v>
      </c>
      <c r="C3615" s="374"/>
      <c r="D3615" s="375" t="s">
        <v>126</v>
      </c>
      <c r="E3615" s="387" t="s">
        <v>127</v>
      </c>
      <c r="F3615" s="331">
        <v>12</v>
      </c>
      <c r="G3615" s="237">
        <v>5</v>
      </c>
      <c r="H3615" s="331">
        <v>4</v>
      </c>
      <c r="I3615" s="237">
        <v>4</v>
      </c>
      <c r="J3615" s="331">
        <v>10</v>
      </c>
      <c r="K3615" s="231"/>
      <c r="L3615" s="125"/>
      <c r="M3615" s="231"/>
      <c r="N3615" s="125"/>
      <c r="O3615" s="326"/>
    </row>
    <row r="3616" spans="2:15" ht="16" x14ac:dyDescent="0.2">
      <c r="C3616" s="118">
        <v>1</v>
      </c>
      <c r="D3616" s="382">
        <v>0.79513888888888884</v>
      </c>
      <c r="E3616" s="388">
        <v>0.81597222222222221</v>
      </c>
      <c r="F3616" s="393"/>
      <c r="G3616" s="396">
        <v>28</v>
      </c>
      <c r="H3616" s="393"/>
      <c r="I3616" s="396"/>
      <c r="J3616" s="393"/>
      <c r="K3616" s="396"/>
      <c r="L3616" s="393"/>
      <c r="M3616" s="396"/>
      <c r="N3616" s="393"/>
      <c r="O3616" s="190"/>
    </row>
    <row r="3617" spans="3:15" ht="16" x14ac:dyDescent="0.2">
      <c r="C3617" s="119">
        <v>2</v>
      </c>
      <c r="D3617" s="383">
        <v>0.81944444444444453</v>
      </c>
      <c r="E3617" s="389">
        <v>0.84027777777777779</v>
      </c>
      <c r="F3617" s="385"/>
      <c r="G3617" s="391">
        <v>28</v>
      </c>
      <c r="H3617" s="385"/>
      <c r="I3617" s="391"/>
      <c r="J3617" s="385"/>
      <c r="K3617" s="391"/>
      <c r="L3617" s="385"/>
      <c r="M3617" s="391"/>
      <c r="N3617" s="385"/>
      <c r="O3617" s="190"/>
    </row>
    <row r="3618" spans="3:15" ht="16" x14ac:dyDescent="0.2">
      <c r="C3618" s="119">
        <v>3</v>
      </c>
      <c r="D3618" s="383">
        <v>0.84027777777777779</v>
      </c>
      <c r="E3618" s="389">
        <v>0.86111111111111116</v>
      </c>
      <c r="F3618" s="385"/>
      <c r="G3618" s="391"/>
      <c r="H3618" s="385">
        <v>28</v>
      </c>
      <c r="I3618" s="391"/>
      <c r="J3618" s="385"/>
      <c r="K3618" s="391"/>
      <c r="L3618" s="384"/>
      <c r="M3618" s="391"/>
      <c r="N3618" s="385"/>
      <c r="O3618" s="190"/>
    </row>
    <row r="3619" spans="3:15" ht="16" x14ac:dyDescent="0.2">
      <c r="C3619" s="119">
        <v>4</v>
      </c>
      <c r="D3619" s="383">
        <v>0.86111111111111116</v>
      </c>
      <c r="E3619" s="389">
        <v>0.88194444444444453</v>
      </c>
      <c r="F3619" s="385"/>
      <c r="G3619" s="391"/>
      <c r="H3619" s="316">
        <v>28</v>
      </c>
      <c r="I3619" s="391"/>
      <c r="J3619" s="385"/>
      <c r="K3619" s="391"/>
      <c r="L3619" s="402"/>
      <c r="M3619" s="391"/>
      <c r="N3619" s="385"/>
      <c r="O3619" s="190"/>
    </row>
    <row r="3620" spans="3:15" ht="16" x14ac:dyDescent="0.2">
      <c r="C3620" s="119">
        <v>5</v>
      </c>
      <c r="D3620" s="383">
        <v>0.88194444444444453</v>
      </c>
      <c r="E3620" s="389">
        <v>0.90277777777777779</v>
      </c>
      <c r="F3620" s="385"/>
      <c r="G3620" s="391">
        <v>14</v>
      </c>
      <c r="H3620" s="316"/>
      <c r="I3620" s="391"/>
      <c r="J3620" s="385"/>
      <c r="K3620" s="391"/>
      <c r="L3620" s="393"/>
      <c r="M3620" s="391"/>
      <c r="N3620" s="385"/>
      <c r="O3620" s="190"/>
    </row>
    <row r="3621" spans="3:15" ht="16" x14ac:dyDescent="0.2">
      <c r="C3621" s="119">
        <v>6</v>
      </c>
      <c r="D3621" s="383">
        <v>0.90625</v>
      </c>
      <c r="E3621" s="389">
        <v>0.92708333333333337</v>
      </c>
      <c r="F3621" s="385"/>
      <c r="G3621" s="391"/>
      <c r="H3621" s="316"/>
      <c r="I3621" s="391">
        <v>44</v>
      </c>
      <c r="J3621" s="385"/>
      <c r="K3621" s="391"/>
      <c r="L3621" s="393"/>
      <c r="M3621" s="391"/>
      <c r="N3621" s="385"/>
      <c r="O3621" s="190"/>
    </row>
    <row r="3622" spans="3:15" ht="16" x14ac:dyDescent="0.2">
      <c r="C3622" s="119">
        <v>7</v>
      </c>
      <c r="D3622" s="383">
        <v>0.94097222222222221</v>
      </c>
      <c r="E3622" s="389">
        <v>0.96180555555555547</v>
      </c>
      <c r="F3622" s="385">
        <v>28</v>
      </c>
      <c r="G3622" s="391"/>
      <c r="H3622" s="316"/>
      <c r="I3622" s="391"/>
      <c r="J3622" s="385"/>
      <c r="K3622" s="391"/>
      <c r="L3622" s="393"/>
      <c r="M3622" s="391"/>
      <c r="N3622" s="385"/>
      <c r="O3622" s="190"/>
    </row>
    <row r="3623" spans="3:15" ht="16" x14ac:dyDescent="0.2">
      <c r="C3623" s="119">
        <v>8</v>
      </c>
      <c r="D3623" s="383">
        <v>0.96875</v>
      </c>
      <c r="E3623" s="389">
        <v>0.98958333333333337</v>
      </c>
      <c r="F3623" s="385"/>
      <c r="G3623" s="391"/>
      <c r="H3623" s="316"/>
      <c r="I3623" s="391">
        <v>44</v>
      </c>
      <c r="J3623" s="385"/>
      <c r="K3623" s="391"/>
      <c r="L3623" s="385"/>
      <c r="M3623" s="391"/>
      <c r="N3623" s="385"/>
      <c r="O3623" s="190"/>
    </row>
    <row r="3624" spans="3:15" ht="16" x14ac:dyDescent="0.2">
      <c r="C3624" s="119">
        <v>9</v>
      </c>
      <c r="D3624" s="383">
        <v>0</v>
      </c>
      <c r="E3624" s="389">
        <v>2.0833333333333332E-2</v>
      </c>
      <c r="F3624" s="385">
        <v>28</v>
      </c>
      <c r="G3624" s="391"/>
      <c r="H3624" s="316"/>
      <c r="I3624" s="391"/>
      <c r="J3624" s="385"/>
      <c r="K3624" s="391"/>
      <c r="L3624" s="385"/>
      <c r="M3624" s="391"/>
      <c r="N3624" s="385"/>
      <c r="O3624" s="190"/>
    </row>
    <row r="3625" spans="3:15" ht="16" x14ac:dyDescent="0.2">
      <c r="C3625" s="119">
        <v>10</v>
      </c>
      <c r="D3625" s="383">
        <v>2.7777777777777776E-2</v>
      </c>
      <c r="E3625" s="389">
        <v>4.8611111111111112E-2</v>
      </c>
      <c r="F3625" s="385"/>
      <c r="G3625" s="391"/>
      <c r="H3625" s="316"/>
      <c r="I3625" s="391"/>
      <c r="J3625" s="385">
        <v>36</v>
      </c>
      <c r="K3625" s="391"/>
      <c r="L3625" s="385"/>
      <c r="M3625" s="391"/>
      <c r="N3625" s="385"/>
      <c r="O3625" s="190"/>
    </row>
    <row r="3626" spans="3:15" ht="16" x14ac:dyDescent="0.2">
      <c r="C3626" s="119">
        <v>11</v>
      </c>
      <c r="D3626" s="383">
        <v>5.5555555555555552E-2</v>
      </c>
      <c r="E3626" s="389">
        <v>7.6388888888888895E-2</v>
      </c>
      <c r="F3626" s="385">
        <v>28</v>
      </c>
      <c r="G3626" s="391"/>
      <c r="H3626" s="316"/>
      <c r="I3626" s="391"/>
      <c r="J3626" s="28"/>
      <c r="K3626" s="391"/>
      <c r="L3626" s="385"/>
      <c r="M3626" s="391"/>
      <c r="N3626" s="385"/>
      <c r="O3626" s="190"/>
    </row>
    <row r="3627" spans="3:15" ht="16" x14ac:dyDescent="0.2">
      <c r="C3627" s="193">
        <v>12</v>
      </c>
      <c r="D3627" s="383">
        <v>7.9861111111111105E-2</v>
      </c>
      <c r="E3627" s="389">
        <v>0.10069444444444443</v>
      </c>
      <c r="F3627" s="385"/>
      <c r="G3627" s="391"/>
      <c r="H3627" s="316"/>
      <c r="I3627" s="391"/>
      <c r="J3627" s="385">
        <v>36</v>
      </c>
      <c r="K3627" s="391"/>
      <c r="L3627" s="385"/>
      <c r="M3627" s="391"/>
      <c r="N3627" s="385"/>
      <c r="O3627" s="190"/>
    </row>
    <row r="3628" spans="3:15" ht="16" x14ac:dyDescent="0.2">
      <c r="C3628" s="119">
        <v>13</v>
      </c>
      <c r="D3628" s="383">
        <v>0.1111111111111111</v>
      </c>
      <c r="E3628" s="389">
        <v>0.13194444444444445</v>
      </c>
      <c r="F3628" s="385">
        <v>28</v>
      </c>
      <c r="G3628" s="391"/>
      <c r="H3628" s="316"/>
      <c r="I3628" s="391"/>
      <c r="J3628" s="385"/>
      <c r="K3628" s="391"/>
      <c r="L3628" s="385"/>
      <c r="M3628" s="391"/>
      <c r="N3628" s="385"/>
      <c r="O3628" s="190"/>
    </row>
    <row r="3629" spans="3:15" ht="16" x14ac:dyDescent="0.2">
      <c r="C3629" s="119">
        <v>14</v>
      </c>
      <c r="D3629" s="383">
        <v>0.1388888888888889</v>
      </c>
      <c r="E3629" s="389">
        <v>0.15972222222222224</v>
      </c>
      <c r="F3629" s="385"/>
      <c r="G3629" s="391"/>
      <c r="H3629" s="316"/>
      <c r="I3629" s="391"/>
      <c r="J3629" s="385">
        <v>36</v>
      </c>
      <c r="K3629" s="391"/>
      <c r="L3629" s="385"/>
      <c r="M3629" s="391"/>
      <c r="N3629" s="385"/>
      <c r="O3629" s="190"/>
    </row>
    <row r="3630" spans="3:15" ht="16" x14ac:dyDescent="0.2">
      <c r="C3630" s="119">
        <v>15</v>
      </c>
      <c r="D3630" s="383">
        <v>0.16666666666666666</v>
      </c>
      <c r="E3630" s="389">
        <v>0.20138888888888887</v>
      </c>
      <c r="F3630" s="385">
        <v>28</v>
      </c>
      <c r="G3630" s="391"/>
      <c r="H3630" s="316"/>
      <c r="I3630" s="391"/>
      <c r="J3630" s="385"/>
      <c r="K3630" s="391"/>
      <c r="L3630" s="385"/>
      <c r="M3630" s="391"/>
      <c r="N3630" s="385"/>
      <c r="O3630" s="190"/>
    </row>
    <row r="3631" spans="3:15" ht="16" x14ac:dyDescent="0.2">
      <c r="C3631" s="119">
        <v>16</v>
      </c>
      <c r="D3631" s="383">
        <v>0.19444444444444445</v>
      </c>
      <c r="E3631" s="389">
        <v>0.21527777777777779</v>
      </c>
      <c r="F3631" s="385"/>
      <c r="G3631" s="391"/>
      <c r="H3631" s="316"/>
      <c r="I3631" s="391"/>
      <c r="J3631" s="385">
        <v>36</v>
      </c>
      <c r="K3631" s="391"/>
      <c r="L3631" s="385"/>
      <c r="M3631" s="391"/>
      <c r="N3631" s="385"/>
      <c r="O3631" s="190"/>
    </row>
    <row r="3632" spans="3:15" ht="16" x14ac:dyDescent="0.2">
      <c r="C3632" s="119">
        <v>17</v>
      </c>
      <c r="D3632" s="383">
        <v>0.23611111111111113</v>
      </c>
      <c r="E3632" s="389">
        <v>0.25694444444444448</v>
      </c>
      <c r="F3632" s="384"/>
      <c r="G3632" s="33"/>
      <c r="H3632" s="316"/>
      <c r="I3632" s="390"/>
      <c r="J3632" s="385">
        <v>32</v>
      </c>
      <c r="K3632" s="391"/>
      <c r="L3632" s="385"/>
      <c r="M3632" s="391"/>
      <c r="N3632" s="385"/>
      <c r="O3632" s="190"/>
    </row>
    <row r="3633" spans="2:15" ht="16" x14ac:dyDescent="0.2">
      <c r="C3633" s="119">
        <v>18</v>
      </c>
      <c r="D3633" s="383">
        <v>0.25347222222222221</v>
      </c>
      <c r="E3633" s="389">
        <v>0.27430555555555552</v>
      </c>
      <c r="F3633" s="394">
        <v>28</v>
      </c>
      <c r="G3633" s="229"/>
      <c r="H3633" s="394"/>
      <c r="I3633" s="391"/>
      <c r="J3633" s="385"/>
      <c r="K3633" s="391"/>
      <c r="L3633" s="385"/>
      <c r="M3633" s="391"/>
      <c r="N3633" s="385"/>
      <c r="O3633" s="190"/>
    </row>
    <row r="3634" spans="2:15" ht="16" x14ac:dyDescent="0.2">
      <c r="C3634" s="119">
        <v>19</v>
      </c>
      <c r="D3634" s="383"/>
      <c r="E3634" s="389"/>
      <c r="F3634" s="385"/>
      <c r="G3634" s="391"/>
      <c r="H3634" s="385"/>
      <c r="I3634" s="391"/>
      <c r="J3634" s="385"/>
      <c r="K3634" s="391"/>
      <c r="L3634" s="403"/>
      <c r="M3634" s="391"/>
      <c r="N3634" s="385"/>
      <c r="O3634" s="190"/>
    </row>
    <row r="3635" spans="2:15" ht="16" x14ac:dyDescent="0.2">
      <c r="C3635" s="119">
        <v>20</v>
      </c>
      <c r="D3635" s="383"/>
      <c r="E3635" s="389"/>
      <c r="F3635" s="385"/>
      <c r="G3635" s="391"/>
      <c r="H3635" s="385"/>
      <c r="I3635" s="391"/>
      <c r="J3635" s="385"/>
      <c r="K3635" s="391"/>
      <c r="L3635" s="403"/>
      <c r="M3635" s="391"/>
      <c r="N3635" s="385"/>
      <c r="O3635" s="190"/>
    </row>
    <row r="3636" spans="2:15" ht="16" x14ac:dyDescent="0.2">
      <c r="C3636" s="119">
        <v>21</v>
      </c>
      <c r="D3636" s="383"/>
      <c r="E3636" s="389"/>
      <c r="F3636" s="385"/>
      <c r="G3636" s="391"/>
      <c r="H3636" s="385"/>
      <c r="I3636" s="391"/>
      <c r="J3636" s="385"/>
      <c r="K3636" s="391"/>
      <c r="L3636" s="385"/>
      <c r="M3636" s="391"/>
      <c r="N3636" s="385"/>
      <c r="O3636" s="190"/>
    </row>
    <row r="3637" spans="2:15" ht="16" x14ac:dyDescent="0.2">
      <c r="C3637" s="119">
        <v>22</v>
      </c>
      <c r="D3637" s="383"/>
      <c r="E3637" s="389"/>
      <c r="F3637" s="385"/>
      <c r="G3637" s="391"/>
      <c r="H3637" s="385"/>
      <c r="I3637" s="391"/>
      <c r="J3637" s="385"/>
      <c r="K3637" s="391"/>
      <c r="L3637" s="385"/>
      <c r="M3637" s="391"/>
      <c r="N3637" s="385"/>
      <c r="O3637" s="190"/>
    </row>
    <row r="3638" spans="2:15" ht="16" x14ac:dyDescent="0.2">
      <c r="C3638" s="119">
        <v>23</v>
      </c>
      <c r="D3638" s="383"/>
      <c r="E3638" s="389"/>
      <c r="F3638" s="385"/>
      <c r="G3638" s="391"/>
      <c r="H3638" s="385"/>
      <c r="I3638" s="391"/>
      <c r="J3638" s="385"/>
      <c r="K3638" s="391"/>
      <c r="L3638" s="385"/>
      <c r="M3638" s="391"/>
      <c r="N3638" s="385"/>
      <c r="O3638" s="190"/>
    </row>
    <row r="3639" spans="2:15" ht="16" x14ac:dyDescent="0.2">
      <c r="C3639" s="119">
        <v>24</v>
      </c>
      <c r="D3639" s="383"/>
      <c r="E3639" s="389"/>
      <c r="F3639" s="385"/>
      <c r="G3639" s="391"/>
      <c r="H3639" s="385"/>
      <c r="I3639" s="391"/>
      <c r="J3639" s="385"/>
      <c r="K3639" s="391"/>
      <c r="L3639" s="385"/>
      <c r="M3639" s="391"/>
      <c r="N3639" s="385"/>
      <c r="O3639" s="190"/>
    </row>
    <row r="3640" spans="2:15" ht="16" x14ac:dyDescent="0.2">
      <c r="C3640" s="119">
        <v>25</v>
      </c>
      <c r="D3640" s="383"/>
      <c r="E3640" s="389"/>
      <c r="F3640" s="385"/>
      <c r="G3640" s="391"/>
      <c r="H3640" s="385"/>
      <c r="I3640" s="391"/>
      <c r="J3640" s="385"/>
      <c r="K3640" s="391"/>
      <c r="L3640" s="385"/>
      <c r="M3640" s="391"/>
      <c r="N3640" s="385"/>
      <c r="O3640" s="190"/>
    </row>
    <row r="3641" spans="2:15" ht="16" x14ac:dyDescent="0.2">
      <c r="C3641" s="119">
        <v>26</v>
      </c>
      <c r="D3641" s="383"/>
      <c r="E3641" s="389"/>
      <c r="F3641" s="385"/>
      <c r="G3641" s="391"/>
      <c r="H3641" s="385"/>
      <c r="I3641" s="391"/>
      <c r="J3641" s="385"/>
      <c r="K3641" s="391"/>
      <c r="L3641" s="385"/>
      <c r="M3641" s="391"/>
      <c r="N3641" s="385"/>
      <c r="O3641" s="190"/>
    </row>
    <row r="3642" spans="2:15" ht="16" x14ac:dyDescent="0.2">
      <c r="C3642" s="119">
        <v>27</v>
      </c>
      <c r="D3642" s="383"/>
      <c r="E3642" s="389"/>
      <c r="F3642" s="385"/>
      <c r="G3642" s="391"/>
      <c r="H3642" s="385"/>
      <c r="I3642" s="391"/>
      <c r="J3642" s="385"/>
      <c r="K3642" s="391"/>
      <c r="L3642" s="385"/>
      <c r="M3642" s="391"/>
      <c r="N3642" s="385"/>
      <c r="O3642" s="190"/>
    </row>
    <row r="3643" spans="2:15" ht="16" x14ac:dyDescent="0.2">
      <c r="C3643" s="119">
        <v>28</v>
      </c>
      <c r="D3643" s="383"/>
      <c r="E3643" s="389"/>
      <c r="F3643" s="385"/>
      <c r="G3643" s="391"/>
      <c r="H3643" s="385"/>
      <c r="I3643" s="391"/>
      <c r="J3643" s="385"/>
      <c r="K3643" s="391"/>
      <c r="L3643" s="385"/>
      <c r="M3643" s="391"/>
      <c r="N3643" s="385"/>
      <c r="O3643" s="190"/>
    </row>
    <row r="3644" spans="2:15" ht="16" x14ac:dyDescent="0.2">
      <c r="C3644" s="119">
        <v>29</v>
      </c>
      <c r="D3644" s="383"/>
      <c r="E3644" s="389"/>
      <c r="F3644" s="385"/>
      <c r="G3644" s="391"/>
      <c r="H3644" s="385"/>
      <c r="I3644" s="391"/>
      <c r="J3644" s="385"/>
      <c r="K3644" s="391"/>
      <c r="L3644" s="385"/>
      <c r="M3644" s="391"/>
      <c r="N3644" s="385"/>
      <c r="O3644" s="190"/>
    </row>
    <row r="3645" spans="2:15" ht="16" x14ac:dyDescent="0.2">
      <c r="C3645" s="119">
        <v>30</v>
      </c>
      <c r="D3645" s="383"/>
      <c r="E3645" s="389"/>
      <c r="F3645" s="385"/>
      <c r="G3645" s="391"/>
      <c r="H3645" s="385"/>
      <c r="I3645" s="391"/>
      <c r="J3645" s="385"/>
      <c r="K3645" s="391"/>
      <c r="L3645" s="385"/>
      <c r="M3645" s="391"/>
      <c r="N3645" s="385"/>
      <c r="O3645" s="190"/>
    </row>
    <row r="3646" spans="2:15" ht="16" x14ac:dyDescent="0.2">
      <c r="C3646" s="120">
        <v>31</v>
      </c>
      <c r="D3646" s="383"/>
      <c r="E3646" s="389"/>
      <c r="F3646" s="384"/>
      <c r="G3646" s="390"/>
      <c r="H3646" s="384"/>
      <c r="I3646" s="390"/>
      <c r="J3646" s="384"/>
      <c r="K3646" s="390"/>
      <c r="L3646" s="384"/>
      <c r="M3646" s="390"/>
      <c r="N3646" s="384"/>
      <c r="O3646" s="190"/>
    </row>
    <row r="3647" spans="2:15" ht="16" x14ac:dyDescent="0.2">
      <c r="B3647" s="256"/>
      <c r="C3647" s="377">
        <v>32</v>
      </c>
      <c r="D3647" s="384"/>
      <c r="E3647" s="390"/>
      <c r="F3647" s="384"/>
      <c r="G3647" s="390"/>
      <c r="H3647" s="384"/>
      <c r="I3647" s="390"/>
      <c r="J3647" s="384"/>
      <c r="K3647" s="390"/>
      <c r="L3647" s="384"/>
      <c r="M3647" s="390"/>
      <c r="N3647" s="384"/>
      <c r="O3647" s="190"/>
    </row>
    <row r="3648" spans="2:15" ht="16" x14ac:dyDescent="0.2">
      <c r="B3648" s="256"/>
      <c r="C3648" s="119">
        <v>33</v>
      </c>
      <c r="D3648" s="385"/>
      <c r="E3648" s="391"/>
      <c r="F3648" s="385"/>
      <c r="G3648" s="391"/>
      <c r="H3648" s="385"/>
      <c r="I3648" s="391"/>
      <c r="J3648" s="385"/>
      <c r="K3648" s="391"/>
      <c r="L3648" s="385"/>
      <c r="M3648" s="391"/>
      <c r="N3648" s="385"/>
      <c r="O3648" s="190"/>
    </row>
    <row r="3649" spans="2:15" ht="16" x14ac:dyDescent="0.2">
      <c r="B3649" s="256"/>
      <c r="C3649" s="119">
        <v>34</v>
      </c>
      <c r="D3649" s="385"/>
      <c r="E3649" s="391"/>
      <c r="F3649" s="385"/>
      <c r="G3649" s="391"/>
      <c r="H3649" s="385"/>
      <c r="I3649" s="391"/>
      <c r="J3649" s="385"/>
      <c r="K3649" s="391"/>
      <c r="L3649" s="385"/>
      <c r="M3649" s="391"/>
      <c r="N3649" s="385"/>
      <c r="O3649" s="190"/>
    </row>
    <row r="3650" spans="2:15" ht="16" x14ac:dyDescent="0.2">
      <c r="B3650" s="256"/>
      <c r="C3650" s="119">
        <v>35</v>
      </c>
      <c r="D3650" s="385"/>
      <c r="E3650" s="391"/>
      <c r="F3650" s="385"/>
      <c r="G3650" s="391"/>
      <c r="H3650" s="385"/>
      <c r="I3650" s="391"/>
      <c r="J3650" s="385"/>
      <c r="K3650" s="391"/>
      <c r="L3650" s="385"/>
      <c r="M3650" s="391"/>
      <c r="N3650" s="385"/>
      <c r="O3650" s="190"/>
    </row>
    <row r="3651" spans="2:15" ht="16" x14ac:dyDescent="0.2">
      <c r="B3651" s="256"/>
      <c r="C3651" s="119">
        <v>36</v>
      </c>
      <c r="D3651" s="385"/>
      <c r="E3651" s="391"/>
      <c r="F3651" s="385"/>
      <c r="G3651" s="391"/>
      <c r="H3651" s="385"/>
      <c r="I3651" s="391"/>
      <c r="J3651" s="385"/>
      <c r="K3651" s="391"/>
      <c r="L3651" s="385"/>
      <c r="M3651" s="391"/>
      <c r="N3651" s="385"/>
      <c r="O3651" s="190"/>
    </row>
    <row r="3652" spans="2:15" ht="17" thickBot="1" x14ac:dyDescent="0.25">
      <c r="B3652" s="256"/>
      <c r="C3652" s="378">
        <v>37</v>
      </c>
      <c r="D3652" s="386"/>
      <c r="E3652" s="392"/>
      <c r="F3652" s="386"/>
      <c r="G3652" s="392"/>
      <c r="H3652" s="386"/>
      <c r="I3652" s="392"/>
      <c r="J3652" s="386"/>
      <c r="K3652" s="392"/>
      <c r="L3652" s="386"/>
      <c r="M3652" s="392"/>
      <c r="N3652" s="386"/>
      <c r="O3652" s="190"/>
    </row>
    <row r="3653" spans="2:15" ht="17" thickBot="1" x14ac:dyDescent="0.25">
      <c r="C3653" s="825" t="s">
        <v>19</v>
      </c>
      <c r="D3653" s="826"/>
      <c r="E3653" s="380"/>
      <c r="F3653" s="376">
        <f>(F3616+F3617+F3618+F3619+F3620+F3621+F3637+F3624+F3625+F3622+F3623+F3626+F3627+F3628+F3629+F3630+F3631+F3632+F3633+F3634+F3635+F3636+F3638+F3639+F3641+F3642+F3643+F3644+F3645+F3646+F3647+F3648+F3649+F3652)/2</f>
        <v>84</v>
      </c>
      <c r="G3653" s="397">
        <f>(G3616+G3617+G3618+G3619+G3620+G3637+G3621+G3625+G3624+G3622+G3623+G3626+G3627+G3628+G3629+G3630+G3631+G3632+G3633+G3634+G3635+G3636+G3638+G3639+G3641+G3642+G3643+G3644+G3645+G3646+G3647+G3648)/2</f>
        <v>35</v>
      </c>
      <c r="H3653" s="399">
        <f>(H3616+H3617+H3618+H3619+H3620+H3621+H3637+H3640+H3624+H3625+H3622+H3623+H3626+H3627+H3628+H3629+H3630+H3631+H3632+H3633+H3634+H3635+H3636+H3638+H3639+H3641+H3642+H3643+H3644+H3645+H3646+H3647+H3648+H3649+H3652)/2</f>
        <v>28</v>
      </c>
      <c r="I3653" s="398">
        <f>(I3616+I3617+I3618+I3619+I3620+I3650+I3651+I3621+I3637+I3624+I3640+I3625+I3622+I3623+I3626+I3627+I3628+I3629+I3630+I3631+I3632+I3633+I3634+I3635+I3636+I3638+I3639+I3641+I3642+I3643+I3644+I3645+I3646+I3647+I3648+I3649+I3652)/2</f>
        <v>44</v>
      </c>
      <c r="J3653" s="376">
        <f>(J3616+J3617+J3618+J3619+J3620+J3621+J3625+J3622+J3624+J3623+J3640+J3626+J3627+J3628+J3629+J3630+J3631+J3632+J3633+J3634+J3635+J3636+J3637+J3638+J3639+J3641+J3642+J3643+J3644+J3645+J3646+J3647+J3648)/2</f>
        <v>88</v>
      </c>
      <c r="K3653" s="397">
        <f>(K3616+K3617+K3618+K3619+K3620+K3621+K3625+K3622+K3623+K3626+K3627+K3628+K3629+K3630+K3631+K3632+K3633+K3634+K3635+K3636+K3638+K3639+K3641+K3642+K3643+K3644+K3645+K3646+K3647+K3648+K3637)</f>
        <v>0</v>
      </c>
      <c r="L3653" s="399">
        <f>SUM(L3616:L3652)</f>
        <v>0</v>
      </c>
      <c r="M3653" s="398">
        <f>(M3616+M3617+M3618+M3619+M3620+M3621+M3625+M3624+M3622+M3623+M3626+M3627+M3628+M3629+M3630+M3631+M3632+M3633+M3634+M3635+M3636+M3638+M3639+M3641+M3642+M3643+M3644+M3645+M3646+M3647+M3648)/2</f>
        <v>0</v>
      </c>
      <c r="N3653" s="376"/>
      <c r="O3653" s="41"/>
    </row>
    <row r="3654" spans="2:15" ht="17" thickBot="1" x14ac:dyDescent="0.25">
      <c r="C3654" s="825" t="s">
        <v>91</v>
      </c>
      <c r="D3654" s="826"/>
      <c r="E3654" s="381">
        <f>SUM(F3653:J3653)</f>
        <v>279</v>
      </c>
    </row>
    <row r="3655" spans="2:15" ht="16" thickBot="1" x14ac:dyDescent="0.25"/>
    <row r="3656" spans="2:15" ht="17" thickBot="1" x14ac:dyDescent="0.25">
      <c r="C3656" s="17"/>
      <c r="D3656" s="379" t="s">
        <v>83</v>
      </c>
      <c r="E3656" s="818" t="s">
        <v>66</v>
      </c>
      <c r="F3656" s="819"/>
      <c r="G3656" s="819"/>
      <c r="H3656" s="819"/>
      <c r="I3656" s="819"/>
      <c r="J3656" s="400" t="s">
        <v>76</v>
      </c>
      <c r="K3656" s="820">
        <v>45778</v>
      </c>
      <c r="L3656" s="821"/>
      <c r="M3656" s="821"/>
      <c r="N3656" s="821"/>
      <c r="O3656" s="822"/>
    </row>
    <row r="3657" spans="2:15" ht="16" thickBot="1" x14ac:dyDescent="0.25">
      <c r="B3657" s="175" t="s">
        <v>76</v>
      </c>
      <c r="C3657" s="175" t="s">
        <v>77</v>
      </c>
      <c r="D3657" s="823" t="s">
        <v>122</v>
      </c>
      <c r="E3657" s="824"/>
      <c r="F3657" s="175" t="s">
        <v>104</v>
      </c>
      <c r="G3657" s="395" t="s">
        <v>86</v>
      </c>
      <c r="H3657" s="175" t="s">
        <v>88</v>
      </c>
      <c r="I3657" s="395" t="s">
        <v>87</v>
      </c>
      <c r="J3657" s="401" t="s">
        <v>85</v>
      </c>
      <c r="K3657" s="395" t="s">
        <v>123</v>
      </c>
      <c r="L3657" s="175" t="s">
        <v>124</v>
      </c>
      <c r="M3657" s="395" t="s">
        <v>100</v>
      </c>
      <c r="N3657" s="175" t="s">
        <v>213</v>
      </c>
      <c r="O3657" s="404" t="s">
        <v>125</v>
      </c>
    </row>
    <row r="3658" spans="2:15" ht="16" thickBot="1" x14ac:dyDescent="0.25">
      <c r="B3658" s="176">
        <f>K3656</f>
        <v>45778</v>
      </c>
      <c r="C3658" s="374"/>
      <c r="D3658" s="375" t="s">
        <v>126</v>
      </c>
      <c r="E3658" s="387" t="s">
        <v>127</v>
      </c>
      <c r="F3658" s="331">
        <v>16</v>
      </c>
      <c r="G3658" s="237">
        <v>9</v>
      </c>
      <c r="H3658" s="331">
        <v>4</v>
      </c>
      <c r="I3658" s="237">
        <v>5</v>
      </c>
      <c r="J3658" s="331">
        <v>11</v>
      </c>
      <c r="K3658" s="231"/>
      <c r="L3658" s="125"/>
      <c r="M3658" s="231"/>
      <c r="N3658" s="125"/>
      <c r="O3658" s="326"/>
    </row>
    <row r="3659" spans="2:15" ht="16" x14ac:dyDescent="0.2">
      <c r="C3659" s="118">
        <v>1</v>
      </c>
      <c r="D3659" s="382">
        <v>0.31944444444444448</v>
      </c>
      <c r="E3659" s="388">
        <v>0.34027777777777773</v>
      </c>
      <c r="F3659" s="393"/>
      <c r="G3659" s="396">
        <v>28</v>
      </c>
      <c r="H3659" s="393"/>
      <c r="I3659" s="396"/>
      <c r="J3659" s="393"/>
      <c r="K3659" s="396"/>
      <c r="L3659" s="393"/>
      <c r="M3659" s="396"/>
      <c r="N3659" s="393"/>
      <c r="O3659" s="190"/>
    </row>
    <row r="3660" spans="2:15" ht="16" x14ac:dyDescent="0.2">
      <c r="C3660" s="119">
        <v>2</v>
      </c>
      <c r="D3660" s="383">
        <v>0.34027777777777773</v>
      </c>
      <c r="E3660" s="389">
        <v>0.3611111111111111</v>
      </c>
      <c r="F3660" s="385"/>
      <c r="G3660" s="391">
        <v>28</v>
      </c>
      <c r="H3660" s="385"/>
      <c r="I3660" s="391"/>
      <c r="J3660" s="385"/>
      <c r="K3660" s="391"/>
      <c r="L3660" s="385"/>
      <c r="M3660" s="391"/>
      <c r="N3660" s="385"/>
      <c r="O3660" s="190"/>
    </row>
    <row r="3661" spans="2:15" ht="16" x14ac:dyDescent="0.2">
      <c r="C3661" s="119">
        <v>3</v>
      </c>
      <c r="D3661" s="383">
        <v>0.36458333333333331</v>
      </c>
      <c r="E3661" s="389">
        <v>0.38541666666666669</v>
      </c>
      <c r="F3661" s="385"/>
      <c r="G3661" s="391">
        <v>28</v>
      </c>
      <c r="H3661" s="385"/>
      <c r="I3661" s="391"/>
      <c r="J3661" s="385"/>
      <c r="K3661" s="391"/>
      <c r="L3661" s="384"/>
      <c r="M3661" s="391"/>
      <c r="N3661" s="385"/>
      <c r="O3661" s="190"/>
    </row>
    <row r="3662" spans="2:15" ht="16" x14ac:dyDescent="0.2">
      <c r="C3662" s="119">
        <v>4</v>
      </c>
      <c r="D3662" s="383">
        <v>0.3923611111111111</v>
      </c>
      <c r="E3662" s="389">
        <v>0.41319444444444442</v>
      </c>
      <c r="F3662" s="385"/>
      <c r="G3662" s="391">
        <v>26</v>
      </c>
      <c r="H3662" s="316"/>
      <c r="I3662" s="391"/>
      <c r="J3662" s="385"/>
      <c r="K3662" s="391"/>
      <c r="L3662" s="402"/>
      <c r="M3662" s="391"/>
      <c r="N3662" s="385"/>
      <c r="O3662" s="190"/>
    </row>
    <row r="3663" spans="2:15" ht="16" x14ac:dyDescent="0.2">
      <c r="C3663" s="119">
        <v>5</v>
      </c>
      <c r="D3663" s="383">
        <v>0.41319444444444442</v>
      </c>
      <c r="E3663" s="389">
        <v>0.43402777777777773</v>
      </c>
      <c r="F3663" s="385"/>
      <c r="G3663" s="391">
        <v>14</v>
      </c>
      <c r="H3663" s="316"/>
      <c r="I3663" s="391"/>
      <c r="J3663" s="385"/>
      <c r="K3663" s="391"/>
      <c r="L3663" s="393"/>
      <c r="M3663" s="391"/>
      <c r="N3663" s="385"/>
      <c r="O3663" s="190"/>
    </row>
    <row r="3664" spans="2:15" ht="16" x14ac:dyDescent="0.2">
      <c r="C3664" s="119">
        <v>6</v>
      </c>
      <c r="D3664" s="383">
        <v>0.44444444444444442</v>
      </c>
      <c r="E3664" s="389">
        <v>0.46527777777777773</v>
      </c>
      <c r="F3664" s="385"/>
      <c r="G3664" s="391"/>
      <c r="H3664" s="316"/>
      <c r="I3664" s="391">
        <v>44</v>
      </c>
      <c r="J3664" s="385"/>
      <c r="K3664" s="391"/>
      <c r="L3664" s="393"/>
      <c r="M3664" s="391"/>
      <c r="N3664" s="385"/>
      <c r="O3664" s="190"/>
    </row>
    <row r="3665" spans="3:15" ht="16" x14ac:dyDescent="0.2">
      <c r="C3665" s="119">
        <v>7</v>
      </c>
      <c r="D3665" s="383">
        <v>0.47569444444444442</v>
      </c>
      <c r="E3665" s="389">
        <v>0.49652777777777773</v>
      </c>
      <c r="F3665" s="385"/>
      <c r="G3665" s="391"/>
      <c r="H3665" s="316"/>
      <c r="I3665" s="391">
        <v>22</v>
      </c>
      <c r="J3665" s="385"/>
      <c r="K3665" s="391"/>
      <c r="L3665" s="393"/>
      <c r="M3665" s="391"/>
      <c r="N3665" s="385"/>
      <c r="O3665" s="190"/>
    </row>
    <row r="3666" spans="3:15" ht="16" x14ac:dyDescent="0.2">
      <c r="C3666" s="119">
        <v>8</v>
      </c>
      <c r="D3666" s="383">
        <v>0.49652777777777773</v>
      </c>
      <c r="E3666" s="389">
        <v>0.51736111111111105</v>
      </c>
      <c r="F3666" s="385"/>
      <c r="G3666" s="391"/>
      <c r="H3666" s="316"/>
      <c r="I3666" s="391"/>
      <c r="J3666" s="385">
        <v>18</v>
      </c>
      <c r="K3666" s="391"/>
      <c r="L3666" s="385"/>
      <c r="M3666" s="391"/>
      <c r="N3666" s="385"/>
      <c r="O3666" s="190"/>
    </row>
    <row r="3667" spans="3:15" ht="16" x14ac:dyDescent="0.2">
      <c r="C3667" s="119">
        <v>9</v>
      </c>
      <c r="D3667" s="383">
        <v>0.55902777777777779</v>
      </c>
      <c r="E3667" s="389">
        <v>0.57986111111111105</v>
      </c>
      <c r="F3667" s="385"/>
      <c r="G3667" s="391"/>
      <c r="H3667" s="316"/>
      <c r="I3667" s="391">
        <v>44</v>
      </c>
      <c r="J3667" s="385"/>
      <c r="K3667" s="391"/>
      <c r="L3667" s="385"/>
      <c r="M3667" s="391"/>
      <c r="N3667" s="385"/>
      <c r="O3667" s="190"/>
    </row>
    <row r="3668" spans="3:15" ht="16" x14ac:dyDescent="0.2">
      <c r="C3668" s="119">
        <v>10</v>
      </c>
      <c r="D3668" s="383">
        <v>0.62152777777777779</v>
      </c>
      <c r="E3668" s="389">
        <v>0.64236111111111105</v>
      </c>
      <c r="F3668" s="385"/>
      <c r="G3668" s="391"/>
      <c r="H3668" s="316">
        <v>28</v>
      </c>
      <c r="I3668" s="391"/>
      <c r="J3668" s="385"/>
      <c r="K3668" s="391"/>
      <c r="L3668" s="385"/>
      <c r="M3668" s="391"/>
      <c r="N3668" s="385"/>
      <c r="O3668" s="190"/>
    </row>
    <row r="3669" spans="3:15" ht="16" x14ac:dyDescent="0.2">
      <c r="C3669" s="119">
        <v>11</v>
      </c>
      <c r="D3669" s="383">
        <v>0.64236111111111105</v>
      </c>
      <c r="E3669" s="389">
        <v>0.66319444444444442</v>
      </c>
      <c r="F3669" s="385"/>
      <c r="G3669" s="391"/>
      <c r="H3669" s="316"/>
      <c r="I3669" s="391"/>
      <c r="J3669" s="28">
        <v>36</v>
      </c>
      <c r="K3669" s="391"/>
      <c r="L3669" s="385"/>
      <c r="M3669" s="391"/>
      <c r="N3669" s="385"/>
      <c r="O3669" s="190"/>
    </row>
    <row r="3670" spans="3:15" ht="16" x14ac:dyDescent="0.2">
      <c r="C3670" s="193">
        <v>12</v>
      </c>
      <c r="D3670" s="383">
        <v>0.67361111111111116</v>
      </c>
      <c r="E3670" s="389">
        <v>0.69444444444444453</v>
      </c>
      <c r="F3670" s="385"/>
      <c r="G3670" s="391"/>
      <c r="H3670" s="316">
        <v>28</v>
      </c>
      <c r="I3670" s="391"/>
      <c r="J3670" s="385"/>
      <c r="K3670" s="391"/>
      <c r="L3670" s="385"/>
      <c r="M3670" s="391"/>
      <c r="N3670" s="385"/>
      <c r="O3670" s="190"/>
    </row>
    <row r="3671" spans="3:15" ht="16" x14ac:dyDescent="0.2">
      <c r="C3671" s="119">
        <v>13</v>
      </c>
      <c r="D3671" s="383">
        <v>0.69791666666666663</v>
      </c>
      <c r="E3671" s="389">
        <v>0.71875</v>
      </c>
      <c r="F3671" s="385"/>
      <c r="G3671" s="391"/>
      <c r="H3671" s="316"/>
      <c r="I3671" s="391"/>
      <c r="J3671" s="385">
        <v>36</v>
      </c>
      <c r="K3671" s="391"/>
      <c r="L3671" s="385"/>
      <c r="M3671" s="391"/>
      <c r="N3671" s="385"/>
      <c r="O3671" s="190"/>
    </row>
    <row r="3672" spans="3:15" ht="16" x14ac:dyDescent="0.2">
      <c r="C3672" s="119">
        <v>14</v>
      </c>
      <c r="D3672" s="383">
        <v>0.72569444444444453</v>
      </c>
      <c r="E3672" s="389">
        <v>0.74652777777777779</v>
      </c>
      <c r="F3672" s="385">
        <v>28</v>
      </c>
      <c r="G3672" s="391"/>
      <c r="H3672" s="316"/>
      <c r="I3672" s="391"/>
      <c r="J3672" s="385"/>
      <c r="K3672" s="391"/>
      <c r="L3672" s="385"/>
      <c r="M3672" s="391"/>
      <c r="N3672" s="385"/>
      <c r="O3672" s="190"/>
    </row>
    <row r="3673" spans="3:15" ht="16" x14ac:dyDescent="0.2">
      <c r="C3673" s="119">
        <v>15</v>
      </c>
      <c r="D3673" s="383">
        <v>0.75</v>
      </c>
      <c r="E3673" s="389">
        <v>0.77083333333333337</v>
      </c>
      <c r="F3673" s="385"/>
      <c r="G3673" s="391"/>
      <c r="H3673" s="316"/>
      <c r="I3673" s="391"/>
      <c r="J3673" s="385">
        <v>36</v>
      </c>
      <c r="K3673" s="391"/>
      <c r="L3673" s="385"/>
      <c r="M3673" s="391"/>
      <c r="N3673" s="385"/>
      <c r="O3673" s="190"/>
    </row>
    <row r="3674" spans="3:15" ht="16" x14ac:dyDescent="0.2">
      <c r="C3674" s="119">
        <v>16</v>
      </c>
      <c r="D3674" s="383">
        <v>4.9375</v>
      </c>
      <c r="E3674" s="389">
        <v>0.95833333333333337</v>
      </c>
      <c r="F3674" s="385">
        <v>28</v>
      </c>
      <c r="G3674" s="391"/>
      <c r="H3674" s="316"/>
      <c r="I3674" s="391"/>
      <c r="J3674" s="385"/>
      <c r="K3674" s="391"/>
      <c r="L3674" s="385"/>
      <c r="M3674" s="391"/>
      <c r="N3674" s="385"/>
      <c r="O3674" s="190"/>
    </row>
    <row r="3675" spans="3:15" ht="16" x14ac:dyDescent="0.2">
      <c r="C3675" s="119">
        <v>17</v>
      </c>
      <c r="D3675" s="383">
        <v>0.79861111111111116</v>
      </c>
      <c r="E3675" s="389">
        <v>0.81944444444444453</v>
      </c>
      <c r="F3675" s="384"/>
      <c r="G3675" s="33"/>
      <c r="H3675" s="316"/>
      <c r="I3675" s="390"/>
      <c r="J3675" s="385">
        <v>36</v>
      </c>
      <c r="K3675" s="391"/>
      <c r="L3675" s="385"/>
      <c r="M3675" s="391"/>
      <c r="N3675" s="385"/>
      <c r="O3675" s="190"/>
    </row>
    <row r="3676" spans="3:15" ht="16" x14ac:dyDescent="0.2">
      <c r="C3676" s="119">
        <v>18</v>
      </c>
      <c r="D3676" s="383">
        <v>0.82638888888888884</v>
      </c>
      <c r="E3676" s="389">
        <v>0.84722222222222221</v>
      </c>
      <c r="F3676" s="394">
        <v>28</v>
      </c>
      <c r="G3676" s="229"/>
      <c r="H3676" s="394"/>
      <c r="I3676" s="391"/>
      <c r="J3676" s="385"/>
      <c r="K3676" s="391"/>
      <c r="L3676" s="385"/>
      <c r="M3676" s="391"/>
      <c r="N3676" s="385"/>
      <c r="O3676" s="190"/>
    </row>
    <row r="3677" spans="3:15" ht="16" x14ac:dyDescent="0.2">
      <c r="C3677" s="119">
        <v>19</v>
      </c>
      <c r="D3677" s="383">
        <v>0.85069444444444453</v>
      </c>
      <c r="E3677" s="389">
        <v>0.87152777777777779</v>
      </c>
      <c r="F3677" s="385"/>
      <c r="G3677" s="391"/>
      <c r="H3677" s="385"/>
      <c r="I3677" s="391"/>
      <c r="J3677" s="385">
        <v>24</v>
      </c>
      <c r="K3677" s="391">
        <v>1</v>
      </c>
      <c r="L3677" s="403"/>
      <c r="M3677" s="391"/>
      <c r="N3677" s="385"/>
      <c r="O3677" s="190"/>
    </row>
    <row r="3678" spans="3:15" ht="16" x14ac:dyDescent="0.2">
      <c r="C3678" s="119">
        <v>20</v>
      </c>
      <c r="D3678" s="383">
        <v>0.85763888888888884</v>
      </c>
      <c r="E3678" s="389">
        <v>0.87847222222222221</v>
      </c>
      <c r="F3678" s="385">
        <v>28</v>
      </c>
      <c r="G3678" s="391"/>
      <c r="H3678" s="385"/>
      <c r="I3678" s="391"/>
      <c r="J3678" s="385"/>
      <c r="K3678" s="391"/>
      <c r="L3678" s="403"/>
      <c r="M3678" s="391"/>
      <c r="N3678" s="385"/>
      <c r="O3678" s="190"/>
    </row>
    <row r="3679" spans="3:15" ht="16" x14ac:dyDescent="0.2">
      <c r="C3679" s="119">
        <v>21</v>
      </c>
      <c r="D3679" s="383">
        <v>0.89236111111111116</v>
      </c>
      <c r="E3679" s="389">
        <v>0.91319444444444453</v>
      </c>
      <c r="F3679" s="385">
        <v>28</v>
      </c>
      <c r="G3679" s="391"/>
      <c r="H3679" s="385"/>
      <c r="I3679" s="391"/>
      <c r="J3679" s="385"/>
      <c r="K3679" s="391"/>
      <c r="L3679" s="385"/>
      <c r="M3679" s="391"/>
      <c r="N3679" s="385"/>
      <c r="O3679" s="190"/>
    </row>
    <row r="3680" spans="3:15" ht="16" x14ac:dyDescent="0.2">
      <c r="C3680" s="119">
        <v>22</v>
      </c>
      <c r="D3680" s="383">
        <v>0.91319444444444453</v>
      </c>
      <c r="E3680" s="389">
        <v>0.93402777777777779</v>
      </c>
      <c r="F3680" s="385">
        <v>28</v>
      </c>
      <c r="G3680" s="391"/>
      <c r="H3680" s="385"/>
      <c r="I3680" s="391"/>
      <c r="J3680" s="385"/>
      <c r="K3680" s="391"/>
      <c r="L3680" s="385"/>
      <c r="M3680" s="391"/>
      <c r="N3680" s="385"/>
      <c r="O3680" s="190"/>
    </row>
    <row r="3681" spans="2:15" ht="16" x14ac:dyDescent="0.2">
      <c r="C3681" s="119">
        <v>23</v>
      </c>
      <c r="D3681" s="383">
        <v>0.93402777777777779</v>
      </c>
      <c r="E3681" s="389">
        <v>0.95486111111111116</v>
      </c>
      <c r="F3681" s="385">
        <v>28</v>
      </c>
      <c r="G3681" s="391"/>
      <c r="H3681" s="385"/>
      <c r="I3681" s="391"/>
      <c r="J3681" s="385"/>
      <c r="K3681" s="391"/>
      <c r="L3681" s="385"/>
      <c r="M3681" s="391"/>
      <c r="N3681" s="385"/>
      <c r="O3681" s="190"/>
    </row>
    <row r="3682" spans="2:15" ht="16" x14ac:dyDescent="0.2">
      <c r="C3682" s="119">
        <v>24</v>
      </c>
      <c r="D3682" s="383">
        <v>0.95833333333333337</v>
      </c>
      <c r="E3682" s="389">
        <v>0.97916666666666663</v>
      </c>
      <c r="F3682" s="385">
        <v>28</v>
      </c>
      <c r="G3682" s="391"/>
      <c r="H3682" s="385"/>
      <c r="I3682" s="391"/>
      <c r="J3682" s="385"/>
      <c r="K3682" s="391"/>
      <c r="L3682" s="385"/>
      <c r="M3682" s="391"/>
      <c r="N3682" s="385"/>
      <c r="O3682" s="190"/>
    </row>
    <row r="3683" spans="2:15" ht="16" x14ac:dyDescent="0.2">
      <c r="C3683" s="119">
        <v>25</v>
      </c>
      <c r="D3683" s="383">
        <v>0.98263888888888884</v>
      </c>
      <c r="E3683" s="389">
        <v>3.472222222222222E-3</v>
      </c>
      <c r="F3683" s="385"/>
      <c r="G3683" s="391"/>
      <c r="H3683" s="385"/>
      <c r="I3683" s="391"/>
      <c r="J3683" s="385">
        <v>18</v>
      </c>
      <c r="K3683" s="391"/>
      <c r="L3683" s="385"/>
      <c r="M3683" s="391"/>
      <c r="N3683" s="385"/>
      <c r="O3683" s="190"/>
    </row>
    <row r="3684" spans="2:15" ht="16" x14ac:dyDescent="0.2">
      <c r="C3684" s="119">
        <v>26</v>
      </c>
      <c r="D3684" s="383"/>
      <c r="E3684" s="389"/>
      <c r="F3684" s="385"/>
      <c r="G3684" s="391"/>
      <c r="H3684" s="385"/>
      <c r="I3684" s="391"/>
      <c r="J3684" s="385"/>
      <c r="K3684" s="391"/>
      <c r="L3684" s="385"/>
      <c r="M3684" s="391"/>
      <c r="N3684" s="385"/>
      <c r="O3684" s="190"/>
    </row>
    <row r="3685" spans="2:15" ht="16" x14ac:dyDescent="0.2">
      <c r="C3685" s="119">
        <v>27</v>
      </c>
      <c r="D3685" s="383"/>
      <c r="E3685" s="389"/>
      <c r="F3685" s="385"/>
      <c r="G3685" s="391"/>
      <c r="H3685" s="385"/>
      <c r="I3685" s="391"/>
      <c r="J3685" s="385"/>
      <c r="K3685" s="391"/>
      <c r="L3685" s="385"/>
      <c r="M3685" s="391"/>
      <c r="N3685" s="385"/>
      <c r="O3685" s="190"/>
    </row>
    <row r="3686" spans="2:15" ht="16" x14ac:dyDescent="0.2">
      <c r="C3686" s="119">
        <v>28</v>
      </c>
      <c r="D3686" s="383"/>
      <c r="E3686" s="389"/>
      <c r="F3686" s="385"/>
      <c r="G3686" s="391"/>
      <c r="H3686" s="385"/>
      <c r="I3686" s="391"/>
      <c r="J3686" s="385"/>
      <c r="K3686" s="391"/>
      <c r="L3686" s="385"/>
      <c r="M3686" s="391"/>
      <c r="N3686" s="385"/>
      <c r="O3686" s="190"/>
    </row>
    <row r="3687" spans="2:15" ht="16" x14ac:dyDescent="0.2">
      <c r="C3687" s="119">
        <v>29</v>
      </c>
      <c r="D3687" s="383"/>
      <c r="E3687" s="389"/>
      <c r="F3687" s="385"/>
      <c r="G3687" s="391"/>
      <c r="H3687" s="385"/>
      <c r="I3687" s="391"/>
      <c r="J3687" s="385"/>
      <c r="K3687" s="391"/>
      <c r="L3687" s="385"/>
      <c r="M3687" s="391"/>
      <c r="N3687" s="385"/>
      <c r="O3687" s="190"/>
    </row>
    <row r="3688" spans="2:15" ht="16" x14ac:dyDescent="0.2">
      <c r="C3688" s="119">
        <v>30</v>
      </c>
      <c r="D3688" s="383"/>
      <c r="E3688" s="389"/>
      <c r="F3688" s="385"/>
      <c r="G3688" s="391"/>
      <c r="H3688" s="385"/>
      <c r="I3688" s="391"/>
      <c r="J3688" s="385"/>
      <c r="K3688" s="391"/>
      <c r="L3688" s="385"/>
      <c r="M3688" s="391"/>
      <c r="N3688" s="385"/>
      <c r="O3688" s="190"/>
    </row>
    <row r="3689" spans="2:15" ht="16" x14ac:dyDescent="0.2">
      <c r="C3689" s="120">
        <v>31</v>
      </c>
      <c r="D3689" s="383"/>
      <c r="E3689" s="389"/>
      <c r="F3689" s="384"/>
      <c r="G3689" s="390"/>
      <c r="H3689" s="384"/>
      <c r="I3689" s="390"/>
      <c r="J3689" s="384"/>
      <c r="K3689" s="390"/>
      <c r="L3689" s="384"/>
      <c r="M3689" s="390"/>
      <c r="N3689" s="384"/>
      <c r="O3689" s="190"/>
    </row>
    <row r="3690" spans="2:15" ht="16" x14ac:dyDescent="0.2">
      <c r="B3690" s="256"/>
      <c r="C3690" s="377">
        <v>32</v>
      </c>
      <c r="D3690" s="384"/>
      <c r="E3690" s="390"/>
      <c r="F3690" s="384"/>
      <c r="G3690" s="390"/>
      <c r="H3690" s="384"/>
      <c r="I3690" s="390"/>
      <c r="J3690" s="384"/>
      <c r="K3690" s="390"/>
      <c r="L3690" s="384"/>
      <c r="M3690" s="390"/>
      <c r="N3690" s="384"/>
      <c r="O3690" s="190"/>
    </row>
    <row r="3691" spans="2:15" ht="16" x14ac:dyDescent="0.2">
      <c r="B3691" s="256"/>
      <c r="C3691" s="119">
        <v>33</v>
      </c>
      <c r="D3691" s="385"/>
      <c r="E3691" s="391"/>
      <c r="F3691" s="385"/>
      <c r="G3691" s="391"/>
      <c r="H3691" s="385"/>
      <c r="I3691" s="391"/>
      <c r="J3691" s="385"/>
      <c r="K3691" s="391"/>
      <c r="L3691" s="385"/>
      <c r="M3691" s="391"/>
      <c r="N3691" s="385"/>
      <c r="O3691" s="190"/>
    </row>
    <row r="3692" spans="2:15" ht="16" x14ac:dyDescent="0.2">
      <c r="B3692" s="256"/>
      <c r="C3692" s="119">
        <v>34</v>
      </c>
      <c r="D3692" s="385"/>
      <c r="E3692" s="391"/>
      <c r="F3692" s="385"/>
      <c r="G3692" s="391"/>
      <c r="H3692" s="385"/>
      <c r="I3692" s="391"/>
      <c r="J3692" s="385"/>
      <c r="K3692" s="391"/>
      <c r="L3692" s="385"/>
      <c r="M3692" s="391"/>
      <c r="N3692" s="385"/>
      <c r="O3692" s="190"/>
    </row>
    <row r="3693" spans="2:15" ht="16" x14ac:dyDescent="0.2">
      <c r="B3693" s="256"/>
      <c r="C3693" s="119">
        <v>35</v>
      </c>
      <c r="D3693" s="385"/>
      <c r="E3693" s="391"/>
      <c r="F3693" s="385"/>
      <c r="G3693" s="391"/>
      <c r="H3693" s="385"/>
      <c r="I3693" s="391"/>
      <c r="J3693" s="385"/>
      <c r="K3693" s="391"/>
      <c r="L3693" s="385"/>
      <c r="M3693" s="391"/>
      <c r="N3693" s="385"/>
      <c r="O3693" s="190"/>
    </row>
    <row r="3694" spans="2:15" ht="16" x14ac:dyDescent="0.2">
      <c r="B3694" s="256"/>
      <c r="C3694" s="119">
        <v>36</v>
      </c>
      <c r="D3694" s="385"/>
      <c r="E3694" s="391"/>
      <c r="F3694" s="385"/>
      <c r="G3694" s="391"/>
      <c r="H3694" s="385"/>
      <c r="I3694" s="391"/>
      <c r="J3694" s="385"/>
      <c r="K3694" s="391"/>
      <c r="L3694" s="385"/>
      <c r="M3694" s="391"/>
      <c r="N3694" s="385"/>
      <c r="O3694" s="190"/>
    </row>
    <row r="3695" spans="2:15" ht="17" thickBot="1" x14ac:dyDescent="0.25">
      <c r="B3695" s="256"/>
      <c r="C3695" s="378">
        <v>37</v>
      </c>
      <c r="D3695" s="386"/>
      <c r="E3695" s="392"/>
      <c r="F3695" s="386"/>
      <c r="G3695" s="392"/>
      <c r="H3695" s="386"/>
      <c r="I3695" s="392"/>
      <c r="J3695" s="386"/>
      <c r="K3695" s="392"/>
      <c r="L3695" s="386"/>
      <c r="M3695" s="392"/>
      <c r="N3695" s="386"/>
      <c r="O3695" s="190"/>
    </row>
    <row r="3696" spans="2:15" ht="17" thickBot="1" x14ac:dyDescent="0.25">
      <c r="C3696" s="825" t="s">
        <v>19</v>
      </c>
      <c r="D3696" s="826"/>
      <c r="E3696" s="380"/>
      <c r="F3696" s="376">
        <f>(F3659+F3660+F3661+F3662+F3663+F3664+F3680+F3667+F3668+F3665+F3666+F3669+F3670+F3671+F3672+F3673+F3674+F3675+F3676+F3677+F3678+F3679+F3681+F3682+F3684+F3685+F3686+F3687+F3688+F3689+F3690+F3691+F3692+F3695)/2</f>
        <v>112</v>
      </c>
      <c r="G3696" s="397">
        <f>(G3659+G3660+G3661+G3662+G3663+G3680+G3664+G3668+G3667+G3665+G3666+G3669+G3670+G3671+G3672+G3673+G3674+G3675+G3676+G3677+G3678+G3679+G3681+G3682+G3684+G3685+G3686+G3687+G3688+G3689+G3690+G3691)/2</f>
        <v>62</v>
      </c>
      <c r="H3696" s="399">
        <f>(H3659+H3660+H3661+H3662+H3663+H3664+H3680+H3683+H3667+H3668+H3665+H3666+H3669+H3670+H3671+H3672+H3673+H3674+H3675+H3676+H3677+H3678+H3679+H3681+H3682+H3684+H3685+H3686+H3687+H3688+H3689+H3690+H3691+H3692+H3695)/2</f>
        <v>28</v>
      </c>
      <c r="I3696" s="398">
        <f>(I3659+I3660+I3661+I3662+I3663+I3693+I3694+I3664+I3680+I3667+I3683+I3668+I3665+I3666+I3669+I3670+I3671+I3672+I3673+I3674+I3675+I3676+I3677+I3678+I3679+I3681+I3682+I3684+I3685+I3686+I3687+I3688+I3689+I3690+I3691+I3692+I3695)/2</f>
        <v>55</v>
      </c>
      <c r="J3696" s="376">
        <f>(J3659+J3660+J3661+J3662+J3663+J3664+J3668+J3665+J3667+J3666+J3683+J3669+J3670+J3671+J3672+J3673+J3674+J3675+J3676+J3677+J3678+J3679+J3680+J3681+J3682+J3684+J3685+J3686+J3687+J3688+J3689+J3690+J3691)/2</f>
        <v>102</v>
      </c>
      <c r="K3696" s="397">
        <f>(K3659+K3660+K3661+K3662+K3663+K3664+K3668+K3665+K3666+K3669+K3670+K3671+K3672+K3673+K3674+K3675+K3676+K3677+K3678+K3679+K3681+K3682+K3684+K3685+K3686+K3687+K3688+K3689+K3690+K3691+K3680)</f>
        <v>1</v>
      </c>
      <c r="L3696" s="399">
        <f>SUM(L3659:L3695)</f>
        <v>0</v>
      </c>
      <c r="M3696" s="398">
        <f>(M3659+M3660+M3661+M3662+M3663+M3664+M3668+M3667+M3665+M3666+M3669+M3670+M3671+M3672+M3673+M3674+M3675+M3676+M3677+M3678+M3679+M3681+M3682+M3684+M3685+M3686+M3687+M3688+M3689+M3690+M3691)/2</f>
        <v>0</v>
      </c>
      <c r="N3696" s="376"/>
      <c r="O3696" s="41"/>
    </row>
    <row r="3697" spans="2:15" ht="17" thickBot="1" x14ac:dyDescent="0.25">
      <c r="C3697" s="825" t="s">
        <v>91</v>
      </c>
      <c r="D3697" s="826"/>
      <c r="E3697" s="381">
        <f>SUM(F3696:J3696)</f>
        <v>359</v>
      </c>
    </row>
    <row r="3698" spans="2:15" ht="16" thickBot="1" x14ac:dyDescent="0.25"/>
    <row r="3699" spans="2:15" ht="17" thickBot="1" x14ac:dyDescent="0.25">
      <c r="C3699" s="17"/>
      <c r="D3699" s="379" t="s">
        <v>83</v>
      </c>
      <c r="E3699" s="818" t="s">
        <v>67</v>
      </c>
      <c r="F3699" s="819"/>
      <c r="G3699" s="819"/>
      <c r="H3699" s="819"/>
      <c r="I3699" s="819"/>
      <c r="J3699" s="400" t="s">
        <v>76</v>
      </c>
      <c r="K3699" s="820">
        <v>45779</v>
      </c>
      <c r="L3699" s="821"/>
      <c r="M3699" s="821"/>
      <c r="N3699" s="821"/>
      <c r="O3699" s="822"/>
    </row>
    <row r="3700" spans="2:15" ht="16" thickBot="1" x14ac:dyDescent="0.25">
      <c r="B3700" s="175" t="s">
        <v>76</v>
      </c>
      <c r="C3700" s="175" t="s">
        <v>77</v>
      </c>
      <c r="D3700" s="823" t="s">
        <v>122</v>
      </c>
      <c r="E3700" s="824"/>
      <c r="F3700" s="175" t="s">
        <v>104</v>
      </c>
      <c r="G3700" s="395" t="s">
        <v>86</v>
      </c>
      <c r="H3700" s="175" t="s">
        <v>88</v>
      </c>
      <c r="I3700" s="395" t="s">
        <v>87</v>
      </c>
      <c r="J3700" s="401" t="s">
        <v>85</v>
      </c>
      <c r="K3700" s="395" t="s">
        <v>123</v>
      </c>
      <c r="L3700" s="175" t="s">
        <v>124</v>
      </c>
      <c r="M3700" s="395" t="s">
        <v>100</v>
      </c>
      <c r="N3700" s="175" t="s">
        <v>213</v>
      </c>
      <c r="O3700" s="404" t="s">
        <v>125</v>
      </c>
    </row>
    <row r="3701" spans="2:15" ht="16" thickBot="1" x14ac:dyDescent="0.25">
      <c r="B3701" s="176">
        <f>K3699</f>
        <v>45779</v>
      </c>
      <c r="C3701" s="374"/>
      <c r="D3701" s="375" t="s">
        <v>126</v>
      </c>
      <c r="E3701" s="387" t="s">
        <v>127</v>
      </c>
      <c r="F3701" s="331">
        <v>10</v>
      </c>
      <c r="G3701" s="237">
        <v>5</v>
      </c>
      <c r="H3701" s="331">
        <v>1</v>
      </c>
      <c r="I3701" s="237">
        <v>3</v>
      </c>
      <c r="J3701" s="331">
        <v>4</v>
      </c>
      <c r="K3701" s="231"/>
      <c r="L3701" s="125"/>
      <c r="M3701" s="231"/>
      <c r="N3701" s="125"/>
      <c r="O3701" s="326"/>
    </row>
    <row r="3702" spans="2:15" ht="16" x14ac:dyDescent="0.2">
      <c r="C3702" s="118">
        <v>1</v>
      </c>
      <c r="D3702" s="382">
        <v>0.2951388888888889</v>
      </c>
      <c r="E3702" s="388">
        <v>0.31597222222222221</v>
      </c>
      <c r="F3702" s="393"/>
      <c r="G3702" s="396">
        <v>28</v>
      </c>
      <c r="H3702" s="393"/>
      <c r="I3702" s="396"/>
      <c r="J3702" s="393"/>
      <c r="K3702" s="396"/>
      <c r="L3702" s="393"/>
      <c r="M3702" s="396"/>
      <c r="N3702" s="393"/>
      <c r="O3702" s="190"/>
    </row>
    <row r="3703" spans="2:15" ht="16" x14ac:dyDescent="0.2">
      <c r="C3703" s="119">
        <v>2</v>
      </c>
      <c r="D3703" s="383">
        <v>0.31944444444444448</v>
      </c>
      <c r="E3703" s="389">
        <v>0.34027777777777773</v>
      </c>
      <c r="F3703" s="385"/>
      <c r="G3703" s="391">
        <v>28</v>
      </c>
      <c r="H3703" s="385"/>
      <c r="I3703" s="391"/>
      <c r="J3703" s="385"/>
      <c r="K3703" s="391"/>
      <c r="L3703" s="385"/>
      <c r="M3703" s="391"/>
      <c r="N3703" s="385"/>
      <c r="O3703" s="190"/>
    </row>
    <row r="3704" spans="2:15" ht="16" x14ac:dyDescent="0.2">
      <c r="C3704" s="119">
        <v>3</v>
      </c>
      <c r="D3704" s="383">
        <v>0.34027777777777773</v>
      </c>
      <c r="E3704" s="389">
        <v>0.3611111111111111</v>
      </c>
      <c r="F3704" s="385"/>
      <c r="G3704" s="391">
        <v>14</v>
      </c>
      <c r="H3704" s="385"/>
      <c r="I3704" s="391"/>
      <c r="J3704" s="385"/>
      <c r="K3704" s="391"/>
      <c r="L3704" s="384"/>
      <c r="M3704" s="391"/>
      <c r="N3704" s="385"/>
      <c r="O3704" s="190"/>
    </row>
    <row r="3705" spans="2:15" ht="16" x14ac:dyDescent="0.2">
      <c r="C3705" s="119">
        <v>4</v>
      </c>
      <c r="D3705" s="383">
        <v>0.34375</v>
      </c>
      <c r="E3705" s="389">
        <v>0.36458333333333331</v>
      </c>
      <c r="F3705" s="385"/>
      <c r="G3705" s="391"/>
      <c r="H3705" s="316">
        <v>14</v>
      </c>
      <c r="I3705" s="391"/>
      <c r="J3705" s="385"/>
      <c r="K3705" s="391"/>
      <c r="L3705" s="402"/>
      <c r="M3705" s="391"/>
      <c r="N3705" s="385"/>
      <c r="O3705" s="190"/>
    </row>
    <row r="3706" spans="2:15" ht="16" x14ac:dyDescent="0.2">
      <c r="C3706" s="119">
        <v>5</v>
      </c>
      <c r="D3706" s="383">
        <v>0.36458333333333331</v>
      </c>
      <c r="E3706" s="389">
        <v>0.38541666666666669</v>
      </c>
      <c r="F3706" s="385">
        <v>28</v>
      </c>
      <c r="G3706" s="391"/>
      <c r="H3706" s="316"/>
      <c r="I3706" s="391"/>
      <c r="J3706" s="385"/>
      <c r="K3706" s="391"/>
      <c r="L3706" s="393"/>
      <c r="M3706" s="391"/>
      <c r="N3706" s="385"/>
      <c r="O3706" s="190"/>
    </row>
    <row r="3707" spans="2:15" ht="16" x14ac:dyDescent="0.2">
      <c r="C3707" s="119">
        <v>6</v>
      </c>
      <c r="D3707" s="383">
        <v>0.3888888888888889</v>
      </c>
      <c r="E3707" s="389">
        <v>0.40972222222222227</v>
      </c>
      <c r="F3707" s="385">
        <v>28</v>
      </c>
      <c r="G3707" s="391"/>
      <c r="H3707" s="316"/>
      <c r="I3707" s="391"/>
      <c r="J3707" s="385"/>
      <c r="K3707" s="391"/>
      <c r="L3707" s="393"/>
      <c r="M3707" s="391"/>
      <c r="N3707" s="385"/>
      <c r="O3707" s="190"/>
    </row>
    <row r="3708" spans="2:15" ht="16" x14ac:dyDescent="0.2">
      <c r="C3708" s="119">
        <v>7</v>
      </c>
      <c r="D3708" s="383">
        <v>0.40972222222222227</v>
      </c>
      <c r="E3708" s="389">
        <v>0.43055555555555558</v>
      </c>
      <c r="F3708" s="385"/>
      <c r="G3708" s="391"/>
      <c r="H3708" s="316"/>
      <c r="I3708" s="391">
        <v>22</v>
      </c>
      <c r="J3708" s="385"/>
      <c r="K3708" s="391"/>
      <c r="L3708" s="393"/>
      <c r="M3708" s="391"/>
      <c r="N3708" s="385"/>
      <c r="O3708" s="190"/>
    </row>
    <row r="3709" spans="2:15" ht="16" x14ac:dyDescent="0.2">
      <c r="C3709" s="119">
        <v>8</v>
      </c>
      <c r="D3709" s="383">
        <v>0.4375</v>
      </c>
      <c r="E3709" s="389">
        <v>0.45833333333333331</v>
      </c>
      <c r="F3709" s="385"/>
      <c r="G3709" s="391"/>
      <c r="H3709" s="316"/>
      <c r="I3709" s="391">
        <v>44</v>
      </c>
      <c r="J3709" s="385"/>
      <c r="K3709" s="391"/>
      <c r="L3709" s="385"/>
      <c r="M3709" s="391"/>
      <c r="N3709" s="385"/>
      <c r="O3709" s="190"/>
    </row>
    <row r="3710" spans="2:15" ht="16" x14ac:dyDescent="0.2">
      <c r="C3710" s="119">
        <v>9</v>
      </c>
      <c r="D3710" s="383">
        <v>0.48958333333333331</v>
      </c>
      <c r="E3710" s="389">
        <v>0.51041666666666663</v>
      </c>
      <c r="F3710" s="385">
        <v>28</v>
      </c>
      <c r="G3710" s="391"/>
      <c r="H3710" s="316"/>
      <c r="I3710" s="391"/>
      <c r="J3710" s="385"/>
      <c r="K3710" s="391"/>
      <c r="L3710" s="385"/>
      <c r="M3710" s="391"/>
      <c r="N3710" s="385"/>
      <c r="O3710" s="190"/>
    </row>
    <row r="3711" spans="2:15" ht="16" x14ac:dyDescent="0.2">
      <c r="C3711" s="119">
        <v>10</v>
      </c>
      <c r="D3711" s="383">
        <v>0.49305555555555558</v>
      </c>
      <c r="E3711" s="389">
        <v>0.51388888888888895</v>
      </c>
      <c r="F3711" s="385"/>
      <c r="G3711" s="391"/>
      <c r="H3711" s="316"/>
      <c r="I3711" s="391"/>
      <c r="J3711" s="385">
        <v>36</v>
      </c>
      <c r="K3711" s="391"/>
      <c r="L3711" s="385"/>
      <c r="M3711" s="391"/>
      <c r="N3711" s="385"/>
      <c r="O3711" s="190"/>
    </row>
    <row r="3712" spans="2:15" ht="16" x14ac:dyDescent="0.2">
      <c r="C3712" s="119">
        <v>11</v>
      </c>
      <c r="D3712" s="383">
        <v>0.51736111111111105</v>
      </c>
      <c r="E3712" s="389">
        <v>0.53819444444444442</v>
      </c>
      <c r="F3712" s="385">
        <v>28</v>
      </c>
      <c r="G3712" s="391"/>
      <c r="H3712" s="316"/>
      <c r="I3712" s="391"/>
      <c r="J3712" s="28"/>
      <c r="K3712" s="391"/>
      <c r="L3712" s="385"/>
      <c r="M3712" s="391"/>
      <c r="N3712" s="385"/>
      <c r="O3712" s="190"/>
    </row>
    <row r="3713" spans="3:15" ht="16" x14ac:dyDescent="0.2">
      <c r="C3713" s="193">
        <v>12</v>
      </c>
      <c r="D3713" s="383">
        <v>0.55208333333333337</v>
      </c>
      <c r="E3713" s="389">
        <v>0.57291666666666663</v>
      </c>
      <c r="F3713" s="385"/>
      <c r="G3713" s="391"/>
      <c r="H3713" s="316"/>
      <c r="I3713" s="391"/>
      <c r="J3713" s="385">
        <v>34</v>
      </c>
      <c r="K3713" s="391"/>
      <c r="L3713" s="385"/>
      <c r="M3713" s="391"/>
      <c r="N3713" s="385"/>
      <c r="O3713" s="190"/>
    </row>
    <row r="3714" spans="3:15" ht="16" x14ac:dyDescent="0.2">
      <c r="C3714" s="119">
        <v>13</v>
      </c>
      <c r="D3714" s="383">
        <v>0.57638888888888895</v>
      </c>
      <c r="E3714" s="389">
        <v>0.59722222222222221</v>
      </c>
      <c r="F3714" s="385">
        <v>28</v>
      </c>
      <c r="G3714" s="391"/>
      <c r="H3714" s="316"/>
      <c r="I3714" s="391"/>
      <c r="J3714" s="385"/>
      <c r="K3714" s="391"/>
      <c r="L3714" s="385"/>
      <c r="M3714" s="391"/>
      <c r="N3714" s="385"/>
      <c r="O3714" s="190"/>
    </row>
    <row r="3715" spans="3:15" ht="16" x14ac:dyDescent="0.2">
      <c r="C3715" s="119">
        <v>14</v>
      </c>
      <c r="D3715" s="383"/>
      <c r="E3715" s="389"/>
      <c r="F3715" s="385"/>
      <c r="G3715" s="391"/>
      <c r="H3715" s="316"/>
      <c r="I3715" s="391"/>
      <c r="J3715" s="385"/>
      <c r="K3715" s="391"/>
      <c r="L3715" s="385"/>
      <c r="M3715" s="391"/>
      <c r="N3715" s="385"/>
      <c r="O3715" s="190"/>
    </row>
    <row r="3716" spans="3:15" ht="16" x14ac:dyDescent="0.2">
      <c r="C3716" s="119">
        <v>15</v>
      </c>
      <c r="D3716" s="383"/>
      <c r="E3716" s="389"/>
      <c r="F3716" s="385"/>
      <c r="G3716" s="391"/>
      <c r="H3716" s="316"/>
      <c r="I3716" s="391"/>
      <c r="J3716" s="385"/>
      <c r="K3716" s="391"/>
      <c r="L3716" s="385"/>
      <c r="M3716" s="391"/>
      <c r="N3716" s="385"/>
      <c r="O3716" s="190"/>
    </row>
    <row r="3717" spans="3:15" ht="16" x14ac:dyDescent="0.2">
      <c r="C3717" s="119">
        <v>16</v>
      </c>
      <c r="D3717" s="383"/>
      <c r="E3717" s="389"/>
      <c r="F3717" s="385"/>
      <c r="G3717" s="391"/>
      <c r="H3717" s="316"/>
      <c r="I3717" s="391"/>
      <c r="J3717" s="385"/>
      <c r="K3717" s="391"/>
      <c r="L3717" s="385"/>
      <c r="M3717" s="391"/>
      <c r="N3717" s="385"/>
      <c r="O3717" s="190"/>
    </row>
    <row r="3718" spans="3:15" ht="16" x14ac:dyDescent="0.2">
      <c r="C3718" s="119">
        <v>17</v>
      </c>
      <c r="D3718" s="383"/>
      <c r="E3718" s="389"/>
      <c r="F3718" s="384"/>
      <c r="G3718" s="33"/>
      <c r="H3718" s="316"/>
      <c r="I3718" s="390"/>
      <c r="J3718" s="385"/>
      <c r="K3718" s="391"/>
      <c r="L3718" s="385"/>
      <c r="M3718" s="391"/>
      <c r="N3718" s="385"/>
      <c r="O3718" s="190"/>
    </row>
    <row r="3719" spans="3:15" ht="16" x14ac:dyDescent="0.2">
      <c r="C3719" s="119">
        <v>18</v>
      </c>
      <c r="D3719" s="383"/>
      <c r="E3719" s="389"/>
      <c r="F3719" s="394"/>
      <c r="G3719" s="229"/>
      <c r="H3719" s="394"/>
      <c r="I3719" s="391"/>
      <c r="J3719" s="385"/>
      <c r="K3719" s="391"/>
      <c r="L3719" s="385"/>
      <c r="M3719" s="391"/>
      <c r="N3719" s="385"/>
      <c r="O3719" s="190"/>
    </row>
    <row r="3720" spans="3:15" ht="16" x14ac:dyDescent="0.2">
      <c r="C3720" s="119">
        <v>19</v>
      </c>
      <c r="D3720" s="383"/>
      <c r="E3720" s="389"/>
      <c r="F3720" s="385"/>
      <c r="G3720" s="391"/>
      <c r="H3720" s="385"/>
      <c r="I3720" s="391"/>
      <c r="J3720" s="385"/>
      <c r="K3720" s="391"/>
      <c r="L3720" s="403"/>
      <c r="M3720" s="391"/>
      <c r="N3720" s="385"/>
      <c r="O3720" s="190"/>
    </row>
    <row r="3721" spans="3:15" ht="16" x14ac:dyDescent="0.2">
      <c r="C3721" s="119">
        <v>20</v>
      </c>
      <c r="D3721" s="383"/>
      <c r="E3721" s="389"/>
      <c r="F3721" s="385"/>
      <c r="G3721" s="391"/>
      <c r="H3721" s="385"/>
      <c r="I3721" s="391"/>
      <c r="J3721" s="385"/>
      <c r="K3721" s="391"/>
      <c r="L3721" s="403"/>
      <c r="M3721" s="391"/>
      <c r="N3721" s="385"/>
      <c r="O3721" s="190"/>
    </row>
    <row r="3722" spans="3:15" ht="16" x14ac:dyDescent="0.2">
      <c r="C3722" s="119">
        <v>21</v>
      </c>
      <c r="D3722" s="383"/>
      <c r="E3722" s="389"/>
      <c r="F3722" s="385"/>
      <c r="G3722" s="391"/>
      <c r="H3722" s="385"/>
      <c r="I3722" s="391"/>
      <c r="J3722" s="385"/>
      <c r="K3722" s="391"/>
      <c r="L3722" s="385"/>
      <c r="M3722" s="391"/>
      <c r="N3722" s="385"/>
      <c r="O3722" s="190"/>
    </row>
    <row r="3723" spans="3:15" ht="16" x14ac:dyDescent="0.2">
      <c r="C3723" s="119">
        <v>22</v>
      </c>
      <c r="D3723" s="383"/>
      <c r="E3723" s="389"/>
      <c r="F3723" s="385"/>
      <c r="G3723" s="391"/>
      <c r="H3723" s="385"/>
      <c r="I3723" s="391"/>
      <c r="J3723" s="385"/>
      <c r="K3723" s="391"/>
      <c r="L3723" s="385"/>
      <c r="M3723" s="391"/>
      <c r="N3723" s="385"/>
      <c r="O3723" s="190"/>
    </row>
    <row r="3724" spans="3:15" ht="16" x14ac:dyDescent="0.2">
      <c r="C3724" s="119">
        <v>23</v>
      </c>
      <c r="D3724" s="383"/>
      <c r="E3724" s="389"/>
      <c r="F3724" s="385"/>
      <c r="G3724" s="391"/>
      <c r="H3724" s="385"/>
      <c r="I3724" s="391"/>
      <c r="J3724" s="385"/>
      <c r="K3724" s="391"/>
      <c r="L3724" s="385"/>
      <c r="M3724" s="391"/>
      <c r="N3724" s="385"/>
      <c r="O3724" s="190"/>
    </row>
    <row r="3725" spans="3:15" ht="16" x14ac:dyDescent="0.2">
      <c r="C3725" s="119">
        <v>24</v>
      </c>
      <c r="D3725" s="383"/>
      <c r="E3725" s="389"/>
      <c r="F3725" s="385"/>
      <c r="G3725" s="391"/>
      <c r="H3725" s="385"/>
      <c r="I3725" s="391"/>
      <c r="J3725" s="385"/>
      <c r="K3725" s="391"/>
      <c r="L3725" s="385"/>
      <c r="M3725" s="391"/>
      <c r="N3725" s="385"/>
      <c r="O3725" s="190"/>
    </row>
    <row r="3726" spans="3:15" ht="16" x14ac:dyDescent="0.2">
      <c r="C3726" s="119">
        <v>25</v>
      </c>
      <c r="D3726" s="383"/>
      <c r="E3726" s="389"/>
      <c r="F3726" s="385"/>
      <c r="G3726" s="391"/>
      <c r="H3726" s="385"/>
      <c r="I3726" s="391"/>
      <c r="J3726" s="385"/>
      <c r="K3726" s="391"/>
      <c r="L3726" s="385"/>
      <c r="M3726" s="391"/>
      <c r="N3726" s="385"/>
      <c r="O3726" s="190"/>
    </row>
    <row r="3727" spans="3:15" ht="16" x14ac:dyDescent="0.2">
      <c r="C3727" s="119">
        <v>26</v>
      </c>
      <c r="D3727" s="383"/>
      <c r="E3727" s="389"/>
      <c r="F3727" s="385"/>
      <c r="G3727" s="391"/>
      <c r="H3727" s="385"/>
      <c r="I3727" s="391"/>
      <c r="J3727" s="385"/>
      <c r="K3727" s="391"/>
      <c r="L3727" s="385"/>
      <c r="M3727" s="391"/>
      <c r="N3727" s="385"/>
      <c r="O3727" s="190"/>
    </row>
    <row r="3728" spans="3:15" ht="16" x14ac:dyDescent="0.2">
      <c r="C3728" s="119">
        <v>27</v>
      </c>
      <c r="D3728" s="383"/>
      <c r="E3728" s="389"/>
      <c r="F3728" s="385"/>
      <c r="G3728" s="391"/>
      <c r="H3728" s="385"/>
      <c r="I3728" s="391"/>
      <c r="J3728" s="385"/>
      <c r="K3728" s="391"/>
      <c r="L3728" s="385"/>
      <c r="M3728" s="391"/>
      <c r="N3728" s="385"/>
      <c r="O3728" s="190"/>
    </row>
    <row r="3729" spans="2:15" ht="16" x14ac:dyDescent="0.2">
      <c r="C3729" s="119">
        <v>28</v>
      </c>
      <c r="D3729" s="383"/>
      <c r="E3729" s="389"/>
      <c r="F3729" s="385"/>
      <c r="G3729" s="391"/>
      <c r="H3729" s="385"/>
      <c r="I3729" s="391"/>
      <c r="J3729" s="385"/>
      <c r="K3729" s="391"/>
      <c r="L3729" s="385"/>
      <c r="M3729" s="391"/>
      <c r="N3729" s="385"/>
      <c r="O3729" s="190"/>
    </row>
    <row r="3730" spans="2:15" ht="16" x14ac:dyDescent="0.2">
      <c r="C3730" s="119">
        <v>29</v>
      </c>
      <c r="D3730" s="383"/>
      <c r="E3730" s="389"/>
      <c r="F3730" s="385"/>
      <c r="G3730" s="391"/>
      <c r="H3730" s="385"/>
      <c r="I3730" s="391"/>
      <c r="J3730" s="385"/>
      <c r="K3730" s="391"/>
      <c r="L3730" s="385"/>
      <c r="M3730" s="391"/>
      <c r="N3730" s="385"/>
      <c r="O3730" s="190"/>
    </row>
    <row r="3731" spans="2:15" ht="16" x14ac:dyDescent="0.2">
      <c r="C3731" s="119">
        <v>30</v>
      </c>
      <c r="D3731" s="383"/>
      <c r="E3731" s="389"/>
      <c r="F3731" s="385"/>
      <c r="G3731" s="391"/>
      <c r="H3731" s="385"/>
      <c r="I3731" s="391"/>
      <c r="J3731" s="385"/>
      <c r="K3731" s="391"/>
      <c r="L3731" s="385"/>
      <c r="M3731" s="391"/>
      <c r="N3731" s="385"/>
      <c r="O3731" s="190"/>
    </row>
    <row r="3732" spans="2:15" ht="16" x14ac:dyDescent="0.2">
      <c r="C3732" s="120">
        <v>31</v>
      </c>
      <c r="D3732" s="383"/>
      <c r="E3732" s="389"/>
      <c r="F3732" s="384"/>
      <c r="G3732" s="390"/>
      <c r="H3732" s="384"/>
      <c r="I3732" s="390"/>
      <c r="J3732" s="384"/>
      <c r="K3732" s="390"/>
      <c r="L3732" s="384"/>
      <c r="M3732" s="390"/>
      <c r="N3732" s="384"/>
      <c r="O3732" s="190"/>
    </row>
    <row r="3733" spans="2:15" ht="16" x14ac:dyDescent="0.2">
      <c r="B3733" s="256"/>
      <c r="C3733" s="377">
        <v>32</v>
      </c>
      <c r="D3733" s="384"/>
      <c r="E3733" s="390"/>
      <c r="F3733" s="384"/>
      <c r="G3733" s="390"/>
      <c r="H3733" s="384"/>
      <c r="I3733" s="390"/>
      <c r="J3733" s="384"/>
      <c r="K3733" s="390"/>
      <c r="L3733" s="384"/>
      <c r="M3733" s="390"/>
      <c r="N3733" s="384"/>
      <c r="O3733" s="190"/>
    </row>
    <row r="3734" spans="2:15" ht="16" x14ac:dyDescent="0.2">
      <c r="B3734" s="256"/>
      <c r="C3734" s="119">
        <v>33</v>
      </c>
      <c r="D3734" s="385"/>
      <c r="E3734" s="391"/>
      <c r="F3734" s="385"/>
      <c r="G3734" s="391"/>
      <c r="H3734" s="385"/>
      <c r="I3734" s="391"/>
      <c r="J3734" s="385"/>
      <c r="K3734" s="391"/>
      <c r="L3734" s="385"/>
      <c r="M3734" s="391"/>
      <c r="N3734" s="385"/>
      <c r="O3734" s="190"/>
    </row>
    <row r="3735" spans="2:15" ht="16" x14ac:dyDescent="0.2">
      <c r="B3735" s="256"/>
      <c r="C3735" s="119">
        <v>34</v>
      </c>
      <c r="D3735" s="385"/>
      <c r="E3735" s="391"/>
      <c r="F3735" s="385"/>
      <c r="G3735" s="391"/>
      <c r="H3735" s="385"/>
      <c r="I3735" s="391"/>
      <c r="J3735" s="385"/>
      <c r="K3735" s="391"/>
      <c r="L3735" s="385"/>
      <c r="M3735" s="391"/>
      <c r="N3735" s="385"/>
      <c r="O3735" s="190"/>
    </row>
    <row r="3736" spans="2:15" ht="16" x14ac:dyDescent="0.2">
      <c r="B3736" s="256"/>
      <c r="C3736" s="119">
        <v>35</v>
      </c>
      <c r="D3736" s="385"/>
      <c r="E3736" s="391"/>
      <c r="F3736" s="385"/>
      <c r="G3736" s="391"/>
      <c r="H3736" s="385"/>
      <c r="I3736" s="391"/>
      <c r="J3736" s="385"/>
      <c r="K3736" s="391"/>
      <c r="L3736" s="385"/>
      <c r="M3736" s="391"/>
      <c r="N3736" s="385"/>
      <c r="O3736" s="190"/>
    </row>
    <row r="3737" spans="2:15" ht="16" x14ac:dyDescent="0.2">
      <c r="B3737" s="256"/>
      <c r="C3737" s="119">
        <v>36</v>
      </c>
      <c r="D3737" s="385"/>
      <c r="E3737" s="391"/>
      <c r="F3737" s="385"/>
      <c r="G3737" s="391"/>
      <c r="H3737" s="385"/>
      <c r="I3737" s="391"/>
      <c r="J3737" s="385"/>
      <c r="K3737" s="391"/>
      <c r="L3737" s="385"/>
      <c r="M3737" s="391"/>
      <c r="N3737" s="385"/>
      <c r="O3737" s="190"/>
    </row>
    <row r="3738" spans="2:15" ht="17" thickBot="1" x14ac:dyDescent="0.25">
      <c r="B3738" s="256"/>
      <c r="C3738" s="378">
        <v>37</v>
      </c>
      <c r="D3738" s="386"/>
      <c r="E3738" s="392"/>
      <c r="F3738" s="386"/>
      <c r="G3738" s="392"/>
      <c r="H3738" s="386"/>
      <c r="I3738" s="392"/>
      <c r="J3738" s="386"/>
      <c r="K3738" s="392"/>
      <c r="L3738" s="386"/>
      <c r="M3738" s="392"/>
      <c r="N3738" s="386"/>
      <c r="O3738" s="190"/>
    </row>
    <row r="3739" spans="2:15" ht="17" thickBot="1" x14ac:dyDescent="0.25">
      <c r="C3739" s="825" t="s">
        <v>19</v>
      </c>
      <c r="D3739" s="826"/>
      <c r="E3739" s="380"/>
      <c r="F3739" s="376">
        <f>(F3702+F3703+F3704+F3705+F3706+F3707+F3723+F3710+F3711+F3708+F3709+F3712+F3713+F3714+F3715+F3716+F3717+F3718+F3719+F3720+F3721+F3722+F3724+F3725+F3727+F3728+F3729+F3730+F3731+F3732+F3733+F3734+F3735+F3738)/2</f>
        <v>70</v>
      </c>
      <c r="G3739" s="397">
        <f>(G3702+G3703+G3704+G3705+G3706+G3723+G3707+G3711+G3710+G3708+G3709+G3712+G3713+G3714+G3715+G3716+G3717+G3718+G3719+G3720+G3721+G3722+G3724+G3725+G3727+G3728+G3729+G3730+G3731+G3732+G3733+G3734)/2</f>
        <v>35</v>
      </c>
      <c r="H3739" s="399">
        <f>(H3702+H3703+H3704+H3705+H3706+H3707+H3723+H3726+H3710+H3711+H3708+H3709+H3712+H3713+H3714+H3715+H3716+H3717+H3718+H3719+H3720+H3721+H3722+H3724+H3725+H3727+H3728+H3729+H3730+H3731+H3732+H3733+H3734+H3735+H3738)/2</f>
        <v>7</v>
      </c>
      <c r="I3739" s="398">
        <f>(I3702+I3703+I3704+I3705+I3706+I3736+I3737+I3707+I3723+I3710+I3726+I3711+I3708+I3709+I3712+I3713+I3714+I3715+I3716+I3717+I3718+I3719+I3720+I3721+I3722+I3724+I3725+I3727+I3728+I3729+I3730+I3731+I3732+I3733+I3734+I3735+I3738)/2</f>
        <v>33</v>
      </c>
      <c r="J3739" s="376">
        <f>(J3702+J3703+J3704+J3705+J3706+J3707+J3711+J3708+J3710+J3709+J3726+J3712+J3713+J3714+J3715+J3716+J3717+J3718+J3719+J3720+J3721+J3722+J3723+J3724+J3725+J3727+J3728+J3729+J3730+J3731+J3732+J3733+J3734)/2</f>
        <v>35</v>
      </c>
      <c r="K3739" s="397">
        <f>(K3702+K3703+K3704+K3705+K3706+K3707+K3711+K3708+K3709+K3712+K3713+K3714+K3715+K3716+K3717+K3718+K3719+K3720+K3721+K3722+K3724+K3725+K3727+K3728+K3729+K3730+K3731+K3732+K3733+K3734+K3723)</f>
        <v>0</v>
      </c>
      <c r="L3739" s="399">
        <f>SUM(L3702:L3738)</f>
        <v>0</v>
      </c>
      <c r="M3739" s="398">
        <f>(M3702+M3703+M3704+M3705+M3706+M3707+M3711+M3710+M3708+M3709+M3712+M3713+M3714+M3715+M3716+M3717+M3718+M3719+M3720+M3721+M3722+M3724+M3725+M3727+M3728+M3729+M3730+M3731+M3732+M3733+M3734)/2</f>
        <v>0</v>
      </c>
      <c r="N3739" s="376"/>
      <c r="O3739" s="41"/>
    </row>
    <row r="3740" spans="2:15" ht="17" thickBot="1" x14ac:dyDescent="0.25">
      <c r="C3740" s="825" t="s">
        <v>91</v>
      </c>
      <c r="D3740" s="826"/>
      <c r="E3740" s="381">
        <f>SUM(F3739:J3739)</f>
        <v>180</v>
      </c>
    </row>
    <row r="3741" spans="2:15" ht="16" thickBot="1" x14ac:dyDescent="0.25"/>
    <row r="3742" spans="2:15" ht="17" thickBot="1" x14ac:dyDescent="0.25">
      <c r="C3742" s="17"/>
      <c r="D3742" s="379" t="s">
        <v>83</v>
      </c>
      <c r="E3742" s="818" t="s">
        <v>69</v>
      </c>
      <c r="F3742" s="819"/>
      <c r="G3742" s="819"/>
      <c r="H3742" s="819"/>
      <c r="I3742" s="819"/>
      <c r="J3742" s="400" t="s">
        <v>76</v>
      </c>
      <c r="K3742" s="820">
        <v>45781</v>
      </c>
      <c r="L3742" s="821"/>
      <c r="M3742" s="821"/>
      <c r="N3742" s="821"/>
      <c r="O3742" s="822"/>
    </row>
    <row r="3743" spans="2:15" ht="16" thickBot="1" x14ac:dyDescent="0.25">
      <c r="B3743" s="175" t="s">
        <v>76</v>
      </c>
      <c r="C3743" s="175" t="s">
        <v>77</v>
      </c>
      <c r="D3743" s="823" t="s">
        <v>122</v>
      </c>
      <c r="E3743" s="824"/>
      <c r="F3743" s="175" t="s">
        <v>104</v>
      </c>
      <c r="G3743" s="395" t="s">
        <v>86</v>
      </c>
      <c r="H3743" s="175" t="s">
        <v>88</v>
      </c>
      <c r="I3743" s="395" t="s">
        <v>87</v>
      </c>
      <c r="J3743" s="401" t="s">
        <v>85</v>
      </c>
      <c r="K3743" s="395" t="s">
        <v>123</v>
      </c>
      <c r="L3743" s="175" t="s">
        <v>124</v>
      </c>
      <c r="M3743" s="395" t="s">
        <v>100</v>
      </c>
      <c r="N3743" s="175" t="s">
        <v>213</v>
      </c>
      <c r="O3743" s="404" t="s">
        <v>125</v>
      </c>
    </row>
    <row r="3744" spans="2:15" ht="16" thickBot="1" x14ac:dyDescent="0.25">
      <c r="B3744" s="176">
        <f>K3742</f>
        <v>45781</v>
      </c>
      <c r="C3744" s="374"/>
      <c r="D3744" s="375" t="s">
        <v>126</v>
      </c>
      <c r="E3744" s="387" t="s">
        <v>127</v>
      </c>
      <c r="F3744" s="331">
        <v>15</v>
      </c>
      <c r="G3744" s="237">
        <v>7</v>
      </c>
      <c r="H3744" s="331">
        <v>4</v>
      </c>
      <c r="I3744" s="237">
        <v>4</v>
      </c>
      <c r="J3744" s="331">
        <v>4</v>
      </c>
      <c r="K3744" s="231"/>
      <c r="L3744" s="125"/>
      <c r="M3744" s="231"/>
      <c r="N3744" s="125"/>
      <c r="O3744" s="326"/>
    </row>
    <row r="3745" spans="3:15" ht="16" x14ac:dyDescent="0.2">
      <c r="C3745" s="118">
        <v>1</v>
      </c>
      <c r="D3745" s="382">
        <v>0.31597222222222221</v>
      </c>
      <c r="E3745" s="388">
        <v>0.33680555555555558</v>
      </c>
      <c r="F3745" s="393"/>
      <c r="G3745" s="396">
        <v>28</v>
      </c>
      <c r="H3745" s="393"/>
      <c r="I3745" s="396"/>
      <c r="J3745" s="393"/>
      <c r="K3745" s="396"/>
      <c r="L3745" s="393"/>
      <c r="M3745" s="396"/>
      <c r="N3745" s="393"/>
      <c r="O3745" s="190"/>
    </row>
    <row r="3746" spans="3:15" ht="16" x14ac:dyDescent="0.2">
      <c r="C3746" s="119">
        <v>2</v>
      </c>
      <c r="D3746" s="383">
        <v>0.33680555555555558</v>
      </c>
      <c r="E3746" s="389">
        <v>0.3576388888888889</v>
      </c>
      <c r="F3746" s="385"/>
      <c r="G3746" s="391">
        <v>28</v>
      </c>
      <c r="H3746" s="385"/>
      <c r="I3746" s="391"/>
      <c r="J3746" s="385"/>
      <c r="K3746" s="391"/>
      <c r="L3746" s="385"/>
      <c r="M3746" s="391"/>
      <c r="N3746" s="385"/>
      <c r="O3746" s="190"/>
    </row>
    <row r="3747" spans="3:15" ht="16" x14ac:dyDescent="0.2">
      <c r="C3747" s="119">
        <v>3</v>
      </c>
      <c r="D3747" s="383">
        <v>0.3611111111111111</v>
      </c>
      <c r="E3747" s="389">
        <v>0.38194444444444442</v>
      </c>
      <c r="F3747" s="385"/>
      <c r="G3747" s="391">
        <v>28</v>
      </c>
      <c r="H3747" s="385"/>
      <c r="I3747" s="391"/>
      <c r="J3747" s="385"/>
      <c r="K3747" s="391"/>
      <c r="L3747" s="384"/>
      <c r="M3747" s="391"/>
      <c r="N3747" s="385"/>
      <c r="O3747" s="190"/>
    </row>
    <row r="3748" spans="3:15" ht="16" x14ac:dyDescent="0.2">
      <c r="C3748" s="119">
        <v>4</v>
      </c>
      <c r="D3748" s="383">
        <v>0.38194444444444442</v>
      </c>
      <c r="E3748" s="389">
        <v>0.40277777777777773</v>
      </c>
      <c r="F3748" s="385"/>
      <c r="G3748" s="391"/>
      <c r="H3748" s="316">
        <v>28</v>
      </c>
      <c r="I3748" s="391"/>
      <c r="J3748" s="385"/>
      <c r="K3748" s="391"/>
      <c r="L3748" s="402"/>
      <c r="M3748" s="391"/>
      <c r="N3748" s="385"/>
      <c r="O3748" s="190"/>
    </row>
    <row r="3749" spans="3:15" ht="16" x14ac:dyDescent="0.2">
      <c r="C3749" s="119">
        <v>5</v>
      </c>
      <c r="D3749" s="383">
        <v>0.40625</v>
      </c>
      <c r="E3749" s="389">
        <v>0.42708333333333331</v>
      </c>
      <c r="F3749" s="385"/>
      <c r="G3749" s="391"/>
      <c r="H3749" s="316">
        <v>28</v>
      </c>
      <c r="I3749" s="391"/>
      <c r="J3749" s="385"/>
      <c r="K3749" s="391"/>
      <c r="L3749" s="393"/>
      <c r="M3749" s="391"/>
      <c r="N3749" s="385"/>
      <c r="O3749" s="190"/>
    </row>
    <row r="3750" spans="3:15" ht="16" x14ac:dyDescent="0.2">
      <c r="C3750" s="119">
        <v>6</v>
      </c>
      <c r="D3750" s="383">
        <v>0.42708333333333331</v>
      </c>
      <c r="E3750" s="389">
        <v>0.44791666666666669</v>
      </c>
      <c r="F3750" s="385"/>
      <c r="G3750" s="391">
        <v>14</v>
      </c>
      <c r="H3750" s="316"/>
      <c r="I3750" s="391"/>
      <c r="J3750" s="385"/>
      <c r="K3750" s="391"/>
      <c r="L3750" s="393"/>
      <c r="M3750" s="391"/>
      <c r="N3750" s="385"/>
      <c r="O3750" s="190"/>
    </row>
    <row r="3751" spans="3:15" ht="16" x14ac:dyDescent="0.2">
      <c r="C3751" s="119">
        <v>7</v>
      </c>
      <c r="D3751" s="383">
        <v>0.43402777777777773</v>
      </c>
      <c r="E3751" s="389">
        <v>0.4548611111111111</v>
      </c>
      <c r="F3751" s="385">
        <v>14</v>
      </c>
      <c r="G3751" s="391"/>
      <c r="H3751" s="316"/>
      <c r="I3751" s="391"/>
      <c r="J3751" s="385"/>
      <c r="K3751" s="391"/>
      <c r="L3751" s="393"/>
      <c r="M3751" s="391"/>
      <c r="N3751" s="385"/>
      <c r="O3751" s="190"/>
    </row>
    <row r="3752" spans="3:15" ht="16" x14ac:dyDescent="0.2">
      <c r="C3752" s="119">
        <v>8</v>
      </c>
      <c r="D3752" s="383">
        <v>0.46180555555555558</v>
      </c>
      <c r="E3752" s="389">
        <v>0.4826388888888889</v>
      </c>
      <c r="F3752" s="385"/>
      <c r="G3752" s="391"/>
      <c r="H3752" s="316"/>
      <c r="I3752" s="391">
        <v>44</v>
      </c>
      <c r="J3752" s="385"/>
      <c r="K3752" s="391"/>
      <c r="L3752" s="385"/>
      <c r="M3752" s="391"/>
      <c r="N3752" s="385"/>
      <c r="O3752" s="190"/>
    </row>
    <row r="3753" spans="3:15" ht="16" x14ac:dyDescent="0.2">
      <c r="C3753" s="119">
        <v>9</v>
      </c>
      <c r="D3753" s="383">
        <v>0.49652777777777773</v>
      </c>
      <c r="E3753" s="389">
        <v>0.51736111111111105</v>
      </c>
      <c r="F3753" s="385">
        <v>28</v>
      </c>
      <c r="G3753" s="391"/>
      <c r="H3753" s="316"/>
      <c r="I3753" s="391"/>
      <c r="J3753" s="385"/>
      <c r="K3753" s="391"/>
      <c r="L3753" s="385"/>
      <c r="M3753" s="391"/>
      <c r="N3753" s="385"/>
      <c r="O3753" s="190"/>
    </row>
    <row r="3754" spans="3:15" ht="16" x14ac:dyDescent="0.2">
      <c r="C3754" s="119">
        <v>10</v>
      </c>
      <c r="D3754" s="383">
        <v>0.52777777777777779</v>
      </c>
      <c r="E3754" s="389">
        <v>0.54861111111111105</v>
      </c>
      <c r="F3754" s="385"/>
      <c r="G3754" s="391"/>
      <c r="H3754" s="316"/>
      <c r="I3754" s="391">
        <v>44</v>
      </c>
      <c r="J3754" s="385"/>
      <c r="K3754" s="391"/>
      <c r="L3754" s="385"/>
      <c r="M3754" s="391"/>
      <c r="N3754" s="385"/>
      <c r="O3754" s="190"/>
    </row>
    <row r="3755" spans="3:15" ht="16" x14ac:dyDescent="0.2">
      <c r="C3755" s="119">
        <v>11</v>
      </c>
      <c r="D3755" s="383">
        <v>0.5625</v>
      </c>
      <c r="E3755" s="389">
        <v>0.58333333333333337</v>
      </c>
      <c r="F3755" s="385">
        <v>28</v>
      </c>
      <c r="G3755" s="391"/>
      <c r="H3755" s="316"/>
      <c r="I3755" s="391"/>
      <c r="J3755" s="28"/>
      <c r="K3755" s="391"/>
      <c r="L3755" s="385"/>
      <c r="M3755" s="391"/>
      <c r="N3755" s="385"/>
      <c r="O3755" s="190"/>
    </row>
    <row r="3756" spans="3:15" ht="16" x14ac:dyDescent="0.2">
      <c r="C3756" s="193">
        <v>12</v>
      </c>
      <c r="D3756" s="383">
        <v>0.58333333333333337</v>
      </c>
      <c r="E3756" s="389">
        <v>0.60416666666666663</v>
      </c>
      <c r="F3756" s="385"/>
      <c r="G3756" s="391"/>
      <c r="H3756" s="316"/>
      <c r="I3756" s="391"/>
      <c r="J3756" s="385">
        <v>36</v>
      </c>
      <c r="K3756" s="391"/>
      <c r="L3756" s="385"/>
      <c r="M3756" s="391"/>
      <c r="N3756" s="385"/>
      <c r="O3756" s="190"/>
    </row>
    <row r="3757" spans="3:15" ht="16" x14ac:dyDescent="0.2">
      <c r="C3757" s="119">
        <v>13</v>
      </c>
      <c r="D3757" s="383">
        <v>0.60763888888888895</v>
      </c>
      <c r="E3757" s="389">
        <v>0.62847222222222221</v>
      </c>
      <c r="F3757" s="385">
        <v>28</v>
      </c>
      <c r="G3757" s="391"/>
      <c r="H3757" s="316"/>
      <c r="I3757" s="391"/>
      <c r="J3757" s="385"/>
      <c r="K3757" s="391"/>
      <c r="L3757" s="385"/>
      <c r="M3757" s="391"/>
      <c r="N3757" s="385"/>
      <c r="O3757" s="190"/>
    </row>
    <row r="3758" spans="3:15" ht="16" x14ac:dyDescent="0.2">
      <c r="C3758" s="119">
        <v>14</v>
      </c>
      <c r="D3758" s="383">
        <v>0.64236111111111105</v>
      </c>
      <c r="E3758" s="389">
        <v>0.66319444444444442</v>
      </c>
      <c r="F3758" s="385"/>
      <c r="G3758" s="391"/>
      <c r="H3758" s="316"/>
      <c r="I3758" s="391"/>
      <c r="J3758" s="385">
        <v>36</v>
      </c>
      <c r="K3758" s="391"/>
      <c r="L3758" s="385"/>
      <c r="M3758" s="391"/>
      <c r="N3758" s="385"/>
      <c r="O3758" s="190"/>
    </row>
    <row r="3759" spans="3:15" ht="16" x14ac:dyDescent="0.2">
      <c r="C3759" s="119">
        <v>15</v>
      </c>
      <c r="D3759" s="383">
        <v>0.66319444444444442</v>
      </c>
      <c r="E3759" s="389">
        <v>0.68402777777777779</v>
      </c>
      <c r="F3759" s="385">
        <v>28</v>
      </c>
      <c r="G3759" s="391"/>
      <c r="H3759" s="316"/>
      <c r="I3759" s="391"/>
      <c r="J3759" s="385"/>
      <c r="K3759" s="391"/>
      <c r="L3759" s="385"/>
      <c r="M3759" s="391"/>
      <c r="N3759" s="385"/>
      <c r="O3759" s="190"/>
    </row>
    <row r="3760" spans="3:15" ht="16" x14ac:dyDescent="0.2">
      <c r="C3760" s="119">
        <v>16</v>
      </c>
      <c r="D3760" s="383">
        <v>0.6875</v>
      </c>
      <c r="E3760" s="389">
        <v>0.70833333333333337</v>
      </c>
      <c r="F3760" s="385">
        <v>28</v>
      </c>
      <c r="G3760" s="391"/>
      <c r="H3760" s="316"/>
      <c r="I3760" s="391"/>
      <c r="J3760" s="385"/>
      <c r="K3760" s="391"/>
      <c r="L3760" s="385"/>
      <c r="M3760" s="391"/>
      <c r="N3760" s="385"/>
      <c r="O3760" s="190"/>
    </row>
    <row r="3761" spans="2:15" ht="16" x14ac:dyDescent="0.2">
      <c r="C3761" s="119">
        <v>17</v>
      </c>
      <c r="D3761" s="383">
        <v>0.70833333333333337</v>
      </c>
      <c r="E3761" s="389">
        <v>0.72916666666666663</v>
      </c>
      <c r="F3761" s="384">
        <v>28</v>
      </c>
      <c r="G3761" s="33"/>
      <c r="H3761" s="316"/>
      <c r="I3761" s="390"/>
      <c r="J3761" s="385"/>
      <c r="K3761" s="391"/>
      <c r="L3761" s="385"/>
      <c r="M3761" s="391"/>
      <c r="N3761" s="385"/>
      <c r="O3761" s="190"/>
    </row>
    <row r="3762" spans="2:15" ht="16" x14ac:dyDescent="0.2">
      <c r="C3762" s="119">
        <v>18</v>
      </c>
      <c r="D3762" s="383">
        <v>0.73263888888888884</v>
      </c>
      <c r="E3762" s="389">
        <v>0.75347222222222221</v>
      </c>
      <c r="F3762" s="394">
        <v>28</v>
      </c>
      <c r="G3762" s="229"/>
      <c r="H3762" s="394"/>
      <c r="I3762" s="391"/>
      <c r="J3762" s="385"/>
      <c r="K3762" s="391"/>
      <c r="L3762" s="385"/>
      <c r="M3762" s="391"/>
      <c r="N3762" s="385"/>
      <c r="O3762" s="190"/>
    </row>
    <row r="3763" spans="2:15" ht="16" x14ac:dyDescent="0.2">
      <c r="C3763" s="119">
        <v>19</v>
      </c>
      <c r="D3763" s="383"/>
      <c r="E3763" s="389"/>
      <c r="F3763" s="385"/>
      <c r="G3763" s="391"/>
      <c r="H3763" s="385"/>
      <c r="I3763" s="391"/>
      <c r="J3763" s="385"/>
      <c r="K3763" s="391"/>
      <c r="L3763" s="403"/>
      <c r="M3763" s="391"/>
      <c r="N3763" s="385"/>
      <c r="O3763" s="190"/>
    </row>
    <row r="3764" spans="2:15" ht="16" x14ac:dyDescent="0.2">
      <c r="C3764" s="119">
        <v>20</v>
      </c>
      <c r="D3764" s="383"/>
      <c r="E3764" s="389"/>
      <c r="F3764" s="385"/>
      <c r="G3764" s="391"/>
      <c r="H3764" s="385"/>
      <c r="I3764" s="391"/>
      <c r="J3764" s="385"/>
      <c r="K3764" s="391"/>
      <c r="L3764" s="403"/>
      <c r="M3764" s="391"/>
      <c r="N3764" s="385"/>
      <c r="O3764" s="190"/>
    </row>
    <row r="3765" spans="2:15" ht="16" x14ac:dyDescent="0.2">
      <c r="C3765" s="119">
        <v>21</v>
      </c>
      <c r="D3765" s="383"/>
      <c r="E3765" s="389"/>
      <c r="F3765" s="385"/>
      <c r="G3765" s="391"/>
      <c r="H3765" s="385"/>
      <c r="I3765" s="391"/>
      <c r="J3765" s="385"/>
      <c r="K3765" s="391"/>
      <c r="L3765" s="385"/>
      <c r="M3765" s="391"/>
      <c r="N3765" s="385"/>
      <c r="O3765" s="190"/>
    </row>
    <row r="3766" spans="2:15" ht="16" x14ac:dyDescent="0.2">
      <c r="C3766" s="119">
        <v>22</v>
      </c>
      <c r="D3766" s="383"/>
      <c r="E3766" s="389"/>
      <c r="F3766" s="385"/>
      <c r="G3766" s="391"/>
      <c r="H3766" s="385"/>
      <c r="I3766" s="391"/>
      <c r="J3766" s="385"/>
      <c r="K3766" s="391"/>
      <c r="L3766" s="385"/>
      <c r="M3766" s="391"/>
      <c r="N3766" s="385"/>
      <c r="O3766" s="190"/>
    </row>
    <row r="3767" spans="2:15" ht="16" x14ac:dyDescent="0.2">
      <c r="C3767" s="119">
        <v>23</v>
      </c>
      <c r="D3767" s="383"/>
      <c r="E3767" s="389"/>
      <c r="F3767" s="385"/>
      <c r="G3767" s="391"/>
      <c r="H3767" s="385"/>
      <c r="I3767" s="391"/>
      <c r="J3767" s="385"/>
      <c r="K3767" s="391"/>
      <c r="L3767" s="385"/>
      <c r="M3767" s="391"/>
      <c r="N3767" s="385"/>
      <c r="O3767" s="190"/>
    </row>
    <row r="3768" spans="2:15" ht="16" x14ac:dyDescent="0.2">
      <c r="C3768" s="119">
        <v>24</v>
      </c>
      <c r="D3768" s="383"/>
      <c r="E3768" s="389"/>
      <c r="F3768" s="385"/>
      <c r="G3768" s="391"/>
      <c r="H3768" s="385"/>
      <c r="I3768" s="391"/>
      <c r="J3768" s="385"/>
      <c r="K3768" s="391"/>
      <c r="L3768" s="385"/>
      <c r="M3768" s="391"/>
      <c r="N3768" s="385"/>
      <c r="O3768" s="190"/>
    </row>
    <row r="3769" spans="2:15" ht="16" x14ac:dyDescent="0.2">
      <c r="C3769" s="119">
        <v>25</v>
      </c>
      <c r="D3769" s="383"/>
      <c r="E3769" s="389"/>
      <c r="F3769" s="385"/>
      <c r="G3769" s="391"/>
      <c r="H3769" s="385"/>
      <c r="I3769" s="391"/>
      <c r="J3769" s="385"/>
      <c r="K3769" s="391"/>
      <c r="L3769" s="385"/>
      <c r="M3769" s="391"/>
      <c r="N3769" s="385"/>
      <c r="O3769" s="190"/>
    </row>
    <row r="3770" spans="2:15" ht="16" x14ac:dyDescent="0.2">
      <c r="C3770" s="119">
        <v>26</v>
      </c>
      <c r="D3770" s="383"/>
      <c r="E3770" s="389"/>
      <c r="F3770" s="385"/>
      <c r="G3770" s="391"/>
      <c r="H3770" s="385"/>
      <c r="I3770" s="391"/>
      <c r="J3770" s="385"/>
      <c r="K3770" s="391"/>
      <c r="L3770" s="385"/>
      <c r="M3770" s="391"/>
      <c r="N3770" s="385"/>
      <c r="O3770" s="190"/>
    </row>
    <row r="3771" spans="2:15" ht="16" x14ac:dyDescent="0.2">
      <c r="C3771" s="119">
        <v>27</v>
      </c>
      <c r="D3771" s="383"/>
      <c r="E3771" s="389"/>
      <c r="F3771" s="385"/>
      <c r="G3771" s="391"/>
      <c r="H3771" s="385"/>
      <c r="I3771" s="391"/>
      <c r="J3771" s="385"/>
      <c r="K3771" s="391"/>
      <c r="L3771" s="385"/>
      <c r="M3771" s="391"/>
      <c r="N3771" s="385"/>
      <c r="O3771" s="190"/>
    </row>
    <row r="3772" spans="2:15" ht="16" x14ac:dyDescent="0.2">
      <c r="C3772" s="119">
        <v>28</v>
      </c>
      <c r="D3772" s="383"/>
      <c r="E3772" s="389"/>
      <c r="F3772" s="385"/>
      <c r="G3772" s="391"/>
      <c r="H3772" s="385"/>
      <c r="I3772" s="391"/>
      <c r="J3772" s="385"/>
      <c r="K3772" s="391"/>
      <c r="L3772" s="385"/>
      <c r="M3772" s="391"/>
      <c r="N3772" s="385"/>
      <c r="O3772" s="190"/>
    </row>
    <row r="3773" spans="2:15" ht="16" x14ac:dyDescent="0.2">
      <c r="C3773" s="119">
        <v>29</v>
      </c>
      <c r="D3773" s="383"/>
      <c r="E3773" s="389"/>
      <c r="F3773" s="385"/>
      <c r="G3773" s="391"/>
      <c r="H3773" s="385"/>
      <c r="I3773" s="391"/>
      <c r="J3773" s="385"/>
      <c r="K3773" s="391"/>
      <c r="L3773" s="385"/>
      <c r="M3773" s="391"/>
      <c r="N3773" s="385"/>
      <c r="O3773" s="190"/>
    </row>
    <row r="3774" spans="2:15" ht="16" x14ac:dyDescent="0.2">
      <c r="C3774" s="119">
        <v>30</v>
      </c>
      <c r="D3774" s="383"/>
      <c r="E3774" s="389"/>
      <c r="F3774" s="385"/>
      <c r="G3774" s="391"/>
      <c r="H3774" s="385"/>
      <c r="I3774" s="391"/>
      <c r="J3774" s="385"/>
      <c r="K3774" s="391"/>
      <c r="L3774" s="385"/>
      <c r="M3774" s="391"/>
      <c r="N3774" s="385"/>
      <c r="O3774" s="190"/>
    </row>
    <row r="3775" spans="2:15" ht="16" x14ac:dyDescent="0.2">
      <c r="C3775" s="120">
        <v>31</v>
      </c>
      <c r="D3775" s="383"/>
      <c r="E3775" s="389"/>
      <c r="F3775" s="384"/>
      <c r="G3775" s="390"/>
      <c r="H3775" s="384"/>
      <c r="I3775" s="390"/>
      <c r="J3775" s="384"/>
      <c r="K3775" s="390"/>
      <c r="L3775" s="384"/>
      <c r="M3775" s="390"/>
      <c r="N3775" s="384"/>
      <c r="O3775" s="190"/>
    </row>
    <row r="3776" spans="2:15" ht="16" x14ac:dyDescent="0.2">
      <c r="B3776" s="256"/>
      <c r="C3776" s="377">
        <v>32</v>
      </c>
      <c r="D3776" s="384"/>
      <c r="E3776" s="390"/>
      <c r="F3776" s="384"/>
      <c r="G3776" s="390"/>
      <c r="H3776" s="384"/>
      <c r="I3776" s="390"/>
      <c r="J3776" s="384"/>
      <c r="K3776" s="390"/>
      <c r="L3776" s="384"/>
      <c r="M3776" s="390"/>
      <c r="N3776" s="384"/>
      <c r="O3776" s="190"/>
    </row>
    <row r="3777" spans="2:15" ht="16" x14ac:dyDescent="0.2">
      <c r="B3777" s="256"/>
      <c r="C3777" s="119">
        <v>33</v>
      </c>
      <c r="D3777" s="385"/>
      <c r="E3777" s="391"/>
      <c r="F3777" s="385"/>
      <c r="G3777" s="391"/>
      <c r="H3777" s="385"/>
      <c r="I3777" s="391"/>
      <c r="J3777" s="385"/>
      <c r="K3777" s="391"/>
      <c r="L3777" s="385"/>
      <c r="M3777" s="391"/>
      <c r="N3777" s="385"/>
      <c r="O3777" s="190"/>
    </row>
    <row r="3778" spans="2:15" ht="16" x14ac:dyDescent="0.2">
      <c r="B3778" s="256"/>
      <c r="C3778" s="119">
        <v>34</v>
      </c>
      <c r="D3778" s="385"/>
      <c r="E3778" s="391"/>
      <c r="F3778" s="385"/>
      <c r="G3778" s="391"/>
      <c r="H3778" s="385"/>
      <c r="I3778" s="391"/>
      <c r="J3778" s="385"/>
      <c r="K3778" s="391"/>
      <c r="L3778" s="385"/>
      <c r="M3778" s="391"/>
      <c r="N3778" s="385"/>
      <c r="O3778" s="190"/>
    </row>
    <row r="3779" spans="2:15" ht="16" x14ac:dyDescent="0.2">
      <c r="B3779" s="256"/>
      <c r="C3779" s="119">
        <v>35</v>
      </c>
      <c r="D3779" s="385"/>
      <c r="E3779" s="391"/>
      <c r="F3779" s="385"/>
      <c r="G3779" s="391"/>
      <c r="H3779" s="385"/>
      <c r="I3779" s="391"/>
      <c r="J3779" s="385"/>
      <c r="K3779" s="391"/>
      <c r="L3779" s="385"/>
      <c r="M3779" s="391"/>
      <c r="N3779" s="385"/>
      <c r="O3779" s="190"/>
    </row>
    <row r="3780" spans="2:15" ht="16" x14ac:dyDescent="0.2">
      <c r="B3780" s="256"/>
      <c r="C3780" s="119">
        <v>36</v>
      </c>
      <c r="D3780" s="385"/>
      <c r="E3780" s="391"/>
      <c r="F3780" s="385"/>
      <c r="G3780" s="391"/>
      <c r="H3780" s="385"/>
      <c r="I3780" s="391"/>
      <c r="J3780" s="385"/>
      <c r="K3780" s="391"/>
      <c r="L3780" s="385"/>
      <c r="M3780" s="391"/>
      <c r="N3780" s="385"/>
      <c r="O3780" s="190"/>
    </row>
    <row r="3781" spans="2:15" ht="17" thickBot="1" x14ac:dyDescent="0.25">
      <c r="B3781" s="256"/>
      <c r="C3781" s="378">
        <v>37</v>
      </c>
      <c r="D3781" s="386"/>
      <c r="E3781" s="392"/>
      <c r="F3781" s="386"/>
      <c r="G3781" s="392"/>
      <c r="H3781" s="386"/>
      <c r="I3781" s="392"/>
      <c r="J3781" s="386"/>
      <c r="K3781" s="392"/>
      <c r="L3781" s="386"/>
      <c r="M3781" s="392"/>
      <c r="N3781" s="386"/>
      <c r="O3781" s="190"/>
    </row>
    <row r="3782" spans="2:15" ht="17" thickBot="1" x14ac:dyDescent="0.25">
      <c r="C3782" s="825" t="s">
        <v>19</v>
      </c>
      <c r="D3782" s="826"/>
      <c r="E3782" s="380"/>
      <c r="F3782" s="376">
        <f>(F3745+F3746+F3747+F3748+F3749+F3750+F3766+F3753+F3754+F3751+F3752+F3755+F3756+F3757+F3758+F3759+F3760+F3761+F3762+F3763+F3764+F3765+F3767+F3768+F3770+F3771+F3772+F3773+F3774+F3775+F3776+F3777+F3778+F3781)/2</f>
        <v>105</v>
      </c>
      <c r="G3782" s="397">
        <f>(G3745+G3746+G3747+G3748+G3749+G3766+G3750+G3754+G3753+G3751+G3752+G3755+G3756+G3757+G3758+G3759+G3760+G3761+G3762+G3763+G3764+G3765+G3767+G3768+G3770+G3771+G3772+G3773+G3774+G3775+G3776+G3777)/2</f>
        <v>49</v>
      </c>
      <c r="H3782" s="399">
        <f>(H3745+H3746+H3747+H3748+H3749+H3750+H3766+H3769+H3753+H3754+H3751+H3752+H3755+H3756+H3757+H3758+H3759+H3760+H3761+H3762+H3763+H3764+H3765+H3767+H3768+H3770+H3771+H3772+H3773+H3774+H3775+H3776+H3777+H3778+H3781)/2</f>
        <v>28</v>
      </c>
      <c r="I3782" s="398">
        <f>(I3745+I3746+I3747+I3748+I3749+I3779+I3780+I3750+I3766+I3753+I3769+I3754+I3751+I3752+I3755+I3756+I3757+I3758+I3759+I3760+I3761+I3762+I3763+I3764+I3765+I3767+I3768+I3770+I3771+I3772+I3773+I3774+I3775+I3776+I3777+I3778+I3781)/2</f>
        <v>44</v>
      </c>
      <c r="J3782" s="376">
        <f>(J3745+J3746+J3747+J3748+J3749+J3750+J3754+J3751+J3753+J3752+J3769+J3755+J3756+J3757+J3758+J3759+J3760+J3761+J3762+J3763+J3764+J3765+J3766+J3767+J3768+J3770+J3771+J3772+J3773+J3774+J3775+J3776+J3777)/2</f>
        <v>36</v>
      </c>
      <c r="K3782" s="397">
        <f>(K3745+K3746+K3747+K3748+K3749+K3750+K3754+K3751+K3752+K3755+K3756+K3757+K3758+K3759+K3760+K3761+K3762+K3763+K3764+K3765+K3767+K3768+K3770+K3771+K3772+K3773+K3774+K3775+K3776+K3777+K3766)</f>
        <v>0</v>
      </c>
      <c r="L3782" s="399">
        <f>SUM(L3745:L3781)</f>
        <v>0</v>
      </c>
      <c r="M3782" s="398">
        <f>(M3745+M3746+M3747+M3748+M3749+M3750+M3754+M3753+M3751+M3752+M3755+M3756+M3757+M3758+M3759+M3760+M3761+M3762+M3763+M3764+M3765+M3767+M3768+M3770+M3771+M3772+M3773+M3774+M3775+M3776+M3777)/2</f>
        <v>0</v>
      </c>
      <c r="N3782" s="376"/>
      <c r="O3782" s="41"/>
    </row>
    <row r="3783" spans="2:15" ht="17" thickBot="1" x14ac:dyDescent="0.25">
      <c r="C3783" s="825" t="s">
        <v>91</v>
      </c>
      <c r="D3783" s="826"/>
      <c r="E3783" s="381">
        <f>SUM(F3782:J3782)</f>
        <v>262</v>
      </c>
    </row>
    <row r="3784" spans="2:15" ht="16" thickBot="1" x14ac:dyDescent="0.25"/>
    <row r="3785" spans="2:15" ht="17" thickBot="1" x14ac:dyDescent="0.25">
      <c r="C3785" s="17"/>
      <c r="D3785" s="379" t="s">
        <v>83</v>
      </c>
      <c r="E3785" s="818" t="s">
        <v>63</v>
      </c>
      <c r="F3785" s="819"/>
      <c r="G3785" s="819"/>
      <c r="H3785" s="819"/>
      <c r="I3785" s="819"/>
      <c r="J3785" s="400" t="s">
        <v>76</v>
      </c>
      <c r="K3785" s="820">
        <v>45782</v>
      </c>
      <c r="L3785" s="821"/>
      <c r="M3785" s="821"/>
      <c r="N3785" s="821"/>
      <c r="O3785" s="822"/>
    </row>
    <row r="3786" spans="2:15" ht="16" thickBot="1" x14ac:dyDescent="0.25">
      <c r="B3786" s="175" t="s">
        <v>76</v>
      </c>
      <c r="C3786" s="175" t="s">
        <v>77</v>
      </c>
      <c r="D3786" s="823" t="s">
        <v>122</v>
      </c>
      <c r="E3786" s="824"/>
      <c r="F3786" s="175" t="s">
        <v>104</v>
      </c>
      <c r="G3786" s="395" t="s">
        <v>86</v>
      </c>
      <c r="H3786" s="175" t="s">
        <v>88</v>
      </c>
      <c r="I3786" s="395" t="s">
        <v>87</v>
      </c>
      <c r="J3786" s="401" t="s">
        <v>85</v>
      </c>
      <c r="K3786" s="395" t="s">
        <v>123</v>
      </c>
      <c r="L3786" s="175" t="s">
        <v>124</v>
      </c>
      <c r="M3786" s="395" t="s">
        <v>100</v>
      </c>
      <c r="N3786" s="175" t="s">
        <v>213</v>
      </c>
      <c r="O3786" s="404" t="s">
        <v>125</v>
      </c>
    </row>
    <row r="3787" spans="2:15" ht="16" thickBot="1" x14ac:dyDescent="0.25">
      <c r="B3787" s="176">
        <f>K3785</f>
        <v>45782</v>
      </c>
      <c r="C3787" s="374"/>
      <c r="D3787" s="375" t="s">
        <v>126</v>
      </c>
      <c r="E3787" s="387" t="s">
        <v>127</v>
      </c>
      <c r="F3787" s="331">
        <v>18</v>
      </c>
      <c r="G3787" s="237">
        <v>12</v>
      </c>
      <c r="H3787" s="331">
        <v>0</v>
      </c>
      <c r="I3787" s="237">
        <v>7</v>
      </c>
      <c r="J3787" s="331">
        <v>13</v>
      </c>
      <c r="K3787" s="231"/>
      <c r="L3787" s="125"/>
      <c r="M3787" s="231"/>
      <c r="N3787" s="125"/>
      <c r="O3787" s="326"/>
    </row>
    <row r="3788" spans="2:15" ht="16" x14ac:dyDescent="0.2">
      <c r="C3788" s="118">
        <v>1</v>
      </c>
      <c r="D3788" s="382">
        <v>0.36458333333333331</v>
      </c>
      <c r="E3788" s="388">
        <v>0.38541666666666669</v>
      </c>
      <c r="F3788" s="393"/>
      <c r="G3788" s="396">
        <v>28</v>
      </c>
      <c r="H3788" s="393"/>
      <c r="I3788" s="396"/>
      <c r="J3788" s="393"/>
      <c r="K3788" s="396"/>
      <c r="L3788" s="393"/>
      <c r="M3788" s="396"/>
      <c r="N3788" s="393"/>
      <c r="O3788" s="190"/>
    </row>
    <row r="3789" spans="2:15" ht="16" x14ac:dyDescent="0.2">
      <c r="C3789" s="119">
        <v>2</v>
      </c>
      <c r="D3789" s="383">
        <v>0.38541666666666669</v>
      </c>
      <c r="E3789" s="389">
        <v>0.40625</v>
      </c>
      <c r="F3789" s="385"/>
      <c r="G3789" s="391">
        <v>28</v>
      </c>
      <c r="H3789" s="385"/>
      <c r="I3789" s="391"/>
      <c r="J3789" s="385"/>
      <c r="K3789" s="391"/>
      <c r="L3789" s="385"/>
      <c r="M3789" s="391"/>
      <c r="N3789" s="385"/>
      <c r="O3789" s="190"/>
    </row>
    <row r="3790" spans="2:15" ht="16" x14ac:dyDescent="0.2">
      <c r="C3790" s="119">
        <v>3</v>
      </c>
      <c r="D3790" s="383">
        <v>0.40625</v>
      </c>
      <c r="E3790" s="389">
        <v>0.42708333333333331</v>
      </c>
      <c r="F3790" s="385"/>
      <c r="G3790" s="391">
        <v>28</v>
      </c>
      <c r="H3790" s="385"/>
      <c r="I3790" s="391"/>
      <c r="J3790" s="385"/>
      <c r="K3790" s="391"/>
      <c r="L3790" s="384"/>
      <c r="M3790" s="391"/>
      <c r="N3790" s="385"/>
      <c r="O3790" s="190"/>
    </row>
    <row r="3791" spans="2:15" ht="16" x14ac:dyDescent="0.2">
      <c r="C3791" s="119">
        <v>4</v>
      </c>
      <c r="D3791" s="383">
        <v>0.42708333333333331</v>
      </c>
      <c r="E3791" s="389">
        <v>0.44791666666666669</v>
      </c>
      <c r="F3791" s="385"/>
      <c r="G3791" s="391">
        <v>28</v>
      </c>
      <c r="H3791" s="316"/>
      <c r="I3791" s="391"/>
      <c r="J3791" s="385"/>
      <c r="K3791" s="391"/>
      <c r="L3791" s="402"/>
      <c r="M3791" s="391"/>
      <c r="N3791" s="385"/>
      <c r="O3791" s="190"/>
    </row>
    <row r="3792" spans="2:15" ht="16" x14ac:dyDescent="0.2">
      <c r="C3792" s="119">
        <v>5</v>
      </c>
      <c r="D3792" s="383">
        <v>0.47916666666666669</v>
      </c>
      <c r="E3792" s="389">
        <v>0.5</v>
      </c>
      <c r="F3792" s="385"/>
      <c r="G3792" s="391"/>
      <c r="H3792" s="316"/>
      <c r="I3792" s="391">
        <v>44</v>
      </c>
      <c r="J3792" s="385"/>
      <c r="K3792" s="391"/>
      <c r="L3792" s="393"/>
      <c r="M3792" s="391"/>
      <c r="N3792" s="385"/>
      <c r="O3792" s="190"/>
    </row>
    <row r="3793" spans="3:15" ht="16" x14ac:dyDescent="0.2">
      <c r="C3793" s="119">
        <v>6</v>
      </c>
      <c r="D3793" s="383">
        <v>0.5</v>
      </c>
      <c r="E3793" s="389">
        <v>0.52083333333333337</v>
      </c>
      <c r="F3793" s="385"/>
      <c r="G3793" s="391"/>
      <c r="H3793" s="316"/>
      <c r="I3793" s="391">
        <v>44</v>
      </c>
      <c r="J3793" s="385"/>
      <c r="K3793" s="391"/>
      <c r="L3793" s="393"/>
      <c r="M3793" s="391"/>
      <c r="N3793" s="385"/>
      <c r="O3793" s="190"/>
    </row>
    <row r="3794" spans="3:15" ht="16" x14ac:dyDescent="0.2">
      <c r="C3794" s="119">
        <v>7</v>
      </c>
      <c r="D3794" s="383">
        <v>0.53472222222222221</v>
      </c>
      <c r="E3794" s="389">
        <v>0.55555555555555558</v>
      </c>
      <c r="F3794" s="385"/>
      <c r="G3794" s="391"/>
      <c r="H3794" s="316"/>
      <c r="I3794" s="391">
        <v>22</v>
      </c>
      <c r="J3794" s="385"/>
      <c r="K3794" s="391"/>
      <c r="L3794" s="393"/>
      <c r="M3794" s="391"/>
      <c r="N3794" s="385"/>
      <c r="O3794" s="190"/>
    </row>
    <row r="3795" spans="3:15" ht="16" x14ac:dyDescent="0.2">
      <c r="C3795" s="119">
        <v>8</v>
      </c>
      <c r="D3795" s="383">
        <v>0.53472222222222221</v>
      </c>
      <c r="E3795" s="389">
        <v>0.55555555555555558</v>
      </c>
      <c r="F3795" s="385">
        <v>14</v>
      </c>
      <c r="G3795" s="391"/>
      <c r="H3795" s="316"/>
      <c r="I3795" s="391"/>
      <c r="J3795" s="385"/>
      <c r="K3795" s="391"/>
      <c r="L3795" s="385"/>
      <c r="M3795" s="391"/>
      <c r="N3795" s="385"/>
      <c r="O3795" s="190"/>
    </row>
    <row r="3796" spans="3:15" ht="16" x14ac:dyDescent="0.2">
      <c r="C3796" s="119">
        <v>9</v>
      </c>
      <c r="D3796" s="383">
        <v>0.55555555555555558</v>
      </c>
      <c r="E3796" s="389">
        <v>0.57638888888888895</v>
      </c>
      <c r="F3796" s="385">
        <v>28</v>
      </c>
      <c r="G3796" s="391"/>
      <c r="H3796" s="316"/>
      <c r="I3796" s="391"/>
      <c r="J3796" s="385"/>
      <c r="K3796" s="391"/>
      <c r="L3796" s="385"/>
      <c r="M3796" s="391"/>
      <c r="N3796" s="385"/>
      <c r="O3796" s="190"/>
    </row>
    <row r="3797" spans="3:15" ht="16" x14ac:dyDescent="0.2">
      <c r="C3797" s="119">
        <v>10</v>
      </c>
      <c r="D3797" s="383">
        <v>0.57638888888888895</v>
      </c>
      <c r="E3797" s="389">
        <v>0.59722222222222221</v>
      </c>
      <c r="F3797" s="385">
        <v>28</v>
      </c>
      <c r="G3797" s="391"/>
      <c r="H3797" s="316"/>
      <c r="I3797" s="391"/>
      <c r="J3797" s="385"/>
      <c r="K3797" s="391"/>
      <c r="L3797" s="385"/>
      <c r="M3797" s="391"/>
      <c r="N3797" s="385"/>
      <c r="O3797" s="190"/>
    </row>
    <row r="3798" spans="3:15" ht="16" x14ac:dyDescent="0.2">
      <c r="C3798" s="119">
        <v>11</v>
      </c>
      <c r="D3798" s="383">
        <v>0.59722222222222221</v>
      </c>
      <c r="E3798" s="389">
        <v>0.61805555555555558</v>
      </c>
      <c r="F3798" s="385">
        <v>28</v>
      </c>
      <c r="G3798" s="391"/>
      <c r="H3798" s="316"/>
      <c r="I3798" s="391"/>
      <c r="J3798" s="28"/>
      <c r="K3798" s="391"/>
      <c r="L3798" s="385"/>
      <c r="M3798" s="391"/>
      <c r="N3798" s="385"/>
      <c r="O3798" s="190"/>
    </row>
    <row r="3799" spans="3:15" ht="16" x14ac:dyDescent="0.2">
      <c r="C3799" s="193">
        <v>12</v>
      </c>
      <c r="D3799" s="383">
        <v>0.61805555555555558</v>
      </c>
      <c r="E3799" s="389">
        <v>0.63888888888888895</v>
      </c>
      <c r="F3799" s="385">
        <v>28</v>
      </c>
      <c r="G3799" s="391"/>
      <c r="H3799" s="316"/>
      <c r="I3799" s="391"/>
      <c r="J3799" s="385"/>
      <c r="K3799" s="391"/>
      <c r="L3799" s="385"/>
      <c r="M3799" s="391"/>
      <c r="N3799" s="385"/>
      <c r="O3799" s="190"/>
    </row>
    <row r="3800" spans="3:15" ht="16" x14ac:dyDescent="0.2">
      <c r="C3800" s="119">
        <v>13</v>
      </c>
      <c r="D3800" s="383">
        <v>0.63888888888888895</v>
      </c>
      <c r="E3800" s="389">
        <v>0.65972222222222221</v>
      </c>
      <c r="F3800" s="385">
        <v>28</v>
      </c>
      <c r="G3800" s="391"/>
      <c r="H3800" s="316"/>
      <c r="I3800" s="391"/>
      <c r="J3800" s="385"/>
      <c r="K3800" s="391"/>
      <c r="L3800" s="385"/>
      <c r="M3800" s="391"/>
      <c r="N3800" s="385"/>
      <c r="O3800" s="190"/>
    </row>
    <row r="3801" spans="3:15" ht="16" x14ac:dyDescent="0.2">
      <c r="C3801" s="119">
        <v>14</v>
      </c>
      <c r="D3801" s="383">
        <v>0.66666666666666663</v>
      </c>
      <c r="E3801" s="389">
        <v>0.6875</v>
      </c>
      <c r="F3801" s="385"/>
      <c r="G3801" s="391"/>
      <c r="H3801" s="316"/>
      <c r="I3801" s="391"/>
      <c r="J3801" s="385">
        <v>36</v>
      </c>
      <c r="K3801" s="391"/>
      <c r="L3801" s="385"/>
      <c r="M3801" s="391"/>
      <c r="N3801" s="385"/>
      <c r="O3801" s="190"/>
    </row>
    <row r="3802" spans="3:15" ht="16" x14ac:dyDescent="0.2">
      <c r="C3802" s="119">
        <v>15</v>
      </c>
      <c r="D3802" s="383">
        <v>0.6875</v>
      </c>
      <c r="E3802" s="389">
        <v>0.70833333333333337</v>
      </c>
      <c r="F3802" s="385"/>
      <c r="G3802" s="391"/>
      <c r="H3802" s="316"/>
      <c r="I3802" s="391"/>
      <c r="J3802" s="385">
        <v>36</v>
      </c>
      <c r="K3802" s="391"/>
      <c r="L3802" s="385"/>
      <c r="M3802" s="391"/>
      <c r="N3802" s="385"/>
      <c r="O3802" s="190"/>
    </row>
    <row r="3803" spans="3:15" ht="16" x14ac:dyDescent="0.2">
      <c r="C3803" s="119">
        <v>16</v>
      </c>
      <c r="D3803" s="383">
        <v>0.70833333333333337</v>
      </c>
      <c r="E3803" s="389">
        <v>0.72916666666666663</v>
      </c>
      <c r="F3803" s="385"/>
      <c r="G3803" s="391"/>
      <c r="H3803" s="316"/>
      <c r="I3803" s="391"/>
      <c r="J3803" s="385">
        <v>36</v>
      </c>
      <c r="K3803" s="391"/>
      <c r="L3803" s="385"/>
      <c r="M3803" s="391"/>
      <c r="N3803" s="385"/>
      <c r="O3803" s="190"/>
    </row>
    <row r="3804" spans="3:15" ht="16" x14ac:dyDescent="0.2">
      <c r="C3804" s="119">
        <v>17</v>
      </c>
      <c r="D3804" s="383">
        <v>0.72916666666666663</v>
      </c>
      <c r="E3804" s="389">
        <v>0.75</v>
      </c>
      <c r="F3804" s="384"/>
      <c r="G3804" s="33"/>
      <c r="H3804" s="316"/>
      <c r="I3804" s="390"/>
      <c r="J3804" s="385">
        <v>36</v>
      </c>
      <c r="K3804" s="391"/>
      <c r="L3804" s="385"/>
      <c r="M3804" s="391"/>
      <c r="N3804" s="385"/>
      <c r="O3804" s="190"/>
    </row>
    <row r="3805" spans="3:15" ht="16" x14ac:dyDescent="0.2">
      <c r="C3805" s="119">
        <v>18</v>
      </c>
      <c r="D3805" s="383">
        <v>0.75</v>
      </c>
      <c r="E3805" s="389">
        <v>0.77083333333333337</v>
      </c>
      <c r="F3805" s="394"/>
      <c r="G3805" s="229"/>
      <c r="H3805" s="394"/>
      <c r="I3805" s="391"/>
      <c r="J3805" s="385">
        <v>33</v>
      </c>
      <c r="K3805" s="391"/>
      <c r="L3805" s="385"/>
      <c r="M3805" s="391"/>
      <c r="N3805" s="385"/>
      <c r="O3805" s="190"/>
    </row>
    <row r="3806" spans="3:15" ht="16" x14ac:dyDescent="0.2">
      <c r="C3806" s="119">
        <v>19</v>
      </c>
      <c r="D3806" s="383">
        <v>0.77083333333333337</v>
      </c>
      <c r="E3806" s="389">
        <v>0.79166666666666663</v>
      </c>
      <c r="F3806" s="385"/>
      <c r="G3806" s="391"/>
      <c r="H3806" s="385"/>
      <c r="I3806" s="391"/>
      <c r="J3806" s="385">
        <v>36</v>
      </c>
      <c r="K3806" s="391"/>
      <c r="L3806" s="403"/>
      <c r="M3806" s="391"/>
      <c r="N3806" s="385"/>
      <c r="O3806" s="190"/>
    </row>
    <row r="3807" spans="3:15" ht="16" x14ac:dyDescent="0.2">
      <c r="C3807" s="119">
        <v>20</v>
      </c>
      <c r="D3807" s="383">
        <v>0.79166666666666663</v>
      </c>
      <c r="E3807" s="389">
        <v>0.8125</v>
      </c>
      <c r="F3807" s="385"/>
      <c r="G3807" s="391"/>
      <c r="H3807" s="385"/>
      <c r="I3807" s="391"/>
      <c r="J3807" s="385">
        <v>18</v>
      </c>
      <c r="K3807" s="391"/>
      <c r="L3807" s="403"/>
      <c r="M3807" s="391"/>
      <c r="N3807" s="385"/>
      <c r="O3807" s="190"/>
    </row>
    <row r="3808" spans="3:15" ht="16" x14ac:dyDescent="0.2">
      <c r="C3808" s="119">
        <v>21</v>
      </c>
      <c r="D3808" s="383">
        <v>0.79166666666666663</v>
      </c>
      <c r="E3808" s="389">
        <v>0.8125</v>
      </c>
      <c r="F3808" s="385">
        <v>14</v>
      </c>
      <c r="G3808" s="391"/>
      <c r="H3808" s="385"/>
      <c r="I3808" s="391"/>
      <c r="J3808" s="385"/>
      <c r="K3808" s="391"/>
      <c r="L3808" s="385"/>
      <c r="M3808" s="391"/>
      <c r="N3808" s="385"/>
      <c r="O3808" s="190"/>
    </row>
    <row r="3809" spans="2:15" ht="16" x14ac:dyDescent="0.2">
      <c r="C3809" s="119">
        <v>22</v>
      </c>
      <c r="D3809" s="383">
        <v>0.85763888888888884</v>
      </c>
      <c r="E3809" s="389">
        <v>0.87847222222222221</v>
      </c>
      <c r="F3809" s="385"/>
      <c r="G3809" s="391"/>
      <c r="H3809" s="385"/>
      <c r="I3809" s="391">
        <v>44</v>
      </c>
      <c r="J3809" s="385"/>
      <c r="K3809" s="391"/>
      <c r="L3809" s="385"/>
      <c r="M3809" s="391"/>
      <c r="N3809" s="385"/>
      <c r="O3809" s="190"/>
    </row>
    <row r="3810" spans="2:15" ht="16" x14ac:dyDescent="0.2">
      <c r="C3810" s="119">
        <v>23</v>
      </c>
      <c r="D3810" s="383">
        <v>0.88194444444444453</v>
      </c>
      <c r="E3810" s="389">
        <v>0.90277777777777779</v>
      </c>
      <c r="F3810" s="385">
        <v>28</v>
      </c>
      <c r="G3810" s="391"/>
      <c r="H3810" s="385"/>
      <c r="I3810" s="391"/>
      <c r="J3810" s="385"/>
      <c r="K3810" s="391"/>
      <c r="L3810" s="385"/>
      <c r="M3810" s="391"/>
      <c r="N3810" s="385"/>
      <c r="O3810" s="190"/>
    </row>
    <row r="3811" spans="2:15" ht="16" x14ac:dyDescent="0.2">
      <c r="C3811" s="119">
        <v>24</v>
      </c>
      <c r="D3811" s="383">
        <v>0.90277777777777779</v>
      </c>
      <c r="E3811" s="389">
        <v>0.92361111111111116</v>
      </c>
      <c r="F3811" s="385">
        <v>28</v>
      </c>
      <c r="G3811" s="391"/>
      <c r="H3811" s="385"/>
      <c r="I3811" s="391"/>
      <c r="J3811" s="385"/>
      <c r="K3811" s="391"/>
      <c r="L3811" s="385"/>
      <c r="M3811" s="391"/>
      <c r="N3811" s="385"/>
      <c r="O3811" s="190"/>
    </row>
    <row r="3812" spans="2:15" ht="16" x14ac:dyDescent="0.2">
      <c r="C3812" s="119">
        <v>25</v>
      </c>
      <c r="D3812" s="383">
        <v>0.92361111111111116</v>
      </c>
      <c r="E3812" s="389">
        <v>0.94444444444444453</v>
      </c>
      <c r="F3812" s="385">
        <v>28</v>
      </c>
      <c r="G3812" s="391"/>
      <c r="H3812" s="385"/>
      <c r="I3812" s="391"/>
      <c r="J3812" s="385"/>
      <c r="K3812" s="391"/>
      <c r="L3812" s="385"/>
      <c r="M3812" s="391"/>
      <c r="N3812" s="385"/>
      <c r="O3812" s="190"/>
    </row>
    <row r="3813" spans="2:15" ht="16" x14ac:dyDescent="0.2">
      <c r="C3813" s="119">
        <v>26</v>
      </c>
      <c r="D3813" s="383">
        <v>0.94444444444444453</v>
      </c>
      <c r="E3813" s="389">
        <v>0.96527777777777779</v>
      </c>
      <c r="F3813" s="385"/>
      <c r="G3813" s="391">
        <v>28</v>
      </c>
      <c r="H3813" s="385"/>
      <c r="I3813" s="391"/>
      <c r="J3813" s="385"/>
      <c r="K3813" s="391"/>
      <c r="L3813" s="385"/>
      <c r="M3813" s="391"/>
      <c r="N3813" s="385"/>
      <c r="O3813" s="190"/>
    </row>
    <row r="3814" spans="2:15" ht="16" x14ac:dyDescent="0.2">
      <c r="C3814" s="119">
        <v>27</v>
      </c>
      <c r="D3814" s="383">
        <v>0.96527777777777779</v>
      </c>
      <c r="E3814" s="389">
        <v>0.98611111111111116</v>
      </c>
      <c r="F3814" s="385"/>
      <c r="G3814" s="391">
        <v>28</v>
      </c>
      <c r="H3814" s="385"/>
      <c r="I3814" s="391"/>
      <c r="J3814" s="385"/>
      <c r="K3814" s="391"/>
      <c r="L3814" s="385"/>
      <c r="M3814" s="391"/>
      <c r="N3814" s="385"/>
      <c r="O3814" s="190"/>
    </row>
    <row r="3815" spans="2:15" ht="16" x14ac:dyDescent="0.2">
      <c r="C3815" s="119">
        <v>28</v>
      </c>
      <c r="D3815" s="383"/>
      <c r="E3815" s="389"/>
      <c r="F3815" s="385"/>
      <c r="G3815" s="391"/>
      <c r="H3815" s="385"/>
      <c r="I3815" s="391"/>
      <c r="J3815" s="385"/>
      <c r="K3815" s="391"/>
      <c r="L3815" s="385"/>
      <c r="M3815" s="391"/>
      <c r="N3815" s="385"/>
      <c r="O3815" s="190"/>
    </row>
    <row r="3816" spans="2:15" ht="16" x14ac:dyDescent="0.2">
      <c r="C3816" s="119">
        <v>29</v>
      </c>
      <c r="D3816" s="383"/>
      <c r="E3816" s="389"/>
      <c r="F3816" s="385"/>
      <c r="G3816" s="391"/>
      <c r="H3816" s="385"/>
      <c r="I3816" s="391"/>
      <c r="J3816" s="385"/>
      <c r="K3816" s="391"/>
      <c r="L3816" s="385"/>
      <c r="M3816" s="391"/>
      <c r="N3816" s="385"/>
      <c r="O3816" s="190"/>
    </row>
    <row r="3817" spans="2:15" ht="16" x14ac:dyDescent="0.2">
      <c r="C3817" s="119">
        <v>30</v>
      </c>
      <c r="D3817" s="383"/>
      <c r="E3817" s="389"/>
      <c r="F3817" s="385"/>
      <c r="G3817" s="391"/>
      <c r="H3817" s="385"/>
      <c r="I3817" s="391"/>
      <c r="J3817" s="385"/>
      <c r="K3817" s="391"/>
      <c r="L3817" s="385"/>
      <c r="M3817" s="391"/>
      <c r="N3817" s="385"/>
      <c r="O3817" s="190"/>
    </row>
    <row r="3818" spans="2:15" ht="16" x14ac:dyDescent="0.2">
      <c r="C3818" s="120">
        <v>31</v>
      </c>
      <c r="D3818" s="383"/>
      <c r="E3818" s="389"/>
      <c r="F3818" s="384"/>
      <c r="G3818" s="390"/>
      <c r="H3818" s="384"/>
      <c r="I3818" s="390"/>
      <c r="J3818" s="384"/>
      <c r="K3818" s="390"/>
      <c r="L3818" s="384"/>
      <c r="M3818" s="390"/>
      <c r="N3818" s="384"/>
      <c r="O3818" s="190"/>
    </row>
    <row r="3819" spans="2:15" ht="16" x14ac:dyDescent="0.2">
      <c r="B3819" s="256"/>
      <c r="C3819" s="377">
        <v>32</v>
      </c>
      <c r="D3819" s="384"/>
      <c r="E3819" s="390"/>
      <c r="F3819" s="384"/>
      <c r="G3819" s="390"/>
      <c r="H3819" s="384"/>
      <c r="I3819" s="390"/>
      <c r="J3819" s="384"/>
      <c r="K3819" s="390"/>
      <c r="L3819" s="384"/>
      <c r="M3819" s="390"/>
      <c r="N3819" s="384"/>
      <c r="O3819" s="190"/>
    </row>
    <row r="3820" spans="2:15" ht="16" x14ac:dyDescent="0.2">
      <c r="B3820" s="256"/>
      <c r="C3820" s="119">
        <v>33</v>
      </c>
      <c r="D3820" s="385"/>
      <c r="E3820" s="391"/>
      <c r="F3820" s="385"/>
      <c r="G3820" s="391"/>
      <c r="H3820" s="385"/>
      <c r="I3820" s="391"/>
      <c r="J3820" s="385"/>
      <c r="K3820" s="391"/>
      <c r="L3820" s="385"/>
      <c r="M3820" s="391"/>
      <c r="N3820" s="385"/>
      <c r="O3820" s="190"/>
    </row>
    <row r="3821" spans="2:15" ht="16" x14ac:dyDescent="0.2">
      <c r="B3821" s="256"/>
      <c r="C3821" s="119">
        <v>34</v>
      </c>
      <c r="D3821" s="385"/>
      <c r="E3821" s="391"/>
      <c r="F3821" s="385"/>
      <c r="G3821" s="391"/>
      <c r="H3821" s="385"/>
      <c r="I3821" s="391"/>
      <c r="J3821" s="385"/>
      <c r="K3821" s="391"/>
      <c r="L3821" s="385"/>
      <c r="M3821" s="391"/>
      <c r="N3821" s="385"/>
      <c r="O3821" s="190"/>
    </row>
    <row r="3822" spans="2:15" ht="16" x14ac:dyDescent="0.2">
      <c r="B3822" s="256"/>
      <c r="C3822" s="119">
        <v>35</v>
      </c>
      <c r="D3822" s="385"/>
      <c r="E3822" s="391"/>
      <c r="F3822" s="385"/>
      <c r="G3822" s="391"/>
      <c r="H3822" s="385"/>
      <c r="I3822" s="391"/>
      <c r="J3822" s="385"/>
      <c r="K3822" s="391"/>
      <c r="L3822" s="385"/>
      <c r="M3822" s="391"/>
      <c r="N3822" s="385"/>
      <c r="O3822" s="190"/>
    </row>
    <row r="3823" spans="2:15" ht="16" x14ac:dyDescent="0.2">
      <c r="B3823" s="256"/>
      <c r="C3823" s="119">
        <v>36</v>
      </c>
      <c r="D3823" s="385"/>
      <c r="E3823" s="391"/>
      <c r="F3823" s="385"/>
      <c r="G3823" s="391"/>
      <c r="H3823" s="385"/>
      <c r="I3823" s="391"/>
      <c r="J3823" s="385"/>
      <c r="K3823" s="391"/>
      <c r="L3823" s="385"/>
      <c r="M3823" s="391"/>
      <c r="N3823" s="385"/>
      <c r="O3823" s="190"/>
    </row>
    <row r="3824" spans="2:15" ht="17" thickBot="1" x14ac:dyDescent="0.25">
      <c r="B3824" s="256"/>
      <c r="C3824" s="378">
        <v>37</v>
      </c>
      <c r="D3824" s="386"/>
      <c r="E3824" s="392"/>
      <c r="F3824" s="386"/>
      <c r="G3824" s="392"/>
      <c r="H3824" s="386"/>
      <c r="I3824" s="392"/>
      <c r="J3824" s="386"/>
      <c r="K3824" s="392"/>
      <c r="L3824" s="386"/>
      <c r="M3824" s="392"/>
      <c r="N3824" s="386"/>
      <c r="O3824" s="190"/>
    </row>
    <row r="3825" spans="2:15" ht="17" thickBot="1" x14ac:dyDescent="0.25">
      <c r="C3825" s="825" t="s">
        <v>19</v>
      </c>
      <c r="D3825" s="826"/>
      <c r="E3825" s="380"/>
      <c r="F3825" s="376">
        <f>(F3788+F3789+F3790+F3791+F3792+F3793+F3809+F3796+F3797+F3794+F3795+F3798+F3799+F3800+F3801+F3802+F3803+F3804+F3805+F3806+F3807+F3808+F3810+F3811+F3813+F3814+F3815+F3816+F3817+F3818+F3819+F3820+F3821+F3824)/2</f>
        <v>112</v>
      </c>
      <c r="G3825" s="397">
        <f>(G3788+G3789+G3790+G3791+G3792+G3809+G3793+G3797+G3796+G3794+G3795+G3798+G3799+G3800+G3801+G3802+G3803+G3804+G3805+G3806+G3807+G3808+G3810+G3811+G3813+G3814+G3815+G3816+G3817+G3818+G3819+G3820)/2</f>
        <v>84</v>
      </c>
      <c r="H3825" s="399">
        <f>(H3788+H3789+H3790+H3791+H3792+H3793+H3809+H3812+H3796+H3797+H3794+H3795+H3798+H3799+H3800+H3801+H3802+H3803+H3804+H3805+H3806+H3807+H3808+H3810+H3811+H3813+H3814+H3815+H3816+H3817+H3818+H3819+H3820+H3821+H3824)/2</f>
        <v>0</v>
      </c>
      <c r="I3825" s="398">
        <f>(I3788+I3789+I3790+I3791+I3792+I3822+I3823+I3793+I3809+I3796+I3812+I3797+I3794+I3795+I3798+I3799+I3800+I3801+I3802+I3803+I3804+I3805+I3806+I3807+I3808+I3810+I3811+I3813+I3814+I3815+I3816+I3817+I3818+I3819+I3820+I3821+I3824)/2</f>
        <v>77</v>
      </c>
      <c r="J3825" s="376">
        <f>(J3788+J3789+J3790+J3791+J3792+J3793+J3797+J3794+J3796+J3795+J3812+J3798+J3799+J3800+J3801+J3802+J3803+J3804+J3805+J3806+J3807+J3808+J3809+J3810+J3811+J3813+J3814+J3815+J3816+J3817+J3818+J3819+J3820)/2</f>
        <v>115.5</v>
      </c>
      <c r="K3825" s="397">
        <f>(K3788+K3789+K3790+K3791+K3792+K3793+K3797+K3794+K3795+K3798+K3799+K3800+K3801+K3802+K3803+K3804+K3805+K3806+K3807+K3808+K3810+K3811+K3813+K3814+K3815+K3816+K3817+K3818+K3819+K3820+K3809)</f>
        <v>0</v>
      </c>
      <c r="L3825" s="399">
        <f>SUM(L3788:L3824)</f>
        <v>0</v>
      </c>
      <c r="M3825" s="398">
        <f>(M3788+M3789+M3790+M3791+M3792+M3793+M3797+M3796+M3794+M3795+M3798+M3799+M3800+M3801+M3802+M3803+M3804+M3805+M3806+M3807+M3808+M3810+M3811+M3813+M3814+M3815+M3816+M3817+M3818+M3819+M3820)/2</f>
        <v>0</v>
      </c>
      <c r="N3825" s="376"/>
      <c r="O3825" s="41"/>
    </row>
    <row r="3826" spans="2:15" ht="17" thickBot="1" x14ac:dyDescent="0.25">
      <c r="C3826" s="825" t="s">
        <v>91</v>
      </c>
      <c r="D3826" s="826"/>
      <c r="E3826" s="381">
        <f>SUM(F3825:J3825)</f>
        <v>388.5</v>
      </c>
    </row>
    <row r="3827" spans="2:15" ht="16" thickBot="1" x14ac:dyDescent="0.25"/>
    <row r="3828" spans="2:15" ht="17" thickBot="1" x14ac:dyDescent="0.25">
      <c r="C3828" s="17"/>
      <c r="D3828" s="379" t="s">
        <v>83</v>
      </c>
      <c r="E3828" s="818" t="s">
        <v>64</v>
      </c>
      <c r="F3828" s="819"/>
      <c r="G3828" s="819"/>
      <c r="H3828" s="819"/>
      <c r="I3828" s="819"/>
      <c r="J3828" s="400" t="s">
        <v>76</v>
      </c>
      <c r="K3828" s="820">
        <v>45783</v>
      </c>
      <c r="L3828" s="821"/>
      <c r="M3828" s="821"/>
      <c r="N3828" s="821"/>
      <c r="O3828" s="822"/>
    </row>
    <row r="3829" spans="2:15" ht="16" thickBot="1" x14ac:dyDescent="0.25">
      <c r="B3829" s="175" t="s">
        <v>76</v>
      </c>
      <c r="C3829" s="175" t="s">
        <v>77</v>
      </c>
      <c r="D3829" s="823" t="s">
        <v>122</v>
      </c>
      <c r="E3829" s="824"/>
      <c r="F3829" s="175" t="s">
        <v>104</v>
      </c>
      <c r="G3829" s="395" t="s">
        <v>86</v>
      </c>
      <c r="H3829" s="175" t="s">
        <v>88</v>
      </c>
      <c r="I3829" s="395" t="s">
        <v>87</v>
      </c>
      <c r="J3829" s="401" t="s">
        <v>85</v>
      </c>
      <c r="K3829" s="395" t="s">
        <v>123</v>
      </c>
      <c r="L3829" s="175" t="s">
        <v>124</v>
      </c>
      <c r="M3829" s="395" t="s">
        <v>100</v>
      </c>
      <c r="N3829" s="175" t="s">
        <v>213</v>
      </c>
      <c r="O3829" s="404" t="s">
        <v>125</v>
      </c>
    </row>
    <row r="3830" spans="2:15" ht="16" thickBot="1" x14ac:dyDescent="0.25">
      <c r="B3830" s="176">
        <f>K3828</f>
        <v>45783</v>
      </c>
      <c r="C3830" s="374"/>
      <c r="D3830" s="375" t="s">
        <v>126</v>
      </c>
      <c r="E3830" s="387" t="s">
        <v>127</v>
      </c>
      <c r="F3830" s="331">
        <v>8</v>
      </c>
      <c r="G3830" s="237">
        <v>6</v>
      </c>
      <c r="H3830" s="331">
        <v>3</v>
      </c>
      <c r="I3830" s="237">
        <v>4</v>
      </c>
      <c r="J3830" s="331">
        <v>7</v>
      </c>
      <c r="K3830" s="231"/>
      <c r="L3830" s="125"/>
      <c r="M3830" s="231"/>
      <c r="N3830" s="125"/>
      <c r="O3830" s="326"/>
    </row>
    <row r="3831" spans="2:15" ht="16" x14ac:dyDescent="0.2">
      <c r="C3831" s="118">
        <v>1</v>
      </c>
      <c r="D3831" s="382">
        <v>0.71527777777777779</v>
      </c>
      <c r="E3831" s="388">
        <v>0.73611111111111116</v>
      </c>
      <c r="F3831" s="393"/>
      <c r="G3831" s="396">
        <v>28</v>
      </c>
      <c r="H3831" s="393"/>
      <c r="I3831" s="396"/>
      <c r="J3831" s="393"/>
      <c r="K3831" s="396"/>
      <c r="L3831" s="393"/>
      <c r="M3831" s="396"/>
      <c r="N3831" s="393"/>
      <c r="O3831" s="190"/>
    </row>
    <row r="3832" spans="2:15" ht="16" x14ac:dyDescent="0.2">
      <c r="C3832" s="119">
        <v>2</v>
      </c>
      <c r="D3832" s="383">
        <v>0.73611111111111116</v>
      </c>
      <c r="E3832" s="389">
        <v>0.75694444444444453</v>
      </c>
      <c r="F3832" s="385"/>
      <c r="G3832" s="391">
        <v>28</v>
      </c>
      <c r="H3832" s="385"/>
      <c r="I3832" s="391"/>
      <c r="J3832" s="385"/>
      <c r="K3832" s="391"/>
      <c r="L3832" s="385"/>
      <c r="M3832" s="391"/>
      <c r="N3832" s="385"/>
      <c r="O3832" s="190"/>
    </row>
    <row r="3833" spans="2:15" ht="16" x14ac:dyDescent="0.2">
      <c r="C3833" s="119">
        <v>3</v>
      </c>
      <c r="D3833" s="383">
        <v>0.75694444444444453</v>
      </c>
      <c r="E3833" s="389">
        <v>0.77777777777777779</v>
      </c>
      <c r="F3833" s="385"/>
      <c r="G3833" s="391">
        <v>28</v>
      </c>
      <c r="H3833" s="385"/>
      <c r="I3833" s="391"/>
      <c r="J3833" s="385"/>
      <c r="K3833" s="391"/>
      <c r="L3833" s="384"/>
      <c r="M3833" s="391"/>
      <c r="N3833" s="385"/>
      <c r="O3833" s="190"/>
    </row>
    <row r="3834" spans="2:15" ht="16" x14ac:dyDescent="0.2">
      <c r="C3834" s="119">
        <v>4</v>
      </c>
      <c r="D3834" s="383">
        <v>0.77777777777777779</v>
      </c>
      <c r="E3834" s="389">
        <v>0.79861111111111116</v>
      </c>
      <c r="F3834" s="385"/>
      <c r="G3834" s="391"/>
      <c r="H3834" s="316">
        <v>28</v>
      </c>
      <c r="I3834" s="391"/>
      <c r="J3834" s="385"/>
      <c r="K3834" s="391"/>
      <c r="L3834" s="402"/>
      <c r="M3834" s="391"/>
      <c r="N3834" s="385"/>
      <c r="O3834" s="190"/>
    </row>
    <row r="3835" spans="2:15" ht="16" x14ac:dyDescent="0.2">
      <c r="C3835" s="119">
        <v>5</v>
      </c>
      <c r="D3835" s="383">
        <v>0.79861111111111116</v>
      </c>
      <c r="E3835" s="389">
        <v>0.81944444444444453</v>
      </c>
      <c r="F3835" s="385"/>
      <c r="G3835" s="391"/>
      <c r="H3835" s="316">
        <v>28</v>
      </c>
      <c r="I3835" s="391"/>
      <c r="J3835" s="385"/>
      <c r="K3835" s="391"/>
      <c r="L3835" s="393"/>
      <c r="M3835" s="391"/>
      <c r="N3835" s="385"/>
      <c r="O3835" s="190"/>
    </row>
    <row r="3836" spans="2:15" ht="16" x14ac:dyDescent="0.2">
      <c r="C3836" s="119">
        <v>6</v>
      </c>
      <c r="D3836" s="383">
        <v>0.81944444444444453</v>
      </c>
      <c r="E3836" s="389">
        <v>0.84027777777777779</v>
      </c>
      <c r="F3836" s="385">
        <v>28</v>
      </c>
      <c r="G3836" s="391"/>
      <c r="H3836" s="316"/>
      <c r="I3836" s="391"/>
      <c r="J3836" s="385"/>
      <c r="K3836" s="391"/>
      <c r="L3836" s="393"/>
      <c r="M3836" s="391"/>
      <c r="N3836" s="385"/>
      <c r="O3836" s="190"/>
    </row>
    <row r="3837" spans="2:15" ht="16" x14ac:dyDescent="0.2">
      <c r="C3837" s="119">
        <v>7</v>
      </c>
      <c r="D3837" s="383">
        <v>0.875</v>
      </c>
      <c r="E3837" s="389">
        <v>0.89583333333333337</v>
      </c>
      <c r="F3837" s="385">
        <v>28</v>
      </c>
      <c r="G3837" s="391"/>
      <c r="H3837" s="316"/>
      <c r="I3837" s="391"/>
      <c r="J3837" s="385"/>
      <c r="K3837" s="391"/>
      <c r="L3837" s="393"/>
      <c r="M3837" s="391"/>
      <c r="N3837" s="385"/>
      <c r="O3837" s="190"/>
    </row>
    <row r="3838" spans="2:15" ht="16" x14ac:dyDescent="0.2">
      <c r="C3838" s="119">
        <v>8</v>
      </c>
      <c r="D3838" s="383">
        <v>0.89583333333333337</v>
      </c>
      <c r="E3838" s="389">
        <v>0.91666666666666663</v>
      </c>
      <c r="F3838" s="385">
        <v>28</v>
      </c>
      <c r="G3838" s="391"/>
      <c r="H3838" s="316"/>
      <c r="I3838" s="391"/>
      <c r="J3838" s="385"/>
      <c r="K3838" s="391"/>
      <c r="L3838" s="385"/>
      <c r="M3838" s="391"/>
      <c r="N3838" s="385"/>
      <c r="O3838" s="190"/>
    </row>
    <row r="3839" spans="2:15" ht="16" x14ac:dyDescent="0.2">
      <c r="C3839" s="119">
        <v>9</v>
      </c>
      <c r="D3839" s="383">
        <v>0.91666666666666663</v>
      </c>
      <c r="E3839" s="389">
        <v>0.9375</v>
      </c>
      <c r="F3839" s="385">
        <v>28</v>
      </c>
      <c r="G3839" s="391"/>
      <c r="H3839" s="316"/>
      <c r="I3839" s="391"/>
      <c r="J3839" s="385"/>
      <c r="K3839" s="391"/>
      <c r="L3839" s="385"/>
      <c r="M3839" s="391"/>
      <c r="N3839" s="385"/>
      <c r="O3839" s="190"/>
    </row>
    <row r="3840" spans="2:15" ht="16" x14ac:dyDescent="0.2">
      <c r="C3840" s="119">
        <v>10</v>
      </c>
      <c r="D3840" s="383">
        <v>0.9375</v>
      </c>
      <c r="E3840" s="389">
        <v>0.95833333333333337</v>
      </c>
      <c r="F3840" s="385">
        <v>28</v>
      </c>
      <c r="G3840" s="391"/>
      <c r="H3840" s="316"/>
      <c r="I3840" s="391"/>
      <c r="J3840" s="385"/>
      <c r="K3840" s="391"/>
      <c r="L3840" s="385"/>
      <c r="M3840" s="391"/>
      <c r="N3840" s="385"/>
      <c r="O3840" s="190"/>
    </row>
    <row r="3841" spans="3:15" ht="16" x14ac:dyDescent="0.2">
      <c r="C3841" s="119">
        <v>11</v>
      </c>
      <c r="D3841" s="383">
        <v>0.95833333333333337</v>
      </c>
      <c r="E3841" s="389">
        <v>0.97916666666666663</v>
      </c>
      <c r="F3841" s="385"/>
      <c r="G3841" s="391"/>
      <c r="H3841" s="316"/>
      <c r="I3841" s="391"/>
      <c r="J3841" s="28">
        <v>36</v>
      </c>
      <c r="K3841" s="391"/>
      <c r="L3841" s="385"/>
      <c r="M3841" s="391"/>
      <c r="N3841" s="385"/>
      <c r="O3841" s="190"/>
    </row>
    <row r="3842" spans="3:15" ht="16" x14ac:dyDescent="0.2">
      <c r="C3842" s="193">
        <v>12</v>
      </c>
      <c r="D3842" s="383">
        <v>0.97916666666666663</v>
      </c>
      <c r="E3842" s="389">
        <v>0</v>
      </c>
      <c r="F3842" s="385"/>
      <c r="G3842" s="391"/>
      <c r="H3842" s="316"/>
      <c r="I3842" s="391"/>
      <c r="J3842" s="385">
        <v>36</v>
      </c>
      <c r="K3842" s="391"/>
      <c r="L3842" s="385"/>
      <c r="M3842" s="391"/>
      <c r="N3842" s="385"/>
      <c r="O3842" s="190"/>
    </row>
    <row r="3843" spans="3:15" ht="16" x14ac:dyDescent="0.2">
      <c r="C3843" s="119">
        <v>13</v>
      </c>
      <c r="D3843" s="383">
        <v>0</v>
      </c>
      <c r="E3843" s="389">
        <v>2.0833333333333332E-2</v>
      </c>
      <c r="F3843" s="385"/>
      <c r="G3843" s="391"/>
      <c r="H3843" s="316"/>
      <c r="I3843" s="391"/>
      <c r="J3843" s="385">
        <v>36</v>
      </c>
      <c r="K3843" s="391"/>
      <c r="L3843" s="385"/>
      <c r="M3843" s="391"/>
      <c r="N3843" s="385"/>
      <c r="O3843" s="190"/>
    </row>
    <row r="3844" spans="3:15" ht="16" x14ac:dyDescent="0.2">
      <c r="C3844" s="119">
        <v>14</v>
      </c>
      <c r="D3844" s="383">
        <v>2.0833333333333332E-2</v>
      </c>
      <c r="E3844" s="389">
        <v>4.1666666666666664E-2</v>
      </c>
      <c r="F3844" s="385"/>
      <c r="G3844" s="391"/>
      <c r="H3844" s="316"/>
      <c r="I3844" s="391"/>
      <c r="J3844" s="385">
        <v>13</v>
      </c>
      <c r="K3844" s="391"/>
      <c r="L3844" s="385"/>
      <c r="M3844" s="391"/>
      <c r="N3844" s="385"/>
      <c r="O3844" s="190"/>
    </row>
    <row r="3845" spans="3:15" ht="16" x14ac:dyDescent="0.2">
      <c r="C3845" s="119">
        <v>15</v>
      </c>
      <c r="D3845" s="383">
        <v>4.1666666666666664E-2</v>
      </c>
      <c r="E3845" s="389">
        <v>6.25E-2</v>
      </c>
      <c r="F3845" s="385"/>
      <c r="G3845" s="391"/>
      <c r="H3845" s="316"/>
      <c r="I3845" s="391">
        <v>44</v>
      </c>
      <c r="J3845" s="385"/>
      <c r="K3845" s="391"/>
      <c r="L3845" s="385"/>
      <c r="M3845" s="391"/>
      <c r="N3845" s="385"/>
      <c r="O3845" s="190"/>
    </row>
    <row r="3846" spans="3:15" ht="16" x14ac:dyDescent="0.2">
      <c r="C3846" s="119">
        <v>16</v>
      </c>
      <c r="D3846" s="383"/>
      <c r="E3846" s="389"/>
      <c r="F3846" s="385"/>
      <c r="G3846" s="391"/>
      <c r="H3846" s="316"/>
      <c r="I3846" s="391">
        <v>44</v>
      </c>
      <c r="J3846" s="385"/>
      <c r="K3846" s="391"/>
      <c r="L3846" s="385"/>
      <c r="M3846" s="391"/>
      <c r="N3846" s="385"/>
      <c r="O3846" s="190"/>
    </row>
    <row r="3847" spans="3:15" ht="16" x14ac:dyDescent="0.2">
      <c r="C3847" s="119">
        <v>17</v>
      </c>
      <c r="D3847" s="383"/>
      <c r="E3847" s="389"/>
      <c r="F3847" s="384"/>
      <c r="G3847" s="33"/>
      <c r="H3847" s="316"/>
      <c r="I3847" s="390"/>
      <c r="J3847" s="385"/>
      <c r="K3847" s="391"/>
      <c r="L3847" s="385"/>
      <c r="M3847" s="391"/>
      <c r="N3847" s="385"/>
      <c r="O3847" s="190"/>
    </row>
    <row r="3848" spans="3:15" ht="16" x14ac:dyDescent="0.2">
      <c r="C3848" s="119">
        <v>18</v>
      </c>
      <c r="D3848" s="383"/>
      <c r="E3848" s="389"/>
      <c r="F3848" s="394"/>
      <c r="G3848" s="229"/>
      <c r="H3848" s="394"/>
      <c r="I3848" s="391"/>
      <c r="J3848" s="385"/>
      <c r="K3848" s="391"/>
      <c r="L3848" s="385"/>
      <c r="M3848" s="391"/>
      <c r="N3848" s="385"/>
      <c r="O3848" s="190"/>
    </row>
    <row r="3849" spans="3:15" ht="16" x14ac:dyDescent="0.2">
      <c r="C3849" s="119">
        <v>19</v>
      </c>
      <c r="D3849" s="383"/>
      <c r="E3849" s="389"/>
      <c r="F3849" s="385"/>
      <c r="G3849" s="391"/>
      <c r="H3849" s="385"/>
      <c r="I3849" s="391"/>
      <c r="J3849" s="385"/>
      <c r="K3849" s="391"/>
      <c r="L3849" s="403"/>
      <c r="M3849" s="391"/>
      <c r="N3849" s="385"/>
      <c r="O3849" s="190"/>
    </row>
    <row r="3850" spans="3:15" ht="16" x14ac:dyDescent="0.2">
      <c r="C3850" s="119">
        <v>20</v>
      </c>
      <c r="D3850" s="383"/>
      <c r="E3850" s="389"/>
      <c r="F3850" s="385"/>
      <c r="G3850" s="391"/>
      <c r="H3850" s="385"/>
      <c r="I3850" s="391"/>
      <c r="J3850" s="385"/>
      <c r="K3850" s="391"/>
      <c r="L3850" s="403"/>
      <c r="M3850" s="391"/>
      <c r="N3850" s="385"/>
      <c r="O3850" s="190"/>
    </row>
    <row r="3851" spans="3:15" ht="16" x14ac:dyDescent="0.2">
      <c r="C3851" s="119">
        <v>21</v>
      </c>
      <c r="D3851" s="383"/>
      <c r="E3851" s="389"/>
      <c r="F3851" s="385"/>
      <c r="G3851" s="391"/>
      <c r="H3851" s="385"/>
      <c r="I3851" s="391"/>
      <c r="J3851" s="385"/>
      <c r="K3851" s="391"/>
      <c r="L3851" s="385"/>
      <c r="M3851" s="391"/>
      <c r="N3851" s="385"/>
      <c r="O3851" s="190"/>
    </row>
    <row r="3852" spans="3:15" ht="16" x14ac:dyDescent="0.2">
      <c r="C3852" s="119">
        <v>22</v>
      </c>
      <c r="D3852" s="383"/>
      <c r="E3852" s="389"/>
      <c r="F3852" s="385"/>
      <c r="G3852" s="391"/>
      <c r="H3852" s="385"/>
      <c r="I3852" s="391"/>
      <c r="J3852" s="385"/>
      <c r="K3852" s="391"/>
      <c r="L3852" s="385"/>
      <c r="M3852" s="391"/>
      <c r="N3852" s="385"/>
      <c r="O3852" s="190"/>
    </row>
    <row r="3853" spans="3:15" ht="16" x14ac:dyDescent="0.2">
      <c r="C3853" s="119">
        <v>23</v>
      </c>
      <c r="D3853" s="383"/>
      <c r="E3853" s="389"/>
      <c r="F3853" s="385"/>
      <c r="G3853" s="391"/>
      <c r="H3853" s="385"/>
      <c r="I3853" s="391"/>
      <c r="J3853" s="385"/>
      <c r="K3853" s="391"/>
      <c r="L3853" s="385"/>
      <c r="M3853" s="391"/>
      <c r="N3853" s="385"/>
      <c r="O3853" s="190"/>
    </row>
    <row r="3854" spans="3:15" ht="16" x14ac:dyDescent="0.2">
      <c r="C3854" s="119">
        <v>24</v>
      </c>
      <c r="D3854" s="383"/>
      <c r="E3854" s="389"/>
      <c r="F3854" s="385"/>
      <c r="G3854" s="391"/>
      <c r="H3854" s="385"/>
      <c r="I3854" s="391"/>
      <c r="J3854" s="385"/>
      <c r="K3854" s="391"/>
      <c r="L3854" s="385"/>
      <c r="M3854" s="391"/>
      <c r="N3854" s="385"/>
      <c r="O3854" s="190"/>
    </row>
    <row r="3855" spans="3:15" ht="16" x14ac:dyDescent="0.2">
      <c r="C3855" s="119">
        <v>25</v>
      </c>
      <c r="D3855" s="383"/>
      <c r="E3855" s="389"/>
      <c r="F3855" s="385"/>
      <c r="G3855" s="391"/>
      <c r="H3855" s="385"/>
      <c r="I3855" s="391"/>
      <c r="J3855" s="385"/>
      <c r="K3855" s="391"/>
      <c r="L3855" s="385"/>
      <c r="M3855" s="391"/>
      <c r="N3855" s="385"/>
      <c r="O3855" s="190"/>
    </row>
    <row r="3856" spans="3:15" ht="16" x14ac:dyDescent="0.2">
      <c r="C3856" s="119">
        <v>26</v>
      </c>
      <c r="D3856" s="383"/>
      <c r="E3856" s="389"/>
      <c r="F3856" s="385"/>
      <c r="G3856" s="391"/>
      <c r="H3856" s="385"/>
      <c r="I3856" s="391"/>
      <c r="J3856" s="385"/>
      <c r="K3856" s="391"/>
      <c r="L3856" s="385"/>
      <c r="M3856" s="391"/>
      <c r="N3856" s="385"/>
      <c r="O3856" s="190"/>
    </row>
    <row r="3857" spans="2:15" ht="16" x14ac:dyDescent="0.2">
      <c r="C3857" s="119">
        <v>27</v>
      </c>
      <c r="D3857" s="383"/>
      <c r="E3857" s="389"/>
      <c r="F3857" s="385"/>
      <c r="G3857" s="391"/>
      <c r="H3857" s="385"/>
      <c r="I3857" s="391"/>
      <c r="J3857" s="385"/>
      <c r="K3857" s="391"/>
      <c r="L3857" s="385"/>
      <c r="M3857" s="391"/>
      <c r="N3857" s="385"/>
      <c r="O3857" s="190"/>
    </row>
    <row r="3858" spans="2:15" ht="16" x14ac:dyDescent="0.2">
      <c r="C3858" s="119">
        <v>28</v>
      </c>
      <c r="D3858" s="383"/>
      <c r="E3858" s="389"/>
      <c r="F3858" s="385"/>
      <c r="G3858" s="391"/>
      <c r="H3858" s="385"/>
      <c r="I3858" s="391"/>
      <c r="J3858" s="385"/>
      <c r="K3858" s="391"/>
      <c r="L3858" s="385"/>
      <c r="M3858" s="391"/>
      <c r="N3858" s="385"/>
      <c r="O3858" s="190"/>
    </row>
    <row r="3859" spans="2:15" ht="16" x14ac:dyDescent="0.2">
      <c r="C3859" s="119">
        <v>29</v>
      </c>
      <c r="D3859" s="383"/>
      <c r="E3859" s="389"/>
      <c r="F3859" s="385"/>
      <c r="G3859" s="391"/>
      <c r="H3859" s="385"/>
      <c r="I3859" s="391"/>
      <c r="J3859" s="385"/>
      <c r="K3859" s="391"/>
      <c r="L3859" s="385"/>
      <c r="M3859" s="391"/>
      <c r="N3859" s="385"/>
      <c r="O3859" s="190"/>
    </row>
    <row r="3860" spans="2:15" ht="16" x14ac:dyDescent="0.2">
      <c r="C3860" s="119">
        <v>30</v>
      </c>
      <c r="D3860" s="383"/>
      <c r="E3860" s="389"/>
      <c r="F3860" s="385"/>
      <c r="G3860" s="391"/>
      <c r="H3860" s="385"/>
      <c r="I3860" s="391"/>
      <c r="J3860" s="385"/>
      <c r="K3860" s="391"/>
      <c r="L3860" s="385"/>
      <c r="M3860" s="391"/>
      <c r="N3860" s="385"/>
      <c r="O3860" s="190"/>
    </row>
    <row r="3861" spans="2:15" ht="16" x14ac:dyDescent="0.2">
      <c r="C3861" s="120">
        <v>31</v>
      </c>
      <c r="D3861" s="383"/>
      <c r="E3861" s="389"/>
      <c r="F3861" s="384"/>
      <c r="G3861" s="390"/>
      <c r="H3861" s="384"/>
      <c r="I3861" s="390"/>
      <c r="J3861" s="384"/>
      <c r="K3861" s="390"/>
      <c r="L3861" s="384"/>
      <c r="M3861" s="390"/>
      <c r="N3861" s="384"/>
      <c r="O3861" s="190"/>
    </row>
    <row r="3862" spans="2:15" ht="16" x14ac:dyDescent="0.2">
      <c r="B3862" s="256"/>
      <c r="C3862" s="377">
        <v>32</v>
      </c>
      <c r="D3862" s="384"/>
      <c r="E3862" s="390"/>
      <c r="F3862" s="384"/>
      <c r="G3862" s="390"/>
      <c r="H3862" s="384"/>
      <c r="I3862" s="390"/>
      <c r="J3862" s="384"/>
      <c r="K3862" s="390"/>
      <c r="L3862" s="384"/>
      <c r="M3862" s="390"/>
      <c r="N3862" s="384"/>
      <c r="O3862" s="190"/>
    </row>
    <row r="3863" spans="2:15" ht="16" x14ac:dyDescent="0.2">
      <c r="B3863" s="256"/>
      <c r="C3863" s="119">
        <v>33</v>
      </c>
      <c r="D3863" s="385"/>
      <c r="E3863" s="391"/>
      <c r="F3863" s="385"/>
      <c r="G3863" s="391"/>
      <c r="H3863" s="385"/>
      <c r="I3863" s="391"/>
      <c r="J3863" s="385"/>
      <c r="K3863" s="391"/>
      <c r="L3863" s="385"/>
      <c r="M3863" s="391"/>
      <c r="N3863" s="385"/>
      <c r="O3863" s="190"/>
    </row>
    <row r="3864" spans="2:15" ht="16" x14ac:dyDescent="0.2">
      <c r="B3864" s="256"/>
      <c r="C3864" s="119">
        <v>34</v>
      </c>
      <c r="D3864" s="385"/>
      <c r="E3864" s="391"/>
      <c r="F3864" s="385"/>
      <c r="G3864" s="391"/>
      <c r="H3864" s="385"/>
      <c r="I3864" s="391"/>
      <c r="J3864" s="385"/>
      <c r="K3864" s="391"/>
      <c r="L3864" s="385"/>
      <c r="M3864" s="391"/>
      <c r="N3864" s="385"/>
      <c r="O3864" s="190"/>
    </row>
    <row r="3865" spans="2:15" ht="16" x14ac:dyDescent="0.2">
      <c r="B3865" s="256"/>
      <c r="C3865" s="119">
        <v>35</v>
      </c>
      <c r="D3865" s="385"/>
      <c r="E3865" s="391"/>
      <c r="F3865" s="385"/>
      <c r="G3865" s="391"/>
      <c r="H3865" s="385"/>
      <c r="I3865" s="391"/>
      <c r="J3865" s="385"/>
      <c r="K3865" s="391"/>
      <c r="L3865" s="385"/>
      <c r="M3865" s="391"/>
      <c r="N3865" s="385"/>
      <c r="O3865" s="190"/>
    </row>
    <row r="3866" spans="2:15" ht="16" x14ac:dyDescent="0.2">
      <c r="B3866" s="256"/>
      <c r="C3866" s="119">
        <v>36</v>
      </c>
      <c r="D3866" s="385"/>
      <c r="E3866" s="391"/>
      <c r="F3866" s="385"/>
      <c r="G3866" s="391"/>
      <c r="H3866" s="385"/>
      <c r="I3866" s="391"/>
      <c r="J3866" s="385"/>
      <c r="K3866" s="391"/>
      <c r="L3866" s="385"/>
      <c r="M3866" s="391"/>
      <c r="N3866" s="385"/>
      <c r="O3866" s="190"/>
    </row>
    <row r="3867" spans="2:15" ht="17" thickBot="1" x14ac:dyDescent="0.25">
      <c r="B3867" s="256"/>
      <c r="C3867" s="378">
        <v>37</v>
      </c>
      <c r="D3867" s="386"/>
      <c r="E3867" s="392"/>
      <c r="F3867" s="386"/>
      <c r="G3867" s="392"/>
      <c r="H3867" s="386"/>
      <c r="I3867" s="392"/>
      <c r="J3867" s="386"/>
      <c r="K3867" s="392"/>
      <c r="L3867" s="386"/>
      <c r="M3867" s="392"/>
      <c r="N3867" s="386"/>
      <c r="O3867" s="190"/>
    </row>
    <row r="3868" spans="2:15" ht="17" thickBot="1" x14ac:dyDescent="0.25">
      <c r="C3868" s="825" t="s">
        <v>19</v>
      </c>
      <c r="D3868" s="826"/>
      <c r="E3868" s="380"/>
      <c r="F3868" s="376">
        <f>(F3831+F3832+F3833+F3834+F3835+F3836+F3852+F3839+F3840+F3837+F3838+F3841+F3842+F3843+F3844+F3845+F3846+F3847+F3848+F3849+F3850+F3851+F3853+F3854+F3856+F3857+F3858+F3859+F3860+F3861+F3862+F3863+F3864+F3867)/2</f>
        <v>70</v>
      </c>
      <c r="G3868" s="397">
        <f>(G3831+G3832+G3833+G3834+G3835+G3852+G3836+G3840+G3839+G3837+G3838+G3841+G3842+G3843+G3844+G3845+G3846+G3847+G3848+G3849+G3850+G3851+G3853+G3854+G3856+G3857+G3858+G3859+G3860+G3861+G3862+G3863)/2</f>
        <v>42</v>
      </c>
      <c r="H3868" s="399">
        <f>(H3831+H3832+H3833+H3834+H3835+H3836+H3852+H3855+H3839+H3840+H3837+H3838+H3841+H3842+H3843+H3844+H3845+H3846+H3847+H3848+H3849+H3850+H3851+H3853+H3854+H3856+H3857+H3858+H3859+H3860+H3861+H3862+H3863+H3864+H3867)/2</f>
        <v>28</v>
      </c>
      <c r="I3868" s="398">
        <f>(I3831+I3832+I3833+I3834+I3835+I3865+I3866+I3836+I3852+I3839+I3855+I3840+I3837+I3838+I3841+I3842+I3843+I3844+I3845+I3846+I3847+I3848+I3849+I3850+I3851+I3853+I3854+I3856+I3857+I3858+I3859+I3860+I3861+I3862+I3863+I3864+I3867)/2</f>
        <v>44</v>
      </c>
      <c r="J3868" s="376">
        <f>(J3831+J3832+J3833+J3834+J3835+J3836+J3840+J3837+J3839+J3838+J3855+J3841+J3842+J3843+J3844+J3845+J3846+J3847+J3848+J3849+J3850+J3851+J3852+J3853+J3854+J3856+J3857+J3858+J3859+J3860+J3861+J3862+J3863)/2</f>
        <v>60.5</v>
      </c>
      <c r="K3868" s="397">
        <f>(K3831+K3832+K3833+K3834+K3835+K3836+K3840+K3837+K3838+K3841+K3842+K3843+K3844+K3845+K3846+K3847+K3848+K3849+K3850+K3851+K3853+K3854+K3856+K3857+K3858+K3859+K3860+K3861+K3862+K3863+K3852)</f>
        <v>0</v>
      </c>
      <c r="L3868" s="399">
        <f>SUM(L3831:L3867)</f>
        <v>0</v>
      </c>
      <c r="M3868" s="398">
        <f>(M3831+M3832+M3833+M3834+M3835+M3836+M3840+M3839+M3837+M3838+M3841+M3842+M3843+M3844+M3845+M3846+M3847+M3848+M3849+M3850+M3851+M3853+M3854+M3856+M3857+M3858+M3859+M3860+M3861+M3862+M3863)/2</f>
        <v>0</v>
      </c>
      <c r="N3868" s="376"/>
      <c r="O3868" s="41"/>
    </row>
    <row r="3869" spans="2:15" ht="17" thickBot="1" x14ac:dyDescent="0.25">
      <c r="C3869" s="825" t="s">
        <v>91</v>
      </c>
      <c r="D3869" s="826"/>
      <c r="E3869" s="381">
        <f>SUM(F3868:J3868)</f>
        <v>244.5</v>
      </c>
    </row>
    <row r="3870" spans="2:15" ht="16" thickBot="1" x14ac:dyDescent="0.25"/>
    <row r="3871" spans="2:15" ht="17" thickBot="1" x14ac:dyDescent="0.25">
      <c r="C3871" s="17"/>
      <c r="D3871" s="379" t="s">
        <v>83</v>
      </c>
      <c r="E3871" s="818" t="s">
        <v>66</v>
      </c>
      <c r="F3871" s="819"/>
      <c r="G3871" s="819"/>
      <c r="H3871" s="819"/>
      <c r="I3871" s="819"/>
      <c r="J3871" s="400" t="s">
        <v>76</v>
      </c>
      <c r="K3871" s="820">
        <v>45785</v>
      </c>
      <c r="L3871" s="821"/>
      <c r="M3871" s="821"/>
      <c r="N3871" s="821"/>
      <c r="O3871" s="822"/>
    </row>
    <row r="3872" spans="2:15" ht="16" thickBot="1" x14ac:dyDescent="0.25">
      <c r="B3872" s="175" t="s">
        <v>76</v>
      </c>
      <c r="C3872" s="175" t="s">
        <v>77</v>
      </c>
      <c r="D3872" s="823" t="s">
        <v>122</v>
      </c>
      <c r="E3872" s="824"/>
      <c r="F3872" s="175" t="s">
        <v>104</v>
      </c>
      <c r="G3872" s="395" t="s">
        <v>86</v>
      </c>
      <c r="H3872" s="175" t="s">
        <v>88</v>
      </c>
      <c r="I3872" s="395" t="s">
        <v>87</v>
      </c>
      <c r="J3872" s="401" t="s">
        <v>85</v>
      </c>
      <c r="K3872" s="395" t="s">
        <v>123</v>
      </c>
      <c r="L3872" s="175" t="s">
        <v>124</v>
      </c>
      <c r="M3872" s="395" t="s">
        <v>100</v>
      </c>
      <c r="N3872" s="175" t="s">
        <v>213</v>
      </c>
      <c r="O3872" s="404" t="s">
        <v>125</v>
      </c>
    </row>
    <row r="3873" spans="2:15" ht="16" thickBot="1" x14ac:dyDescent="0.25">
      <c r="B3873" s="176">
        <f>K3871</f>
        <v>45785</v>
      </c>
      <c r="C3873" s="374"/>
      <c r="D3873" s="375" t="s">
        <v>126</v>
      </c>
      <c r="E3873" s="387" t="s">
        <v>127</v>
      </c>
      <c r="F3873" s="331">
        <v>12</v>
      </c>
      <c r="G3873" s="237">
        <v>7</v>
      </c>
      <c r="H3873" s="331">
        <v>4</v>
      </c>
      <c r="I3873" s="237">
        <v>6</v>
      </c>
      <c r="J3873" s="331">
        <v>8</v>
      </c>
      <c r="K3873" s="231"/>
      <c r="L3873" s="125"/>
      <c r="M3873" s="231"/>
      <c r="N3873" s="125"/>
      <c r="O3873" s="326"/>
    </row>
    <row r="3874" spans="2:15" ht="16" x14ac:dyDescent="0.2">
      <c r="C3874" s="118">
        <v>1</v>
      </c>
      <c r="D3874" s="382">
        <v>0.85416666666666663</v>
      </c>
      <c r="E3874" s="388">
        <v>0.875</v>
      </c>
      <c r="F3874" s="393"/>
      <c r="G3874" s="396">
        <v>28</v>
      </c>
      <c r="H3874" s="393"/>
      <c r="I3874" s="396"/>
      <c r="J3874" s="393"/>
      <c r="K3874" s="396"/>
      <c r="L3874" s="393"/>
      <c r="M3874" s="396"/>
      <c r="N3874" s="393"/>
      <c r="O3874" s="190"/>
    </row>
    <row r="3875" spans="2:15" ht="16" x14ac:dyDescent="0.2">
      <c r="C3875" s="119">
        <v>2</v>
      </c>
      <c r="D3875" s="383">
        <v>0.875</v>
      </c>
      <c r="E3875" s="389">
        <v>0.89583333333333337</v>
      </c>
      <c r="F3875" s="385"/>
      <c r="G3875" s="391">
        <v>28</v>
      </c>
      <c r="H3875" s="385"/>
      <c r="I3875" s="391"/>
      <c r="J3875" s="385"/>
      <c r="K3875" s="391"/>
      <c r="L3875" s="385"/>
      <c r="M3875" s="391"/>
      <c r="N3875" s="385"/>
      <c r="O3875" s="190"/>
    </row>
    <row r="3876" spans="2:15" ht="16" x14ac:dyDescent="0.2">
      <c r="C3876" s="119">
        <v>3</v>
      </c>
      <c r="D3876" s="383">
        <v>0.89583333333333337</v>
      </c>
      <c r="E3876" s="389">
        <v>0.91666666666666663</v>
      </c>
      <c r="F3876" s="385"/>
      <c r="G3876" s="391">
        <v>28</v>
      </c>
      <c r="H3876" s="385"/>
      <c r="I3876" s="391"/>
      <c r="J3876" s="385"/>
      <c r="K3876" s="391"/>
      <c r="L3876" s="384"/>
      <c r="M3876" s="391"/>
      <c r="N3876" s="385"/>
      <c r="O3876" s="190"/>
    </row>
    <row r="3877" spans="2:15" ht="16" x14ac:dyDescent="0.2">
      <c r="C3877" s="119">
        <v>4</v>
      </c>
      <c r="D3877" s="383">
        <v>0.91666666666666663</v>
      </c>
      <c r="E3877" s="389">
        <v>0.9375</v>
      </c>
      <c r="F3877" s="385"/>
      <c r="G3877" s="391"/>
      <c r="H3877" s="316">
        <v>28</v>
      </c>
      <c r="I3877" s="391"/>
      <c r="J3877" s="385"/>
      <c r="K3877" s="391"/>
      <c r="L3877" s="402"/>
      <c r="M3877" s="391"/>
      <c r="N3877" s="385"/>
      <c r="O3877" s="190"/>
    </row>
    <row r="3878" spans="2:15" ht="16" x14ac:dyDescent="0.2">
      <c r="C3878" s="119">
        <v>5</v>
      </c>
      <c r="D3878" s="383">
        <v>0.9375</v>
      </c>
      <c r="E3878" s="389">
        <v>0.95833333333333337</v>
      </c>
      <c r="F3878" s="385"/>
      <c r="G3878" s="391"/>
      <c r="H3878" s="316">
        <v>28</v>
      </c>
      <c r="I3878" s="391"/>
      <c r="J3878" s="385"/>
      <c r="K3878" s="391"/>
      <c r="L3878" s="393"/>
      <c r="M3878" s="391"/>
      <c r="N3878" s="385"/>
      <c r="O3878" s="190"/>
    </row>
    <row r="3879" spans="2:15" ht="16" x14ac:dyDescent="0.2">
      <c r="C3879" s="119">
        <v>6</v>
      </c>
      <c r="D3879" s="383">
        <v>0.94444444444444453</v>
      </c>
      <c r="E3879" s="389">
        <v>0.96527777777777779</v>
      </c>
      <c r="F3879" s="385"/>
      <c r="G3879" s="391">
        <v>14</v>
      </c>
      <c r="H3879" s="316"/>
      <c r="I3879" s="391"/>
      <c r="J3879" s="385"/>
      <c r="K3879" s="391"/>
      <c r="L3879" s="393"/>
      <c r="M3879" s="391"/>
      <c r="N3879" s="385"/>
      <c r="O3879" s="190"/>
    </row>
    <row r="3880" spans="2:15" ht="16" x14ac:dyDescent="0.2">
      <c r="C3880" s="119">
        <v>7</v>
      </c>
      <c r="D3880" s="383">
        <v>0.96527777777777779</v>
      </c>
      <c r="E3880" s="389">
        <v>0.98611111111111116</v>
      </c>
      <c r="F3880" s="385">
        <v>28</v>
      </c>
      <c r="G3880" s="391"/>
      <c r="H3880" s="316"/>
      <c r="I3880" s="391"/>
      <c r="J3880" s="385"/>
      <c r="K3880" s="391"/>
      <c r="L3880" s="393"/>
      <c r="M3880" s="391"/>
      <c r="N3880" s="385"/>
      <c r="O3880" s="190"/>
    </row>
    <row r="3881" spans="2:15" ht="16" x14ac:dyDescent="0.2">
      <c r="C3881" s="119">
        <v>8</v>
      </c>
      <c r="D3881" s="383">
        <v>0.98611111111111116</v>
      </c>
      <c r="E3881" s="389">
        <v>6.9444444444444441E-3</v>
      </c>
      <c r="F3881" s="385">
        <v>28</v>
      </c>
      <c r="G3881" s="391"/>
      <c r="H3881" s="316"/>
      <c r="I3881" s="391"/>
      <c r="J3881" s="385"/>
      <c r="K3881" s="391"/>
      <c r="L3881" s="385"/>
      <c r="M3881" s="391"/>
      <c r="N3881" s="385"/>
      <c r="O3881" s="190"/>
    </row>
    <row r="3882" spans="2:15" ht="16" x14ac:dyDescent="0.2">
      <c r="C3882" s="119">
        <v>9</v>
      </c>
      <c r="D3882" s="383">
        <v>6.9444444444444441E-3</v>
      </c>
      <c r="E3882" s="389">
        <v>2.7777777777777776E-2</v>
      </c>
      <c r="F3882" s="385">
        <v>28</v>
      </c>
      <c r="G3882" s="391"/>
      <c r="H3882" s="316"/>
      <c r="I3882" s="391"/>
      <c r="J3882" s="385"/>
      <c r="K3882" s="391"/>
      <c r="L3882" s="385"/>
      <c r="M3882" s="391"/>
      <c r="N3882" s="385"/>
      <c r="O3882" s="190"/>
    </row>
    <row r="3883" spans="2:15" ht="16" x14ac:dyDescent="0.2">
      <c r="C3883" s="119">
        <v>10</v>
      </c>
      <c r="D3883" s="383">
        <v>2.7777777777777776E-2</v>
      </c>
      <c r="E3883" s="389">
        <v>4.8611111111111112E-2</v>
      </c>
      <c r="F3883" s="385">
        <v>28</v>
      </c>
      <c r="G3883" s="391"/>
      <c r="H3883" s="316"/>
      <c r="I3883" s="391"/>
      <c r="J3883" s="385"/>
      <c r="K3883" s="391"/>
      <c r="L3883" s="385"/>
      <c r="M3883" s="391"/>
      <c r="N3883" s="385"/>
      <c r="O3883" s="190"/>
    </row>
    <row r="3884" spans="2:15" ht="16" x14ac:dyDescent="0.2">
      <c r="C3884" s="119">
        <v>11</v>
      </c>
      <c r="D3884" s="383">
        <v>4.8611111111111112E-2</v>
      </c>
      <c r="E3884" s="389">
        <v>6.9444444444444434E-2</v>
      </c>
      <c r="F3884" s="385">
        <v>28</v>
      </c>
      <c r="G3884" s="391"/>
      <c r="H3884" s="316"/>
      <c r="I3884" s="391"/>
      <c r="J3884" s="28"/>
      <c r="K3884" s="391"/>
      <c r="L3884" s="385"/>
      <c r="M3884" s="391"/>
      <c r="N3884" s="385"/>
      <c r="O3884" s="190"/>
    </row>
    <row r="3885" spans="2:15" ht="16" x14ac:dyDescent="0.2">
      <c r="C3885" s="193">
        <v>12</v>
      </c>
      <c r="D3885" s="383">
        <v>6.9444444444444434E-2</v>
      </c>
      <c r="E3885" s="389">
        <v>9.0277777777777776E-2</v>
      </c>
      <c r="F3885" s="385">
        <v>28</v>
      </c>
      <c r="G3885" s="391"/>
      <c r="H3885" s="316"/>
      <c r="I3885" s="391"/>
      <c r="J3885" s="385"/>
      <c r="K3885" s="391"/>
      <c r="L3885" s="385"/>
      <c r="M3885" s="391"/>
      <c r="N3885" s="385"/>
      <c r="O3885" s="190"/>
    </row>
    <row r="3886" spans="2:15" ht="16" x14ac:dyDescent="0.2">
      <c r="C3886" s="119">
        <v>13</v>
      </c>
      <c r="D3886" s="383">
        <v>8.3333333333333329E-2</v>
      </c>
      <c r="E3886" s="389">
        <v>0.10416666666666667</v>
      </c>
      <c r="F3886" s="385"/>
      <c r="G3886" s="391"/>
      <c r="H3886" s="316"/>
      <c r="I3886" s="391"/>
      <c r="J3886" s="385">
        <v>36</v>
      </c>
      <c r="K3886" s="391"/>
      <c r="L3886" s="385"/>
      <c r="M3886" s="391"/>
      <c r="N3886" s="385"/>
      <c r="O3886" s="190"/>
    </row>
    <row r="3887" spans="2:15" ht="16" x14ac:dyDescent="0.2">
      <c r="C3887" s="119">
        <v>14</v>
      </c>
      <c r="D3887" s="383">
        <v>0.10416666666666667</v>
      </c>
      <c r="E3887" s="389">
        <v>0.125</v>
      </c>
      <c r="F3887" s="385"/>
      <c r="G3887" s="391"/>
      <c r="H3887" s="316"/>
      <c r="I3887" s="391"/>
      <c r="J3887" s="385">
        <v>33</v>
      </c>
      <c r="K3887" s="391"/>
      <c r="L3887" s="385"/>
      <c r="M3887" s="391"/>
      <c r="N3887" s="385"/>
      <c r="O3887" s="190"/>
    </row>
    <row r="3888" spans="2:15" ht="16" x14ac:dyDescent="0.2">
      <c r="C3888" s="119">
        <v>15</v>
      </c>
      <c r="D3888" s="383">
        <v>0.125</v>
      </c>
      <c r="E3888" s="389">
        <v>0.14583333333333334</v>
      </c>
      <c r="F3888" s="385"/>
      <c r="G3888" s="391"/>
      <c r="H3888" s="316"/>
      <c r="I3888" s="391"/>
      <c r="J3888" s="385">
        <v>36</v>
      </c>
      <c r="K3888" s="391"/>
      <c r="L3888" s="385"/>
      <c r="M3888" s="391"/>
      <c r="N3888" s="385"/>
      <c r="O3888" s="190"/>
    </row>
    <row r="3889" spans="3:15" ht="16" x14ac:dyDescent="0.2">
      <c r="C3889" s="119">
        <v>16</v>
      </c>
      <c r="D3889" s="383">
        <v>0.14583333333333334</v>
      </c>
      <c r="E3889" s="389">
        <v>0.16666666666666666</v>
      </c>
      <c r="F3889" s="385"/>
      <c r="G3889" s="391"/>
      <c r="H3889" s="316"/>
      <c r="I3889" s="391"/>
      <c r="J3889" s="385">
        <v>36</v>
      </c>
      <c r="K3889" s="391"/>
      <c r="L3889" s="385"/>
      <c r="M3889" s="391"/>
      <c r="N3889" s="385"/>
      <c r="O3889" s="190"/>
    </row>
    <row r="3890" spans="3:15" ht="16" x14ac:dyDescent="0.2">
      <c r="C3890" s="119">
        <v>17</v>
      </c>
      <c r="D3890" s="383">
        <v>0.16666666666666666</v>
      </c>
      <c r="E3890" s="389">
        <v>0.1875</v>
      </c>
      <c r="F3890" s="384"/>
      <c r="G3890" s="33"/>
      <c r="H3890" s="316"/>
      <c r="I3890" s="390">
        <v>44</v>
      </c>
      <c r="J3890" s="385"/>
      <c r="K3890" s="391"/>
      <c r="L3890" s="385"/>
      <c r="M3890" s="391"/>
      <c r="N3890" s="385"/>
      <c r="O3890" s="190"/>
    </row>
    <row r="3891" spans="3:15" ht="16" x14ac:dyDescent="0.2">
      <c r="C3891" s="119">
        <v>18</v>
      </c>
      <c r="D3891" s="383">
        <v>0.1875</v>
      </c>
      <c r="E3891" s="389">
        <v>0.20833333333333334</v>
      </c>
      <c r="F3891" s="394"/>
      <c r="G3891" s="229"/>
      <c r="H3891" s="394"/>
      <c r="I3891" s="391">
        <v>44</v>
      </c>
      <c r="J3891" s="385"/>
      <c r="K3891" s="391"/>
      <c r="L3891" s="385"/>
      <c r="M3891" s="391"/>
      <c r="N3891" s="385"/>
      <c r="O3891" s="190"/>
    </row>
    <row r="3892" spans="3:15" ht="16" x14ac:dyDescent="0.2">
      <c r="C3892" s="119">
        <v>19</v>
      </c>
      <c r="D3892" s="383">
        <v>0.20833333333333334</v>
      </c>
      <c r="E3892" s="389">
        <v>0.22916666666666666</v>
      </c>
      <c r="F3892" s="385"/>
      <c r="G3892" s="391"/>
      <c r="H3892" s="385"/>
      <c r="I3892" s="391">
        <v>44</v>
      </c>
      <c r="J3892" s="385"/>
      <c r="K3892" s="391"/>
      <c r="L3892" s="403"/>
      <c r="M3892" s="391"/>
      <c r="N3892" s="385"/>
      <c r="O3892" s="190"/>
    </row>
    <row r="3893" spans="3:15" ht="16" x14ac:dyDescent="0.2">
      <c r="C3893" s="119">
        <v>20</v>
      </c>
      <c r="D3893" s="383"/>
      <c r="E3893" s="389"/>
      <c r="F3893" s="385"/>
      <c r="G3893" s="391"/>
      <c r="H3893" s="385"/>
      <c r="I3893" s="391"/>
      <c r="J3893" s="385"/>
      <c r="K3893" s="391"/>
      <c r="L3893" s="403"/>
      <c r="M3893" s="391"/>
      <c r="N3893" s="385"/>
      <c r="O3893" s="190"/>
    </row>
    <row r="3894" spans="3:15" ht="16" x14ac:dyDescent="0.2">
      <c r="C3894" s="119">
        <v>21</v>
      </c>
      <c r="D3894" s="383"/>
      <c r="E3894" s="389"/>
      <c r="F3894" s="385"/>
      <c r="G3894" s="391"/>
      <c r="H3894" s="385"/>
      <c r="I3894" s="391"/>
      <c r="J3894" s="385"/>
      <c r="K3894" s="391"/>
      <c r="L3894" s="385"/>
      <c r="M3894" s="391"/>
      <c r="N3894" s="385"/>
      <c r="O3894" s="190"/>
    </row>
    <row r="3895" spans="3:15" ht="16" x14ac:dyDescent="0.2">
      <c r="C3895" s="119">
        <v>22</v>
      </c>
      <c r="D3895" s="383"/>
      <c r="E3895" s="389"/>
      <c r="F3895" s="385"/>
      <c r="G3895" s="391"/>
      <c r="H3895" s="385"/>
      <c r="I3895" s="391"/>
      <c r="J3895" s="385"/>
      <c r="K3895" s="391"/>
      <c r="L3895" s="385"/>
      <c r="M3895" s="391"/>
      <c r="N3895" s="385"/>
      <c r="O3895" s="190"/>
    </row>
    <row r="3896" spans="3:15" ht="16" x14ac:dyDescent="0.2">
      <c r="C3896" s="119">
        <v>23</v>
      </c>
      <c r="D3896" s="383"/>
      <c r="E3896" s="389"/>
      <c r="F3896" s="385"/>
      <c r="G3896" s="391"/>
      <c r="H3896" s="385"/>
      <c r="I3896" s="391"/>
      <c r="J3896" s="385"/>
      <c r="K3896" s="391"/>
      <c r="L3896" s="385"/>
      <c r="M3896" s="391"/>
      <c r="N3896" s="385"/>
      <c r="O3896" s="190"/>
    </row>
    <row r="3897" spans="3:15" ht="16" x14ac:dyDescent="0.2">
      <c r="C3897" s="119">
        <v>24</v>
      </c>
      <c r="D3897" s="383"/>
      <c r="E3897" s="389"/>
      <c r="F3897" s="385"/>
      <c r="G3897" s="391"/>
      <c r="H3897" s="385"/>
      <c r="I3897" s="391"/>
      <c r="J3897" s="385"/>
      <c r="K3897" s="391"/>
      <c r="L3897" s="385"/>
      <c r="M3897" s="391"/>
      <c r="N3897" s="385"/>
      <c r="O3897" s="190"/>
    </row>
    <row r="3898" spans="3:15" ht="16" x14ac:dyDescent="0.2">
      <c r="C3898" s="119">
        <v>25</v>
      </c>
      <c r="D3898" s="383"/>
      <c r="E3898" s="389"/>
      <c r="F3898" s="385"/>
      <c r="G3898" s="391"/>
      <c r="H3898" s="385"/>
      <c r="I3898" s="391"/>
      <c r="J3898" s="385"/>
      <c r="K3898" s="391"/>
      <c r="L3898" s="385"/>
      <c r="M3898" s="391"/>
      <c r="N3898" s="385"/>
      <c r="O3898" s="190"/>
    </row>
    <row r="3899" spans="3:15" ht="16" x14ac:dyDescent="0.2">
      <c r="C3899" s="119">
        <v>26</v>
      </c>
      <c r="D3899" s="383"/>
      <c r="E3899" s="389"/>
      <c r="F3899" s="385"/>
      <c r="G3899" s="391"/>
      <c r="H3899" s="385"/>
      <c r="I3899" s="391"/>
      <c r="J3899" s="385"/>
      <c r="K3899" s="391"/>
      <c r="L3899" s="385"/>
      <c r="M3899" s="391"/>
      <c r="N3899" s="385"/>
      <c r="O3899" s="190"/>
    </row>
    <row r="3900" spans="3:15" ht="16" x14ac:dyDescent="0.2">
      <c r="C3900" s="119">
        <v>27</v>
      </c>
      <c r="D3900" s="383"/>
      <c r="E3900" s="389"/>
      <c r="F3900" s="385"/>
      <c r="G3900" s="391"/>
      <c r="H3900" s="385"/>
      <c r="I3900" s="391"/>
      <c r="J3900" s="385"/>
      <c r="K3900" s="391"/>
      <c r="L3900" s="385"/>
      <c r="M3900" s="391"/>
      <c r="N3900" s="385"/>
      <c r="O3900" s="190"/>
    </row>
    <row r="3901" spans="3:15" ht="16" x14ac:dyDescent="0.2">
      <c r="C3901" s="119">
        <v>28</v>
      </c>
      <c r="D3901" s="383"/>
      <c r="E3901" s="389"/>
      <c r="F3901" s="385"/>
      <c r="G3901" s="391"/>
      <c r="H3901" s="385"/>
      <c r="I3901" s="391"/>
      <c r="J3901" s="385"/>
      <c r="K3901" s="391"/>
      <c r="L3901" s="385"/>
      <c r="M3901" s="391"/>
      <c r="N3901" s="385"/>
      <c r="O3901" s="190"/>
    </row>
    <row r="3902" spans="3:15" ht="16" x14ac:dyDescent="0.2">
      <c r="C3902" s="119">
        <v>29</v>
      </c>
      <c r="D3902" s="383"/>
      <c r="E3902" s="389"/>
      <c r="F3902" s="385"/>
      <c r="G3902" s="391"/>
      <c r="H3902" s="385"/>
      <c r="I3902" s="391"/>
      <c r="J3902" s="385"/>
      <c r="K3902" s="391"/>
      <c r="L3902" s="385"/>
      <c r="M3902" s="391"/>
      <c r="N3902" s="385"/>
      <c r="O3902" s="190"/>
    </row>
    <row r="3903" spans="3:15" ht="16" x14ac:dyDescent="0.2">
      <c r="C3903" s="119">
        <v>30</v>
      </c>
      <c r="D3903" s="383"/>
      <c r="E3903" s="389"/>
      <c r="F3903" s="385"/>
      <c r="G3903" s="391"/>
      <c r="H3903" s="385"/>
      <c r="I3903" s="391"/>
      <c r="J3903" s="385"/>
      <c r="K3903" s="391"/>
      <c r="L3903" s="385"/>
      <c r="M3903" s="391"/>
      <c r="N3903" s="385"/>
      <c r="O3903" s="190"/>
    </row>
    <row r="3904" spans="3:15" ht="16" x14ac:dyDescent="0.2">
      <c r="C3904" s="120">
        <v>31</v>
      </c>
      <c r="D3904" s="383"/>
      <c r="E3904" s="389"/>
      <c r="F3904" s="384"/>
      <c r="G3904" s="390"/>
      <c r="H3904" s="384"/>
      <c r="I3904" s="390"/>
      <c r="J3904" s="384"/>
      <c r="K3904" s="390"/>
      <c r="L3904" s="384"/>
      <c r="M3904" s="390"/>
      <c r="N3904" s="384"/>
      <c r="O3904" s="190"/>
    </row>
    <row r="3905" spans="2:15" ht="16" x14ac:dyDescent="0.2">
      <c r="B3905" s="256"/>
      <c r="C3905" s="377">
        <v>32</v>
      </c>
      <c r="D3905" s="384"/>
      <c r="E3905" s="390"/>
      <c r="F3905" s="384"/>
      <c r="G3905" s="390"/>
      <c r="H3905" s="384"/>
      <c r="I3905" s="390"/>
      <c r="J3905" s="384"/>
      <c r="K3905" s="390"/>
      <c r="L3905" s="384"/>
      <c r="M3905" s="390"/>
      <c r="N3905" s="384"/>
      <c r="O3905" s="190"/>
    </row>
    <row r="3906" spans="2:15" ht="16" x14ac:dyDescent="0.2">
      <c r="B3906" s="256"/>
      <c r="C3906" s="119">
        <v>33</v>
      </c>
      <c r="D3906" s="385"/>
      <c r="E3906" s="391"/>
      <c r="F3906" s="385"/>
      <c r="G3906" s="391"/>
      <c r="H3906" s="385"/>
      <c r="I3906" s="391"/>
      <c r="J3906" s="385"/>
      <c r="K3906" s="391"/>
      <c r="L3906" s="385"/>
      <c r="M3906" s="391"/>
      <c r="N3906" s="385"/>
      <c r="O3906" s="190"/>
    </row>
    <row r="3907" spans="2:15" ht="16" x14ac:dyDescent="0.2">
      <c r="B3907" s="256"/>
      <c r="C3907" s="119">
        <v>34</v>
      </c>
      <c r="D3907" s="385"/>
      <c r="E3907" s="391"/>
      <c r="F3907" s="385"/>
      <c r="G3907" s="391"/>
      <c r="H3907" s="385"/>
      <c r="I3907" s="391"/>
      <c r="J3907" s="385"/>
      <c r="K3907" s="391"/>
      <c r="L3907" s="385"/>
      <c r="M3907" s="391"/>
      <c r="N3907" s="385"/>
      <c r="O3907" s="190"/>
    </row>
    <row r="3908" spans="2:15" ht="16" x14ac:dyDescent="0.2">
      <c r="B3908" s="256"/>
      <c r="C3908" s="119">
        <v>35</v>
      </c>
      <c r="D3908" s="385"/>
      <c r="E3908" s="391"/>
      <c r="F3908" s="385"/>
      <c r="G3908" s="391"/>
      <c r="H3908" s="385"/>
      <c r="I3908" s="391"/>
      <c r="J3908" s="385"/>
      <c r="K3908" s="391"/>
      <c r="L3908" s="385"/>
      <c r="M3908" s="391"/>
      <c r="N3908" s="385"/>
      <c r="O3908" s="190"/>
    </row>
    <row r="3909" spans="2:15" ht="16" x14ac:dyDescent="0.2">
      <c r="B3909" s="256"/>
      <c r="C3909" s="119">
        <v>36</v>
      </c>
      <c r="D3909" s="385"/>
      <c r="E3909" s="391"/>
      <c r="F3909" s="385"/>
      <c r="G3909" s="391"/>
      <c r="H3909" s="385"/>
      <c r="I3909" s="391"/>
      <c r="J3909" s="385"/>
      <c r="K3909" s="391"/>
      <c r="L3909" s="385"/>
      <c r="M3909" s="391"/>
      <c r="N3909" s="385"/>
      <c r="O3909" s="190"/>
    </row>
    <row r="3910" spans="2:15" ht="17" thickBot="1" x14ac:dyDescent="0.25">
      <c r="B3910" s="256"/>
      <c r="C3910" s="378">
        <v>37</v>
      </c>
      <c r="D3910" s="386"/>
      <c r="E3910" s="392"/>
      <c r="F3910" s="386"/>
      <c r="G3910" s="392"/>
      <c r="H3910" s="386"/>
      <c r="I3910" s="392"/>
      <c r="J3910" s="386"/>
      <c r="K3910" s="392"/>
      <c r="L3910" s="386"/>
      <c r="M3910" s="392"/>
      <c r="N3910" s="386"/>
      <c r="O3910" s="190"/>
    </row>
    <row r="3911" spans="2:15" ht="17" thickBot="1" x14ac:dyDescent="0.25">
      <c r="C3911" s="825" t="s">
        <v>19</v>
      </c>
      <c r="D3911" s="826"/>
      <c r="E3911" s="380"/>
      <c r="F3911" s="376">
        <f>(F3874+F3875+F3876+F3877+F3878+F3879+F3895+F3882+F3883+F3880+F3881+F3884+F3885+F3886+F3887+F3888+F3889+F3890+F3891+F3892+F3893+F3894+F3896+F3897+F3899+F3900+F3901+F3902+F3903+F3904+F3905+F3906+F3907+F3910)/2</f>
        <v>84</v>
      </c>
      <c r="G3911" s="397">
        <f>(G3874+G3875+G3876+G3877+G3878+G3895+G3879+G3883+G3882+G3880+G3881+G3884+G3885+G3886+G3887+G3888+G3889+G3890+G3891+G3892+G3893+G3894+G3896+G3897+G3899+G3900+G3901+G3902+G3903+G3904+G3905+G3906)/2</f>
        <v>49</v>
      </c>
      <c r="H3911" s="399">
        <f>(H3874+H3875+H3876+H3877+H3878+H3879+H3895+H3898+H3882+H3883+H3880+H3881+H3884+H3885+H3886+H3887+H3888+H3889+H3890+H3891+H3892+H3893+H3894+H3896+H3897+H3899+H3900+H3901+H3902+H3903+H3904+H3905+H3906+H3907+H3910)/2</f>
        <v>28</v>
      </c>
      <c r="I3911" s="398">
        <f>(I3874+I3875+I3876+I3877+I3878+I3908+I3909+I3879+I3895+I3882+I3898+I3883+I3880+I3881+I3884+I3885+I3886+I3887+I3888+I3889+I3890+I3891+I3892+I3893+I3894+I3896+I3897+I3899+I3900+I3901+I3902+I3903+I3904+I3905+I3906+I3907+I3910)/2</f>
        <v>66</v>
      </c>
      <c r="J3911" s="376">
        <f>(J3874+J3875+J3876+J3877+J3878+J3879+J3883+J3880+J3882+J3881+J3898+J3884+J3885+J3886+J3887+J3888+J3889+J3890+J3891+J3892+J3893+J3894+J3895+J3896+J3897+J3899+J3900+J3901+J3902+J3903+J3904+J3905+J3906)/2</f>
        <v>70.5</v>
      </c>
      <c r="K3911" s="397">
        <f>(K3874+K3875+K3876+K3877+K3878+K3879+K3883+K3880+K3881+K3884+K3885+K3886+K3887+K3888+K3889+K3890+K3891+K3892+K3893+K3894+K3896+K3897+K3899+K3900+K3901+K3902+K3903+K3904+K3905+K3906+K3895)</f>
        <v>0</v>
      </c>
      <c r="L3911" s="399">
        <f>SUM(L3874:L3910)</f>
        <v>0</v>
      </c>
      <c r="M3911" s="398">
        <f>(M3874+M3875+M3876+M3877+M3878+M3879+M3883+M3882+M3880+M3881+M3884+M3885+M3886+M3887+M3888+M3889+M3890+M3891+M3892+M3893+M3894+M3896+M3897+M3899+M3900+M3901+M3902+M3903+M3904+M3905+M3906)/2</f>
        <v>0</v>
      </c>
      <c r="N3911" s="376"/>
      <c r="O3911" s="41"/>
    </row>
    <row r="3912" spans="2:15" ht="17" thickBot="1" x14ac:dyDescent="0.25">
      <c r="C3912" s="825" t="s">
        <v>91</v>
      </c>
      <c r="D3912" s="826"/>
      <c r="E3912" s="381">
        <f>SUM(F3911:J3911)</f>
        <v>297.5</v>
      </c>
    </row>
    <row r="3913" spans="2:15" ht="16" thickBot="1" x14ac:dyDescent="0.25"/>
    <row r="3914" spans="2:15" ht="17" thickBot="1" x14ac:dyDescent="0.25">
      <c r="C3914" s="17"/>
      <c r="D3914" s="379" t="s">
        <v>83</v>
      </c>
      <c r="E3914" s="818" t="s">
        <v>63</v>
      </c>
      <c r="F3914" s="819"/>
      <c r="G3914" s="819"/>
      <c r="H3914" s="819"/>
      <c r="I3914" s="819"/>
      <c r="J3914" s="400" t="s">
        <v>76</v>
      </c>
      <c r="K3914" s="820">
        <v>45656</v>
      </c>
      <c r="L3914" s="821"/>
      <c r="M3914" s="821"/>
      <c r="N3914" s="821"/>
      <c r="O3914" s="822"/>
    </row>
    <row r="3915" spans="2:15" ht="16" thickBot="1" x14ac:dyDescent="0.25">
      <c r="B3915" s="175" t="s">
        <v>76</v>
      </c>
      <c r="C3915" s="175" t="s">
        <v>77</v>
      </c>
      <c r="D3915" s="823" t="s">
        <v>122</v>
      </c>
      <c r="E3915" s="824"/>
      <c r="F3915" s="175" t="s">
        <v>104</v>
      </c>
      <c r="G3915" s="395" t="s">
        <v>86</v>
      </c>
      <c r="H3915" s="175" t="s">
        <v>88</v>
      </c>
      <c r="I3915" s="395" t="s">
        <v>87</v>
      </c>
      <c r="J3915" s="401" t="s">
        <v>85</v>
      </c>
      <c r="K3915" s="395" t="s">
        <v>123</v>
      </c>
      <c r="L3915" s="175" t="s">
        <v>124</v>
      </c>
      <c r="M3915" s="395" t="s">
        <v>100</v>
      </c>
      <c r="N3915" s="175" t="s">
        <v>213</v>
      </c>
      <c r="O3915" s="404" t="s">
        <v>125</v>
      </c>
    </row>
    <row r="3916" spans="2:15" ht="16" thickBot="1" x14ac:dyDescent="0.25">
      <c r="B3916" s="176">
        <f>K3914</f>
        <v>45656</v>
      </c>
      <c r="C3916" s="374"/>
      <c r="D3916" s="375" t="s">
        <v>126</v>
      </c>
      <c r="E3916" s="387" t="s">
        <v>127</v>
      </c>
      <c r="F3916" s="331">
        <v>9</v>
      </c>
      <c r="G3916" s="237">
        <v>11</v>
      </c>
      <c r="H3916" s="331">
        <v>0</v>
      </c>
      <c r="I3916" s="237">
        <v>6</v>
      </c>
      <c r="J3916" s="331">
        <v>9</v>
      </c>
      <c r="K3916" s="231"/>
      <c r="L3916" s="125"/>
      <c r="M3916" s="231"/>
      <c r="N3916" s="125"/>
      <c r="O3916" s="326"/>
    </row>
    <row r="3917" spans="2:15" ht="16" x14ac:dyDescent="0.2">
      <c r="C3917" s="118">
        <v>1</v>
      </c>
      <c r="D3917" s="382"/>
      <c r="E3917" s="388"/>
      <c r="F3917" s="393"/>
      <c r="G3917" s="396"/>
      <c r="H3917" s="393"/>
      <c r="I3917" s="396"/>
      <c r="J3917" s="393"/>
      <c r="K3917" s="396"/>
      <c r="L3917" s="393"/>
      <c r="M3917" s="396"/>
      <c r="N3917" s="393"/>
      <c r="O3917" s="190"/>
    </row>
    <row r="3918" spans="2:15" ht="16" x14ac:dyDescent="0.2">
      <c r="C3918" s="119">
        <v>2</v>
      </c>
      <c r="D3918" s="383"/>
      <c r="E3918" s="389"/>
      <c r="F3918" s="385"/>
      <c r="G3918" s="391"/>
      <c r="H3918" s="385"/>
      <c r="I3918" s="391"/>
      <c r="J3918" s="385"/>
      <c r="K3918" s="391"/>
      <c r="L3918" s="385"/>
      <c r="M3918" s="391"/>
      <c r="N3918" s="385"/>
      <c r="O3918" s="190"/>
    </row>
    <row r="3919" spans="2:15" ht="16" x14ac:dyDescent="0.2">
      <c r="C3919" s="119">
        <v>3</v>
      </c>
      <c r="D3919" s="383"/>
      <c r="E3919" s="389"/>
      <c r="F3919" s="385"/>
      <c r="G3919" s="391"/>
      <c r="H3919" s="385"/>
      <c r="I3919" s="391"/>
      <c r="J3919" s="385"/>
      <c r="K3919" s="391"/>
      <c r="L3919" s="384"/>
      <c r="M3919" s="391"/>
      <c r="N3919" s="385"/>
      <c r="O3919" s="190"/>
    </row>
    <row r="3920" spans="2:15" ht="16" x14ac:dyDescent="0.2">
      <c r="C3920" s="119">
        <v>4</v>
      </c>
      <c r="D3920" s="383"/>
      <c r="E3920" s="389"/>
      <c r="F3920" s="385"/>
      <c r="G3920" s="391"/>
      <c r="H3920" s="316"/>
      <c r="I3920" s="391"/>
      <c r="J3920" s="385"/>
      <c r="K3920" s="391"/>
      <c r="L3920" s="402"/>
      <c r="M3920" s="391"/>
      <c r="N3920" s="385"/>
      <c r="O3920" s="190"/>
    </row>
    <row r="3921" spans="3:15" ht="16" x14ac:dyDescent="0.2">
      <c r="C3921" s="119">
        <v>5</v>
      </c>
      <c r="D3921" s="383"/>
      <c r="E3921" s="389"/>
      <c r="F3921" s="385"/>
      <c r="G3921" s="391"/>
      <c r="H3921" s="316"/>
      <c r="I3921" s="391"/>
      <c r="J3921" s="385"/>
      <c r="K3921" s="391"/>
      <c r="L3921" s="393"/>
      <c r="M3921" s="391"/>
      <c r="N3921" s="385"/>
      <c r="O3921" s="190"/>
    </row>
    <row r="3922" spans="3:15" ht="16" x14ac:dyDescent="0.2">
      <c r="C3922" s="119">
        <v>6</v>
      </c>
      <c r="D3922" s="383"/>
      <c r="E3922" s="389"/>
      <c r="F3922" s="385"/>
      <c r="G3922" s="391"/>
      <c r="H3922" s="316"/>
      <c r="I3922" s="391"/>
      <c r="J3922" s="385"/>
      <c r="K3922" s="391"/>
      <c r="L3922" s="393"/>
      <c r="M3922" s="391"/>
      <c r="N3922" s="385"/>
      <c r="O3922" s="190"/>
    </row>
    <row r="3923" spans="3:15" ht="16" x14ac:dyDescent="0.2">
      <c r="C3923" s="119">
        <v>7</v>
      </c>
      <c r="D3923" s="383"/>
      <c r="E3923" s="389"/>
      <c r="F3923" s="385"/>
      <c r="G3923" s="391"/>
      <c r="H3923" s="316"/>
      <c r="I3923" s="391"/>
      <c r="J3923" s="385"/>
      <c r="K3923" s="391"/>
      <c r="L3923" s="393"/>
      <c r="M3923" s="391"/>
      <c r="N3923" s="385"/>
      <c r="O3923" s="190"/>
    </row>
    <row r="3924" spans="3:15" ht="16" x14ac:dyDescent="0.2">
      <c r="C3924" s="119">
        <v>8</v>
      </c>
      <c r="D3924" s="383"/>
      <c r="E3924" s="389"/>
      <c r="F3924" s="385"/>
      <c r="G3924" s="391"/>
      <c r="H3924" s="316"/>
      <c r="I3924" s="391"/>
      <c r="J3924" s="385"/>
      <c r="K3924" s="391"/>
      <c r="L3924" s="385"/>
      <c r="M3924" s="391"/>
      <c r="N3924" s="385"/>
      <c r="O3924" s="190"/>
    </row>
    <row r="3925" spans="3:15" ht="16" x14ac:dyDescent="0.2">
      <c r="C3925" s="119">
        <v>9</v>
      </c>
      <c r="D3925" s="383"/>
      <c r="E3925" s="389"/>
      <c r="F3925" s="385"/>
      <c r="G3925" s="391"/>
      <c r="H3925" s="316"/>
      <c r="I3925" s="391"/>
      <c r="J3925" s="385"/>
      <c r="K3925" s="391"/>
      <c r="L3925" s="385"/>
      <c r="M3925" s="391"/>
      <c r="N3925" s="385"/>
      <c r="O3925" s="190"/>
    </row>
    <row r="3926" spans="3:15" ht="16" x14ac:dyDescent="0.2">
      <c r="C3926" s="119">
        <v>10</v>
      </c>
      <c r="D3926" s="383"/>
      <c r="E3926" s="389"/>
      <c r="F3926" s="385"/>
      <c r="G3926" s="391"/>
      <c r="H3926" s="316"/>
      <c r="I3926" s="391"/>
      <c r="J3926" s="385"/>
      <c r="K3926" s="391"/>
      <c r="L3926" s="385"/>
      <c r="M3926" s="391"/>
      <c r="N3926" s="385"/>
      <c r="O3926" s="190"/>
    </row>
    <row r="3927" spans="3:15" ht="16" x14ac:dyDescent="0.2">
      <c r="C3927" s="119">
        <v>11</v>
      </c>
      <c r="D3927" s="383"/>
      <c r="E3927" s="389"/>
      <c r="F3927" s="385"/>
      <c r="G3927" s="391"/>
      <c r="H3927" s="316"/>
      <c r="I3927" s="391"/>
      <c r="J3927" s="28"/>
      <c r="K3927" s="391"/>
      <c r="L3927" s="385"/>
      <c r="M3927" s="391"/>
      <c r="N3927" s="385"/>
      <c r="O3927" s="190"/>
    </row>
    <row r="3928" spans="3:15" ht="16" x14ac:dyDescent="0.2">
      <c r="C3928" s="193">
        <v>12</v>
      </c>
      <c r="D3928" s="383"/>
      <c r="E3928" s="389"/>
      <c r="F3928" s="385"/>
      <c r="G3928" s="391"/>
      <c r="H3928" s="316"/>
      <c r="I3928" s="391"/>
      <c r="J3928" s="385"/>
      <c r="K3928" s="391"/>
      <c r="L3928" s="385"/>
      <c r="M3928" s="391"/>
      <c r="N3928" s="385"/>
      <c r="O3928" s="190"/>
    </row>
    <row r="3929" spans="3:15" ht="16" x14ac:dyDescent="0.2">
      <c r="C3929" s="119">
        <v>13</v>
      </c>
      <c r="D3929" s="383"/>
      <c r="E3929" s="389"/>
      <c r="F3929" s="385"/>
      <c r="G3929" s="391"/>
      <c r="H3929" s="316"/>
      <c r="I3929" s="391"/>
      <c r="J3929" s="385"/>
      <c r="K3929" s="391"/>
      <c r="L3929" s="385"/>
      <c r="M3929" s="391"/>
      <c r="N3929" s="385"/>
      <c r="O3929" s="190"/>
    </row>
    <row r="3930" spans="3:15" ht="16" x14ac:dyDescent="0.2">
      <c r="C3930" s="119">
        <v>14</v>
      </c>
      <c r="D3930" s="383"/>
      <c r="E3930" s="389"/>
      <c r="F3930" s="385"/>
      <c r="G3930" s="391"/>
      <c r="H3930" s="316"/>
      <c r="I3930" s="391"/>
      <c r="J3930" s="385"/>
      <c r="K3930" s="391"/>
      <c r="L3930" s="385"/>
      <c r="M3930" s="391"/>
      <c r="N3930" s="385"/>
      <c r="O3930" s="190"/>
    </row>
    <row r="3931" spans="3:15" ht="16" x14ac:dyDescent="0.2">
      <c r="C3931" s="119">
        <v>15</v>
      </c>
      <c r="D3931" s="383"/>
      <c r="E3931" s="389"/>
      <c r="F3931" s="385"/>
      <c r="G3931" s="391"/>
      <c r="H3931" s="316"/>
      <c r="I3931" s="391"/>
      <c r="J3931" s="385"/>
      <c r="K3931" s="391"/>
      <c r="L3931" s="385"/>
      <c r="M3931" s="391"/>
      <c r="N3931" s="385"/>
      <c r="O3931" s="190"/>
    </row>
    <row r="3932" spans="3:15" ht="16" x14ac:dyDescent="0.2">
      <c r="C3932" s="119">
        <v>16</v>
      </c>
      <c r="D3932" s="383"/>
      <c r="E3932" s="389"/>
      <c r="F3932" s="385"/>
      <c r="G3932" s="391"/>
      <c r="H3932" s="316"/>
      <c r="I3932" s="391"/>
      <c r="J3932" s="385"/>
      <c r="K3932" s="391"/>
      <c r="L3932" s="385"/>
      <c r="M3932" s="391"/>
      <c r="N3932" s="385"/>
      <c r="O3932" s="190"/>
    </row>
    <row r="3933" spans="3:15" ht="16" x14ac:dyDescent="0.2">
      <c r="C3933" s="119">
        <v>17</v>
      </c>
      <c r="D3933" s="383"/>
      <c r="E3933" s="389"/>
      <c r="F3933" s="384"/>
      <c r="G3933" s="33"/>
      <c r="H3933" s="316"/>
      <c r="I3933" s="390"/>
      <c r="J3933" s="385"/>
      <c r="K3933" s="391"/>
      <c r="L3933" s="385"/>
      <c r="M3933" s="391"/>
      <c r="N3933" s="385"/>
      <c r="O3933" s="190"/>
    </row>
    <row r="3934" spans="3:15" ht="16" x14ac:dyDescent="0.2">
      <c r="C3934" s="119">
        <v>18</v>
      </c>
      <c r="D3934" s="383"/>
      <c r="E3934" s="389"/>
      <c r="F3934" s="394"/>
      <c r="G3934" s="229"/>
      <c r="H3934" s="394"/>
      <c r="I3934" s="391"/>
      <c r="J3934" s="385"/>
      <c r="K3934" s="391"/>
      <c r="L3934" s="385"/>
      <c r="M3934" s="391"/>
      <c r="N3934" s="385"/>
      <c r="O3934" s="190"/>
    </row>
    <row r="3935" spans="3:15" ht="16" x14ac:dyDescent="0.2">
      <c r="C3935" s="119">
        <v>19</v>
      </c>
      <c r="D3935" s="383"/>
      <c r="E3935" s="389"/>
      <c r="F3935" s="385"/>
      <c r="G3935" s="391"/>
      <c r="H3935" s="385"/>
      <c r="I3935" s="391"/>
      <c r="J3935" s="385"/>
      <c r="K3935" s="391"/>
      <c r="L3935" s="403"/>
      <c r="M3935" s="391"/>
      <c r="N3935" s="385"/>
      <c r="O3935" s="190"/>
    </row>
    <row r="3936" spans="3:15" ht="16" x14ac:dyDescent="0.2">
      <c r="C3936" s="119">
        <v>20</v>
      </c>
      <c r="D3936" s="383"/>
      <c r="E3936" s="389"/>
      <c r="F3936" s="385"/>
      <c r="G3936" s="391"/>
      <c r="H3936" s="385"/>
      <c r="I3936" s="391"/>
      <c r="J3936" s="385"/>
      <c r="K3936" s="391"/>
      <c r="L3936" s="403"/>
      <c r="M3936" s="391"/>
      <c r="N3936" s="385"/>
      <c r="O3936" s="190"/>
    </row>
    <row r="3937" spans="2:15" ht="16" x14ac:dyDescent="0.2">
      <c r="C3937" s="119">
        <v>21</v>
      </c>
      <c r="D3937" s="383"/>
      <c r="E3937" s="389"/>
      <c r="F3937" s="385"/>
      <c r="G3937" s="391"/>
      <c r="H3937" s="385"/>
      <c r="I3937" s="391"/>
      <c r="J3937" s="385"/>
      <c r="K3937" s="391"/>
      <c r="L3937" s="385"/>
      <c r="M3937" s="391"/>
      <c r="N3937" s="385"/>
      <c r="O3937" s="190"/>
    </row>
    <row r="3938" spans="2:15" ht="16" x14ac:dyDescent="0.2">
      <c r="C3938" s="119">
        <v>22</v>
      </c>
      <c r="D3938" s="383"/>
      <c r="E3938" s="389"/>
      <c r="F3938" s="385"/>
      <c r="G3938" s="391"/>
      <c r="H3938" s="385"/>
      <c r="I3938" s="391"/>
      <c r="J3938" s="385"/>
      <c r="K3938" s="391"/>
      <c r="L3938" s="385"/>
      <c r="M3938" s="391"/>
      <c r="N3938" s="385"/>
      <c r="O3938" s="190"/>
    </row>
    <row r="3939" spans="2:15" ht="16" x14ac:dyDescent="0.2">
      <c r="C3939" s="119">
        <v>23</v>
      </c>
      <c r="D3939" s="383"/>
      <c r="E3939" s="389"/>
      <c r="F3939" s="385"/>
      <c r="G3939" s="391"/>
      <c r="H3939" s="385"/>
      <c r="I3939" s="391"/>
      <c r="J3939" s="385"/>
      <c r="K3939" s="391"/>
      <c r="L3939" s="385"/>
      <c r="M3939" s="391"/>
      <c r="N3939" s="385"/>
      <c r="O3939" s="190"/>
    </row>
    <row r="3940" spans="2:15" ht="16" x14ac:dyDescent="0.2">
      <c r="C3940" s="119">
        <v>24</v>
      </c>
      <c r="D3940" s="383"/>
      <c r="E3940" s="389"/>
      <c r="F3940" s="385"/>
      <c r="G3940" s="391"/>
      <c r="H3940" s="385"/>
      <c r="I3940" s="391"/>
      <c r="J3940" s="385"/>
      <c r="K3940" s="391"/>
      <c r="L3940" s="385"/>
      <c r="M3940" s="391"/>
      <c r="N3940" s="385"/>
      <c r="O3940" s="190"/>
    </row>
    <row r="3941" spans="2:15" ht="16" x14ac:dyDescent="0.2">
      <c r="C3941" s="119">
        <v>25</v>
      </c>
      <c r="D3941" s="383"/>
      <c r="E3941" s="389"/>
      <c r="F3941" s="385"/>
      <c r="G3941" s="391"/>
      <c r="H3941" s="385"/>
      <c r="I3941" s="391"/>
      <c r="J3941" s="385"/>
      <c r="K3941" s="391"/>
      <c r="L3941" s="385"/>
      <c r="M3941" s="391"/>
      <c r="N3941" s="385"/>
      <c r="O3941" s="190"/>
    </row>
    <row r="3942" spans="2:15" ht="16" x14ac:dyDescent="0.2">
      <c r="C3942" s="119">
        <v>26</v>
      </c>
      <c r="D3942" s="383"/>
      <c r="E3942" s="389"/>
      <c r="F3942" s="385"/>
      <c r="G3942" s="391"/>
      <c r="H3942" s="385"/>
      <c r="I3942" s="391"/>
      <c r="J3942" s="385"/>
      <c r="K3942" s="391"/>
      <c r="L3942" s="385"/>
      <c r="M3942" s="391"/>
      <c r="N3942" s="385"/>
      <c r="O3942" s="190"/>
    </row>
    <row r="3943" spans="2:15" ht="16" x14ac:dyDescent="0.2">
      <c r="C3943" s="119">
        <v>27</v>
      </c>
      <c r="D3943" s="383"/>
      <c r="E3943" s="389"/>
      <c r="F3943" s="385"/>
      <c r="G3943" s="391"/>
      <c r="H3943" s="385"/>
      <c r="I3943" s="391"/>
      <c r="J3943" s="385"/>
      <c r="K3943" s="391"/>
      <c r="L3943" s="385"/>
      <c r="M3943" s="391"/>
      <c r="N3943" s="385"/>
      <c r="O3943" s="190"/>
    </row>
    <row r="3944" spans="2:15" ht="16" x14ac:dyDescent="0.2">
      <c r="C3944" s="119">
        <v>28</v>
      </c>
      <c r="D3944" s="383"/>
      <c r="E3944" s="389"/>
      <c r="F3944" s="385"/>
      <c r="G3944" s="391"/>
      <c r="H3944" s="385"/>
      <c r="I3944" s="391"/>
      <c r="J3944" s="385"/>
      <c r="K3944" s="391"/>
      <c r="L3944" s="385"/>
      <c r="M3944" s="391"/>
      <c r="N3944" s="385"/>
      <c r="O3944" s="190"/>
    </row>
    <row r="3945" spans="2:15" ht="16" x14ac:dyDescent="0.2">
      <c r="C3945" s="119">
        <v>29</v>
      </c>
      <c r="D3945" s="383"/>
      <c r="E3945" s="389"/>
      <c r="F3945" s="385"/>
      <c r="G3945" s="391"/>
      <c r="H3945" s="385"/>
      <c r="I3945" s="391"/>
      <c r="J3945" s="385"/>
      <c r="K3945" s="391"/>
      <c r="L3945" s="385"/>
      <c r="M3945" s="391"/>
      <c r="N3945" s="385"/>
      <c r="O3945" s="190"/>
    </row>
    <row r="3946" spans="2:15" ht="16" x14ac:dyDescent="0.2">
      <c r="C3946" s="119">
        <v>30</v>
      </c>
      <c r="D3946" s="383"/>
      <c r="E3946" s="389"/>
      <c r="F3946" s="385"/>
      <c r="G3946" s="391"/>
      <c r="H3946" s="385"/>
      <c r="I3946" s="391"/>
      <c r="J3946" s="385"/>
      <c r="K3946" s="391"/>
      <c r="L3946" s="385"/>
      <c r="M3946" s="391"/>
      <c r="N3946" s="385"/>
      <c r="O3946" s="190"/>
    </row>
    <row r="3947" spans="2:15" ht="16" x14ac:dyDescent="0.2">
      <c r="C3947" s="120">
        <v>31</v>
      </c>
      <c r="D3947" s="383"/>
      <c r="E3947" s="389"/>
      <c r="F3947" s="384"/>
      <c r="G3947" s="390"/>
      <c r="H3947" s="384"/>
      <c r="I3947" s="390"/>
      <c r="J3947" s="384"/>
      <c r="K3947" s="390"/>
      <c r="L3947" s="384"/>
      <c r="M3947" s="390"/>
      <c r="N3947" s="384"/>
      <c r="O3947" s="190"/>
    </row>
    <row r="3948" spans="2:15" ht="16" x14ac:dyDescent="0.2">
      <c r="B3948" s="256"/>
      <c r="C3948" s="377">
        <v>32</v>
      </c>
      <c r="D3948" s="384"/>
      <c r="E3948" s="390"/>
      <c r="F3948" s="384"/>
      <c r="G3948" s="390"/>
      <c r="H3948" s="384"/>
      <c r="I3948" s="390"/>
      <c r="J3948" s="384"/>
      <c r="K3948" s="390"/>
      <c r="L3948" s="384"/>
      <c r="M3948" s="390"/>
      <c r="N3948" s="384"/>
      <c r="O3948" s="190"/>
    </row>
    <row r="3949" spans="2:15" ht="16" x14ac:dyDescent="0.2">
      <c r="B3949" s="256"/>
      <c r="C3949" s="119">
        <v>33</v>
      </c>
      <c r="D3949" s="385"/>
      <c r="E3949" s="391"/>
      <c r="F3949" s="385"/>
      <c r="G3949" s="391"/>
      <c r="H3949" s="385"/>
      <c r="I3949" s="391"/>
      <c r="J3949" s="385"/>
      <c r="K3949" s="391"/>
      <c r="L3949" s="385"/>
      <c r="M3949" s="391"/>
      <c r="N3949" s="385"/>
      <c r="O3949" s="190"/>
    </row>
    <row r="3950" spans="2:15" ht="16" x14ac:dyDescent="0.2">
      <c r="B3950" s="256"/>
      <c r="C3950" s="119">
        <v>34</v>
      </c>
      <c r="D3950" s="385"/>
      <c r="E3950" s="391"/>
      <c r="F3950" s="385"/>
      <c r="G3950" s="391"/>
      <c r="H3950" s="385"/>
      <c r="I3950" s="391"/>
      <c r="J3950" s="385"/>
      <c r="K3950" s="391"/>
      <c r="L3950" s="385"/>
      <c r="M3950" s="391"/>
      <c r="N3950" s="385"/>
      <c r="O3950" s="190"/>
    </row>
    <row r="3951" spans="2:15" ht="16" x14ac:dyDescent="0.2">
      <c r="B3951" s="256"/>
      <c r="C3951" s="119">
        <v>35</v>
      </c>
      <c r="D3951" s="385"/>
      <c r="E3951" s="391"/>
      <c r="F3951" s="385"/>
      <c r="G3951" s="391"/>
      <c r="H3951" s="385"/>
      <c r="I3951" s="391"/>
      <c r="J3951" s="385"/>
      <c r="K3951" s="391"/>
      <c r="L3951" s="385"/>
      <c r="M3951" s="391"/>
      <c r="N3951" s="385"/>
      <c r="O3951" s="190"/>
    </row>
    <row r="3952" spans="2:15" ht="16" x14ac:dyDescent="0.2">
      <c r="B3952" s="256"/>
      <c r="C3952" s="119">
        <v>36</v>
      </c>
      <c r="D3952" s="385"/>
      <c r="E3952" s="391"/>
      <c r="F3952" s="385"/>
      <c r="G3952" s="391"/>
      <c r="H3952" s="385"/>
      <c r="I3952" s="391"/>
      <c r="J3952" s="385"/>
      <c r="K3952" s="391"/>
      <c r="L3952" s="385"/>
      <c r="M3952" s="391"/>
      <c r="N3952" s="385"/>
      <c r="O3952" s="190"/>
    </row>
    <row r="3953" spans="2:15" ht="17" thickBot="1" x14ac:dyDescent="0.25">
      <c r="B3953" s="256"/>
      <c r="C3953" s="378">
        <v>37</v>
      </c>
      <c r="D3953" s="386"/>
      <c r="E3953" s="392"/>
      <c r="F3953" s="386"/>
      <c r="G3953" s="392"/>
      <c r="H3953" s="386"/>
      <c r="I3953" s="392"/>
      <c r="J3953" s="386"/>
      <c r="K3953" s="392"/>
      <c r="L3953" s="386"/>
      <c r="M3953" s="392"/>
      <c r="N3953" s="386"/>
      <c r="O3953" s="190"/>
    </row>
    <row r="3954" spans="2:15" ht="17" thickBot="1" x14ac:dyDescent="0.25">
      <c r="C3954" s="825" t="s">
        <v>19</v>
      </c>
      <c r="D3954" s="826"/>
      <c r="E3954" s="380"/>
      <c r="F3954" s="376">
        <f>(F3917+F3918+F3919+F3920+F3921+F3922+F3938+F3925+F3926+F3923+F3924+F3927+F3928+F3929+F3930+F3931+F3932+F3933+F3934+F3935+F3936+F3937+F3939+F3940+F3942+F3943+F3944+F3945+F3946+F3947+F3948+F3949+F3950+F3953)/2</f>
        <v>0</v>
      </c>
      <c r="G3954" s="397">
        <f>(G3917+G3918+G3919+G3920+G3921+G3938+G3922+G3926+G3925+G3923+G3924+G3927+G3928+G3929+G3930+G3931+G3932+G3933+G3934+G3935+G3936+G3937+G3939+G3940+G3942+G3943+G3944+G3945+G3946+G3947+G3948+G3949)/2</f>
        <v>0</v>
      </c>
      <c r="H3954" s="399">
        <f>(H3917+H3918+H3919+H3920+H3921+H3922+H3938+H3941+H3925+H3926+H3923+H3924+H3927+H3928+H3929+H3930+H3931+H3932+H3933+H3934+H3935+H3936+H3937+H3939+H3940+H3942+H3943+H3944+H3945+H3946+H3947+H3948+H3949+H3950+H3953)/2</f>
        <v>0</v>
      </c>
      <c r="I3954" s="398">
        <f>(I3917+I3918+I3919+I3920+I3921+I3951+I3952+I3922+I3938+I3925+I3941+I3926+I3923+I3924+I3927+I3928+I3929+I3930+I3931+I3932+I3933+I3934+I3935+I3936+I3937+I3939+I3940+I3942+I3943+I3944+I3945+I3946+I3947+I3948+I3949+I3950+I3953)/2</f>
        <v>0</v>
      </c>
      <c r="J3954" s="376">
        <f>(J3917+J3918+J3919+J3920+J3921+J3922+J3926+J3923+J3925+J3924+J3941+J3927+J3928+J3929+J3930+J3931+J3932+J3933+J3934+J3935+J3936+J3937+J3938+J3939+J3940+J3942+J3943+J3944+J3945+J3946+J3947+J3948+J3949)/2</f>
        <v>0</v>
      </c>
      <c r="K3954" s="397">
        <f>(K3917+K3918+K3919+K3920+K3921+K3922+K3926+K3923+K3924+K3927+K3928+K3929+K3930+K3931+K3932+K3933+K3934+K3935+K3936+K3937+K3939+K3940+K3942+K3943+K3944+K3945+K3946+K3947+K3948+K3949+K3938)</f>
        <v>0</v>
      </c>
      <c r="L3954" s="399">
        <f>SUM(L3917:L3953)</f>
        <v>0</v>
      </c>
      <c r="M3954" s="398">
        <f>(M3917+M3918+M3919+M3920+M3921+M3922+M3926+M3925+M3923+M3924+M3927+M3928+M3929+M3930+M3931+M3932+M3933+M3934+M3935+M3936+M3937+M3939+M3940+M3942+M3943+M3944+M3945+M3946+M3947+M3948+M3949)/2</f>
        <v>0</v>
      </c>
      <c r="N3954" s="376"/>
      <c r="O3954" s="41"/>
    </row>
    <row r="3955" spans="2:15" ht="17" thickBot="1" x14ac:dyDescent="0.25">
      <c r="C3955" s="825" t="s">
        <v>91</v>
      </c>
      <c r="D3955" s="826"/>
      <c r="E3955" s="381">
        <f>SUM(F3954:J3954)</f>
        <v>0</v>
      </c>
    </row>
  </sheetData>
  <mergeCells count="460">
    <mergeCell ref="C3955:D3955"/>
    <mergeCell ref="E3871:I3871"/>
    <mergeCell ref="K3871:O3871"/>
    <mergeCell ref="D3872:E3872"/>
    <mergeCell ref="C3911:D3911"/>
    <mergeCell ref="C3912:D3912"/>
    <mergeCell ref="E3914:I3914"/>
    <mergeCell ref="K3914:O3914"/>
    <mergeCell ref="D3915:E3915"/>
    <mergeCell ref="C3954:D3954"/>
    <mergeCell ref="E3699:I3699"/>
    <mergeCell ref="K3699:O3699"/>
    <mergeCell ref="D3700:E3700"/>
    <mergeCell ref="C3739:D3739"/>
    <mergeCell ref="C3740:D3740"/>
    <mergeCell ref="E3656:I3656"/>
    <mergeCell ref="K3656:O3656"/>
    <mergeCell ref="D3657:E3657"/>
    <mergeCell ref="C3696:D3696"/>
    <mergeCell ref="C3697:D3697"/>
    <mergeCell ref="E3355:I3355"/>
    <mergeCell ref="K3355:O3355"/>
    <mergeCell ref="D3356:E3356"/>
    <mergeCell ref="C3395:D3395"/>
    <mergeCell ref="C3267:D3267"/>
    <mergeCell ref="E3183:I3183"/>
    <mergeCell ref="K3183:O3183"/>
    <mergeCell ref="D3184:E3184"/>
    <mergeCell ref="C3223:D3223"/>
    <mergeCell ref="C3224:D3224"/>
    <mergeCell ref="E3226:I3226"/>
    <mergeCell ref="K3226:O3226"/>
    <mergeCell ref="D3227:E3227"/>
    <mergeCell ref="C3266:D3266"/>
    <mergeCell ref="C3353:D3353"/>
    <mergeCell ref="E3269:I3269"/>
    <mergeCell ref="K3269:O3269"/>
    <mergeCell ref="D3270:E3270"/>
    <mergeCell ref="C3309:D3309"/>
    <mergeCell ref="E3312:I3312"/>
    <mergeCell ref="K3312:O3312"/>
    <mergeCell ref="D3313:E3313"/>
    <mergeCell ref="C3352:D3352"/>
    <mergeCell ref="C3137:D3137"/>
    <mergeCell ref="C3138:D3138"/>
    <mergeCell ref="E3054:I3054"/>
    <mergeCell ref="K3054:O3054"/>
    <mergeCell ref="D3055:E3055"/>
    <mergeCell ref="C3094:D3094"/>
    <mergeCell ref="C3095:D3095"/>
    <mergeCell ref="C3310:D3310"/>
    <mergeCell ref="E3140:I3140"/>
    <mergeCell ref="K3140:O3140"/>
    <mergeCell ref="D3141:E3141"/>
    <mergeCell ref="C3180:D3180"/>
    <mergeCell ref="C3181:D3181"/>
    <mergeCell ref="D3098:E3098"/>
    <mergeCell ref="C2965:D2965"/>
    <mergeCell ref="E2882:I2882"/>
    <mergeCell ref="K2882:O2882"/>
    <mergeCell ref="D2883:E2883"/>
    <mergeCell ref="C2922:D2922"/>
    <mergeCell ref="C2923:D2923"/>
    <mergeCell ref="C3052:D3052"/>
    <mergeCell ref="E3097:I3097"/>
    <mergeCell ref="K3097:O3097"/>
    <mergeCell ref="C2966:D2966"/>
    <mergeCell ref="E2968:I2968"/>
    <mergeCell ref="K2968:O2968"/>
    <mergeCell ref="D2969:E2969"/>
    <mergeCell ref="C3008:D3008"/>
    <mergeCell ref="C3009:D3009"/>
    <mergeCell ref="E3011:I3011"/>
    <mergeCell ref="K3011:O3011"/>
    <mergeCell ref="D3012:E3012"/>
    <mergeCell ref="C3051:D3051"/>
    <mergeCell ref="E2839:I2839"/>
    <mergeCell ref="K2839:O2839"/>
    <mergeCell ref="D2840:E2840"/>
    <mergeCell ref="C2750:D2750"/>
    <mergeCell ref="C2879:D2879"/>
    <mergeCell ref="C2880:D2880"/>
    <mergeCell ref="E2925:I2925"/>
    <mergeCell ref="K2925:O2925"/>
    <mergeCell ref="D2926:E2926"/>
    <mergeCell ref="E2796:I2796"/>
    <mergeCell ref="K2796:O2796"/>
    <mergeCell ref="D2797:E2797"/>
    <mergeCell ref="C2836:D2836"/>
    <mergeCell ref="C2837:D2837"/>
    <mergeCell ref="C2794:D2794"/>
    <mergeCell ref="E2753:I2753"/>
    <mergeCell ref="K2753:O2753"/>
    <mergeCell ref="D2754:E2754"/>
    <mergeCell ref="C2793:D2793"/>
    <mergeCell ref="C2751:D2751"/>
    <mergeCell ref="E2667:I2667"/>
    <mergeCell ref="K2667:O2667"/>
    <mergeCell ref="D2668:E2668"/>
    <mergeCell ref="C2707:D2707"/>
    <mergeCell ref="C2708:D2708"/>
    <mergeCell ref="E2710:I2710"/>
    <mergeCell ref="K2710:O2710"/>
    <mergeCell ref="E2022:I2022"/>
    <mergeCell ref="K2022:O2022"/>
    <mergeCell ref="D2023:E2023"/>
    <mergeCell ref="C2062:D2062"/>
    <mergeCell ref="C2063:D2063"/>
    <mergeCell ref="E2194:I2194"/>
    <mergeCell ref="K2194:O2194"/>
    <mergeCell ref="D2195:E2195"/>
    <mergeCell ref="C2234:D2234"/>
    <mergeCell ref="E2065:I2065"/>
    <mergeCell ref="K2065:O2065"/>
    <mergeCell ref="D2066:E2066"/>
    <mergeCell ref="C2105:D2105"/>
    <mergeCell ref="C2106:D2106"/>
    <mergeCell ref="C2192:D2192"/>
    <mergeCell ref="E2108:I2108"/>
    <mergeCell ref="K2108:O2108"/>
    <mergeCell ref="E1979:I1979"/>
    <mergeCell ref="K1979:O1979"/>
    <mergeCell ref="D1980:E1980"/>
    <mergeCell ref="C2019:D2019"/>
    <mergeCell ref="C2020:D2020"/>
    <mergeCell ref="E1850:I1850"/>
    <mergeCell ref="K1850:O1850"/>
    <mergeCell ref="D1851:E1851"/>
    <mergeCell ref="C1890:D1890"/>
    <mergeCell ref="C1891:D1891"/>
    <mergeCell ref="C1977:D1977"/>
    <mergeCell ref="E1893:I1893"/>
    <mergeCell ref="K1893:O1893"/>
    <mergeCell ref="D1894:E1894"/>
    <mergeCell ref="C1933:D1933"/>
    <mergeCell ref="C1934:D1934"/>
    <mergeCell ref="E1936:I1936"/>
    <mergeCell ref="K1936:O1936"/>
    <mergeCell ref="D1937:E1937"/>
    <mergeCell ref="C1976:D1976"/>
    <mergeCell ref="C1761:D1761"/>
    <mergeCell ref="C1762:D1762"/>
    <mergeCell ref="C1848:D1848"/>
    <mergeCell ref="E1764:I1764"/>
    <mergeCell ref="K1764:O1764"/>
    <mergeCell ref="D1765:E1765"/>
    <mergeCell ref="C1804:D1804"/>
    <mergeCell ref="C1805:D1805"/>
    <mergeCell ref="E1807:I1807"/>
    <mergeCell ref="K1807:O1807"/>
    <mergeCell ref="D1808:E1808"/>
    <mergeCell ref="C1847:D1847"/>
    <mergeCell ref="C1719:D1719"/>
    <mergeCell ref="C1676:D1676"/>
    <mergeCell ref="C1675:D1675"/>
    <mergeCell ref="D1636:E1636"/>
    <mergeCell ref="K1635:O1635"/>
    <mergeCell ref="E1635:I1635"/>
    <mergeCell ref="E1721:I1721"/>
    <mergeCell ref="K1721:O1721"/>
    <mergeCell ref="D1722:E1722"/>
    <mergeCell ref="C1331:D1331"/>
    <mergeCell ref="E1463:I1463"/>
    <mergeCell ref="K1463:O1463"/>
    <mergeCell ref="D1464:E1464"/>
    <mergeCell ref="C1503:D1503"/>
    <mergeCell ref="C1504:D1504"/>
    <mergeCell ref="E1334:I1334"/>
    <mergeCell ref="K1334:O1334"/>
    <mergeCell ref="D1335:E1335"/>
    <mergeCell ref="C1374:D1374"/>
    <mergeCell ref="C1375:D1375"/>
    <mergeCell ref="E1420:I1420"/>
    <mergeCell ref="K1420:O1420"/>
    <mergeCell ref="D1421:E1421"/>
    <mergeCell ref="C1460:D1460"/>
    <mergeCell ref="C1461:D1461"/>
    <mergeCell ref="E1377:I1377"/>
    <mergeCell ref="K1377:O1377"/>
    <mergeCell ref="D1378:E1378"/>
    <mergeCell ref="C1417:D1417"/>
    <mergeCell ref="C1418:D1418"/>
    <mergeCell ref="C1332:D1332"/>
    <mergeCell ref="C1203:D1203"/>
    <mergeCell ref="E1119:I1119"/>
    <mergeCell ref="K1119:O1119"/>
    <mergeCell ref="D1120:E1120"/>
    <mergeCell ref="C1159:D1159"/>
    <mergeCell ref="C1160:D1160"/>
    <mergeCell ref="E1162:I1162"/>
    <mergeCell ref="K1162:O1162"/>
    <mergeCell ref="D1163:E1163"/>
    <mergeCell ref="C1202:D1202"/>
    <mergeCell ref="E1205:I1205"/>
    <mergeCell ref="K1205:O1205"/>
    <mergeCell ref="D1206:E1206"/>
    <mergeCell ref="C1245:D1245"/>
    <mergeCell ref="C1246:D1246"/>
    <mergeCell ref="E1248:I1248"/>
    <mergeCell ref="K1248:O1248"/>
    <mergeCell ref="D1249:E1249"/>
    <mergeCell ref="C1288:D1288"/>
    <mergeCell ref="C1289:D1289"/>
    <mergeCell ref="E1291:I1291"/>
    <mergeCell ref="K1291:O1291"/>
    <mergeCell ref="D1292:E1292"/>
    <mergeCell ref="D862:E862"/>
    <mergeCell ref="C901:D901"/>
    <mergeCell ref="C902:D902"/>
    <mergeCell ref="E990:I990"/>
    <mergeCell ref="K990:O990"/>
    <mergeCell ref="D991:E991"/>
    <mergeCell ref="C1030:D1030"/>
    <mergeCell ref="C1031:D1031"/>
    <mergeCell ref="D948:E948"/>
    <mergeCell ref="C987:D987"/>
    <mergeCell ref="C988:D988"/>
    <mergeCell ref="E947:I947"/>
    <mergeCell ref="K947:O947"/>
    <mergeCell ref="E904:I904"/>
    <mergeCell ref="K904:O904"/>
    <mergeCell ref="D905:E905"/>
    <mergeCell ref="C944:D944"/>
    <mergeCell ref="D1034:E1034"/>
    <mergeCell ref="C1073:D1073"/>
    <mergeCell ref="C1116:D1116"/>
    <mergeCell ref="C1117:D1117"/>
    <mergeCell ref="E1:I1"/>
    <mergeCell ref="K1:O1"/>
    <mergeCell ref="D2:E2"/>
    <mergeCell ref="C41:D41"/>
    <mergeCell ref="C42:D42"/>
    <mergeCell ref="E603:I603"/>
    <mergeCell ref="K603:O603"/>
    <mergeCell ref="D604:E604"/>
    <mergeCell ref="C643:D643"/>
    <mergeCell ref="E87:I87"/>
    <mergeCell ref="K87:O87"/>
    <mergeCell ref="D88:E88"/>
    <mergeCell ref="C127:D127"/>
    <mergeCell ref="C128:D128"/>
    <mergeCell ref="E44:I44"/>
    <mergeCell ref="K44:O44"/>
    <mergeCell ref="D45:E45"/>
    <mergeCell ref="C84:D84"/>
    <mergeCell ref="C85:D85"/>
    <mergeCell ref="E173:I173"/>
    <mergeCell ref="K173:O173"/>
    <mergeCell ref="D174:E174"/>
    <mergeCell ref="C213:D213"/>
    <mergeCell ref="C214:D214"/>
    <mergeCell ref="E130:I130"/>
    <mergeCell ref="K130:O130"/>
    <mergeCell ref="D131:E131"/>
    <mergeCell ref="C170:D170"/>
    <mergeCell ref="C171:D171"/>
    <mergeCell ref="E259:I259"/>
    <mergeCell ref="K259:O259"/>
    <mergeCell ref="D260:E260"/>
    <mergeCell ref="C299:D299"/>
    <mergeCell ref="C300:D300"/>
    <mergeCell ref="E216:I216"/>
    <mergeCell ref="K216:O216"/>
    <mergeCell ref="D217:E217"/>
    <mergeCell ref="C256:D256"/>
    <mergeCell ref="C257:D257"/>
    <mergeCell ref="E345:I345"/>
    <mergeCell ref="K345:O345"/>
    <mergeCell ref="D346:E346"/>
    <mergeCell ref="E732:I732"/>
    <mergeCell ref="K732:O732"/>
    <mergeCell ref="D432:E432"/>
    <mergeCell ref="C471:D471"/>
    <mergeCell ref="C472:D472"/>
    <mergeCell ref="E302:I302"/>
    <mergeCell ref="K302:O302"/>
    <mergeCell ref="D303:E303"/>
    <mergeCell ref="C342:D342"/>
    <mergeCell ref="C343:D343"/>
    <mergeCell ref="E431:I431"/>
    <mergeCell ref="K431:O431"/>
    <mergeCell ref="E388:I388"/>
    <mergeCell ref="K388:O388"/>
    <mergeCell ref="D389:E389"/>
    <mergeCell ref="C428:D428"/>
    <mergeCell ref="C429:D429"/>
    <mergeCell ref="E689:I689"/>
    <mergeCell ref="K689:O689"/>
    <mergeCell ref="E517:I517"/>
    <mergeCell ref="K517:O517"/>
    <mergeCell ref="C385:D385"/>
    <mergeCell ref="C386:D386"/>
    <mergeCell ref="D690:E690"/>
    <mergeCell ref="C729:D729"/>
    <mergeCell ref="C730:D730"/>
    <mergeCell ref="D561:E561"/>
    <mergeCell ref="C600:D600"/>
    <mergeCell ref="C601:D601"/>
    <mergeCell ref="C644:D644"/>
    <mergeCell ref="E646:I646"/>
    <mergeCell ref="K646:O646"/>
    <mergeCell ref="D647:E647"/>
    <mergeCell ref="C686:D686"/>
    <mergeCell ref="C687:D687"/>
    <mergeCell ref="D518:E518"/>
    <mergeCell ref="C557:D557"/>
    <mergeCell ref="C558:D558"/>
    <mergeCell ref="E474:I474"/>
    <mergeCell ref="K474:O474"/>
    <mergeCell ref="D475:E475"/>
    <mergeCell ref="C514:D514"/>
    <mergeCell ref="C515:D515"/>
    <mergeCell ref="E560:I560"/>
    <mergeCell ref="K560:O560"/>
    <mergeCell ref="D733:E733"/>
    <mergeCell ref="E775:I775"/>
    <mergeCell ref="K775:O775"/>
    <mergeCell ref="D776:E776"/>
    <mergeCell ref="C815:D815"/>
    <mergeCell ref="C816:D816"/>
    <mergeCell ref="E1076:I1076"/>
    <mergeCell ref="K1076:O1076"/>
    <mergeCell ref="D1077:E1077"/>
    <mergeCell ref="C945:D945"/>
    <mergeCell ref="C772:D772"/>
    <mergeCell ref="C773:D773"/>
    <mergeCell ref="E818:I818"/>
    <mergeCell ref="K818:O818"/>
    <mergeCell ref="D819:E819"/>
    <mergeCell ref="E1033:I1033"/>
    <mergeCell ref="K1033:O1033"/>
    <mergeCell ref="C1074:D1074"/>
    <mergeCell ref="E861:I861"/>
    <mergeCell ref="K861:O861"/>
    <mergeCell ref="C858:D858"/>
    <mergeCell ref="C859:D859"/>
    <mergeCell ref="E1592:I1592"/>
    <mergeCell ref="K1592:O1592"/>
    <mergeCell ref="D1593:E1593"/>
    <mergeCell ref="C1632:D1632"/>
    <mergeCell ref="C1633:D1633"/>
    <mergeCell ref="E1678:I1678"/>
    <mergeCell ref="K1678:O1678"/>
    <mergeCell ref="D1679:E1679"/>
    <mergeCell ref="C1718:D1718"/>
    <mergeCell ref="C1590:D1590"/>
    <mergeCell ref="E1506:I1506"/>
    <mergeCell ref="K1506:O1506"/>
    <mergeCell ref="D1507:E1507"/>
    <mergeCell ref="C1546:D1546"/>
    <mergeCell ref="C1547:D1547"/>
    <mergeCell ref="E1549:I1549"/>
    <mergeCell ref="K1549:O1549"/>
    <mergeCell ref="D1550:E1550"/>
    <mergeCell ref="C1589:D1589"/>
    <mergeCell ref="D2109:E2109"/>
    <mergeCell ref="C2148:D2148"/>
    <mergeCell ref="C2149:D2149"/>
    <mergeCell ref="E2151:I2151"/>
    <mergeCell ref="K2151:O2151"/>
    <mergeCell ref="D2152:E2152"/>
    <mergeCell ref="C2191:D2191"/>
    <mergeCell ref="C2235:D2235"/>
    <mergeCell ref="E2237:I2237"/>
    <mergeCell ref="K2237:O2237"/>
    <mergeCell ref="D2238:E2238"/>
    <mergeCell ref="C2277:D2277"/>
    <mergeCell ref="C2364:D2364"/>
    <mergeCell ref="E2366:I2366"/>
    <mergeCell ref="K2366:O2366"/>
    <mergeCell ref="D2367:E2367"/>
    <mergeCell ref="C2363:D2363"/>
    <mergeCell ref="C2278:D2278"/>
    <mergeCell ref="E2280:I2280"/>
    <mergeCell ref="K2280:O2280"/>
    <mergeCell ref="D2281:E2281"/>
    <mergeCell ref="C2320:D2320"/>
    <mergeCell ref="C2321:D2321"/>
    <mergeCell ref="E2323:I2323"/>
    <mergeCell ref="K2323:O2323"/>
    <mergeCell ref="D2324:E2324"/>
    <mergeCell ref="C2406:D2406"/>
    <mergeCell ref="C2407:D2407"/>
    <mergeCell ref="E2409:I2409"/>
    <mergeCell ref="K2409:O2409"/>
    <mergeCell ref="D2410:E2410"/>
    <mergeCell ref="C2449:D2449"/>
    <mergeCell ref="C2450:D2450"/>
    <mergeCell ref="E2452:I2452"/>
    <mergeCell ref="K2452:O2452"/>
    <mergeCell ref="D2453:E2453"/>
    <mergeCell ref="C2492:D2492"/>
    <mergeCell ref="C2493:D2493"/>
    <mergeCell ref="E2495:I2495"/>
    <mergeCell ref="K2495:O2495"/>
    <mergeCell ref="D2711:E2711"/>
    <mergeCell ref="E2581:I2581"/>
    <mergeCell ref="K2581:O2581"/>
    <mergeCell ref="D2582:E2582"/>
    <mergeCell ref="C2621:D2621"/>
    <mergeCell ref="C2622:D2622"/>
    <mergeCell ref="D2496:E2496"/>
    <mergeCell ref="C2535:D2535"/>
    <mergeCell ref="C2536:D2536"/>
    <mergeCell ref="E2538:I2538"/>
    <mergeCell ref="K2538:O2538"/>
    <mergeCell ref="D2539:E2539"/>
    <mergeCell ref="C2578:D2578"/>
    <mergeCell ref="C2579:D2579"/>
    <mergeCell ref="E2624:I2624"/>
    <mergeCell ref="K2624:O2624"/>
    <mergeCell ref="D2625:E2625"/>
    <mergeCell ref="C2664:D2664"/>
    <mergeCell ref="C2665:D2665"/>
    <mergeCell ref="C3396:D3396"/>
    <mergeCell ref="C3567:D3567"/>
    <mergeCell ref="C3568:D3568"/>
    <mergeCell ref="C3525:D3525"/>
    <mergeCell ref="E3441:I3441"/>
    <mergeCell ref="K3441:O3441"/>
    <mergeCell ref="D3442:E3442"/>
    <mergeCell ref="C3481:D3481"/>
    <mergeCell ref="C3482:D3482"/>
    <mergeCell ref="E3527:I3527"/>
    <mergeCell ref="K3527:O3527"/>
    <mergeCell ref="D3528:E3528"/>
    <mergeCell ref="E3484:I3484"/>
    <mergeCell ref="K3484:O3484"/>
    <mergeCell ref="D3485:E3485"/>
    <mergeCell ref="C3524:D3524"/>
    <mergeCell ref="E3398:I3398"/>
    <mergeCell ref="K3398:O3398"/>
    <mergeCell ref="D3399:E3399"/>
    <mergeCell ref="C3438:D3438"/>
    <mergeCell ref="C3439:D3439"/>
    <mergeCell ref="E3613:I3613"/>
    <mergeCell ref="K3613:O3613"/>
    <mergeCell ref="D3614:E3614"/>
    <mergeCell ref="C3653:D3653"/>
    <mergeCell ref="C3654:D3654"/>
    <mergeCell ref="E3570:I3570"/>
    <mergeCell ref="K3570:O3570"/>
    <mergeCell ref="D3571:E3571"/>
    <mergeCell ref="C3610:D3610"/>
    <mergeCell ref="C3611:D3611"/>
    <mergeCell ref="E3828:I3828"/>
    <mergeCell ref="K3828:O3828"/>
    <mergeCell ref="D3829:E3829"/>
    <mergeCell ref="C3868:D3868"/>
    <mergeCell ref="C3869:D3869"/>
    <mergeCell ref="C3826:D3826"/>
    <mergeCell ref="E3742:I3742"/>
    <mergeCell ref="K3742:O3742"/>
    <mergeCell ref="D3743:E3743"/>
    <mergeCell ref="C3782:D3782"/>
    <mergeCell ref="C3783:D3783"/>
    <mergeCell ref="E3785:I3785"/>
    <mergeCell ref="K3785:O3785"/>
    <mergeCell ref="D3786:E3786"/>
    <mergeCell ref="C3825:D3825"/>
  </mergeCells>
  <pageMargins left="0.7" right="0.7" top="0.75" bottom="0.75" header="0.3" footer="0.3"/>
  <pageSetup paperSize="9" scale="75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675"/>
  <sheetViews>
    <sheetView topLeftCell="A2644" zoomScale="98" workbookViewId="0">
      <selection activeCell="A2652" sqref="A2652:G2675"/>
    </sheetView>
  </sheetViews>
  <sheetFormatPr baseColWidth="10" defaultColWidth="8.83203125" defaultRowHeight="15" x14ac:dyDescent="0.2"/>
  <cols>
    <col min="1" max="1" width="10.5" bestFit="1" customWidth="1"/>
    <col min="2" max="2" width="26" bestFit="1" customWidth="1"/>
    <col min="3" max="3" width="10.5" customWidth="1"/>
    <col min="4" max="4" width="11.5" customWidth="1"/>
    <col min="5" max="5" width="27.6640625" customWidth="1"/>
    <col min="6" max="6" width="14.33203125" customWidth="1"/>
    <col min="7" max="7" width="15.5" customWidth="1"/>
    <col min="8" max="8" width="16.1640625" customWidth="1"/>
  </cols>
  <sheetData>
    <row r="1" spans="1:7" ht="16" thickBot="1" x14ac:dyDescent="0.25"/>
    <row r="2" spans="1:7" ht="33" thickBot="1" x14ac:dyDescent="0.25">
      <c r="A2" s="686"/>
      <c r="B2" s="183" t="s">
        <v>283</v>
      </c>
      <c r="C2" s="236" t="s">
        <v>284</v>
      </c>
      <c r="D2" s="184" t="s">
        <v>285</v>
      </c>
      <c r="E2" s="184" t="s">
        <v>125</v>
      </c>
      <c r="F2" s="827" t="s">
        <v>286</v>
      </c>
      <c r="G2" s="828"/>
    </row>
    <row r="3" spans="1:7" ht="16" thickBot="1" x14ac:dyDescent="0.25">
      <c r="A3" s="433">
        <v>45658</v>
      </c>
      <c r="B3" s="435" t="s">
        <v>287</v>
      </c>
      <c r="C3" s="436">
        <v>5037.1000000000004</v>
      </c>
      <c r="D3" s="28"/>
      <c r="E3" s="438" t="s">
        <v>287</v>
      </c>
      <c r="F3" s="829" t="s">
        <v>288</v>
      </c>
      <c r="G3" s="830"/>
    </row>
    <row r="4" spans="1:7" ht="16" thickBot="1" x14ac:dyDescent="0.25">
      <c r="A4" s="432"/>
      <c r="B4" s="434" t="s">
        <v>222</v>
      </c>
      <c r="C4" s="410"/>
      <c r="D4" s="439">
        <v>1100</v>
      </c>
      <c r="E4" s="437" t="s">
        <v>186</v>
      </c>
      <c r="F4" s="829"/>
      <c r="G4" s="830"/>
    </row>
    <row r="5" spans="1:7" x14ac:dyDescent="0.2">
      <c r="A5" s="405"/>
      <c r="B5" s="409"/>
      <c r="C5" s="411"/>
      <c r="D5" s="413"/>
      <c r="E5" s="418"/>
      <c r="F5" s="424">
        <v>200</v>
      </c>
      <c r="G5" s="421">
        <v>2800</v>
      </c>
    </row>
    <row r="6" spans="1:7" x14ac:dyDescent="0.2">
      <c r="A6" s="405"/>
      <c r="B6" s="409"/>
      <c r="C6" s="411"/>
      <c r="D6" s="413"/>
      <c r="E6" s="418"/>
      <c r="F6" s="425">
        <v>100</v>
      </c>
      <c r="G6" s="422">
        <v>2100</v>
      </c>
    </row>
    <row r="7" spans="1:7" x14ac:dyDescent="0.2">
      <c r="A7" s="405"/>
      <c r="B7" s="316"/>
      <c r="C7" s="410"/>
      <c r="D7" s="414"/>
      <c r="E7" s="316"/>
      <c r="F7" s="425">
        <v>50</v>
      </c>
      <c r="G7" s="422">
        <v>100</v>
      </c>
    </row>
    <row r="8" spans="1:7" x14ac:dyDescent="0.2">
      <c r="A8" s="405"/>
      <c r="B8" s="316"/>
      <c r="C8" s="410"/>
      <c r="D8" s="414"/>
      <c r="E8" s="316"/>
      <c r="F8" s="425" t="s">
        <v>289</v>
      </c>
      <c r="G8" s="422">
        <v>0</v>
      </c>
    </row>
    <row r="9" spans="1:7" x14ac:dyDescent="0.2">
      <c r="A9" s="405"/>
      <c r="B9" s="408"/>
      <c r="C9" s="411"/>
      <c r="D9" s="413"/>
      <c r="E9" s="419"/>
      <c r="F9" s="425" t="s">
        <v>290</v>
      </c>
      <c r="G9" s="422">
        <v>20</v>
      </c>
    </row>
    <row r="10" spans="1:7" x14ac:dyDescent="0.2">
      <c r="A10" s="405"/>
      <c r="B10" s="409"/>
      <c r="C10" s="412"/>
      <c r="D10" s="413"/>
      <c r="E10" s="409"/>
      <c r="F10" s="426" t="s">
        <v>291</v>
      </c>
      <c r="G10" s="422">
        <v>17.100000000000001</v>
      </c>
    </row>
    <row r="11" spans="1:7" ht="16" thickBot="1" x14ac:dyDescent="0.25">
      <c r="A11" s="405"/>
      <c r="B11" s="409"/>
      <c r="C11" s="412"/>
      <c r="D11" s="413"/>
      <c r="E11" s="409"/>
      <c r="F11" s="427" t="s">
        <v>292</v>
      </c>
      <c r="G11" s="423"/>
    </row>
    <row r="12" spans="1:7" ht="16" thickBot="1" x14ac:dyDescent="0.25">
      <c r="A12" s="405"/>
      <c r="B12" s="408"/>
      <c r="C12" s="412"/>
      <c r="D12" s="413"/>
      <c r="E12" s="417"/>
      <c r="F12" s="831">
        <f>SUM(G5:G10)</f>
        <v>5037.1000000000004</v>
      </c>
      <c r="G12" s="832"/>
    </row>
    <row r="13" spans="1:7" x14ac:dyDescent="0.2">
      <c r="A13" s="405"/>
      <c r="B13" s="408"/>
      <c r="C13" s="411"/>
      <c r="D13" s="413"/>
      <c r="E13" s="417"/>
      <c r="F13" s="430"/>
      <c r="G13" s="428"/>
    </row>
    <row r="14" spans="1:7" ht="16" thickBot="1" x14ac:dyDescent="0.25">
      <c r="A14" s="405"/>
      <c r="B14" s="408"/>
      <c r="C14" s="411"/>
      <c r="D14" s="413"/>
      <c r="E14" s="420"/>
      <c r="F14" s="431"/>
      <c r="G14" s="429"/>
    </row>
    <row r="15" spans="1:7" x14ac:dyDescent="0.2">
      <c r="A15" s="405"/>
      <c r="B15" s="408"/>
      <c r="C15" s="412"/>
      <c r="D15" s="413"/>
      <c r="E15" s="417"/>
      <c r="F15" s="833" t="s">
        <v>293</v>
      </c>
      <c r="G15" s="834"/>
    </row>
    <row r="16" spans="1:7" ht="16" thickBot="1" x14ac:dyDescent="0.25">
      <c r="A16" s="405"/>
      <c r="B16" s="316"/>
      <c r="C16" s="234"/>
      <c r="D16" s="413"/>
      <c r="E16" s="316"/>
      <c r="F16" s="835"/>
      <c r="G16" s="836"/>
    </row>
    <row r="17" spans="1:7" x14ac:dyDescent="0.2">
      <c r="A17" s="405"/>
      <c r="B17" s="408"/>
      <c r="C17" s="412"/>
      <c r="D17" s="413"/>
      <c r="E17" s="417"/>
      <c r="F17" s="424">
        <v>200</v>
      </c>
      <c r="G17" s="421">
        <v>1800</v>
      </c>
    </row>
    <row r="18" spans="1:7" x14ac:dyDescent="0.2">
      <c r="A18" s="405"/>
      <c r="B18" s="408"/>
      <c r="C18" s="411"/>
      <c r="D18" s="413"/>
      <c r="E18" s="417"/>
      <c r="F18" s="425">
        <v>100</v>
      </c>
      <c r="G18" s="422">
        <v>2000</v>
      </c>
    </row>
    <row r="19" spans="1:7" x14ac:dyDescent="0.2">
      <c r="A19" s="405"/>
      <c r="B19" s="408"/>
      <c r="C19" s="411"/>
      <c r="D19" s="413"/>
      <c r="E19" s="417"/>
      <c r="F19" s="425">
        <v>50</v>
      </c>
      <c r="G19" s="422">
        <v>100</v>
      </c>
    </row>
    <row r="20" spans="1:7" x14ac:dyDescent="0.2">
      <c r="A20" s="405"/>
      <c r="B20" s="408"/>
      <c r="C20" s="411"/>
      <c r="D20" s="413"/>
      <c r="E20" s="417"/>
      <c r="F20" s="425" t="s">
        <v>289</v>
      </c>
      <c r="G20" s="422">
        <v>0</v>
      </c>
    </row>
    <row r="21" spans="1:7" x14ac:dyDescent="0.2">
      <c r="A21" s="405"/>
      <c r="B21" s="408"/>
      <c r="C21" s="411"/>
      <c r="D21" s="413"/>
      <c r="E21" s="417"/>
      <c r="F21" s="425" t="s">
        <v>290</v>
      </c>
      <c r="G21" s="422">
        <v>20</v>
      </c>
    </row>
    <row r="22" spans="1:7" x14ac:dyDescent="0.2">
      <c r="A22" s="405"/>
      <c r="B22" s="408"/>
      <c r="C22" s="411"/>
      <c r="D22" s="413"/>
      <c r="E22" s="417"/>
      <c r="F22" s="426" t="s">
        <v>291</v>
      </c>
      <c r="G22" s="422">
        <v>17.100000000000001</v>
      </c>
    </row>
    <row r="23" spans="1:7" ht="16" thickBot="1" x14ac:dyDescent="0.25">
      <c r="A23" s="405"/>
      <c r="B23" s="408"/>
      <c r="C23" s="411"/>
      <c r="D23" s="413"/>
      <c r="E23" s="417" t="s">
        <v>340</v>
      </c>
      <c r="F23" s="427" t="s">
        <v>292</v>
      </c>
      <c r="G23" s="423"/>
    </row>
    <row r="24" spans="1:7" ht="16" thickBot="1" x14ac:dyDescent="0.25">
      <c r="A24" s="405"/>
      <c r="B24" s="408"/>
      <c r="C24" s="411"/>
      <c r="D24" s="415"/>
      <c r="E24" s="417"/>
      <c r="F24" s="837">
        <f>SUM(G17:G22)</f>
        <v>3937.1</v>
      </c>
      <c r="G24" s="838"/>
    </row>
    <row r="25" spans="1:7" ht="16" thickBot="1" x14ac:dyDescent="0.25">
      <c r="A25" s="406" t="s">
        <v>19</v>
      </c>
      <c r="B25" s="185"/>
      <c r="C25" s="407">
        <f>SUM(C3:C24)</f>
        <v>5037.1000000000004</v>
      </c>
      <c r="D25" s="186">
        <f>SUM(D3:D24)</f>
        <v>1100</v>
      </c>
      <c r="E25" s="186">
        <f>C25-D25</f>
        <v>3937.1000000000004</v>
      </c>
      <c r="F25" s="416"/>
      <c r="G25" s="187"/>
    </row>
    <row r="26" spans="1:7" ht="16" thickBot="1" x14ac:dyDescent="0.25"/>
    <row r="27" spans="1:7" ht="33" thickBot="1" x14ac:dyDescent="0.25">
      <c r="A27" s="686"/>
      <c r="B27" s="183" t="s">
        <v>283</v>
      </c>
      <c r="C27" s="236" t="s">
        <v>284</v>
      </c>
      <c r="D27" s="184" t="s">
        <v>285</v>
      </c>
      <c r="E27" s="184" t="s">
        <v>125</v>
      </c>
      <c r="F27" s="827" t="s">
        <v>286</v>
      </c>
      <c r="G27" s="828"/>
    </row>
    <row r="28" spans="1:7" ht="16" thickBot="1" x14ac:dyDescent="0.25">
      <c r="A28" s="433">
        <v>45659</v>
      </c>
      <c r="B28" s="435" t="s">
        <v>287</v>
      </c>
      <c r="C28" s="436">
        <f>E25</f>
        <v>3937.1000000000004</v>
      </c>
      <c r="D28" s="28"/>
      <c r="E28" s="438" t="s">
        <v>287</v>
      </c>
      <c r="F28" s="829" t="s">
        <v>288</v>
      </c>
      <c r="G28" s="830"/>
    </row>
    <row r="29" spans="1:7" ht="16" thickBot="1" x14ac:dyDescent="0.25">
      <c r="A29" s="432"/>
      <c r="B29" s="434" t="s">
        <v>222</v>
      </c>
      <c r="C29" s="410"/>
      <c r="D29" s="439">
        <v>300</v>
      </c>
      <c r="E29" s="437" t="s">
        <v>186</v>
      </c>
      <c r="F29" s="829"/>
      <c r="G29" s="830"/>
    </row>
    <row r="30" spans="1:7" ht="16" x14ac:dyDescent="0.2">
      <c r="A30" s="405"/>
      <c r="B30" s="409" t="s">
        <v>279</v>
      </c>
      <c r="C30" s="411"/>
      <c r="D30" s="413">
        <v>132</v>
      </c>
      <c r="E30" s="418" t="s">
        <v>483</v>
      </c>
      <c r="F30" s="424">
        <v>200</v>
      </c>
      <c r="G30" s="421">
        <v>1800</v>
      </c>
    </row>
    <row r="31" spans="1:7" ht="16" x14ac:dyDescent="0.2">
      <c r="A31" s="405"/>
      <c r="B31" s="409" t="s">
        <v>294</v>
      </c>
      <c r="C31" s="411">
        <v>150</v>
      </c>
      <c r="D31" s="413"/>
      <c r="E31" s="418" t="s">
        <v>295</v>
      </c>
      <c r="F31" s="425">
        <v>100</v>
      </c>
      <c r="G31" s="422">
        <v>2000</v>
      </c>
    </row>
    <row r="32" spans="1:7" x14ac:dyDescent="0.2">
      <c r="A32" s="405"/>
      <c r="B32" s="316" t="s">
        <v>484</v>
      </c>
      <c r="C32" s="410"/>
      <c r="D32" s="414">
        <f>200+74</f>
        <v>274</v>
      </c>
      <c r="E32" s="316" t="s">
        <v>485</v>
      </c>
      <c r="F32" s="425">
        <v>50</v>
      </c>
      <c r="G32" s="422">
        <v>100</v>
      </c>
    </row>
    <row r="33" spans="1:7" x14ac:dyDescent="0.2">
      <c r="A33" s="405"/>
      <c r="B33" s="316"/>
      <c r="C33" s="410"/>
      <c r="D33" s="414"/>
      <c r="E33" s="316"/>
      <c r="F33" s="425" t="s">
        <v>289</v>
      </c>
      <c r="G33" s="422">
        <v>0</v>
      </c>
    </row>
    <row r="34" spans="1:7" x14ac:dyDescent="0.2">
      <c r="A34" s="405"/>
      <c r="B34" s="408"/>
      <c r="C34" s="411"/>
      <c r="D34" s="413"/>
      <c r="E34" s="419"/>
      <c r="F34" s="425" t="s">
        <v>290</v>
      </c>
      <c r="G34" s="422">
        <v>20</v>
      </c>
    </row>
    <row r="35" spans="1:7" x14ac:dyDescent="0.2">
      <c r="A35" s="405"/>
      <c r="B35" s="409"/>
      <c r="C35" s="412"/>
      <c r="D35" s="413"/>
      <c r="E35" s="409"/>
      <c r="F35" s="426" t="s">
        <v>291</v>
      </c>
      <c r="G35" s="422">
        <v>17.100000000000001</v>
      </c>
    </row>
    <row r="36" spans="1:7" ht="16" thickBot="1" x14ac:dyDescent="0.25">
      <c r="A36" s="405"/>
      <c r="B36" s="409"/>
      <c r="C36" s="412"/>
      <c r="D36" s="413"/>
      <c r="E36" s="409"/>
      <c r="F36" s="427" t="s">
        <v>292</v>
      </c>
      <c r="G36" s="423"/>
    </row>
    <row r="37" spans="1:7" ht="16" thickBot="1" x14ac:dyDescent="0.25">
      <c r="A37" s="405"/>
      <c r="B37" s="408"/>
      <c r="C37" s="412"/>
      <c r="D37" s="413"/>
      <c r="E37" s="417"/>
      <c r="F37" s="831">
        <f>SUM(G30:G35)</f>
        <v>3937.1</v>
      </c>
      <c r="G37" s="832"/>
    </row>
    <row r="38" spans="1:7" x14ac:dyDescent="0.2">
      <c r="A38" s="405"/>
      <c r="B38" s="408"/>
      <c r="C38" s="411"/>
      <c r="D38" s="413"/>
      <c r="E38" s="417"/>
      <c r="F38" s="430"/>
      <c r="G38" s="428"/>
    </row>
    <row r="39" spans="1:7" ht="16" thickBot="1" x14ac:dyDescent="0.25">
      <c r="A39" s="405"/>
      <c r="B39" s="408"/>
      <c r="C39" s="411"/>
      <c r="D39" s="413"/>
      <c r="E39" s="420"/>
      <c r="F39" s="431"/>
      <c r="G39" s="429"/>
    </row>
    <row r="40" spans="1:7" x14ac:dyDescent="0.2">
      <c r="A40" s="405"/>
      <c r="B40" s="408"/>
      <c r="C40" s="412"/>
      <c r="D40" s="413"/>
      <c r="E40" s="417"/>
      <c r="F40" s="833" t="s">
        <v>293</v>
      </c>
      <c r="G40" s="834"/>
    </row>
    <row r="41" spans="1:7" ht="16" thickBot="1" x14ac:dyDescent="0.25">
      <c r="A41" s="405"/>
      <c r="B41" s="316"/>
      <c r="C41" s="234"/>
      <c r="D41" s="413"/>
      <c r="E41" s="316"/>
      <c r="F41" s="835"/>
      <c r="G41" s="836"/>
    </row>
    <row r="42" spans="1:7" x14ac:dyDescent="0.2">
      <c r="A42" s="405"/>
      <c r="B42" s="408"/>
      <c r="C42" s="412"/>
      <c r="D42" s="413"/>
      <c r="E42" s="417"/>
      <c r="F42" s="424">
        <v>200</v>
      </c>
      <c r="G42" s="421">
        <v>1800</v>
      </c>
    </row>
    <row r="43" spans="1:7" x14ac:dyDescent="0.2">
      <c r="A43" s="405"/>
      <c r="B43" s="408"/>
      <c r="C43" s="411"/>
      <c r="D43" s="413"/>
      <c r="E43" s="417"/>
      <c r="F43" s="425">
        <v>100</v>
      </c>
      <c r="G43" s="422">
        <v>1400</v>
      </c>
    </row>
    <row r="44" spans="1:7" x14ac:dyDescent="0.2">
      <c r="A44" s="405"/>
      <c r="B44" s="408"/>
      <c r="C44" s="411"/>
      <c r="D44" s="413"/>
      <c r="E44" s="417"/>
      <c r="F44" s="425">
        <v>50</v>
      </c>
      <c r="G44" s="422">
        <v>150</v>
      </c>
    </row>
    <row r="45" spans="1:7" x14ac:dyDescent="0.2">
      <c r="A45" s="405"/>
      <c r="B45" s="408"/>
      <c r="C45" s="411"/>
      <c r="D45" s="413"/>
      <c r="E45" s="417"/>
      <c r="F45" s="425" t="s">
        <v>289</v>
      </c>
      <c r="G45" s="422">
        <v>0</v>
      </c>
    </row>
    <row r="46" spans="1:7" x14ac:dyDescent="0.2">
      <c r="A46" s="405"/>
      <c r="B46" s="408"/>
      <c r="C46" s="411"/>
      <c r="D46" s="413"/>
      <c r="E46" s="417"/>
      <c r="F46" s="425" t="s">
        <v>290</v>
      </c>
      <c r="G46" s="422">
        <v>20</v>
      </c>
    </row>
    <row r="47" spans="1:7" x14ac:dyDescent="0.2">
      <c r="A47" s="405"/>
      <c r="B47" s="408"/>
      <c r="C47" s="411"/>
      <c r="D47" s="413"/>
      <c r="E47" s="417"/>
      <c r="F47" s="426" t="s">
        <v>291</v>
      </c>
      <c r="G47" s="422">
        <v>11.1</v>
      </c>
    </row>
    <row r="48" spans="1:7" ht="16" thickBot="1" x14ac:dyDescent="0.25">
      <c r="A48" s="405"/>
      <c r="B48" s="408"/>
      <c r="C48" s="411"/>
      <c r="D48" s="413"/>
      <c r="E48" s="417" t="s">
        <v>340</v>
      </c>
      <c r="F48" s="427" t="s">
        <v>292</v>
      </c>
      <c r="G48" s="423"/>
    </row>
    <row r="49" spans="1:7" ht="16" thickBot="1" x14ac:dyDescent="0.25">
      <c r="A49" s="405"/>
      <c r="B49" s="408"/>
      <c r="C49" s="411"/>
      <c r="D49" s="415"/>
      <c r="E49" s="417"/>
      <c r="F49" s="837">
        <f>SUM(G42:G47)</f>
        <v>3381.1</v>
      </c>
      <c r="G49" s="838"/>
    </row>
    <row r="50" spans="1:7" ht="16" thickBot="1" x14ac:dyDescent="0.25">
      <c r="A50" s="406" t="s">
        <v>19</v>
      </c>
      <c r="B50" s="185"/>
      <c r="C50" s="407">
        <f>SUM(C28:C49)</f>
        <v>4087.1000000000004</v>
      </c>
      <c r="D50" s="186">
        <f>SUM(D28:D49)</f>
        <v>706</v>
      </c>
      <c r="E50" s="186">
        <f>C50-D50</f>
        <v>3381.1000000000004</v>
      </c>
      <c r="F50" s="416"/>
      <c r="G50" s="187"/>
    </row>
    <row r="51" spans="1:7" ht="16" thickBot="1" x14ac:dyDescent="0.25"/>
    <row r="52" spans="1:7" ht="33" thickBot="1" x14ac:dyDescent="0.25">
      <c r="A52" s="686"/>
      <c r="B52" s="183" t="s">
        <v>283</v>
      </c>
      <c r="C52" s="236" t="s">
        <v>284</v>
      </c>
      <c r="D52" s="184" t="s">
        <v>285</v>
      </c>
      <c r="E52" s="184" t="s">
        <v>125</v>
      </c>
      <c r="F52" s="827" t="s">
        <v>286</v>
      </c>
      <c r="G52" s="828"/>
    </row>
    <row r="53" spans="1:7" ht="16" thickBot="1" x14ac:dyDescent="0.25">
      <c r="A53" s="433">
        <v>45660</v>
      </c>
      <c r="B53" s="435" t="s">
        <v>287</v>
      </c>
      <c r="C53" s="436">
        <f>E50</f>
        <v>3381.1000000000004</v>
      </c>
      <c r="D53" s="28"/>
      <c r="E53" s="438" t="s">
        <v>287</v>
      </c>
      <c r="F53" s="829" t="s">
        <v>288</v>
      </c>
      <c r="G53" s="830"/>
    </row>
    <row r="54" spans="1:7" ht="16" thickBot="1" x14ac:dyDescent="0.25">
      <c r="A54" s="432"/>
      <c r="B54" s="434" t="s">
        <v>70</v>
      </c>
      <c r="C54" s="410">
        <v>1200</v>
      </c>
      <c r="D54" s="439"/>
      <c r="E54" s="437" t="s">
        <v>486</v>
      </c>
      <c r="F54" s="829"/>
      <c r="G54" s="830"/>
    </row>
    <row r="55" spans="1:7" x14ac:dyDescent="0.2">
      <c r="A55" s="405"/>
      <c r="B55" s="409"/>
      <c r="C55" s="411"/>
      <c r="D55" s="413"/>
      <c r="E55" s="418"/>
      <c r="F55" s="424">
        <v>200</v>
      </c>
      <c r="G55" s="421">
        <v>1800</v>
      </c>
    </row>
    <row r="56" spans="1:7" x14ac:dyDescent="0.2">
      <c r="A56" s="405"/>
      <c r="B56" s="409"/>
      <c r="C56" s="411"/>
      <c r="D56" s="413"/>
      <c r="E56" s="418"/>
      <c r="F56" s="425">
        <v>100</v>
      </c>
      <c r="G56" s="422">
        <v>1400</v>
      </c>
    </row>
    <row r="57" spans="1:7" x14ac:dyDescent="0.2">
      <c r="A57" s="405"/>
      <c r="B57" s="316"/>
      <c r="C57" s="410"/>
      <c r="D57" s="414"/>
      <c r="E57" s="316"/>
      <c r="F57" s="425">
        <v>50</v>
      </c>
      <c r="G57" s="422">
        <v>150</v>
      </c>
    </row>
    <row r="58" spans="1:7" x14ac:dyDescent="0.2">
      <c r="A58" s="405"/>
      <c r="B58" s="316"/>
      <c r="C58" s="410"/>
      <c r="D58" s="414"/>
      <c r="E58" s="316"/>
      <c r="F58" s="425" t="s">
        <v>289</v>
      </c>
      <c r="G58" s="422">
        <v>0</v>
      </c>
    </row>
    <row r="59" spans="1:7" x14ac:dyDescent="0.2">
      <c r="A59" s="405"/>
      <c r="B59" s="408"/>
      <c r="C59" s="411"/>
      <c r="D59" s="413"/>
      <c r="E59" s="419"/>
      <c r="F59" s="425" t="s">
        <v>290</v>
      </c>
      <c r="G59" s="422">
        <v>20</v>
      </c>
    </row>
    <row r="60" spans="1:7" x14ac:dyDescent="0.2">
      <c r="A60" s="405"/>
      <c r="B60" s="409"/>
      <c r="C60" s="412"/>
      <c r="D60" s="413"/>
      <c r="E60" s="409"/>
      <c r="F60" s="426" t="s">
        <v>291</v>
      </c>
      <c r="G60" s="422">
        <v>11.1</v>
      </c>
    </row>
    <row r="61" spans="1:7" ht="16" thickBot="1" x14ac:dyDescent="0.25">
      <c r="A61" s="405"/>
      <c r="B61" s="409"/>
      <c r="C61" s="412"/>
      <c r="D61" s="413"/>
      <c r="E61" s="409"/>
      <c r="F61" s="427" t="s">
        <v>292</v>
      </c>
      <c r="G61" s="423"/>
    </row>
    <row r="62" spans="1:7" ht="16" thickBot="1" x14ac:dyDescent="0.25">
      <c r="A62" s="405"/>
      <c r="B62" s="408"/>
      <c r="C62" s="412"/>
      <c r="D62" s="413"/>
      <c r="E62" s="417"/>
      <c r="F62" s="831">
        <f>SUM(G55:G60)</f>
        <v>3381.1</v>
      </c>
      <c r="G62" s="832"/>
    </row>
    <row r="63" spans="1:7" x14ac:dyDescent="0.2">
      <c r="A63" s="405"/>
      <c r="B63" s="408"/>
      <c r="C63" s="411"/>
      <c r="D63" s="413"/>
      <c r="E63" s="417"/>
      <c r="F63" s="430"/>
      <c r="G63" s="428"/>
    </row>
    <row r="64" spans="1:7" ht="16" thickBot="1" x14ac:dyDescent="0.25">
      <c r="A64" s="405"/>
      <c r="B64" s="408"/>
      <c r="C64" s="411"/>
      <c r="D64" s="413"/>
      <c r="E64" s="420"/>
      <c r="F64" s="431"/>
      <c r="G64" s="429"/>
    </row>
    <row r="65" spans="1:7" x14ac:dyDescent="0.2">
      <c r="A65" s="405"/>
      <c r="B65" s="408"/>
      <c r="C65" s="412"/>
      <c r="D65" s="413"/>
      <c r="E65" s="417"/>
      <c r="F65" s="833" t="s">
        <v>293</v>
      </c>
      <c r="G65" s="834"/>
    </row>
    <row r="66" spans="1:7" ht="16" thickBot="1" x14ac:dyDescent="0.25">
      <c r="A66" s="405"/>
      <c r="B66" s="316"/>
      <c r="C66" s="234"/>
      <c r="D66" s="413"/>
      <c r="E66" s="316"/>
      <c r="F66" s="835"/>
      <c r="G66" s="836"/>
    </row>
    <row r="67" spans="1:7" x14ac:dyDescent="0.2">
      <c r="A67" s="405"/>
      <c r="B67" s="408"/>
      <c r="C67" s="412"/>
      <c r="D67" s="413"/>
      <c r="E67" s="417"/>
      <c r="F67" s="424">
        <v>200</v>
      </c>
      <c r="G67" s="421">
        <v>3000</v>
      </c>
    </row>
    <row r="68" spans="1:7" x14ac:dyDescent="0.2">
      <c r="A68" s="405"/>
      <c r="B68" s="408"/>
      <c r="C68" s="411"/>
      <c r="D68" s="413"/>
      <c r="E68" s="417"/>
      <c r="F68" s="425">
        <v>100</v>
      </c>
      <c r="G68" s="422">
        <v>1400</v>
      </c>
    </row>
    <row r="69" spans="1:7" x14ac:dyDescent="0.2">
      <c r="A69" s="405"/>
      <c r="B69" s="408"/>
      <c r="C69" s="411"/>
      <c r="D69" s="413"/>
      <c r="E69" s="417"/>
      <c r="F69" s="425">
        <v>50</v>
      </c>
      <c r="G69" s="422">
        <v>150</v>
      </c>
    </row>
    <row r="70" spans="1:7" x14ac:dyDescent="0.2">
      <c r="A70" s="405"/>
      <c r="B70" s="408"/>
      <c r="C70" s="411"/>
      <c r="D70" s="413"/>
      <c r="E70" s="417"/>
      <c r="F70" s="425" t="s">
        <v>289</v>
      </c>
      <c r="G70" s="422">
        <v>0</v>
      </c>
    </row>
    <row r="71" spans="1:7" x14ac:dyDescent="0.2">
      <c r="A71" s="405"/>
      <c r="B71" s="408"/>
      <c r="C71" s="411"/>
      <c r="D71" s="413"/>
      <c r="E71" s="417"/>
      <c r="F71" s="425" t="s">
        <v>290</v>
      </c>
      <c r="G71" s="422">
        <v>20</v>
      </c>
    </row>
    <row r="72" spans="1:7" x14ac:dyDescent="0.2">
      <c r="A72" s="405"/>
      <c r="B72" s="408"/>
      <c r="C72" s="411"/>
      <c r="D72" s="413"/>
      <c r="E72" s="417"/>
      <c r="F72" s="426" t="s">
        <v>291</v>
      </c>
      <c r="G72" s="422">
        <v>11.1</v>
      </c>
    </row>
    <row r="73" spans="1:7" ht="16" thickBot="1" x14ac:dyDescent="0.25">
      <c r="A73" s="405"/>
      <c r="B73" s="408"/>
      <c r="C73" s="411"/>
      <c r="D73" s="413"/>
      <c r="E73" s="417" t="s">
        <v>340</v>
      </c>
      <c r="F73" s="427" t="s">
        <v>292</v>
      </c>
      <c r="G73" s="423"/>
    </row>
    <row r="74" spans="1:7" ht="16" thickBot="1" x14ac:dyDescent="0.25">
      <c r="A74" s="405"/>
      <c r="B74" s="408"/>
      <c r="C74" s="411"/>
      <c r="D74" s="415"/>
      <c r="E74" s="417"/>
      <c r="F74" s="837">
        <f>SUM(G67:G72)</f>
        <v>4581.1000000000004</v>
      </c>
      <c r="G74" s="838"/>
    </row>
    <row r="75" spans="1:7" ht="16" thickBot="1" x14ac:dyDescent="0.25">
      <c r="A75" s="406" t="s">
        <v>19</v>
      </c>
      <c r="B75" s="185"/>
      <c r="C75" s="407">
        <f>SUM(C53:C74)</f>
        <v>4581.1000000000004</v>
      </c>
      <c r="D75" s="186">
        <f>SUM(D53:D74)</f>
        <v>0</v>
      </c>
      <c r="E75" s="186">
        <f>C75-D75</f>
        <v>4581.1000000000004</v>
      </c>
      <c r="F75" s="416"/>
      <c r="G75" s="187"/>
    </row>
    <row r="76" spans="1:7" ht="16" thickBot="1" x14ac:dyDescent="0.25"/>
    <row r="77" spans="1:7" ht="33" thickBot="1" x14ac:dyDescent="0.25">
      <c r="A77" s="686"/>
      <c r="B77" s="183" t="s">
        <v>283</v>
      </c>
      <c r="C77" s="236" t="s">
        <v>284</v>
      </c>
      <c r="D77" s="184" t="s">
        <v>285</v>
      </c>
      <c r="E77" s="184" t="s">
        <v>125</v>
      </c>
      <c r="F77" s="827" t="s">
        <v>286</v>
      </c>
      <c r="G77" s="828"/>
    </row>
    <row r="78" spans="1:7" ht="16" thickBot="1" x14ac:dyDescent="0.25">
      <c r="A78" s="433">
        <v>45661</v>
      </c>
      <c r="B78" s="435" t="s">
        <v>287</v>
      </c>
      <c r="C78" s="436">
        <f>E75</f>
        <v>4581.1000000000004</v>
      </c>
      <c r="D78" s="28"/>
      <c r="E78" s="438" t="s">
        <v>287</v>
      </c>
      <c r="F78" s="829" t="s">
        <v>288</v>
      </c>
      <c r="G78" s="830"/>
    </row>
    <row r="79" spans="1:7" ht="16" thickBot="1" x14ac:dyDescent="0.25">
      <c r="A79" s="432"/>
      <c r="B79" s="434"/>
      <c r="C79" s="410"/>
      <c r="D79" s="439"/>
      <c r="E79" s="437"/>
      <c r="F79" s="829"/>
      <c r="G79" s="830"/>
    </row>
    <row r="80" spans="1:7" x14ac:dyDescent="0.2">
      <c r="A80" s="405"/>
      <c r="B80" s="409"/>
      <c r="C80" s="411"/>
      <c r="D80" s="413"/>
      <c r="E80" s="418"/>
      <c r="F80" s="424">
        <v>200</v>
      </c>
      <c r="G80" s="421">
        <v>3000</v>
      </c>
    </row>
    <row r="81" spans="1:7" x14ac:dyDescent="0.2">
      <c r="A81" s="405"/>
      <c r="B81" s="409"/>
      <c r="C81" s="411"/>
      <c r="D81" s="413"/>
      <c r="E81" s="418"/>
      <c r="F81" s="425">
        <v>100</v>
      </c>
      <c r="G81" s="422">
        <v>1400</v>
      </c>
    </row>
    <row r="82" spans="1:7" x14ac:dyDescent="0.2">
      <c r="A82" s="405"/>
      <c r="B82" s="316"/>
      <c r="C82" s="410"/>
      <c r="D82" s="414"/>
      <c r="E82" s="316"/>
      <c r="F82" s="425">
        <v>50</v>
      </c>
      <c r="G82" s="422">
        <v>150</v>
      </c>
    </row>
    <row r="83" spans="1:7" x14ac:dyDescent="0.2">
      <c r="A83" s="405"/>
      <c r="B83" s="316"/>
      <c r="C83" s="410"/>
      <c r="D83" s="414"/>
      <c r="E83" s="316"/>
      <c r="F83" s="425" t="s">
        <v>289</v>
      </c>
      <c r="G83" s="422">
        <v>0</v>
      </c>
    </row>
    <row r="84" spans="1:7" x14ac:dyDescent="0.2">
      <c r="A84" s="405"/>
      <c r="B84" s="408"/>
      <c r="C84" s="411"/>
      <c r="D84" s="413"/>
      <c r="E84" s="419"/>
      <c r="F84" s="425" t="s">
        <v>290</v>
      </c>
      <c r="G84" s="422">
        <v>20</v>
      </c>
    </row>
    <row r="85" spans="1:7" x14ac:dyDescent="0.2">
      <c r="A85" s="405"/>
      <c r="B85" s="409"/>
      <c r="C85" s="412"/>
      <c r="D85" s="413"/>
      <c r="E85" s="409"/>
      <c r="F85" s="426" t="s">
        <v>291</v>
      </c>
      <c r="G85" s="422">
        <v>11.1</v>
      </c>
    </row>
    <row r="86" spans="1:7" ht="16" thickBot="1" x14ac:dyDescent="0.25">
      <c r="A86" s="405"/>
      <c r="B86" s="409"/>
      <c r="C86" s="412"/>
      <c r="D86" s="413"/>
      <c r="E86" s="409"/>
      <c r="F86" s="427" t="s">
        <v>292</v>
      </c>
      <c r="G86" s="423"/>
    </row>
    <row r="87" spans="1:7" ht="16" thickBot="1" x14ac:dyDescent="0.25">
      <c r="A87" s="405"/>
      <c r="B87" s="408"/>
      <c r="C87" s="412"/>
      <c r="D87" s="413"/>
      <c r="E87" s="417"/>
      <c r="F87" s="831">
        <f>SUM(G80:G85)</f>
        <v>4581.1000000000004</v>
      </c>
      <c r="G87" s="832"/>
    </row>
    <row r="88" spans="1:7" x14ac:dyDescent="0.2">
      <c r="A88" s="405"/>
      <c r="B88" s="408"/>
      <c r="C88" s="411"/>
      <c r="D88" s="413"/>
      <c r="E88" s="417"/>
      <c r="F88" s="430"/>
      <c r="G88" s="428"/>
    </row>
    <row r="89" spans="1:7" ht="16" thickBot="1" x14ac:dyDescent="0.25">
      <c r="A89" s="405"/>
      <c r="B89" s="408"/>
      <c r="C89" s="411"/>
      <c r="D89" s="413"/>
      <c r="E89" s="420"/>
      <c r="F89" s="431"/>
      <c r="G89" s="429"/>
    </row>
    <row r="90" spans="1:7" x14ac:dyDescent="0.2">
      <c r="A90" s="405"/>
      <c r="B90" s="408"/>
      <c r="C90" s="412"/>
      <c r="D90" s="413"/>
      <c r="E90" s="417"/>
      <c r="F90" s="833" t="s">
        <v>293</v>
      </c>
      <c r="G90" s="834"/>
    </row>
    <row r="91" spans="1:7" ht="16" thickBot="1" x14ac:dyDescent="0.25">
      <c r="A91" s="405"/>
      <c r="B91" s="316"/>
      <c r="C91" s="234"/>
      <c r="D91" s="413"/>
      <c r="E91" s="316"/>
      <c r="F91" s="835"/>
      <c r="G91" s="836"/>
    </row>
    <row r="92" spans="1:7" x14ac:dyDescent="0.2">
      <c r="A92" s="405"/>
      <c r="B92" s="408"/>
      <c r="C92" s="412"/>
      <c r="D92" s="413"/>
      <c r="E92" s="417"/>
      <c r="F92" s="424">
        <v>200</v>
      </c>
      <c r="G92" s="421">
        <v>3000</v>
      </c>
    </row>
    <row r="93" spans="1:7" x14ac:dyDescent="0.2">
      <c r="A93" s="405"/>
      <c r="B93" s="408"/>
      <c r="C93" s="411"/>
      <c r="D93" s="413"/>
      <c r="E93" s="417"/>
      <c r="F93" s="425">
        <v>100</v>
      </c>
      <c r="G93" s="422">
        <v>1400</v>
      </c>
    </row>
    <row r="94" spans="1:7" x14ac:dyDescent="0.2">
      <c r="A94" s="405"/>
      <c r="B94" s="408"/>
      <c r="C94" s="411"/>
      <c r="D94" s="413"/>
      <c r="E94" s="417"/>
      <c r="F94" s="425">
        <v>50</v>
      </c>
      <c r="G94" s="422">
        <v>150</v>
      </c>
    </row>
    <row r="95" spans="1:7" x14ac:dyDescent="0.2">
      <c r="A95" s="405"/>
      <c r="B95" s="408"/>
      <c r="C95" s="411"/>
      <c r="D95" s="413"/>
      <c r="E95" s="417"/>
      <c r="F95" s="425" t="s">
        <v>289</v>
      </c>
      <c r="G95" s="422">
        <v>0</v>
      </c>
    </row>
    <row r="96" spans="1:7" x14ac:dyDescent="0.2">
      <c r="A96" s="405"/>
      <c r="B96" s="408"/>
      <c r="C96" s="411"/>
      <c r="D96" s="413"/>
      <c r="E96" s="417"/>
      <c r="F96" s="425" t="s">
        <v>290</v>
      </c>
      <c r="G96" s="422">
        <v>20</v>
      </c>
    </row>
    <row r="97" spans="1:7" x14ac:dyDescent="0.2">
      <c r="A97" s="405"/>
      <c r="B97" s="408"/>
      <c r="C97" s="411"/>
      <c r="D97" s="413"/>
      <c r="E97" s="417"/>
      <c r="F97" s="426" t="s">
        <v>291</v>
      </c>
      <c r="G97" s="422">
        <v>11.1</v>
      </c>
    </row>
    <row r="98" spans="1:7" ht="16" thickBot="1" x14ac:dyDescent="0.25">
      <c r="A98" s="405"/>
      <c r="B98" s="408"/>
      <c r="C98" s="411"/>
      <c r="D98" s="413"/>
      <c r="E98" s="417" t="s">
        <v>340</v>
      </c>
      <c r="F98" s="427" t="s">
        <v>292</v>
      </c>
      <c r="G98" s="423"/>
    </row>
    <row r="99" spans="1:7" ht="16" thickBot="1" x14ac:dyDescent="0.25">
      <c r="A99" s="405"/>
      <c r="B99" s="408"/>
      <c r="C99" s="411"/>
      <c r="D99" s="415"/>
      <c r="E99" s="417"/>
      <c r="F99" s="837">
        <f>SUM(G92:G97)</f>
        <v>4581.1000000000004</v>
      </c>
      <c r="G99" s="838"/>
    </row>
    <row r="100" spans="1:7" ht="16" thickBot="1" x14ac:dyDescent="0.25">
      <c r="A100" s="406" t="s">
        <v>19</v>
      </c>
      <c r="B100" s="185"/>
      <c r="C100" s="407">
        <f>SUM(C78:C99)</f>
        <v>4581.1000000000004</v>
      </c>
      <c r="D100" s="186">
        <f>SUM(D78:D99)</f>
        <v>0</v>
      </c>
      <c r="E100" s="186">
        <f>C100-D100</f>
        <v>4581.1000000000004</v>
      </c>
      <c r="F100" s="416"/>
      <c r="G100" s="187"/>
    </row>
    <row r="101" spans="1:7" ht="16" thickBot="1" x14ac:dyDescent="0.25"/>
    <row r="102" spans="1:7" ht="33" thickBot="1" x14ac:dyDescent="0.25">
      <c r="A102" s="686"/>
      <c r="B102" s="183" t="s">
        <v>283</v>
      </c>
      <c r="C102" s="236" t="s">
        <v>284</v>
      </c>
      <c r="D102" s="184" t="s">
        <v>285</v>
      </c>
      <c r="E102" s="184" t="s">
        <v>125</v>
      </c>
      <c r="F102" s="827" t="s">
        <v>286</v>
      </c>
      <c r="G102" s="828"/>
    </row>
    <row r="103" spans="1:7" ht="16" thickBot="1" x14ac:dyDescent="0.25">
      <c r="A103" s="433">
        <v>45662</v>
      </c>
      <c r="B103" s="435" t="s">
        <v>287</v>
      </c>
      <c r="C103" s="436">
        <f>E100</f>
        <v>4581.1000000000004</v>
      </c>
      <c r="D103" s="28"/>
      <c r="E103" s="438" t="s">
        <v>287</v>
      </c>
      <c r="F103" s="829" t="s">
        <v>288</v>
      </c>
      <c r="G103" s="830"/>
    </row>
    <row r="104" spans="1:7" ht="16" thickBot="1" x14ac:dyDescent="0.25">
      <c r="A104" s="432"/>
      <c r="B104" s="434" t="s">
        <v>458</v>
      </c>
      <c r="C104" s="410"/>
      <c r="D104" s="439">
        <v>40</v>
      </c>
      <c r="E104" s="437" t="s">
        <v>457</v>
      </c>
      <c r="F104" s="829"/>
      <c r="G104" s="830"/>
    </row>
    <row r="105" spans="1:7" ht="16" x14ac:dyDescent="0.2">
      <c r="A105" s="405"/>
      <c r="B105" s="409" t="s">
        <v>194</v>
      </c>
      <c r="C105" s="411"/>
      <c r="D105" s="413">
        <v>30</v>
      </c>
      <c r="E105" s="418" t="s">
        <v>224</v>
      </c>
      <c r="F105" s="424">
        <v>200</v>
      </c>
      <c r="G105" s="421">
        <v>3000</v>
      </c>
    </row>
    <row r="106" spans="1:7" ht="16" x14ac:dyDescent="0.2">
      <c r="A106" s="405"/>
      <c r="B106" s="409" t="s">
        <v>294</v>
      </c>
      <c r="C106" s="411">
        <v>150</v>
      </c>
      <c r="D106" s="413"/>
      <c r="E106" s="418" t="s">
        <v>295</v>
      </c>
      <c r="F106" s="425">
        <v>100</v>
      </c>
      <c r="G106" s="422">
        <v>1400</v>
      </c>
    </row>
    <row r="107" spans="1:7" x14ac:dyDescent="0.2">
      <c r="A107" s="405"/>
      <c r="B107" s="316"/>
      <c r="C107" s="410"/>
      <c r="D107" s="414"/>
      <c r="E107" s="316"/>
      <c r="F107" s="425">
        <v>50</v>
      </c>
      <c r="G107" s="422">
        <v>150</v>
      </c>
    </row>
    <row r="108" spans="1:7" x14ac:dyDescent="0.2">
      <c r="A108" s="405"/>
      <c r="B108" s="316"/>
      <c r="C108" s="410"/>
      <c r="D108" s="414"/>
      <c r="E108" s="316"/>
      <c r="F108" s="425" t="s">
        <v>289</v>
      </c>
      <c r="G108" s="422">
        <v>0</v>
      </c>
    </row>
    <row r="109" spans="1:7" x14ac:dyDescent="0.2">
      <c r="A109" s="405"/>
      <c r="B109" s="408"/>
      <c r="C109" s="411"/>
      <c r="D109" s="413"/>
      <c r="E109" s="419"/>
      <c r="F109" s="425" t="s">
        <v>290</v>
      </c>
      <c r="G109" s="422">
        <v>20</v>
      </c>
    </row>
    <row r="110" spans="1:7" x14ac:dyDescent="0.2">
      <c r="A110" s="405"/>
      <c r="B110" s="409"/>
      <c r="C110" s="412"/>
      <c r="D110" s="413"/>
      <c r="E110" s="409"/>
      <c r="F110" s="426" t="s">
        <v>291</v>
      </c>
      <c r="G110" s="422">
        <v>11.1</v>
      </c>
    </row>
    <row r="111" spans="1:7" ht="16" thickBot="1" x14ac:dyDescent="0.25">
      <c r="A111" s="405"/>
      <c r="B111" s="409"/>
      <c r="C111" s="412"/>
      <c r="D111" s="413"/>
      <c r="E111" s="409"/>
      <c r="F111" s="427" t="s">
        <v>292</v>
      </c>
      <c r="G111" s="423"/>
    </row>
    <row r="112" spans="1:7" ht="16" thickBot="1" x14ac:dyDescent="0.25">
      <c r="A112" s="405"/>
      <c r="B112" s="408"/>
      <c r="C112" s="412"/>
      <c r="D112" s="413"/>
      <c r="E112" s="417"/>
      <c r="F112" s="831">
        <f>SUM(G105:G110)</f>
        <v>4581.1000000000004</v>
      </c>
      <c r="G112" s="832"/>
    </row>
    <row r="113" spans="1:7" x14ac:dyDescent="0.2">
      <c r="A113" s="405"/>
      <c r="B113" s="408"/>
      <c r="C113" s="411"/>
      <c r="D113" s="413"/>
      <c r="E113" s="417"/>
      <c r="F113" s="430"/>
      <c r="G113" s="428"/>
    </row>
    <row r="114" spans="1:7" ht="16" thickBot="1" x14ac:dyDescent="0.25">
      <c r="A114" s="405"/>
      <c r="B114" s="408"/>
      <c r="C114" s="411"/>
      <c r="D114" s="413"/>
      <c r="E114" s="420"/>
      <c r="F114" s="431"/>
      <c r="G114" s="429"/>
    </row>
    <row r="115" spans="1:7" x14ac:dyDescent="0.2">
      <c r="A115" s="405"/>
      <c r="B115" s="408"/>
      <c r="C115" s="412"/>
      <c r="D115" s="413"/>
      <c r="E115" s="417"/>
      <c r="F115" s="833" t="s">
        <v>293</v>
      </c>
      <c r="G115" s="834"/>
    </row>
    <row r="116" spans="1:7" ht="16" thickBot="1" x14ac:dyDescent="0.25">
      <c r="A116" s="405"/>
      <c r="B116" s="316"/>
      <c r="C116" s="234"/>
      <c r="D116" s="413"/>
      <c r="E116" s="316"/>
      <c r="F116" s="835"/>
      <c r="G116" s="836"/>
    </row>
    <row r="117" spans="1:7" x14ac:dyDescent="0.2">
      <c r="A117" s="405"/>
      <c r="B117" s="408"/>
      <c r="C117" s="412"/>
      <c r="D117" s="413"/>
      <c r="E117" s="417"/>
      <c r="F117" s="424">
        <v>200</v>
      </c>
      <c r="G117" s="421">
        <v>3000</v>
      </c>
    </row>
    <row r="118" spans="1:7" x14ac:dyDescent="0.2">
      <c r="A118" s="405"/>
      <c r="B118" s="408"/>
      <c r="C118" s="411"/>
      <c r="D118" s="413"/>
      <c r="E118" s="417"/>
      <c r="F118" s="425">
        <v>100</v>
      </c>
      <c r="G118" s="422">
        <v>1500</v>
      </c>
    </row>
    <row r="119" spans="1:7" x14ac:dyDescent="0.2">
      <c r="A119" s="405"/>
      <c r="B119" s="408"/>
      <c r="C119" s="411"/>
      <c r="D119" s="413"/>
      <c r="E119" s="417"/>
      <c r="F119" s="425">
        <v>50</v>
      </c>
      <c r="G119" s="422">
        <v>150</v>
      </c>
    </row>
    <row r="120" spans="1:7" x14ac:dyDescent="0.2">
      <c r="A120" s="405"/>
      <c r="B120" s="408"/>
      <c r="C120" s="411"/>
      <c r="D120" s="413"/>
      <c r="E120" s="417"/>
      <c r="F120" s="425" t="s">
        <v>289</v>
      </c>
      <c r="G120" s="422">
        <v>0</v>
      </c>
    </row>
    <row r="121" spans="1:7" x14ac:dyDescent="0.2">
      <c r="A121" s="405"/>
      <c r="B121" s="408"/>
      <c r="C121" s="411"/>
      <c r="D121" s="413"/>
      <c r="E121" s="417"/>
      <c r="F121" s="425" t="s">
        <v>290</v>
      </c>
      <c r="G121" s="422">
        <v>0</v>
      </c>
    </row>
    <row r="122" spans="1:7" x14ac:dyDescent="0.2">
      <c r="A122" s="405"/>
      <c r="B122" s="408"/>
      <c r="C122" s="411"/>
      <c r="D122" s="413"/>
      <c r="E122" s="417"/>
      <c r="F122" s="426" t="s">
        <v>291</v>
      </c>
      <c r="G122" s="422">
        <v>11.1</v>
      </c>
    </row>
    <row r="123" spans="1:7" ht="16" thickBot="1" x14ac:dyDescent="0.25">
      <c r="A123" s="405"/>
      <c r="B123" s="408"/>
      <c r="C123" s="411"/>
      <c r="D123" s="413"/>
      <c r="E123" s="417" t="s">
        <v>340</v>
      </c>
      <c r="F123" s="427" t="s">
        <v>292</v>
      </c>
      <c r="G123" s="423"/>
    </row>
    <row r="124" spans="1:7" ht="16" thickBot="1" x14ac:dyDescent="0.25">
      <c r="A124" s="405"/>
      <c r="B124" s="408"/>
      <c r="C124" s="411"/>
      <c r="D124" s="415"/>
      <c r="E124" s="417"/>
      <c r="F124" s="837">
        <f>SUM(G117:G122)</f>
        <v>4661.1000000000004</v>
      </c>
      <c r="G124" s="838"/>
    </row>
    <row r="125" spans="1:7" ht="16" thickBot="1" x14ac:dyDescent="0.25">
      <c r="A125" s="406" t="s">
        <v>19</v>
      </c>
      <c r="B125" s="185"/>
      <c r="C125" s="407">
        <f>SUM(C103:C124)</f>
        <v>4731.1000000000004</v>
      </c>
      <c r="D125" s="186">
        <f>SUM(D103:D124)</f>
        <v>70</v>
      </c>
      <c r="E125" s="186">
        <f>C125-D125</f>
        <v>4661.1000000000004</v>
      </c>
      <c r="F125" s="416"/>
      <c r="G125" s="187"/>
    </row>
    <row r="126" spans="1:7" ht="16" thickBot="1" x14ac:dyDescent="0.25"/>
    <row r="127" spans="1:7" ht="33" thickBot="1" x14ac:dyDescent="0.25">
      <c r="A127" s="686"/>
      <c r="B127" s="183" t="s">
        <v>283</v>
      </c>
      <c r="C127" s="236" t="s">
        <v>284</v>
      </c>
      <c r="D127" s="184" t="s">
        <v>285</v>
      </c>
      <c r="E127" s="184" t="s">
        <v>125</v>
      </c>
      <c r="F127" s="827" t="s">
        <v>286</v>
      </c>
      <c r="G127" s="828"/>
    </row>
    <row r="128" spans="1:7" ht="16" thickBot="1" x14ac:dyDescent="0.25">
      <c r="A128" s="433">
        <v>45663</v>
      </c>
      <c r="B128" s="435" t="s">
        <v>287</v>
      </c>
      <c r="C128" s="436">
        <f>E125</f>
        <v>4661.1000000000004</v>
      </c>
      <c r="D128" s="28"/>
      <c r="E128" s="438" t="s">
        <v>287</v>
      </c>
      <c r="F128" s="829" t="s">
        <v>288</v>
      </c>
      <c r="G128" s="830"/>
    </row>
    <row r="129" spans="1:7" ht="16" thickBot="1" x14ac:dyDescent="0.25">
      <c r="A129" s="432"/>
      <c r="B129" s="434" t="s">
        <v>294</v>
      </c>
      <c r="C129" s="410">
        <v>300</v>
      </c>
      <c r="D129" s="439"/>
      <c r="E129" s="437" t="s">
        <v>295</v>
      </c>
      <c r="F129" s="829"/>
      <c r="G129" s="830"/>
    </row>
    <row r="130" spans="1:7" x14ac:dyDescent="0.2">
      <c r="A130" s="405"/>
      <c r="B130" s="409"/>
      <c r="C130" s="411"/>
      <c r="D130" s="413"/>
      <c r="E130" s="418"/>
      <c r="F130" s="424">
        <v>200</v>
      </c>
      <c r="G130" s="421">
        <v>3000</v>
      </c>
    </row>
    <row r="131" spans="1:7" x14ac:dyDescent="0.2">
      <c r="A131" s="405"/>
      <c r="B131" s="409"/>
      <c r="C131" s="411"/>
      <c r="D131" s="413"/>
      <c r="E131" s="418"/>
      <c r="F131" s="425">
        <v>100</v>
      </c>
      <c r="G131" s="422">
        <v>1500</v>
      </c>
    </row>
    <row r="132" spans="1:7" x14ac:dyDescent="0.2">
      <c r="A132" s="405"/>
      <c r="B132" s="316"/>
      <c r="C132" s="410"/>
      <c r="D132" s="414"/>
      <c r="E132" s="316"/>
      <c r="F132" s="425">
        <v>50</v>
      </c>
      <c r="G132" s="422">
        <v>150</v>
      </c>
    </row>
    <row r="133" spans="1:7" x14ac:dyDescent="0.2">
      <c r="A133" s="405"/>
      <c r="B133" s="316"/>
      <c r="C133" s="410"/>
      <c r="D133" s="414"/>
      <c r="E133" s="316"/>
      <c r="F133" s="425" t="s">
        <v>289</v>
      </c>
      <c r="G133" s="422">
        <v>0</v>
      </c>
    </row>
    <row r="134" spans="1:7" x14ac:dyDescent="0.2">
      <c r="A134" s="405"/>
      <c r="B134" s="408"/>
      <c r="C134" s="411"/>
      <c r="D134" s="413"/>
      <c r="E134" s="419"/>
      <c r="F134" s="425" t="s">
        <v>290</v>
      </c>
      <c r="G134" s="422">
        <v>0</v>
      </c>
    </row>
    <row r="135" spans="1:7" x14ac:dyDescent="0.2">
      <c r="A135" s="405"/>
      <c r="B135" s="409"/>
      <c r="C135" s="412"/>
      <c r="D135" s="413"/>
      <c r="E135" s="409"/>
      <c r="F135" s="426" t="s">
        <v>291</v>
      </c>
      <c r="G135" s="422">
        <v>11.1</v>
      </c>
    </row>
    <row r="136" spans="1:7" ht="16" thickBot="1" x14ac:dyDescent="0.25">
      <c r="A136" s="405"/>
      <c r="B136" s="409"/>
      <c r="C136" s="412"/>
      <c r="D136" s="413"/>
      <c r="E136" s="409"/>
      <c r="F136" s="427" t="s">
        <v>292</v>
      </c>
      <c r="G136" s="423"/>
    </row>
    <row r="137" spans="1:7" ht="16" thickBot="1" x14ac:dyDescent="0.25">
      <c r="A137" s="405"/>
      <c r="B137" s="408"/>
      <c r="C137" s="412"/>
      <c r="D137" s="413"/>
      <c r="E137" s="417"/>
      <c r="F137" s="831">
        <f>SUM(G130:G135)</f>
        <v>4661.1000000000004</v>
      </c>
      <c r="G137" s="832"/>
    </row>
    <row r="138" spans="1:7" x14ac:dyDescent="0.2">
      <c r="A138" s="405"/>
      <c r="B138" s="408"/>
      <c r="C138" s="411"/>
      <c r="D138" s="413"/>
      <c r="E138" s="417"/>
      <c r="F138" s="430"/>
      <c r="G138" s="428"/>
    </row>
    <row r="139" spans="1:7" ht="16" thickBot="1" x14ac:dyDescent="0.25">
      <c r="A139" s="405"/>
      <c r="B139" s="408"/>
      <c r="C139" s="411"/>
      <c r="D139" s="413"/>
      <c r="E139" s="420"/>
      <c r="F139" s="431"/>
      <c r="G139" s="429"/>
    </row>
    <row r="140" spans="1:7" x14ac:dyDescent="0.2">
      <c r="A140" s="405"/>
      <c r="B140" s="408"/>
      <c r="C140" s="412"/>
      <c r="D140" s="413"/>
      <c r="E140" s="417"/>
      <c r="F140" s="833" t="s">
        <v>293</v>
      </c>
      <c r="G140" s="834"/>
    </row>
    <row r="141" spans="1:7" ht="16" thickBot="1" x14ac:dyDescent="0.25">
      <c r="A141" s="405"/>
      <c r="B141" s="316"/>
      <c r="C141" s="234"/>
      <c r="D141" s="413"/>
      <c r="E141" s="316"/>
      <c r="F141" s="835"/>
      <c r="G141" s="836"/>
    </row>
    <row r="142" spans="1:7" x14ac:dyDescent="0.2">
      <c r="A142" s="405"/>
      <c r="B142" s="408"/>
      <c r="C142" s="412"/>
      <c r="D142" s="413"/>
      <c r="E142" s="417"/>
      <c r="F142" s="424">
        <v>200</v>
      </c>
      <c r="G142" s="421">
        <v>3000</v>
      </c>
    </row>
    <row r="143" spans="1:7" x14ac:dyDescent="0.2">
      <c r="A143" s="405"/>
      <c r="B143" s="408"/>
      <c r="C143" s="411"/>
      <c r="D143" s="413"/>
      <c r="E143" s="417"/>
      <c r="F143" s="425">
        <v>100</v>
      </c>
      <c r="G143" s="422">
        <v>1800</v>
      </c>
    </row>
    <row r="144" spans="1:7" x14ac:dyDescent="0.2">
      <c r="A144" s="405"/>
      <c r="B144" s="408"/>
      <c r="C144" s="411"/>
      <c r="D144" s="413"/>
      <c r="E144" s="417"/>
      <c r="F144" s="425">
        <v>50</v>
      </c>
      <c r="G144" s="422">
        <v>150</v>
      </c>
    </row>
    <row r="145" spans="1:7" x14ac:dyDescent="0.2">
      <c r="A145" s="405"/>
      <c r="B145" s="408"/>
      <c r="C145" s="411"/>
      <c r="D145" s="413"/>
      <c r="E145" s="417"/>
      <c r="F145" s="425" t="s">
        <v>289</v>
      </c>
      <c r="G145" s="422">
        <v>0</v>
      </c>
    </row>
    <row r="146" spans="1:7" x14ac:dyDescent="0.2">
      <c r="A146" s="405"/>
      <c r="B146" s="408"/>
      <c r="C146" s="411"/>
      <c r="D146" s="413"/>
      <c r="E146" s="417"/>
      <c r="F146" s="425" t="s">
        <v>290</v>
      </c>
      <c r="G146" s="422">
        <v>0</v>
      </c>
    </row>
    <row r="147" spans="1:7" x14ac:dyDescent="0.2">
      <c r="A147" s="405"/>
      <c r="B147" s="408"/>
      <c r="C147" s="411"/>
      <c r="D147" s="413"/>
      <c r="E147" s="417"/>
      <c r="F147" s="426" t="s">
        <v>291</v>
      </c>
      <c r="G147" s="422">
        <v>11.1</v>
      </c>
    </row>
    <row r="148" spans="1:7" ht="16" thickBot="1" x14ac:dyDescent="0.25">
      <c r="A148" s="405"/>
      <c r="B148" s="408"/>
      <c r="C148" s="411"/>
      <c r="D148" s="413"/>
      <c r="E148" s="417" t="s">
        <v>340</v>
      </c>
      <c r="F148" s="427" t="s">
        <v>292</v>
      </c>
      <c r="G148" s="423"/>
    </row>
    <row r="149" spans="1:7" ht="16" thickBot="1" x14ac:dyDescent="0.25">
      <c r="A149" s="405"/>
      <c r="B149" s="408"/>
      <c r="C149" s="411"/>
      <c r="D149" s="415"/>
      <c r="E149" s="417"/>
      <c r="F149" s="837">
        <f>SUM(G142:G147)</f>
        <v>4961.1000000000004</v>
      </c>
      <c r="G149" s="838"/>
    </row>
    <row r="150" spans="1:7" ht="16" thickBot="1" x14ac:dyDescent="0.25">
      <c r="A150" s="406" t="s">
        <v>19</v>
      </c>
      <c r="B150" s="185"/>
      <c r="C150" s="407">
        <f>SUM(C128:C149)</f>
        <v>4961.1000000000004</v>
      </c>
      <c r="D150" s="186">
        <f>SUM(D128:D149)</f>
        <v>0</v>
      </c>
      <c r="E150" s="186">
        <f>C150-D150</f>
        <v>4961.1000000000004</v>
      </c>
      <c r="F150" s="416"/>
      <c r="G150" s="187"/>
    </row>
    <row r="151" spans="1:7" ht="16" thickBot="1" x14ac:dyDescent="0.25"/>
    <row r="152" spans="1:7" ht="33" thickBot="1" x14ac:dyDescent="0.25">
      <c r="A152" s="686"/>
      <c r="B152" s="183" t="s">
        <v>283</v>
      </c>
      <c r="C152" s="236" t="s">
        <v>284</v>
      </c>
      <c r="D152" s="184" t="s">
        <v>285</v>
      </c>
      <c r="E152" s="184" t="s">
        <v>125</v>
      </c>
      <c r="F152" s="827" t="s">
        <v>286</v>
      </c>
      <c r="G152" s="828"/>
    </row>
    <row r="153" spans="1:7" ht="16" thickBot="1" x14ac:dyDescent="0.25">
      <c r="A153" s="433">
        <v>45664</v>
      </c>
      <c r="B153" s="435" t="s">
        <v>287</v>
      </c>
      <c r="C153" s="436">
        <f>E150</f>
        <v>4961.1000000000004</v>
      </c>
      <c r="D153" s="28"/>
      <c r="E153" s="438" t="s">
        <v>287</v>
      </c>
      <c r="F153" s="829" t="s">
        <v>288</v>
      </c>
      <c r="G153" s="830"/>
    </row>
    <row r="154" spans="1:7" ht="16" thickBot="1" x14ac:dyDescent="0.25">
      <c r="A154" s="432"/>
      <c r="B154" s="434" t="s">
        <v>222</v>
      </c>
      <c r="C154" s="410"/>
      <c r="D154" s="439">
        <f>79+79+400</f>
        <v>558</v>
      </c>
      <c r="E154" s="437" t="s">
        <v>487</v>
      </c>
      <c r="F154" s="829"/>
      <c r="G154" s="830"/>
    </row>
    <row r="155" spans="1:7" ht="16" x14ac:dyDescent="0.2">
      <c r="A155" s="405"/>
      <c r="B155" s="409" t="s">
        <v>473</v>
      </c>
      <c r="C155" s="411"/>
      <c r="D155" s="413">
        <v>115</v>
      </c>
      <c r="E155" s="418" t="s">
        <v>488</v>
      </c>
      <c r="F155" s="424">
        <v>200</v>
      </c>
      <c r="G155" s="421">
        <v>3000</v>
      </c>
    </row>
    <row r="156" spans="1:7" ht="16" x14ac:dyDescent="0.2">
      <c r="A156" s="405"/>
      <c r="B156" s="409" t="s">
        <v>489</v>
      </c>
      <c r="C156" s="411"/>
      <c r="D156" s="413">
        <v>150</v>
      </c>
      <c r="E156" s="418" t="s">
        <v>490</v>
      </c>
      <c r="F156" s="425">
        <v>100</v>
      </c>
      <c r="G156" s="422">
        <v>1800</v>
      </c>
    </row>
    <row r="157" spans="1:7" x14ac:dyDescent="0.2">
      <c r="A157" s="405"/>
      <c r="B157" s="316" t="s">
        <v>294</v>
      </c>
      <c r="C157" s="410">
        <f>450+80+150</f>
        <v>680</v>
      </c>
      <c r="D157" s="414"/>
      <c r="E157" s="316" t="s">
        <v>295</v>
      </c>
      <c r="F157" s="425">
        <v>50</v>
      </c>
      <c r="G157" s="422">
        <v>150</v>
      </c>
    </row>
    <row r="158" spans="1:7" x14ac:dyDescent="0.2">
      <c r="A158" s="405"/>
      <c r="B158" s="316" t="s">
        <v>75</v>
      </c>
      <c r="C158" s="410">
        <v>1440</v>
      </c>
      <c r="D158" s="414"/>
      <c r="E158" s="316" t="s">
        <v>418</v>
      </c>
      <c r="F158" s="425" t="s">
        <v>289</v>
      </c>
      <c r="G158" s="422">
        <v>0</v>
      </c>
    </row>
    <row r="159" spans="1:7" x14ac:dyDescent="0.2">
      <c r="A159" s="405"/>
      <c r="B159" s="408"/>
      <c r="C159" s="411"/>
      <c r="D159" s="413"/>
      <c r="E159" s="419"/>
      <c r="F159" s="425" t="s">
        <v>290</v>
      </c>
      <c r="G159" s="422">
        <v>0</v>
      </c>
    </row>
    <row r="160" spans="1:7" x14ac:dyDescent="0.2">
      <c r="A160" s="405"/>
      <c r="B160" s="409"/>
      <c r="C160" s="412"/>
      <c r="D160" s="413"/>
      <c r="E160" s="409"/>
      <c r="F160" s="426" t="s">
        <v>291</v>
      </c>
      <c r="G160" s="422">
        <v>11.1</v>
      </c>
    </row>
    <row r="161" spans="1:7" ht="16" thickBot="1" x14ac:dyDescent="0.25">
      <c r="A161" s="405"/>
      <c r="B161" s="409"/>
      <c r="C161" s="412"/>
      <c r="D161" s="413"/>
      <c r="E161" s="409"/>
      <c r="F161" s="427" t="s">
        <v>292</v>
      </c>
      <c r="G161" s="423"/>
    </row>
    <row r="162" spans="1:7" ht="16" thickBot="1" x14ac:dyDescent="0.25">
      <c r="A162" s="405"/>
      <c r="B162" s="408"/>
      <c r="C162" s="412"/>
      <c r="D162" s="413"/>
      <c r="E162" s="417"/>
      <c r="F162" s="831">
        <f>SUM(G155:G160)</f>
        <v>4961.1000000000004</v>
      </c>
      <c r="G162" s="832"/>
    </row>
    <row r="163" spans="1:7" x14ac:dyDescent="0.2">
      <c r="A163" s="405"/>
      <c r="B163" s="408"/>
      <c r="C163" s="411"/>
      <c r="D163" s="413"/>
      <c r="E163" s="417"/>
      <c r="F163" s="430"/>
      <c r="G163" s="428"/>
    </row>
    <row r="164" spans="1:7" ht="16" thickBot="1" x14ac:dyDescent="0.25">
      <c r="A164" s="405"/>
      <c r="B164" s="408"/>
      <c r="C164" s="411"/>
      <c r="D164" s="413"/>
      <c r="E164" s="420"/>
      <c r="F164" s="431"/>
      <c r="G164" s="429"/>
    </row>
    <row r="165" spans="1:7" x14ac:dyDescent="0.2">
      <c r="A165" s="405"/>
      <c r="B165" s="408"/>
      <c r="C165" s="412"/>
      <c r="D165" s="413"/>
      <c r="E165" s="417"/>
      <c r="F165" s="833" t="s">
        <v>293</v>
      </c>
      <c r="G165" s="834"/>
    </row>
    <row r="166" spans="1:7" ht="16" thickBot="1" x14ac:dyDescent="0.25">
      <c r="A166" s="405"/>
      <c r="B166" s="316"/>
      <c r="C166" s="234"/>
      <c r="D166" s="413"/>
      <c r="E166" s="316"/>
      <c r="F166" s="835"/>
      <c r="G166" s="836"/>
    </row>
    <row r="167" spans="1:7" x14ac:dyDescent="0.2">
      <c r="A167" s="405"/>
      <c r="B167" s="408"/>
      <c r="C167" s="412"/>
      <c r="D167" s="413"/>
      <c r="E167" s="417"/>
      <c r="F167" s="424">
        <v>200</v>
      </c>
      <c r="G167" s="421">
        <v>5000</v>
      </c>
    </row>
    <row r="168" spans="1:7" x14ac:dyDescent="0.2">
      <c r="A168" s="405"/>
      <c r="B168" s="408"/>
      <c r="C168" s="411"/>
      <c r="D168" s="413"/>
      <c r="E168" s="417"/>
      <c r="F168" s="425">
        <v>100</v>
      </c>
      <c r="G168" s="422">
        <v>1100</v>
      </c>
    </row>
    <row r="169" spans="1:7" x14ac:dyDescent="0.2">
      <c r="A169" s="405"/>
      <c r="B169" s="408"/>
      <c r="C169" s="411"/>
      <c r="D169" s="413"/>
      <c r="E169" s="417"/>
      <c r="F169" s="425">
        <v>50</v>
      </c>
      <c r="G169" s="422">
        <v>150</v>
      </c>
    </row>
    <row r="170" spans="1:7" x14ac:dyDescent="0.2">
      <c r="A170" s="405"/>
      <c r="B170" s="408"/>
      <c r="C170" s="411"/>
      <c r="D170" s="413"/>
      <c r="E170" s="417"/>
      <c r="F170" s="425" t="s">
        <v>289</v>
      </c>
      <c r="G170" s="422">
        <v>0</v>
      </c>
    </row>
    <row r="171" spans="1:7" x14ac:dyDescent="0.2">
      <c r="A171" s="405"/>
      <c r="B171" s="408"/>
      <c r="C171" s="411"/>
      <c r="D171" s="413"/>
      <c r="E171" s="417"/>
      <c r="F171" s="425" t="s">
        <v>290</v>
      </c>
      <c r="G171" s="422">
        <v>0</v>
      </c>
    </row>
    <row r="172" spans="1:7" x14ac:dyDescent="0.2">
      <c r="A172" s="405"/>
      <c r="B172" s="408"/>
      <c r="C172" s="411"/>
      <c r="D172" s="413"/>
      <c r="E172" s="417"/>
      <c r="F172" s="426" t="s">
        <v>291</v>
      </c>
      <c r="G172" s="422">
        <v>9.1</v>
      </c>
    </row>
    <row r="173" spans="1:7" ht="16" thickBot="1" x14ac:dyDescent="0.25">
      <c r="A173" s="405"/>
      <c r="B173" s="408"/>
      <c r="C173" s="411"/>
      <c r="D173" s="413"/>
      <c r="E173" s="417" t="s">
        <v>340</v>
      </c>
      <c r="F173" s="427" t="s">
        <v>292</v>
      </c>
      <c r="G173" s="423"/>
    </row>
    <row r="174" spans="1:7" ht="16" thickBot="1" x14ac:dyDescent="0.25">
      <c r="A174" s="405"/>
      <c r="B174" s="408"/>
      <c r="C174" s="411"/>
      <c r="D174" s="415"/>
      <c r="E174" s="417"/>
      <c r="F174" s="837">
        <f>SUM(G167:G172)</f>
        <v>6259.1</v>
      </c>
      <c r="G174" s="838"/>
    </row>
    <row r="175" spans="1:7" ht="16" thickBot="1" x14ac:dyDescent="0.25">
      <c r="A175" s="406" t="s">
        <v>19</v>
      </c>
      <c r="B175" s="185"/>
      <c r="C175" s="407">
        <f>SUM(C153:C174)</f>
        <v>7081.1</v>
      </c>
      <c r="D175" s="186">
        <f>SUM(D153:D174)</f>
        <v>823</v>
      </c>
      <c r="E175" s="186">
        <f>C175-D175</f>
        <v>6258.1</v>
      </c>
      <c r="F175" s="416"/>
      <c r="G175" s="187"/>
    </row>
    <row r="176" spans="1:7" ht="16" thickBot="1" x14ac:dyDescent="0.25"/>
    <row r="177" spans="1:7" ht="33" thickBot="1" x14ac:dyDescent="0.25">
      <c r="A177" s="686"/>
      <c r="B177" s="183" t="s">
        <v>283</v>
      </c>
      <c r="C177" s="236" t="s">
        <v>284</v>
      </c>
      <c r="D177" s="184" t="s">
        <v>285</v>
      </c>
      <c r="E177" s="184" t="s">
        <v>125</v>
      </c>
      <c r="F177" s="827" t="s">
        <v>286</v>
      </c>
      <c r="G177" s="828"/>
    </row>
    <row r="178" spans="1:7" ht="16" thickBot="1" x14ac:dyDescent="0.25">
      <c r="A178" s="433">
        <v>45665</v>
      </c>
      <c r="B178" s="435" t="s">
        <v>287</v>
      </c>
      <c r="C178" s="436">
        <f>E175</f>
        <v>6258.1</v>
      </c>
      <c r="D178" s="28"/>
      <c r="E178" s="438" t="s">
        <v>287</v>
      </c>
      <c r="F178" s="829" t="s">
        <v>288</v>
      </c>
      <c r="G178" s="830"/>
    </row>
    <row r="179" spans="1:7" ht="16" thickBot="1" x14ac:dyDescent="0.25">
      <c r="A179" s="432"/>
      <c r="B179" s="434" t="s">
        <v>294</v>
      </c>
      <c r="C179" s="410">
        <v>450</v>
      </c>
      <c r="D179" s="439"/>
      <c r="E179" s="437" t="s">
        <v>295</v>
      </c>
      <c r="F179" s="829"/>
      <c r="G179" s="830"/>
    </row>
    <row r="180" spans="1:7" ht="16" x14ac:dyDescent="0.2">
      <c r="A180" s="405"/>
      <c r="B180" s="409" t="s">
        <v>70</v>
      </c>
      <c r="C180" s="411">
        <v>1440</v>
      </c>
      <c r="D180" s="413"/>
      <c r="E180" s="418" t="s">
        <v>491</v>
      </c>
      <c r="F180" s="424">
        <v>200</v>
      </c>
      <c r="G180" s="421">
        <v>5000</v>
      </c>
    </row>
    <row r="181" spans="1:7" ht="16" x14ac:dyDescent="0.2">
      <c r="A181" s="405"/>
      <c r="B181" s="409" t="s">
        <v>298</v>
      </c>
      <c r="C181" s="411"/>
      <c r="D181" s="413">
        <v>1440</v>
      </c>
      <c r="E181" s="418" t="s">
        <v>298</v>
      </c>
      <c r="F181" s="425">
        <v>100</v>
      </c>
      <c r="G181" s="422">
        <v>1100</v>
      </c>
    </row>
    <row r="182" spans="1:7" x14ac:dyDescent="0.2">
      <c r="A182" s="405"/>
      <c r="B182" s="316" t="s">
        <v>492</v>
      </c>
      <c r="C182" s="410"/>
      <c r="D182" s="414">
        <v>6228.7</v>
      </c>
      <c r="E182" s="316" t="s">
        <v>492</v>
      </c>
      <c r="F182" s="425">
        <v>50</v>
      </c>
      <c r="G182" s="422">
        <v>150</v>
      </c>
    </row>
    <row r="183" spans="1:7" x14ac:dyDescent="0.2">
      <c r="A183" s="405"/>
      <c r="B183" s="316"/>
      <c r="C183" s="410"/>
      <c r="D183" s="414"/>
      <c r="E183" s="316"/>
      <c r="F183" s="425" t="s">
        <v>289</v>
      </c>
      <c r="G183" s="422">
        <v>0</v>
      </c>
    </row>
    <row r="184" spans="1:7" x14ac:dyDescent="0.2">
      <c r="A184" s="405"/>
      <c r="B184" s="408"/>
      <c r="C184" s="411"/>
      <c r="D184" s="413"/>
      <c r="E184" s="419"/>
      <c r="F184" s="425" t="s">
        <v>290</v>
      </c>
      <c r="G184" s="422">
        <v>0</v>
      </c>
    </row>
    <row r="185" spans="1:7" x14ac:dyDescent="0.2">
      <c r="A185" s="405"/>
      <c r="B185" s="409"/>
      <c r="C185" s="412"/>
      <c r="D185" s="413"/>
      <c r="E185" s="409"/>
      <c r="F185" s="426" t="s">
        <v>291</v>
      </c>
      <c r="G185" s="422">
        <v>9.1</v>
      </c>
    </row>
    <row r="186" spans="1:7" ht="16" thickBot="1" x14ac:dyDescent="0.25">
      <c r="A186" s="405"/>
      <c r="B186" s="409"/>
      <c r="C186" s="412"/>
      <c r="D186" s="413"/>
      <c r="E186" s="409"/>
      <c r="F186" s="427" t="s">
        <v>292</v>
      </c>
      <c r="G186" s="423"/>
    </row>
    <row r="187" spans="1:7" ht="16" thickBot="1" x14ac:dyDescent="0.25">
      <c r="A187" s="405"/>
      <c r="B187" s="408"/>
      <c r="C187" s="412"/>
      <c r="D187" s="413"/>
      <c r="E187" s="417"/>
      <c r="F187" s="831">
        <f>SUM(G180:G185)</f>
        <v>6259.1</v>
      </c>
      <c r="G187" s="832"/>
    </row>
    <row r="188" spans="1:7" x14ac:dyDescent="0.2">
      <c r="A188" s="405"/>
      <c r="B188" s="408"/>
      <c r="C188" s="411"/>
      <c r="D188" s="413"/>
      <c r="E188" s="417"/>
      <c r="F188" s="430"/>
      <c r="G188" s="428"/>
    </row>
    <row r="189" spans="1:7" ht="16" thickBot="1" x14ac:dyDescent="0.25">
      <c r="A189" s="405"/>
      <c r="B189" s="408"/>
      <c r="C189" s="411"/>
      <c r="D189" s="413"/>
      <c r="E189" s="420"/>
      <c r="F189" s="431"/>
      <c r="G189" s="429"/>
    </row>
    <row r="190" spans="1:7" x14ac:dyDescent="0.2">
      <c r="A190" s="405"/>
      <c r="B190" s="408"/>
      <c r="C190" s="412"/>
      <c r="D190" s="413"/>
      <c r="E190" s="417"/>
      <c r="F190" s="833" t="s">
        <v>293</v>
      </c>
      <c r="G190" s="834"/>
    </row>
    <row r="191" spans="1:7" ht="16" thickBot="1" x14ac:dyDescent="0.25">
      <c r="A191" s="405"/>
      <c r="B191" s="316"/>
      <c r="C191" s="234"/>
      <c r="D191" s="413"/>
      <c r="E191" s="316"/>
      <c r="F191" s="835"/>
      <c r="G191" s="836"/>
    </row>
    <row r="192" spans="1:7" x14ac:dyDescent="0.2">
      <c r="A192" s="405"/>
      <c r="B192" s="408"/>
      <c r="C192" s="412"/>
      <c r="D192" s="413"/>
      <c r="E192" s="417"/>
      <c r="F192" s="424">
        <v>200</v>
      </c>
      <c r="G192" s="421">
        <v>200</v>
      </c>
    </row>
    <row r="193" spans="1:7" x14ac:dyDescent="0.2">
      <c r="A193" s="405"/>
      <c r="B193" s="408"/>
      <c r="C193" s="411"/>
      <c r="D193" s="413"/>
      <c r="E193" s="417"/>
      <c r="F193" s="425">
        <v>100</v>
      </c>
      <c r="G193" s="422"/>
    </row>
    <row r="194" spans="1:7" x14ac:dyDescent="0.2">
      <c r="A194" s="405"/>
      <c r="B194" s="408"/>
      <c r="C194" s="411"/>
      <c r="D194" s="413"/>
      <c r="E194" s="417"/>
      <c r="F194" s="425">
        <v>50</v>
      </c>
      <c r="G194" s="422">
        <v>200</v>
      </c>
    </row>
    <row r="195" spans="1:7" x14ac:dyDescent="0.2">
      <c r="A195" s="405"/>
      <c r="B195" s="408"/>
      <c r="C195" s="411"/>
      <c r="D195" s="413"/>
      <c r="E195" s="417"/>
      <c r="F195" s="425" t="s">
        <v>289</v>
      </c>
      <c r="G195" s="422">
        <v>20</v>
      </c>
    </row>
    <row r="196" spans="1:7" x14ac:dyDescent="0.2">
      <c r="A196" s="405"/>
      <c r="B196" s="408"/>
      <c r="C196" s="411"/>
      <c r="D196" s="413"/>
      <c r="E196" s="417"/>
      <c r="F196" s="425" t="s">
        <v>290</v>
      </c>
      <c r="G196" s="422">
        <v>20</v>
      </c>
    </row>
    <row r="197" spans="1:7" x14ac:dyDescent="0.2">
      <c r="A197" s="405"/>
      <c r="B197" s="408"/>
      <c r="C197" s="411"/>
      <c r="D197" s="413"/>
      <c r="E197" s="417"/>
      <c r="F197" s="426" t="s">
        <v>291</v>
      </c>
      <c r="G197" s="422">
        <f>30+9.4</f>
        <v>39.4</v>
      </c>
    </row>
    <row r="198" spans="1:7" ht="16" thickBot="1" x14ac:dyDescent="0.25">
      <c r="A198" s="405"/>
      <c r="B198" s="408"/>
      <c r="C198" s="411"/>
      <c r="D198" s="413"/>
      <c r="E198" s="417" t="s">
        <v>340</v>
      </c>
      <c r="F198" s="427" t="s">
        <v>292</v>
      </c>
      <c r="G198" s="423"/>
    </row>
    <row r="199" spans="1:7" ht="16" thickBot="1" x14ac:dyDescent="0.25">
      <c r="A199" s="405"/>
      <c r="B199" s="408"/>
      <c r="C199" s="411"/>
      <c r="D199" s="415"/>
      <c r="E199" s="417"/>
      <c r="F199" s="837">
        <f>SUM(G192:G197)</f>
        <v>479.4</v>
      </c>
      <c r="G199" s="838"/>
    </row>
    <row r="200" spans="1:7" ht="16" thickBot="1" x14ac:dyDescent="0.25">
      <c r="A200" s="406" t="s">
        <v>19</v>
      </c>
      <c r="B200" s="185"/>
      <c r="C200" s="407">
        <f>SUM(C178:C199)</f>
        <v>8148.1</v>
      </c>
      <c r="D200" s="186">
        <f>SUM(D178:D199)</f>
        <v>7668.7</v>
      </c>
      <c r="E200" s="186">
        <f>C200-D200</f>
        <v>479.40000000000055</v>
      </c>
      <c r="F200" s="416"/>
      <c r="G200" s="187"/>
    </row>
    <row r="201" spans="1:7" ht="16" thickBot="1" x14ac:dyDescent="0.25"/>
    <row r="202" spans="1:7" ht="33" thickBot="1" x14ac:dyDescent="0.25">
      <c r="A202" s="686"/>
      <c r="B202" s="183" t="s">
        <v>283</v>
      </c>
      <c r="C202" s="236" t="s">
        <v>284</v>
      </c>
      <c r="D202" s="184" t="s">
        <v>285</v>
      </c>
      <c r="E202" s="184" t="s">
        <v>125</v>
      </c>
      <c r="F202" s="827" t="s">
        <v>286</v>
      </c>
      <c r="G202" s="828"/>
    </row>
    <row r="203" spans="1:7" ht="16" thickBot="1" x14ac:dyDescent="0.25">
      <c r="A203" s="433">
        <v>45666</v>
      </c>
      <c r="B203" s="435" t="s">
        <v>287</v>
      </c>
      <c r="C203" s="436">
        <f>E200</f>
        <v>479.40000000000055</v>
      </c>
      <c r="D203" s="28"/>
      <c r="E203" s="438" t="s">
        <v>287</v>
      </c>
      <c r="F203" s="829" t="s">
        <v>288</v>
      </c>
      <c r="G203" s="830"/>
    </row>
    <row r="204" spans="1:7" ht="16" thickBot="1" x14ac:dyDescent="0.25">
      <c r="A204" s="432"/>
      <c r="B204" s="434" t="s">
        <v>222</v>
      </c>
      <c r="C204" s="410"/>
      <c r="D204" s="439">
        <v>200</v>
      </c>
      <c r="E204" s="437" t="s">
        <v>493</v>
      </c>
      <c r="F204" s="829"/>
      <c r="G204" s="830"/>
    </row>
    <row r="205" spans="1:7" ht="16" x14ac:dyDescent="0.2">
      <c r="A205" s="405"/>
      <c r="B205" s="409" t="s">
        <v>279</v>
      </c>
      <c r="C205" s="411"/>
      <c r="D205" s="413">
        <v>95</v>
      </c>
      <c r="E205" s="418" t="s">
        <v>374</v>
      </c>
      <c r="F205" s="424">
        <v>200</v>
      </c>
      <c r="G205" s="421">
        <v>200</v>
      </c>
    </row>
    <row r="206" spans="1:7" ht="16" x14ac:dyDescent="0.2">
      <c r="A206" s="405"/>
      <c r="B206" s="409" t="s">
        <v>494</v>
      </c>
      <c r="C206" s="411"/>
      <c r="D206" s="413">
        <v>25</v>
      </c>
      <c r="E206" s="418" t="s">
        <v>495</v>
      </c>
      <c r="F206" s="425">
        <v>100</v>
      </c>
      <c r="G206" s="422"/>
    </row>
    <row r="207" spans="1:7" x14ac:dyDescent="0.2">
      <c r="A207" s="405"/>
      <c r="B207" s="316" t="s">
        <v>294</v>
      </c>
      <c r="C207" s="410">
        <f>450+100+150</f>
        <v>700</v>
      </c>
      <c r="D207" s="414"/>
      <c r="E207" s="316" t="s">
        <v>295</v>
      </c>
      <c r="F207" s="425">
        <v>50</v>
      </c>
      <c r="G207" s="422">
        <v>200</v>
      </c>
    </row>
    <row r="208" spans="1:7" x14ac:dyDescent="0.2">
      <c r="A208" s="405"/>
      <c r="B208" s="316" t="s">
        <v>496</v>
      </c>
      <c r="C208" s="410"/>
      <c r="D208" s="414">
        <v>200</v>
      </c>
      <c r="E208" s="316" t="s">
        <v>497</v>
      </c>
      <c r="F208" s="425" t="s">
        <v>289</v>
      </c>
      <c r="G208" s="422">
        <v>20</v>
      </c>
    </row>
    <row r="209" spans="1:7" ht="16" x14ac:dyDescent="0.2">
      <c r="A209" s="405"/>
      <c r="B209" s="408" t="s">
        <v>279</v>
      </c>
      <c r="C209" s="411"/>
      <c r="D209" s="413">
        <v>28</v>
      </c>
      <c r="E209" s="419" t="s">
        <v>508</v>
      </c>
      <c r="F209" s="425" t="s">
        <v>290</v>
      </c>
      <c r="G209" s="422">
        <v>20</v>
      </c>
    </row>
    <row r="210" spans="1:7" x14ac:dyDescent="0.2">
      <c r="A210" s="405"/>
      <c r="B210" s="409" t="s">
        <v>509</v>
      </c>
      <c r="C210" s="412"/>
      <c r="D210" s="413">
        <v>72</v>
      </c>
      <c r="E210" s="409" t="s">
        <v>510</v>
      </c>
      <c r="F210" s="426" t="s">
        <v>291</v>
      </c>
      <c r="G210" s="422">
        <f>30+9.4</f>
        <v>39.4</v>
      </c>
    </row>
    <row r="211" spans="1:7" ht="16" thickBot="1" x14ac:dyDescent="0.25">
      <c r="A211" s="405"/>
      <c r="B211" s="409" t="s">
        <v>298</v>
      </c>
      <c r="C211" s="412"/>
      <c r="D211" s="413">
        <v>520</v>
      </c>
      <c r="E211" s="409" t="s">
        <v>298</v>
      </c>
      <c r="F211" s="427" t="s">
        <v>292</v>
      </c>
      <c r="G211" s="423"/>
    </row>
    <row r="212" spans="1:7" ht="16" thickBot="1" x14ac:dyDescent="0.25">
      <c r="A212" s="405"/>
      <c r="B212" s="408"/>
      <c r="C212" s="412"/>
      <c r="D212" s="413"/>
      <c r="E212" s="417"/>
      <c r="F212" s="831">
        <f>SUM(G205:G210)</f>
        <v>479.4</v>
      </c>
      <c r="G212" s="832"/>
    </row>
    <row r="213" spans="1:7" x14ac:dyDescent="0.2">
      <c r="A213" s="405"/>
      <c r="B213" s="408"/>
      <c r="C213" s="411"/>
      <c r="D213" s="413"/>
      <c r="E213" s="417"/>
      <c r="F213" s="430"/>
      <c r="G213" s="428"/>
    </row>
    <row r="214" spans="1:7" ht="16" thickBot="1" x14ac:dyDescent="0.25">
      <c r="A214" s="405"/>
      <c r="B214" s="408"/>
      <c r="C214" s="411"/>
      <c r="D214" s="413"/>
      <c r="E214" s="420"/>
      <c r="F214" s="431"/>
      <c r="G214" s="429"/>
    </row>
    <row r="215" spans="1:7" x14ac:dyDescent="0.2">
      <c r="A215" s="405"/>
      <c r="B215" s="408"/>
      <c r="C215" s="412"/>
      <c r="D215" s="413"/>
      <c r="E215" s="417"/>
      <c r="F215" s="833" t="s">
        <v>293</v>
      </c>
      <c r="G215" s="834"/>
    </row>
    <row r="216" spans="1:7" ht="16" thickBot="1" x14ac:dyDescent="0.25">
      <c r="A216" s="405"/>
      <c r="B216" s="316"/>
      <c r="C216" s="234"/>
      <c r="D216" s="413"/>
      <c r="E216" s="316"/>
      <c r="F216" s="835"/>
      <c r="G216" s="836"/>
    </row>
    <row r="217" spans="1:7" x14ac:dyDescent="0.2">
      <c r="A217" s="405"/>
      <c r="B217" s="408"/>
      <c r="C217" s="412"/>
      <c r="D217" s="413"/>
      <c r="E217" s="417"/>
      <c r="F217" s="424">
        <v>200</v>
      </c>
      <c r="G217" s="421"/>
    </row>
    <row r="218" spans="1:7" x14ac:dyDescent="0.2">
      <c r="A218" s="405"/>
      <c r="B218" s="408"/>
      <c r="C218" s="411"/>
      <c r="D218" s="413"/>
      <c r="E218" s="417"/>
      <c r="F218" s="425">
        <v>100</v>
      </c>
      <c r="G218" s="422"/>
    </row>
    <row r="219" spans="1:7" x14ac:dyDescent="0.2">
      <c r="A219" s="405"/>
      <c r="B219" s="408"/>
      <c r="C219" s="411"/>
      <c r="D219" s="413"/>
      <c r="E219" s="417"/>
      <c r="F219" s="425">
        <v>50</v>
      </c>
      <c r="G219" s="422"/>
    </row>
    <row r="220" spans="1:7" x14ac:dyDescent="0.2">
      <c r="A220" s="405"/>
      <c r="B220" s="408"/>
      <c r="C220" s="411"/>
      <c r="D220" s="413"/>
      <c r="E220" s="417"/>
      <c r="F220" s="425" t="s">
        <v>289</v>
      </c>
      <c r="G220" s="422"/>
    </row>
    <row r="221" spans="1:7" x14ac:dyDescent="0.2">
      <c r="A221" s="405"/>
      <c r="B221" s="408"/>
      <c r="C221" s="411"/>
      <c r="D221" s="413"/>
      <c r="E221" s="417"/>
      <c r="F221" s="425" t="s">
        <v>290</v>
      </c>
      <c r="G221" s="422"/>
    </row>
    <row r="222" spans="1:7" x14ac:dyDescent="0.2">
      <c r="A222" s="405"/>
      <c r="B222" s="408"/>
      <c r="C222" s="411"/>
      <c r="D222" s="413"/>
      <c r="E222" s="417"/>
      <c r="F222" s="426" t="s">
        <v>291</v>
      </c>
      <c r="G222" s="422">
        <f>30+9.4</f>
        <v>39.4</v>
      </c>
    </row>
    <row r="223" spans="1:7" ht="16" thickBot="1" x14ac:dyDescent="0.25">
      <c r="A223" s="405"/>
      <c r="B223" s="408"/>
      <c r="C223" s="411"/>
      <c r="D223" s="413"/>
      <c r="E223" s="417" t="s">
        <v>340</v>
      </c>
      <c r="F223" s="427" t="s">
        <v>292</v>
      </c>
      <c r="G223" s="423"/>
    </row>
    <row r="224" spans="1:7" ht="16" thickBot="1" x14ac:dyDescent="0.25">
      <c r="A224" s="405"/>
      <c r="B224" s="408"/>
      <c r="C224" s="411"/>
      <c r="D224" s="415"/>
      <c r="E224" s="417"/>
      <c r="F224" s="837">
        <f>SUM(G217:G222)</f>
        <v>39.4</v>
      </c>
      <c r="G224" s="838"/>
    </row>
    <row r="225" spans="1:7" ht="16" thickBot="1" x14ac:dyDescent="0.25">
      <c r="A225" s="406" t="s">
        <v>19</v>
      </c>
      <c r="B225" s="185"/>
      <c r="C225" s="407">
        <f>SUM(C203:C224)</f>
        <v>1179.4000000000005</v>
      </c>
      <c r="D225" s="186">
        <f>SUM(D203:D224)</f>
        <v>1140</v>
      </c>
      <c r="E225" s="186">
        <f>C225-D225</f>
        <v>39.400000000000546</v>
      </c>
      <c r="F225" s="416"/>
      <c r="G225" s="187"/>
    </row>
    <row r="226" spans="1:7" ht="16" thickBot="1" x14ac:dyDescent="0.25"/>
    <row r="227" spans="1:7" ht="33" thickBot="1" x14ac:dyDescent="0.25">
      <c r="A227" s="686"/>
      <c r="B227" s="183" t="s">
        <v>283</v>
      </c>
      <c r="C227" s="236" t="s">
        <v>284</v>
      </c>
      <c r="D227" s="184" t="s">
        <v>285</v>
      </c>
      <c r="E227" s="184" t="s">
        <v>125</v>
      </c>
      <c r="F227" s="827" t="s">
        <v>286</v>
      </c>
      <c r="G227" s="828"/>
    </row>
    <row r="228" spans="1:7" ht="16" thickBot="1" x14ac:dyDescent="0.25">
      <c r="A228" s="433">
        <v>45669</v>
      </c>
      <c r="B228" s="435" t="s">
        <v>287</v>
      </c>
      <c r="C228" s="436">
        <f>E225</f>
        <v>39.400000000000546</v>
      </c>
      <c r="D228" s="28"/>
      <c r="E228" s="438" t="s">
        <v>287</v>
      </c>
      <c r="F228" s="829" t="s">
        <v>288</v>
      </c>
      <c r="G228" s="830"/>
    </row>
    <row r="229" spans="1:7" ht="16" thickBot="1" x14ac:dyDescent="0.25">
      <c r="A229" s="432"/>
      <c r="B229" s="434" t="s">
        <v>294</v>
      </c>
      <c r="C229" s="410">
        <v>200</v>
      </c>
      <c r="D229" s="439"/>
      <c r="E229" s="437" t="s">
        <v>295</v>
      </c>
      <c r="F229" s="829"/>
      <c r="G229" s="830"/>
    </row>
    <row r="230" spans="1:7" ht="16" x14ac:dyDescent="0.2">
      <c r="A230" s="405"/>
      <c r="B230" s="409" t="s">
        <v>9</v>
      </c>
      <c r="C230" s="411"/>
      <c r="D230" s="413">
        <v>20</v>
      </c>
      <c r="E230" s="418" t="s">
        <v>517</v>
      </c>
      <c r="F230" s="424">
        <v>200</v>
      </c>
      <c r="G230" s="421"/>
    </row>
    <row r="231" spans="1:7" ht="16" x14ac:dyDescent="0.2">
      <c r="A231" s="405"/>
      <c r="B231" s="409" t="s">
        <v>188</v>
      </c>
      <c r="C231" s="411"/>
      <c r="D231" s="413">
        <v>150</v>
      </c>
      <c r="E231" s="418" t="s">
        <v>224</v>
      </c>
      <c r="F231" s="425">
        <v>100</v>
      </c>
      <c r="G231" s="422"/>
    </row>
    <row r="232" spans="1:7" x14ac:dyDescent="0.2">
      <c r="A232" s="405"/>
      <c r="B232" s="316" t="s">
        <v>298</v>
      </c>
      <c r="C232" s="410">
        <v>150</v>
      </c>
      <c r="D232" s="414"/>
      <c r="E232" s="316" t="s">
        <v>298</v>
      </c>
      <c r="F232" s="425">
        <v>50</v>
      </c>
      <c r="G232" s="422"/>
    </row>
    <row r="233" spans="1:7" x14ac:dyDescent="0.2">
      <c r="A233" s="405"/>
      <c r="B233" s="316" t="s">
        <v>510</v>
      </c>
      <c r="C233" s="410"/>
      <c r="D233" s="414">
        <v>200</v>
      </c>
      <c r="E233" s="316" t="s">
        <v>509</v>
      </c>
      <c r="F233" s="425" t="s">
        <v>289</v>
      </c>
      <c r="G233" s="422"/>
    </row>
    <row r="234" spans="1:7" ht="16" x14ac:dyDescent="0.2">
      <c r="A234" s="405"/>
      <c r="B234" s="408" t="s">
        <v>518</v>
      </c>
      <c r="C234" s="411">
        <v>5.0999999999999996</v>
      </c>
      <c r="D234" s="413"/>
      <c r="E234" s="419" t="s">
        <v>518</v>
      </c>
      <c r="F234" s="425" t="s">
        <v>290</v>
      </c>
      <c r="G234" s="422"/>
    </row>
    <row r="235" spans="1:7" x14ac:dyDescent="0.2">
      <c r="A235" s="405"/>
      <c r="B235" s="409"/>
      <c r="C235" s="412"/>
      <c r="D235" s="413"/>
      <c r="E235" s="409"/>
      <c r="F235" s="426" t="s">
        <v>291</v>
      </c>
      <c r="G235" s="422">
        <f>30+9.4</f>
        <v>39.4</v>
      </c>
    </row>
    <row r="236" spans="1:7" ht="16" thickBot="1" x14ac:dyDescent="0.25">
      <c r="A236" s="405"/>
      <c r="B236" s="409"/>
      <c r="C236" s="412"/>
      <c r="D236" s="413"/>
      <c r="E236" s="409"/>
      <c r="F236" s="427" t="s">
        <v>292</v>
      </c>
      <c r="G236" s="423"/>
    </row>
    <row r="237" spans="1:7" ht="16" thickBot="1" x14ac:dyDescent="0.25">
      <c r="A237" s="405"/>
      <c r="B237" s="408"/>
      <c r="C237" s="412"/>
      <c r="D237" s="413"/>
      <c r="E237" s="417"/>
      <c r="F237" s="831">
        <f>SUM(G230:G235)</f>
        <v>39.4</v>
      </c>
      <c r="G237" s="832"/>
    </row>
    <row r="238" spans="1:7" x14ac:dyDescent="0.2">
      <c r="A238" s="405"/>
      <c r="B238" s="408"/>
      <c r="C238" s="411"/>
      <c r="D238" s="413"/>
      <c r="E238" s="417"/>
      <c r="F238" s="430"/>
      <c r="G238" s="428"/>
    </row>
    <row r="239" spans="1:7" ht="16" thickBot="1" x14ac:dyDescent="0.25">
      <c r="A239" s="405"/>
      <c r="B239" s="408"/>
      <c r="C239" s="411"/>
      <c r="D239" s="413"/>
      <c r="E239" s="420"/>
      <c r="F239" s="431"/>
      <c r="G239" s="429"/>
    </row>
    <row r="240" spans="1:7" x14ac:dyDescent="0.2">
      <c r="A240" s="405"/>
      <c r="B240" s="408"/>
      <c r="C240" s="412"/>
      <c r="D240" s="413"/>
      <c r="E240" s="417"/>
      <c r="F240" s="833" t="s">
        <v>293</v>
      </c>
      <c r="G240" s="834"/>
    </row>
    <row r="241" spans="1:8" ht="16" thickBot="1" x14ac:dyDescent="0.25">
      <c r="A241" s="405"/>
      <c r="B241" s="316"/>
      <c r="C241" s="234"/>
      <c r="D241" s="413"/>
      <c r="E241" s="316"/>
      <c r="F241" s="835"/>
      <c r="G241" s="836"/>
    </row>
    <row r="242" spans="1:8" x14ac:dyDescent="0.2">
      <c r="A242" s="405"/>
      <c r="B242" s="408"/>
      <c r="C242" s="412"/>
      <c r="D242" s="413"/>
      <c r="E242" s="417"/>
      <c r="F242" s="424">
        <v>200</v>
      </c>
      <c r="G242" s="421"/>
    </row>
    <row r="243" spans="1:8" x14ac:dyDescent="0.2">
      <c r="A243" s="405"/>
      <c r="B243" s="408"/>
      <c r="C243" s="411"/>
      <c r="D243" s="413"/>
      <c r="E243" s="417"/>
      <c r="F243" s="425">
        <v>100</v>
      </c>
      <c r="G243" s="422"/>
    </row>
    <row r="244" spans="1:8" x14ac:dyDescent="0.2">
      <c r="A244" s="405"/>
      <c r="B244" s="408"/>
      <c r="C244" s="411"/>
      <c r="D244" s="413"/>
      <c r="E244" s="417"/>
      <c r="F244" s="425">
        <v>50</v>
      </c>
      <c r="G244" s="422"/>
    </row>
    <row r="245" spans="1:8" x14ac:dyDescent="0.2">
      <c r="A245" s="405"/>
      <c r="B245" s="408"/>
      <c r="C245" s="411"/>
      <c r="D245" s="413"/>
      <c r="E245" s="417"/>
      <c r="F245" s="425" t="s">
        <v>289</v>
      </c>
      <c r="G245" s="422"/>
    </row>
    <row r="246" spans="1:8" x14ac:dyDescent="0.2">
      <c r="A246" s="405"/>
      <c r="B246" s="408"/>
      <c r="C246" s="411"/>
      <c r="D246" s="413"/>
      <c r="E246" s="417"/>
      <c r="F246" s="425" t="s">
        <v>290</v>
      </c>
      <c r="G246" s="422"/>
    </row>
    <row r="247" spans="1:8" x14ac:dyDescent="0.2">
      <c r="A247" s="405"/>
      <c r="B247" s="408"/>
      <c r="C247" s="411"/>
      <c r="D247" s="413"/>
      <c r="E247" s="417"/>
      <c r="F247" s="426" t="s">
        <v>291</v>
      </c>
      <c r="G247" s="422">
        <f>15+2+6+1.5</f>
        <v>24.5</v>
      </c>
    </row>
    <row r="248" spans="1:8" ht="16" thickBot="1" x14ac:dyDescent="0.25">
      <c r="A248" s="405"/>
      <c r="B248" s="408"/>
      <c r="C248" s="411"/>
      <c r="D248" s="413"/>
      <c r="E248" s="417" t="s">
        <v>340</v>
      </c>
      <c r="F248" s="427" t="s">
        <v>292</v>
      </c>
      <c r="G248" s="423"/>
    </row>
    <row r="249" spans="1:8" ht="16" thickBot="1" x14ac:dyDescent="0.25">
      <c r="A249" s="405"/>
      <c r="B249" s="408"/>
      <c r="C249" s="411"/>
      <c r="D249" s="415"/>
      <c r="E249" s="417"/>
      <c r="F249" s="837">
        <f>SUM(G242:G247)</f>
        <v>24.5</v>
      </c>
      <c r="G249" s="838"/>
    </row>
    <row r="250" spans="1:8" ht="16" thickBot="1" x14ac:dyDescent="0.25">
      <c r="A250" s="406" t="s">
        <v>19</v>
      </c>
      <c r="B250" s="185"/>
      <c r="C250" s="407">
        <f>SUM(C228:C249)</f>
        <v>394.50000000000057</v>
      </c>
      <c r="D250" s="186">
        <f>SUM(D228:D249)</f>
        <v>370</v>
      </c>
      <c r="E250" s="186">
        <f>C250-D250</f>
        <v>24.500000000000568</v>
      </c>
      <c r="F250" s="416"/>
      <c r="G250" s="187"/>
    </row>
    <row r="251" spans="1:8" ht="16" thickBot="1" x14ac:dyDescent="0.25"/>
    <row r="252" spans="1:8" ht="33" thickBot="1" x14ac:dyDescent="0.25">
      <c r="A252" s="686"/>
      <c r="B252" s="183" t="s">
        <v>283</v>
      </c>
      <c r="C252" s="236" t="s">
        <v>284</v>
      </c>
      <c r="D252" s="184" t="s">
        <v>285</v>
      </c>
      <c r="E252" s="184" t="s">
        <v>125</v>
      </c>
      <c r="F252" s="827" t="s">
        <v>286</v>
      </c>
      <c r="G252" s="828"/>
    </row>
    <row r="253" spans="1:8" ht="15.75" customHeight="1" thickBot="1" x14ac:dyDescent="0.25">
      <c r="A253" s="433">
        <v>45670</v>
      </c>
      <c r="B253" s="435" t="s">
        <v>287</v>
      </c>
      <c r="C253" s="436">
        <f>E250</f>
        <v>24.500000000000568</v>
      </c>
      <c r="D253" s="28"/>
      <c r="E253" s="438" t="s">
        <v>287</v>
      </c>
      <c r="F253" s="829" t="s">
        <v>288</v>
      </c>
      <c r="G253" s="830"/>
      <c r="H253" s="696"/>
    </row>
    <row r="254" spans="1:8" ht="16" thickBot="1" x14ac:dyDescent="0.25">
      <c r="A254" s="432"/>
      <c r="B254" s="434" t="s">
        <v>70</v>
      </c>
      <c r="C254" s="410">
        <v>1200</v>
      </c>
      <c r="D254" s="439"/>
      <c r="E254" s="437" t="s">
        <v>520</v>
      </c>
      <c r="F254" s="829"/>
      <c r="G254" s="830"/>
    </row>
    <row r="255" spans="1:8" ht="16" x14ac:dyDescent="0.2">
      <c r="A255" s="405"/>
      <c r="B255" s="409" t="s">
        <v>222</v>
      </c>
      <c r="C255" s="411"/>
      <c r="D255" s="413">
        <v>30</v>
      </c>
      <c r="E255" s="418" t="s">
        <v>224</v>
      </c>
      <c r="F255" s="424">
        <v>200</v>
      </c>
      <c r="G255" s="421"/>
    </row>
    <row r="256" spans="1:8" ht="16" x14ac:dyDescent="0.2">
      <c r="A256" s="405"/>
      <c r="B256" s="409" t="s">
        <v>294</v>
      </c>
      <c r="C256" s="411">
        <f>400+150</f>
        <v>550</v>
      </c>
      <c r="D256" s="413"/>
      <c r="E256" s="418" t="s">
        <v>295</v>
      </c>
      <c r="F256" s="425">
        <v>100</v>
      </c>
      <c r="G256" s="422"/>
    </row>
    <row r="257" spans="1:7" x14ac:dyDescent="0.2">
      <c r="A257" s="405"/>
      <c r="B257" s="316" t="s">
        <v>509</v>
      </c>
      <c r="C257" s="410"/>
      <c r="D257" s="414">
        <v>200</v>
      </c>
      <c r="E257" s="316" t="s">
        <v>510</v>
      </c>
      <c r="F257" s="425">
        <v>50</v>
      </c>
      <c r="G257" s="422"/>
    </row>
    <row r="258" spans="1:7" x14ac:dyDescent="0.2">
      <c r="A258" s="405"/>
      <c r="B258" s="316" t="s">
        <v>187</v>
      </c>
      <c r="C258" s="410"/>
      <c r="D258" s="414">
        <v>15.9</v>
      </c>
      <c r="E258" s="316" t="s">
        <v>187</v>
      </c>
      <c r="F258" s="425" t="s">
        <v>289</v>
      </c>
      <c r="G258" s="422"/>
    </row>
    <row r="259" spans="1:7" ht="16" x14ac:dyDescent="0.2">
      <c r="A259" s="405"/>
      <c r="B259" s="408" t="s">
        <v>298</v>
      </c>
      <c r="C259" s="411"/>
      <c r="D259" s="413">
        <v>420</v>
      </c>
      <c r="E259" s="419" t="s">
        <v>298</v>
      </c>
      <c r="F259" s="425" t="s">
        <v>290</v>
      </c>
      <c r="G259" s="422"/>
    </row>
    <row r="260" spans="1:7" x14ac:dyDescent="0.2">
      <c r="A260" s="405"/>
      <c r="B260" s="409" t="s">
        <v>518</v>
      </c>
      <c r="C260" s="412">
        <v>100</v>
      </c>
      <c r="D260" s="413"/>
      <c r="E260" s="409" t="s">
        <v>518</v>
      </c>
      <c r="F260" s="426" t="s">
        <v>291</v>
      </c>
      <c r="G260" s="422">
        <f>30+9.4</f>
        <v>39.4</v>
      </c>
    </row>
    <row r="261" spans="1:7" ht="16" thickBot="1" x14ac:dyDescent="0.25">
      <c r="A261" s="405"/>
      <c r="B261" s="409"/>
      <c r="C261" s="412"/>
      <c r="D261" s="413"/>
      <c r="E261" s="409"/>
      <c r="F261" s="427" t="s">
        <v>292</v>
      </c>
      <c r="G261" s="423"/>
    </row>
    <row r="262" spans="1:7" ht="16" thickBot="1" x14ac:dyDescent="0.25">
      <c r="A262" s="405"/>
      <c r="B262" s="408"/>
      <c r="C262" s="412"/>
      <c r="D262" s="413"/>
      <c r="E262" s="417"/>
      <c r="F262" s="831">
        <f>SUM(G255:G260)</f>
        <v>39.4</v>
      </c>
      <c r="G262" s="832"/>
    </row>
    <row r="263" spans="1:7" x14ac:dyDescent="0.2">
      <c r="A263" s="405"/>
      <c r="B263" s="408"/>
      <c r="C263" s="411"/>
      <c r="D263" s="413"/>
      <c r="E263" s="417"/>
      <c r="F263" s="430"/>
      <c r="G263" s="428"/>
    </row>
    <row r="264" spans="1:7" ht="16" thickBot="1" x14ac:dyDescent="0.25">
      <c r="A264" s="405"/>
      <c r="B264" s="408"/>
      <c r="C264" s="411"/>
      <c r="D264" s="413"/>
      <c r="E264" s="420"/>
      <c r="F264" s="431"/>
      <c r="G264" s="429"/>
    </row>
    <row r="265" spans="1:7" x14ac:dyDescent="0.2">
      <c r="A265" s="405"/>
      <c r="B265" s="408"/>
      <c r="C265" s="412"/>
      <c r="D265" s="413"/>
      <c r="E265" s="417"/>
      <c r="F265" s="833" t="s">
        <v>293</v>
      </c>
      <c r="G265" s="834"/>
    </row>
    <row r="266" spans="1:7" ht="16" thickBot="1" x14ac:dyDescent="0.25">
      <c r="A266" s="405"/>
      <c r="B266" s="316"/>
      <c r="C266" s="234"/>
      <c r="D266" s="413"/>
      <c r="E266" s="316"/>
      <c r="F266" s="835"/>
      <c r="G266" s="836"/>
    </row>
    <row r="267" spans="1:7" x14ac:dyDescent="0.2">
      <c r="A267" s="405"/>
      <c r="B267" s="408"/>
      <c r="C267" s="412"/>
      <c r="D267" s="413"/>
      <c r="E267" s="417"/>
      <c r="F267" s="424">
        <v>200</v>
      </c>
      <c r="G267" s="421">
        <v>600</v>
      </c>
    </row>
    <row r="268" spans="1:7" x14ac:dyDescent="0.2">
      <c r="A268" s="405"/>
      <c r="B268" s="408"/>
      <c r="C268" s="411"/>
      <c r="D268" s="413"/>
      <c r="E268" s="417"/>
      <c r="F268" s="425">
        <v>100</v>
      </c>
      <c r="G268" s="422">
        <v>500</v>
      </c>
    </row>
    <row r="269" spans="1:7" x14ac:dyDescent="0.2">
      <c r="A269" s="405"/>
      <c r="B269" s="408"/>
      <c r="C269" s="411"/>
      <c r="D269" s="413"/>
      <c r="E269" s="417"/>
      <c r="F269" s="425">
        <v>50</v>
      </c>
      <c r="G269" s="422">
        <v>50</v>
      </c>
    </row>
    <row r="270" spans="1:7" x14ac:dyDescent="0.2">
      <c r="A270" s="405"/>
      <c r="B270" s="408"/>
      <c r="C270" s="411"/>
      <c r="D270" s="413"/>
      <c r="E270" s="417"/>
      <c r="F270" s="425" t="s">
        <v>289</v>
      </c>
      <c r="G270" s="422">
        <v>20</v>
      </c>
    </row>
    <row r="271" spans="1:7" x14ac:dyDescent="0.2">
      <c r="A271" s="405"/>
      <c r="B271" s="408"/>
      <c r="C271" s="411"/>
      <c r="D271" s="413"/>
      <c r="E271" s="417"/>
      <c r="F271" s="425" t="s">
        <v>290</v>
      </c>
      <c r="G271" s="422"/>
    </row>
    <row r="272" spans="1:7" x14ac:dyDescent="0.2">
      <c r="A272" s="405"/>
      <c r="B272" s="408"/>
      <c r="C272" s="411"/>
      <c r="D272" s="413"/>
      <c r="E272" s="417"/>
      <c r="F272" s="426" t="s">
        <v>291</v>
      </c>
      <c r="G272" s="422">
        <v>38.6</v>
      </c>
    </row>
    <row r="273" spans="1:7" ht="16" thickBot="1" x14ac:dyDescent="0.25">
      <c r="A273" s="405"/>
      <c r="B273" s="408"/>
      <c r="C273" s="411"/>
      <c r="D273" s="413"/>
      <c r="E273" s="417" t="s">
        <v>340</v>
      </c>
      <c r="F273" s="427" t="s">
        <v>292</v>
      </c>
      <c r="G273" s="423"/>
    </row>
    <row r="274" spans="1:7" ht="16" thickBot="1" x14ac:dyDescent="0.25">
      <c r="A274" s="405"/>
      <c r="B274" s="408"/>
      <c r="C274" s="411"/>
      <c r="D274" s="415"/>
      <c r="E274" s="417"/>
      <c r="F274" s="837">
        <f>SUM(G267:G272)</f>
        <v>1208.5999999999999</v>
      </c>
      <c r="G274" s="838"/>
    </row>
    <row r="275" spans="1:7" ht="16" thickBot="1" x14ac:dyDescent="0.25">
      <c r="A275" s="406" t="s">
        <v>19</v>
      </c>
      <c r="B275" s="185"/>
      <c r="C275" s="407">
        <f>SUM(C253:C274)</f>
        <v>1874.5000000000005</v>
      </c>
      <c r="D275" s="186">
        <f>SUM(D253:D274)</f>
        <v>665.9</v>
      </c>
      <c r="E275" s="186">
        <f>C275-D275</f>
        <v>1208.6000000000004</v>
      </c>
      <c r="F275" s="416"/>
      <c r="G275" s="187"/>
    </row>
    <row r="276" spans="1:7" ht="16" thickBot="1" x14ac:dyDescent="0.25"/>
    <row r="277" spans="1:7" ht="33" thickBot="1" x14ac:dyDescent="0.25">
      <c r="A277" s="686"/>
      <c r="B277" s="183" t="s">
        <v>283</v>
      </c>
      <c r="C277" s="236" t="s">
        <v>284</v>
      </c>
      <c r="D277" s="184" t="s">
        <v>285</v>
      </c>
      <c r="E277" s="184" t="s">
        <v>125</v>
      </c>
      <c r="F277" s="827" t="s">
        <v>286</v>
      </c>
      <c r="G277" s="828"/>
    </row>
    <row r="278" spans="1:7" ht="16" thickBot="1" x14ac:dyDescent="0.25">
      <c r="A278" s="433">
        <v>45671</v>
      </c>
      <c r="B278" s="435" t="s">
        <v>287</v>
      </c>
      <c r="C278" s="436">
        <f>E275</f>
        <v>1208.6000000000004</v>
      </c>
      <c r="D278" s="28"/>
      <c r="E278" s="438" t="s">
        <v>287</v>
      </c>
      <c r="F278" s="829" t="s">
        <v>288</v>
      </c>
      <c r="G278" s="830"/>
    </row>
    <row r="279" spans="1:7" ht="16" thickBot="1" x14ac:dyDescent="0.25">
      <c r="A279" s="432"/>
      <c r="B279" s="434" t="s">
        <v>222</v>
      </c>
      <c r="C279" s="410"/>
      <c r="D279" s="439">
        <f>900+79+79</f>
        <v>1058</v>
      </c>
      <c r="E279" s="437" t="s">
        <v>296</v>
      </c>
      <c r="F279" s="829"/>
      <c r="G279" s="830"/>
    </row>
    <row r="280" spans="1:7" ht="16" x14ac:dyDescent="0.2">
      <c r="A280" s="405"/>
      <c r="B280" s="409" t="s">
        <v>75</v>
      </c>
      <c r="C280" s="411">
        <v>1200</v>
      </c>
      <c r="D280" s="413"/>
      <c r="E280" s="418" t="s">
        <v>529</v>
      </c>
      <c r="F280" s="424">
        <v>200</v>
      </c>
      <c r="G280" s="421">
        <v>600</v>
      </c>
    </row>
    <row r="281" spans="1:7" ht="16" x14ac:dyDescent="0.2">
      <c r="A281" s="405"/>
      <c r="B281" s="409" t="s">
        <v>489</v>
      </c>
      <c r="C281" s="411"/>
      <c r="D281" s="413">
        <v>100</v>
      </c>
      <c r="E281" s="418" t="s">
        <v>490</v>
      </c>
      <c r="F281" s="425">
        <v>100</v>
      </c>
      <c r="G281" s="422">
        <v>500</v>
      </c>
    </row>
    <row r="282" spans="1:7" x14ac:dyDescent="0.2">
      <c r="A282" s="405"/>
      <c r="B282" s="316" t="s">
        <v>294</v>
      </c>
      <c r="C282" s="410">
        <f>300</f>
        <v>300</v>
      </c>
      <c r="D282" s="414"/>
      <c r="E282" s="316" t="s">
        <v>295</v>
      </c>
      <c r="F282" s="425">
        <v>50</v>
      </c>
      <c r="G282" s="422">
        <v>50</v>
      </c>
    </row>
    <row r="283" spans="1:7" x14ac:dyDescent="0.2">
      <c r="A283" s="405"/>
      <c r="B283" s="316" t="s">
        <v>194</v>
      </c>
      <c r="C283" s="410"/>
      <c r="D283" s="414">
        <v>100</v>
      </c>
      <c r="E283" s="316" t="s">
        <v>224</v>
      </c>
      <c r="F283" s="425" t="s">
        <v>289</v>
      </c>
      <c r="G283" s="422">
        <v>20</v>
      </c>
    </row>
    <row r="284" spans="1:7" ht="16" x14ac:dyDescent="0.2">
      <c r="A284" s="405"/>
      <c r="B284" s="408" t="s">
        <v>538</v>
      </c>
      <c r="C284" s="411"/>
      <c r="D284" s="413">
        <v>81</v>
      </c>
      <c r="E284" s="419" t="s">
        <v>545</v>
      </c>
      <c r="F284" s="425" t="s">
        <v>290</v>
      </c>
      <c r="G284" s="422"/>
    </row>
    <row r="285" spans="1:7" x14ac:dyDescent="0.2">
      <c r="A285" s="405"/>
      <c r="B285" s="409" t="s">
        <v>546</v>
      </c>
      <c r="C285" s="412"/>
      <c r="D285" s="413">
        <v>120</v>
      </c>
      <c r="E285" s="409" t="s">
        <v>510</v>
      </c>
      <c r="F285" s="426" t="s">
        <v>291</v>
      </c>
      <c r="G285" s="422">
        <v>38.6</v>
      </c>
    </row>
    <row r="286" spans="1:7" ht="16" thickBot="1" x14ac:dyDescent="0.25">
      <c r="A286" s="405"/>
      <c r="B286" s="409" t="s">
        <v>298</v>
      </c>
      <c r="C286" s="412"/>
      <c r="D286" s="413">
        <v>250</v>
      </c>
      <c r="E286" s="409" t="s">
        <v>298</v>
      </c>
      <c r="F286" s="427" t="s">
        <v>292</v>
      </c>
      <c r="G286" s="423"/>
    </row>
    <row r="287" spans="1:7" ht="16" thickBot="1" x14ac:dyDescent="0.25">
      <c r="A287" s="405"/>
      <c r="B287" s="408" t="s">
        <v>518</v>
      </c>
      <c r="C287" s="412">
        <v>120</v>
      </c>
      <c r="D287" s="413"/>
      <c r="E287" s="417" t="s">
        <v>518</v>
      </c>
      <c r="F287" s="831">
        <f>SUM(G280:G285)</f>
        <v>1208.5999999999999</v>
      </c>
      <c r="G287" s="832"/>
    </row>
    <row r="288" spans="1:7" x14ac:dyDescent="0.2">
      <c r="A288" s="405"/>
      <c r="B288" s="408"/>
      <c r="C288" s="411"/>
      <c r="D288" s="413"/>
      <c r="E288" s="417"/>
      <c r="F288" s="430"/>
      <c r="G288" s="428"/>
    </row>
    <row r="289" spans="1:7" ht="16" thickBot="1" x14ac:dyDescent="0.25">
      <c r="A289" s="405"/>
      <c r="B289" s="408"/>
      <c r="C289" s="411"/>
      <c r="D289" s="413"/>
      <c r="E289" s="420"/>
      <c r="F289" s="431"/>
      <c r="G289" s="429"/>
    </row>
    <row r="290" spans="1:7" x14ac:dyDescent="0.2">
      <c r="A290" s="405"/>
      <c r="B290" s="408"/>
      <c r="C290" s="412"/>
      <c r="D290" s="413"/>
      <c r="E290" s="417"/>
      <c r="F290" s="833" t="s">
        <v>293</v>
      </c>
      <c r="G290" s="834"/>
    </row>
    <row r="291" spans="1:7" ht="16" thickBot="1" x14ac:dyDescent="0.25">
      <c r="A291" s="405"/>
      <c r="B291" s="316"/>
      <c r="C291" s="234"/>
      <c r="D291" s="413"/>
      <c r="E291" s="316"/>
      <c r="F291" s="835"/>
      <c r="G291" s="836"/>
    </row>
    <row r="292" spans="1:7" x14ac:dyDescent="0.2">
      <c r="A292" s="405"/>
      <c r="B292" s="408"/>
      <c r="C292" s="412"/>
      <c r="D292" s="413"/>
      <c r="E292" s="417"/>
      <c r="F292" s="424">
        <v>200</v>
      </c>
      <c r="G292" s="421"/>
    </row>
    <row r="293" spans="1:7" x14ac:dyDescent="0.2">
      <c r="A293" s="405"/>
      <c r="B293" s="408"/>
      <c r="C293" s="411"/>
      <c r="D293" s="413"/>
      <c r="E293" s="417"/>
      <c r="F293" s="425">
        <v>100</v>
      </c>
      <c r="G293" s="422">
        <v>200</v>
      </c>
    </row>
    <row r="294" spans="1:7" x14ac:dyDescent="0.2">
      <c r="A294" s="405"/>
      <c r="B294" s="408"/>
      <c r="C294" s="411"/>
      <c r="D294" s="413"/>
      <c r="E294" s="417"/>
      <c r="F294" s="425">
        <v>50</v>
      </c>
      <c r="G294" s="422">
        <v>600</v>
      </c>
    </row>
    <row r="295" spans="1:7" x14ac:dyDescent="0.2">
      <c r="A295" s="405"/>
      <c r="B295" s="408"/>
      <c r="C295" s="411"/>
      <c r="D295" s="413"/>
      <c r="E295" s="417"/>
      <c r="F295" s="425" t="s">
        <v>289</v>
      </c>
      <c r="G295" s="422">
        <v>280</v>
      </c>
    </row>
    <row r="296" spans="1:7" x14ac:dyDescent="0.2">
      <c r="A296" s="405"/>
      <c r="B296" s="408"/>
      <c r="C296" s="411"/>
      <c r="D296" s="413"/>
      <c r="E296" s="417"/>
      <c r="F296" s="425" t="s">
        <v>290</v>
      </c>
      <c r="G296" s="422"/>
    </row>
    <row r="297" spans="1:7" x14ac:dyDescent="0.2">
      <c r="A297" s="405"/>
      <c r="B297" s="408"/>
      <c r="C297" s="411"/>
      <c r="D297" s="413"/>
      <c r="E297" s="417"/>
      <c r="F297" s="426" t="s">
        <v>291</v>
      </c>
      <c r="G297" s="422">
        <v>39.6</v>
      </c>
    </row>
    <row r="298" spans="1:7" ht="16" thickBot="1" x14ac:dyDescent="0.25">
      <c r="A298" s="405"/>
      <c r="B298" s="408"/>
      <c r="C298" s="411"/>
      <c r="D298" s="413"/>
      <c r="E298" s="417" t="s">
        <v>340</v>
      </c>
      <c r="F298" s="427" t="s">
        <v>292</v>
      </c>
      <c r="G298" s="423"/>
    </row>
    <row r="299" spans="1:7" ht="16" thickBot="1" x14ac:dyDescent="0.25">
      <c r="A299" s="405"/>
      <c r="B299" s="408"/>
      <c r="C299" s="411"/>
      <c r="D299" s="415"/>
      <c r="E299" s="417"/>
      <c r="F299" s="837">
        <f>SUM(G292:G297)</f>
        <v>1119.5999999999999</v>
      </c>
      <c r="G299" s="838"/>
    </row>
    <row r="300" spans="1:7" ht="16" thickBot="1" x14ac:dyDescent="0.25">
      <c r="A300" s="406" t="s">
        <v>19</v>
      </c>
      <c r="B300" s="185"/>
      <c r="C300" s="407">
        <f>SUM(C278:C299)</f>
        <v>2828.6000000000004</v>
      </c>
      <c r="D300" s="186">
        <f>SUM(D278:D299)</f>
        <v>1709</v>
      </c>
      <c r="E300" s="186">
        <f>C300-D300</f>
        <v>1119.6000000000004</v>
      </c>
      <c r="F300" s="416"/>
      <c r="G300" s="187"/>
    </row>
    <row r="301" spans="1:7" ht="16" thickBot="1" x14ac:dyDescent="0.25"/>
    <row r="302" spans="1:7" ht="33" thickBot="1" x14ac:dyDescent="0.25">
      <c r="A302" s="686"/>
      <c r="B302" s="183" t="s">
        <v>283</v>
      </c>
      <c r="C302" s="236" t="s">
        <v>284</v>
      </c>
      <c r="D302" s="184" t="s">
        <v>285</v>
      </c>
      <c r="E302" s="184" t="s">
        <v>125</v>
      </c>
      <c r="F302" s="827" t="s">
        <v>286</v>
      </c>
      <c r="G302" s="828"/>
    </row>
    <row r="303" spans="1:7" ht="16" thickBot="1" x14ac:dyDescent="0.25">
      <c r="A303" s="433">
        <v>45672</v>
      </c>
      <c r="B303" s="435" t="s">
        <v>287</v>
      </c>
      <c r="C303" s="436">
        <f>E300</f>
        <v>1119.6000000000004</v>
      </c>
      <c r="D303" s="28"/>
      <c r="E303" s="438" t="s">
        <v>287</v>
      </c>
      <c r="F303" s="829" t="s">
        <v>288</v>
      </c>
      <c r="G303" s="830"/>
    </row>
    <row r="304" spans="1:7" ht="16" thickBot="1" x14ac:dyDescent="0.25">
      <c r="A304" s="432"/>
      <c r="B304" s="434" t="s">
        <v>194</v>
      </c>
      <c r="C304" s="410"/>
      <c r="D304" s="439">
        <v>150</v>
      </c>
      <c r="E304" s="437" t="s">
        <v>224</v>
      </c>
      <c r="F304" s="829"/>
      <c r="G304" s="830"/>
    </row>
    <row r="305" spans="1:7" ht="16" x14ac:dyDescent="0.2">
      <c r="A305" s="405"/>
      <c r="B305" s="409" t="s">
        <v>547</v>
      </c>
      <c r="C305" s="411"/>
      <c r="D305" s="413">
        <v>225</v>
      </c>
      <c r="E305" s="418" t="s">
        <v>548</v>
      </c>
      <c r="F305" s="424">
        <v>200</v>
      </c>
      <c r="G305" s="421"/>
    </row>
    <row r="306" spans="1:7" ht="16" x14ac:dyDescent="0.2">
      <c r="A306" s="405"/>
      <c r="B306" s="409" t="s">
        <v>294</v>
      </c>
      <c r="C306" s="411">
        <v>150</v>
      </c>
      <c r="D306" s="413"/>
      <c r="E306" s="418" t="s">
        <v>295</v>
      </c>
      <c r="F306" s="425">
        <v>100</v>
      </c>
      <c r="G306" s="422">
        <v>200</v>
      </c>
    </row>
    <row r="307" spans="1:7" x14ac:dyDescent="0.2">
      <c r="A307" s="405"/>
      <c r="B307" s="316" t="s">
        <v>222</v>
      </c>
      <c r="C307" s="410">
        <v>450</v>
      </c>
      <c r="D307" s="414"/>
      <c r="E307" s="316" t="s">
        <v>549</v>
      </c>
      <c r="F307" s="425">
        <v>50</v>
      </c>
      <c r="G307" s="422">
        <v>600</v>
      </c>
    </row>
    <row r="308" spans="1:7" x14ac:dyDescent="0.2">
      <c r="A308" s="405"/>
      <c r="B308" s="316"/>
      <c r="C308" s="410"/>
      <c r="D308" s="414"/>
      <c r="E308" s="316"/>
      <c r="F308" s="425" t="s">
        <v>289</v>
      </c>
      <c r="G308" s="422">
        <v>280</v>
      </c>
    </row>
    <row r="309" spans="1:7" x14ac:dyDescent="0.2">
      <c r="A309" s="405"/>
      <c r="B309" s="408"/>
      <c r="C309" s="411"/>
      <c r="D309" s="413"/>
      <c r="E309" s="419"/>
      <c r="F309" s="425" t="s">
        <v>290</v>
      </c>
      <c r="G309" s="422"/>
    </row>
    <row r="310" spans="1:7" x14ac:dyDescent="0.2">
      <c r="A310" s="405"/>
      <c r="B310" s="409"/>
      <c r="C310" s="412"/>
      <c r="D310" s="413"/>
      <c r="E310" s="409"/>
      <c r="F310" s="426" t="s">
        <v>291</v>
      </c>
      <c r="G310" s="422">
        <v>39.6</v>
      </c>
    </row>
    <row r="311" spans="1:7" ht="16" thickBot="1" x14ac:dyDescent="0.25">
      <c r="A311" s="405"/>
      <c r="B311" s="409"/>
      <c r="C311" s="412"/>
      <c r="D311" s="413"/>
      <c r="E311" s="409"/>
      <c r="F311" s="427" t="s">
        <v>292</v>
      </c>
      <c r="G311" s="423"/>
    </row>
    <row r="312" spans="1:7" ht="16" thickBot="1" x14ac:dyDescent="0.25">
      <c r="A312" s="405"/>
      <c r="B312" s="408"/>
      <c r="C312" s="412"/>
      <c r="D312" s="413"/>
      <c r="E312" s="417"/>
      <c r="F312" s="831">
        <f>SUM(G305:G310)</f>
        <v>1119.5999999999999</v>
      </c>
      <c r="G312" s="832"/>
    </row>
    <row r="313" spans="1:7" x14ac:dyDescent="0.2">
      <c r="A313" s="405"/>
      <c r="B313" s="408"/>
      <c r="C313" s="411"/>
      <c r="D313" s="413"/>
      <c r="E313" s="417"/>
      <c r="F313" s="430"/>
      <c r="G313" s="428"/>
    </row>
    <row r="314" spans="1:7" ht="16" thickBot="1" x14ac:dyDescent="0.25">
      <c r="A314" s="405"/>
      <c r="B314" s="408"/>
      <c r="C314" s="411"/>
      <c r="D314" s="413"/>
      <c r="E314" s="420"/>
      <c r="F314" s="431"/>
      <c r="G314" s="429"/>
    </row>
    <row r="315" spans="1:7" x14ac:dyDescent="0.2">
      <c r="A315" s="405"/>
      <c r="B315" s="408"/>
      <c r="C315" s="412"/>
      <c r="D315" s="413"/>
      <c r="E315" s="417"/>
      <c r="F315" s="833" t="s">
        <v>293</v>
      </c>
      <c r="G315" s="834"/>
    </row>
    <row r="316" spans="1:7" ht="16" thickBot="1" x14ac:dyDescent="0.25">
      <c r="A316" s="405"/>
      <c r="B316" s="316"/>
      <c r="C316" s="234"/>
      <c r="D316" s="413"/>
      <c r="E316" s="316"/>
      <c r="F316" s="835"/>
      <c r="G316" s="836"/>
    </row>
    <row r="317" spans="1:7" x14ac:dyDescent="0.2">
      <c r="A317" s="405"/>
      <c r="B317" s="408"/>
      <c r="C317" s="412"/>
      <c r="D317" s="413"/>
      <c r="E317" s="417"/>
      <c r="F317" s="424">
        <v>200</v>
      </c>
      <c r="G317" s="421">
        <v>200</v>
      </c>
    </row>
    <row r="318" spans="1:7" x14ac:dyDescent="0.2">
      <c r="A318" s="405"/>
      <c r="B318" s="408"/>
      <c r="C318" s="411"/>
      <c r="D318" s="413"/>
      <c r="E318" s="417"/>
      <c r="F318" s="425">
        <v>100</v>
      </c>
      <c r="G318" s="422">
        <v>300</v>
      </c>
    </row>
    <row r="319" spans="1:7" x14ac:dyDescent="0.2">
      <c r="A319" s="405"/>
      <c r="B319" s="408"/>
      <c r="C319" s="411"/>
      <c r="D319" s="413"/>
      <c r="E319" s="417"/>
      <c r="F319" s="425">
        <v>50</v>
      </c>
      <c r="G319" s="422">
        <v>500</v>
      </c>
    </row>
    <row r="320" spans="1:7" x14ac:dyDescent="0.2">
      <c r="A320" s="405"/>
      <c r="B320" s="408"/>
      <c r="C320" s="411"/>
      <c r="D320" s="413"/>
      <c r="E320" s="417"/>
      <c r="F320" s="425" t="s">
        <v>289</v>
      </c>
      <c r="G320" s="422">
        <v>280</v>
      </c>
    </row>
    <row r="321" spans="1:8" x14ac:dyDescent="0.2">
      <c r="A321" s="405"/>
      <c r="B321" s="408"/>
      <c r="C321" s="411"/>
      <c r="D321" s="413"/>
      <c r="E321" s="417"/>
      <c r="F321" s="425" t="s">
        <v>290</v>
      </c>
      <c r="G321" s="422">
        <v>10</v>
      </c>
    </row>
    <row r="322" spans="1:8" x14ac:dyDescent="0.2">
      <c r="A322" s="405"/>
      <c r="B322" s="408"/>
      <c r="C322" s="411"/>
      <c r="D322" s="413"/>
      <c r="E322" s="417"/>
      <c r="F322" s="426" t="s">
        <v>291</v>
      </c>
      <c r="G322" s="422">
        <f>30+15+9.6</f>
        <v>54.6</v>
      </c>
    </row>
    <row r="323" spans="1:8" ht="16" thickBot="1" x14ac:dyDescent="0.25">
      <c r="A323" s="405"/>
      <c r="B323" s="408"/>
      <c r="C323" s="411"/>
      <c r="D323" s="413"/>
      <c r="E323" s="417" t="s">
        <v>340</v>
      </c>
      <c r="F323" s="427" t="s">
        <v>292</v>
      </c>
      <c r="G323" s="423"/>
    </row>
    <row r="324" spans="1:8" ht="16" thickBot="1" x14ac:dyDescent="0.25">
      <c r="A324" s="405"/>
      <c r="B324" s="408"/>
      <c r="C324" s="411"/>
      <c r="D324" s="415"/>
      <c r="E324" s="417"/>
      <c r="F324" s="837">
        <f>SUM(G317:G322)</f>
        <v>1344.6</v>
      </c>
      <c r="G324" s="838"/>
    </row>
    <row r="325" spans="1:8" ht="16" thickBot="1" x14ac:dyDescent="0.25">
      <c r="A325" s="406" t="s">
        <v>19</v>
      </c>
      <c r="B325" s="185"/>
      <c r="C325" s="407">
        <f>SUM(C303:C324)</f>
        <v>1719.6000000000004</v>
      </c>
      <c r="D325" s="186">
        <f>SUM(D303:D324)</f>
        <v>375</v>
      </c>
      <c r="E325" s="186">
        <f>C325-D325</f>
        <v>1344.6000000000004</v>
      </c>
      <c r="F325" s="416"/>
      <c r="G325" s="187"/>
    </row>
    <row r="326" spans="1:8" ht="16" thickBot="1" x14ac:dyDescent="0.25">
      <c r="H326" s="696"/>
    </row>
    <row r="327" spans="1:8" ht="33" thickBot="1" x14ac:dyDescent="0.25">
      <c r="A327" s="686"/>
      <c r="B327" s="183" t="s">
        <v>283</v>
      </c>
      <c r="C327" s="236" t="s">
        <v>284</v>
      </c>
      <c r="D327" s="184" t="s">
        <v>285</v>
      </c>
      <c r="E327" s="184" t="s">
        <v>125</v>
      </c>
      <c r="F327" s="827" t="s">
        <v>286</v>
      </c>
      <c r="G327" s="828"/>
    </row>
    <row r="328" spans="1:8" ht="16" thickBot="1" x14ac:dyDescent="0.25">
      <c r="A328" s="433">
        <v>45673</v>
      </c>
      <c r="B328" s="435" t="s">
        <v>287</v>
      </c>
      <c r="C328" s="436">
        <f>E325</f>
        <v>1344.6000000000004</v>
      </c>
      <c r="D328" s="28"/>
      <c r="E328" s="438" t="s">
        <v>287</v>
      </c>
      <c r="F328" s="829" t="s">
        <v>288</v>
      </c>
      <c r="G328" s="830"/>
    </row>
    <row r="329" spans="1:8" ht="16" thickBot="1" x14ac:dyDescent="0.25">
      <c r="A329" s="432"/>
      <c r="B329" s="434" t="s">
        <v>550</v>
      </c>
      <c r="C329" s="410"/>
      <c r="D329" s="439">
        <v>450</v>
      </c>
      <c r="E329" s="437" t="s">
        <v>298</v>
      </c>
      <c r="F329" s="829"/>
      <c r="G329" s="830"/>
    </row>
    <row r="330" spans="1:8" ht="16" x14ac:dyDescent="0.2">
      <c r="A330" s="405"/>
      <c r="B330" s="409" t="s">
        <v>294</v>
      </c>
      <c r="C330" s="411">
        <f>150+100</f>
        <v>250</v>
      </c>
      <c r="D330" s="413"/>
      <c r="E330" s="418" t="s">
        <v>295</v>
      </c>
      <c r="F330" s="424">
        <v>200</v>
      </c>
      <c r="G330" s="421">
        <v>200</v>
      </c>
    </row>
    <row r="331" spans="1:8" ht="16" x14ac:dyDescent="0.2">
      <c r="A331" s="405"/>
      <c r="B331" s="409" t="s">
        <v>194</v>
      </c>
      <c r="C331" s="411"/>
      <c r="D331" s="413">
        <v>150</v>
      </c>
      <c r="E331" s="418" t="s">
        <v>224</v>
      </c>
      <c r="F331" s="425">
        <v>100</v>
      </c>
      <c r="G331" s="422">
        <v>300</v>
      </c>
    </row>
    <row r="332" spans="1:8" x14ac:dyDescent="0.2">
      <c r="A332" s="405"/>
      <c r="B332" s="316" t="s">
        <v>297</v>
      </c>
      <c r="C332" s="410"/>
      <c r="D332" s="414">
        <v>88</v>
      </c>
      <c r="E332" s="316" t="s">
        <v>552</v>
      </c>
      <c r="F332" s="425">
        <v>50</v>
      </c>
      <c r="G332" s="422">
        <v>500</v>
      </c>
    </row>
    <row r="333" spans="1:8" x14ac:dyDescent="0.2">
      <c r="A333" s="405"/>
      <c r="B333" s="316" t="s">
        <v>546</v>
      </c>
      <c r="C333" s="410"/>
      <c r="D333" s="414">
        <v>120</v>
      </c>
      <c r="E333" s="316" t="s">
        <v>510</v>
      </c>
      <c r="F333" s="425" t="s">
        <v>289</v>
      </c>
      <c r="G333" s="422">
        <v>280</v>
      </c>
    </row>
    <row r="334" spans="1:8" ht="16" x14ac:dyDescent="0.2">
      <c r="A334" s="405"/>
      <c r="B334" s="408" t="s">
        <v>550</v>
      </c>
      <c r="C334" s="411"/>
      <c r="D334" s="413">
        <v>760</v>
      </c>
      <c r="E334" s="419" t="s">
        <v>298</v>
      </c>
      <c r="F334" s="425" t="s">
        <v>290</v>
      </c>
      <c r="G334" s="422">
        <v>10</v>
      </c>
    </row>
    <row r="335" spans="1:8" x14ac:dyDescent="0.2">
      <c r="A335" s="405"/>
      <c r="B335" s="409"/>
      <c r="C335" s="412"/>
      <c r="D335" s="413"/>
      <c r="E335" s="409"/>
      <c r="F335" s="426" t="s">
        <v>291</v>
      </c>
      <c r="G335" s="422">
        <f>30+15+9.6</f>
        <v>54.6</v>
      </c>
    </row>
    <row r="336" spans="1:8" ht="16" thickBot="1" x14ac:dyDescent="0.25">
      <c r="A336" s="405"/>
      <c r="B336" s="409"/>
      <c r="C336" s="412"/>
      <c r="D336" s="413"/>
      <c r="E336" s="409"/>
      <c r="F336" s="427" t="s">
        <v>292</v>
      </c>
      <c r="G336" s="423"/>
    </row>
    <row r="337" spans="1:9" ht="16" thickBot="1" x14ac:dyDescent="0.25">
      <c r="A337" s="405"/>
      <c r="B337" s="408"/>
      <c r="C337" s="412"/>
      <c r="D337" s="413"/>
      <c r="E337" s="417"/>
      <c r="F337" s="831">
        <f>SUM(G330:G335)</f>
        <v>1344.6</v>
      </c>
      <c r="G337" s="832"/>
    </row>
    <row r="338" spans="1:9" x14ac:dyDescent="0.2">
      <c r="A338" s="405"/>
      <c r="B338" s="408"/>
      <c r="C338" s="411"/>
      <c r="D338" s="413"/>
      <c r="E338" s="417"/>
      <c r="F338" s="430"/>
      <c r="G338" s="428"/>
    </row>
    <row r="339" spans="1:9" ht="16" thickBot="1" x14ac:dyDescent="0.25">
      <c r="A339" s="405"/>
      <c r="B339" s="408"/>
      <c r="C339" s="411"/>
      <c r="D339" s="413"/>
      <c r="E339" s="420"/>
      <c r="F339" s="431"/>
      <c r="G339" s="429"/>
    </row>
    <row r="340" spans="1:9" x14ac:dyDescent="0.2">
      <c r="A340" s="405"/>
      <c r="B340" s="408"/>
      <c r="C340" s="412"/>
      <c r="D340" s="413"/>
      <c r="E340" s="417"/>
      <c r="F340" s="833" t="s">
        <v>293</v>
      </c>
      <c r="G340" s="834"/>
    </row>
    <row r="341" spans="1:9" ht="16" thickBot="1" x14ac:dyDescent="0.25">
      <c r="A341" s="405"/>
      <c r="B341" s="316"/>
      <c r="C341" s="234"/>
      <c r="D341" s="413"/>
      <c r="E341" s="316"/>
      <c r="F341" s="835"/>
      <c r="G341" s="836"/>
    </row>
    <row r="342" spans="1:9" x14ac:dyDescent="0.2">
      <c r="A342" s="405"/>
      <c r="B342" s="408"/>
      <c r="C342" s="412"/>
      <c r="D342" s="413"/>
      <c r="E342" s="417"/>
      <c r="F342" s="424">
        <v>200</v>
      </c>
      <c r="G342" s="421"/>
    </row>
    <row r="343" spans="1:9" x14ac:dyDescent="0.2">
      <c r="A343" s="405"/>
      <c r="B343" s="408"/>
      <c r="C343" s="411"/>
      <c r="D343" s="413"/>
      <c r="E343" s="417"/>
      <c r="F343" s="425">
        <v>100</v>
      </c>
      <c r="G343" s="422"/>
    </row>
    <row r="344" spans="1:9" x14ac:dyDescent="0.2">
      <c r="A344" s="405"/>
      <c r="B344" s="408"/>
      <c r="C344" s="411"/>
      <c r="D344" s="413"/>
      <c r="E344" s="417"/>
      <c r="F344" s="425">
        <v>50</v>
      </c>
      <c r="G344" s="422"/>
    </row>
    <row r="345" spans="1:9" x14ac:dyDescent="0.2">
      <c r="A345" s="405"/>
      <c r="B345" s="408"/>
      <c r="C345" s="411"/>
      <c r="D345" s="413"/>
      <c r="E345" s="417"/>
      <c r="F345" s="425" t="s">
        <v>289</v>
      </c>
      <c r="G345" s="422"/>
    </row>
    <row r="346" spans="1:9" x14ac:dyDescent="0.2">
      <c r="A346" s="405"/>
      <c r="B346" s="408"/>
      <c r="C346" s="411"/>
      <c r="D346" s="413"/>
      <c r="E346" s="417"/>
      <c r="F346" s="425" t="s">
        <v>290</v>
      </c>
      <c r="G346" s="422"/>
    </row>
    <row r="347" spans="1:9" x14ac:dyDescent="0.2">
      <c r="A347" s="405"/>
      <c r="B347" s="408"/>
      <c r="C347" s="411"/>
      <c r="D347" s="413"/>
      <c r="E347" s="417"/>
      <c r="F347" s="426" t="s">
        <v>291</v>
      </c>
      <c r="G347" s="422">
        <f>17+2+2+2+2+1.6</f>
        <v>26.6</v>
      </c>
    </row>
    <row r="348" spans="1:9" ht="16" thickBot="1" x14ac:dyDescent="0.25">
      <c r="A348" s="405"/>
      <c r="B348" s="408"/>
      <c r="C348" s="411"/>
      <c r="D348" s="413"/>
      <c r="E348" s="417" t="s">
        <v>340</v>
      </c>
      <c r="F348" s="427" t="s">
        <v>292</v>
      </c>
      <c r="G348" s="423"/>
    </row>
    <row r="349" spans="1:9" ht="16" thickBot="1" x14ac:dyDescent="0.25">
      <c r="A349" s="405"/>
      <c r="B349" s="408"/>
      <c r="C349" s="411"/>
      <c r="D349" s="415"/>
      <c r="E349" s="417"/>
      <c r="F349" s="837">
        <f>SUM(G342:G347)</f>
        <v>26.6</v>
      </c>
      <c r="G349" s="838"/>
    </row>
    <row r="350" spans="1:9" ht="16" thickBot="1" x14ac:dyDescent="0.25">
      <c r="A350" s="406" t="s">
        <v>19</v>
      </c>
      <c r="B350" s="185"/>
      <c r="C350" s="407">
        <f>SUM(C328:C349)</f>
        <v>1594.6000000000004</v>
      </c>
      <c r="D350" s="186">
        <f>SUM(D328:D349)</f>
        <v>1568</v>
      </c>
      <c r="E350" s="186">
        <f>C350-D350</f>
        <v>26.600000000000364</v>
      </c>
      <c r="F350" s="416"/>
      <c r="G350" s="187"/>
      <c r="I350" s="696"/>
    </row>
    <row r="351" spans="1:9" ht="16" thickBot="1" x14ac:dyDescent="0.25"/>
    <row r="352" spans="1:9" ht="33" thickBot="1" x14ac:dyDescent="0.25">
      <c r="A352" s="686"/>
      <c r="B352" s="183" t="s">
        <v>283</v>
      </c>
      <c r="C352" s="236" t="s">
        <v>284</v>
      </c>
      <c r="D352" s="184" t="s">
        <v>285</v>
      </c>
      <c r="E352" s="184" t="s">
        <v>125</v>
      </c>
      <c r="F352" s="827" t="s">
        <v>286</v>
      </c>
      <c r="G352" s="828"/>
    </row>
    <row r="353" spans="1:7" ht="16" thickBot="1" x14ac:dyDescent="0.25">
      <c r="A353" s="433">
        <v>45674</v>
      </c>
      <c r="B353" s="435" t="s">
        <v>287</v>
      </c>
      <c r="C353" s="436">
        <f>E350</f>
        <v>26.600000000000364</v>
      </c>
      <c r="D353" s="28"/>
      <c r="E353" s="438" t="s">
        <v>287</v>
      </c>
      <c r="F353" s="829" t="s">
        <v>288</v>
      </c>
      <c r="G353" s="830"/>
    </row>
    <row r="354" spans="1:7" ht="16" thickBot="1" x14ac:dyDescent="0.25">
      <c r="A354" s="432"/>
      <c r="B354" s="434" t="s">
        <v>294</v>
      </c>
      <c r="C354" s="410">
        <v>150</v>
      </c>
      <c r="D354" s="439"/>
      <c r="E354" s="437" t="s">
        <v>295</v>
      </c>
      <c r="F354" s="829"/>
      <c r="G354" s="830"/>
    </row>
    <row r="355" spans="1:7" ht="16" x14ac:dyDescent="0.2">
      <c r="A355" s="405"/>
      <c r="B355" s="409" t="s">
        <v>187</v>
      </c>
      <c r="C355" s="411"/>
      <c r="D355" s="413">
        <v>150</v>
      </c>
      <c r="E355" s="418" t="s">
        <v>187</v>
      </c>
      <c r="F355" s="424">
        <v>200</v>
      </c>
      <c r="G355" s="421"/>
    </row>
    <row r="356" spans="1:7" ht="16" x14ac:dyDescent="0.2">
      <c r="A356" s="405"/>
      <c r="B356" s="409" t="s">
        <v>549</v>
      </c>
      <c r="C356" s="411">
        <v>800</v>
      </c>
      <c r="D356" s="413"/>
      <c r="E356" s="418" t="s">
        <v>222</v>
      </c>
      <c r="F356" s="425">
        <v>100</v>
      </c>
      <c r="G356" s="422"/>
    </row>
    <row r="357" spans="1:7" x14ac:dyDescent="0.2">
      <c r="A357" s="405"/>
      <c r="B357" s="316"/>
      <c r="C357" s="410"/>
      <c r="D357" s="414"/>
      <c r="E357" s="316"/>
      <c r="F357" s="425">
        <v>50</v>
      </c>
      <c r="G357" s="422"/>
    </row>
    <row r="358" spans="1:7" x14ac:dyDescent="0.2">
      <c r="A358" s="405"/>
      <c r="B358" s="316"/>
      <c r="C358" s="410"/>
      <c r="D358" s="414"/>
      <c r="E358" s="316"/>
      <c r="F358" s="425" t="s">
        <v>289</v>
      </c>
      <c r="G358" s="422"/>
    </row>
    <row r="359" spans="1:7" x14ac:dyDescent="0.2">
      <c r="A359" s="405"/>
      <c r="B359" s="408"/>
      <c r="C359" s="411"/>
      <c r="D359" s="413"/>
      <c r="E359" s="419"/>
      <c r="F359" s="425" t="s">
        <v>290</v>
      </c>
      <c r="G359" s="422"/>
    </row>
    <row r="360" spans="1:7" x14ac:dyDescent="0.2">
      <c r="A360" s="405"/>
      <c r="B360" s="409"/>
      <c r="C360" s="412"/>
      <c r="D360" s="413"/>
      <c r="E360" s="409"/>
      <c r="F360" s="426" t="s">
        <v>291</v>
      </c>
      <c r="G360" s="422">
        <f>17+2+2+2+2+1.6</f>
        <v>26.6</v>
      </c>
    </row>
    <row r="361" spans="1:7" ht="16" thickBot="1" x14ac:dyDescent="0.25">
      <c r="A361" s="405"/>
      <c r="B361" s="409"/>
      <c r="C361" s="412"/>
      <c r="D361" s="413"/>
      <c r="E361" s="409"/>
      <c r="F361" s="427" t="s">
        <v>292</v>
      </c>
      <c r="G361" s="423"/>
    </row>
    <row r="362" spans="1:7" ht="16" thickBot="1" x14ac:dyDescent="0.25">
      <c r="A362" s="405"/>
      <c r="B362" s="408"/>
      <c r="C362" s="412"/>
      <c r="D362" s="413"/>
      <c r="E362" s="417"/>
      <c r="F362" s="831">
        <f>SUM(G355:G360)</f>
        <v>26.6</v>
      </c>
      <c r="G362" s="832"/>
    </row>
    <row r="363" spans="1:7" x14ac:dyDescent="0.2">
      <c r="A363" s="405"/>
      <c r="B363" s="408"/>
      <c r="C363" s="411"/>
      <c r="D363" s="413"/>
      <c r="E363" s="417"/>
      <c r="F363" s="430"/>
      <c r="G363" s="428"/>
    </row>
    <row r="364" spans="1:7" ht="16" thickBot="1" x14ac:dyDescent="0.25">
      <c r="A364" s="405"/>
      <c r="B364" s="408"/>
      <c r="C364" s="411"/>
      <c r="D364" s="413"/>
      <c r="E364" s="420"/>
      <c r="F364" s="431"/>
      <c r="G364" s="429"/>
    </row>
    <row r="365" spans="1:7" x14ac:dyDescent="0.2">
      <c r="A365" s="405"/>
      <c r="B365" s="408"/>
      <c r="C365" s="412"/>
      <c r="D365" s="413"/>
      <c r="E365" s="417"/>
      <c r="F365" s="833" t="s">
        <v>293</v>
      </c>
      <c r="G365" s="834"/>
    </row>
    <row r="366" spans="1:7" ht="16" thickBot="1" x14ac:dyDescent="0.25">
      <c r="A366" s="405"/>
      <c r="B366" s="316"/>
      <c r="C366" s="234"/>
      <c r="D366" s="413"/>
      <c r="E366" s="316"/>
      <c r="F366" s="835"/>
      <c r="G366" s="836"/>
    </row>
    <row r="367" spans="1:7" x14ac:dyDescent="0.2">
      <c r="A367" s="405"/>
      <c r="B367" s="408"/>
      <c r="C367" s="412"/>
      <c r="D367" s="413"/>
      <c r="E367" s="417"/>
      <c r="F367" s="424">
        <v>200</v>
      </c>
      <c r="G367" s="421"/>
    </row>
    <row r="368" spans="1:7" x14ac:dyDescent="0.2">
      <c r="A368" s="405"/>
      <c r="B368" s="408"/>
      <c r="C368" s="411"/>
      <c r="D368" s="413"/>
      <c r="E368" s="417"/>
      <c r="F368" s="425">
        <v>100</v>
      </c>
      <c r="G368" s="422">
        <v>100</v>
      </c>
    </row>
    <row r="369" spans="1:7" x14ac:dyDescent="0.2">
      <c r="A369" s="405"/>
      <c r="B369" s="408"/>
      <c r="C369" s="411"/>
      <c r="D369" s="413"/>
      <c r="E369" s="417"/>
      <c r="F369" s="425">
        <v>50</v>
      </c>
      <c r="G369" s="422">
        <v>450</v>
      </c>
    </row>
    <row r="370" spans="1:7" x14ac:dyDescent="0.2">
      <c r="A370" s="405"/>
      <c r="B370" s="408"/>
      <c r="C370" s="411"/>
      <c r="D370" s="413"/>
      <c r="E370" s="417"/>
      <c r="F370" s="425" t="s">
        <v>289</v>
      </c>
      <c r="G370" s="422">
        <v>220</v>
      </c>
    </row>
    <row r="371" spans="1:7" x14ac:dyDescent="0.2">
      <c r="A371" s="405"/>
      <c r="B371" s="408"/>
      <c r="C371" s="411"/>
      <c r="D371" s="413"/>
      <c r="E371" s="417"/>
      <c r="F371" s="425" t="s">
        <v>290</v>
      </c>
      <c r="G371" s="422"/>
    </row>
    <row r="372" spans="1:7" x14ac:dyDescent="0.2">
      <c r="A372" s="405"/>
      <c r="B372" s="408"/>
      <c r="C372" s="411"/>
      <c r="D372" s="413"/>
      <c r="E372" s="417"/>
      <c r="F372" s="426" t="s">
        <v>291</v>
      </c>
      <c r="G372" s="422">
        <v>56.6</v>
      </c>
    </row>
    <row r="373" spans="1:7" ht="16" thickBot="1" x14ac:dyDescent="0.25">
      <c r="A373" s="405"/>
      <c r="B373" s="408"/>
      <c r="C373" s="411"/>
      <c r="D373" s="413"/>
      <c r="E373" s="417" t="s">
        <v>340</v>
      </c>
      <c r="F373" s="427" t="s">
        <v>292</v>
      </c>
      <c r="G373" s="423"/>
    </row>
    <row r="374" spans="1:7" ht="16" thickBot="1" x14ac:dyDescent="0.25">
      <c r="A374" s="405"/>
      <c r="B374" s="408"/>
      <c r="C374" s="411"/>
      <c r="D374" s="415"/>
      <c r="E374" s="417"/>
      <c r="F374" s="837">
        <f>SUM(G367:G372)</f>
        <v>826.6</v>
      </c>
      <c r="G374" s="838"/>
    </row>
    <row r="375" spans="1:7" ht="16" thickBot="1" x14ac:dyDescent="0.25">
      <c r="A375" s="406" t="s">
        <v>19</v>
      </c>
      <c r="B375" s="185"/>
      <c r="C375" s="407">
        <f>SUM(C353:C374)</f>
        <v>976.60000000000036</v>
      </c>
      <c r="D375" s="186">
        <f>SUM(D353:D374)</f>
        <v>150</v>
      </c>
      <c r="E375" s="186">
        <f>C375-D375</f>
        <v>826.60000000000036</v>
      </c>
      <c r="F375" s="416"/>
      <c r="G375" s="187"/>
    </row>
    <row r="376" spans="1:7" ht="16" thickBot="1" x14ac:dyDescent="0.25"/>
    <row r="377" spans="1:7" ht="33" thickBot="1" x14ac:dyDescent="0.25">
      <c r="A377" s="686"/>
      <c r="B377" s="183" t="s">
        <v>283</v>
      </c>
      <c r="C377" s="236" t="s">
        <v>284</v>
      </c>
      <c r="D377" s="184" t="s">
        <v>285</v>
      </c>
      <c r="E377" s="184" t="s">
        <v>125</v>
      </c>
      <c r="F377" s="827" t="s">
        <v>286</v>
      </c>
      <c r="G377" s="828"/>
    </row>
    <row r="378" spans="1:7" ht="16" thickBot="1" x14ac:dyDescent="0.25">
      <c r="A378" s="433">
        <v>45675</v>
      </c>
      <c r="B378" s="435" t="s">
        <v>287</v>
      </c>
      <c r="C378" s="436">
        <f>E375</f>
        <v>826.60000000000036</v>
      </c>
      <c r="D378" s="555"/>
      <c r="E378" s="438" t="s">
        <v>287</v>
      </c>
      <c r="F378" s="829" t="s">
        <v>288</v>
      </c>
      <c r="G378" s="830"/>
    </row>
    <row r="379" spans="1:7" ht="16" thickBot="1" x14ac:dyDescent="0.25">
      <c r="A379" s="432"/>
      <c r="B379" s="316" t="s">
        <v>194</v>
      </c>
      <c r="C379" s="410"/>
      <c r="D379" s="414">
        <v>350</v>
      </c>
      <c r="E379" s="316" t="s">
        <v>565</v>
      </c>
      <c r="F379" s="829"/>
      <c r="G379" s="830"/>
    </row>
    <row r="380" spans="1:7" x14ac:dyDescent="0.2">
      <c r="A380" s="405"/>
      <c r="B380" s="316" t="s">
        <v>14</v>
      </c>
      <c r="C380" s="410"/>
      <c r="D380" s="414">
        <v>350</v>
      </c>
      <c r="E380" s="316" t="s">
        <v>415</v>
      </c>
      <c r="F380" s="424">
        <v>200</v>
      </c>
      <c r="G380" s="421"/>
    </row>
    <row r="381" spans="1:7" ht="16" x14ac:dyDescent="0.2">
      <c r="A381" s="405"/>
      <c r="B381" s="408" t="s">
        <v>566</v>
      </c>
      <c r="C381" s="411"/>
      <c r="D381" s="413">
        <v>100</v>
      </c>
      <c r="E381" s="419" t="s">
        <v>567</v>
      </c>
      <c r="F381" s="425">
        <v>100</v>
      </c>
      <c r="G381" s="422">
        <v>100</v>
      </c>
    </row>
    <row r="382" spans="1:7" x14ac:dyDescent="0.2">
      <c r="A382" s="405"/>
      <c r="B382" s="316" t="s">
        <v>294</v>
      </c>
      <c r="C382" s="410">
        <f>300</f>
        <v>300</v>
      </c>
      <c r="D382" s="414"/>
      <c r="E382" s="316" t="s">
        <v>295</v>
      </c>
      <c r="F382" s="425">
        <v>50</v>
      </c>
      <c r="G382" s="422">
        <v>450</v>
      </c>
    </row>
    <row r="383" spans="1:7" x14ac:dyDescent="0.2">
      <c r="A383" s="405"/>
      <c r="B383" s="316" t="s">
        <v>334</v>
      </c>
      <c r="C383" s="410"/>
      <c r="D383" s="414">
        <v>26</v>
      </c>
      <c r="E383" s="316" t="s">
        <v>568</v>
      </c>
      <c r="F383" s="425" t="s">
        <v>289</v>
      </c>
      <c r="G383" s="422">
        <v>220</v>
      </c>
    </row>
    <row r="384" spans="1:7" x14ac:dyDescent="0.2">
      <c r="A384" s="405"/>
      <c r="B384" s="408"/>
      <c r="C384" s="411"/>
      <c r="D384" s="413"/>
      <c r="E384" s="419"/>
      <c r="F384" s="425" t="s">
        <v>290</v>
      </c>
      <c r="G384" s="422"/>
    </row>
    <row r="385" spans="1:7" x14ac:dyDescent="0.2">
      <c r="A385" s="405"/>
      <c r="B385" s="409"/>
      <c r="C385" s="412"/>
      <c r="D385" s="413"/>
      <c r="E385" s="409"/>
      <c r="F385" s="426" t="s">
        <v>291</v>
      </c>
      <c r="G385" s="422">
        <v>56.6</v>
      </c>
    </row>
    <row r="386" spans="1:7" ht="16" thickBot="1" x14ac:dyDescent="0.25">
      <c r="A386" s="405"/>
      <c r="B386" s="409"/>
      <c r="C386" s="412"/>
      <c r="D386" s="413"/>
      <c r="E386" s="409"/>
      <c r="F386" s="427" t="s">
        <v>292</v>
      </c>
      <c r="G386" s="423"/>
    </row>
    <row r="387" spans="1:7" ht="16" thickBot="1" x14ac:dyDescent="0.25">
      <c r="A387" s="405"/>
      <c r="B387" s="408"/>
      <c r="C387" s="412"/>
      <c r="D387" s="413"/>
      <c r="E387" s="417"/>
      <c r="F387" s="831">
        <f>SUM(G380:G385)</f>
        <v>826.6</v>
      </c>
      <c r="G387" s="832"/>
    </row>
    <row r="388" spans="1:7" x14ac:dyDescent="0.2">
      <c r="A388" s="405"/>
      <c r="B388" s="408"/>
      <c r="C388" s="411"/>
      <c r="D388" s="413"/>
      <c r="E388" s="417"/>
      <c r="F388" s="430"/>
      <c r="G388" s="428"/>
    </row>
    <row r="389" spans="1:7" ht="16" thickBot="1" x14ac:dyDescent="0.25">
      <c r="A389" s="405"/>
      <c r="B389" s="408"/>
      <c r="C389" s="411"/>
      <c r="D389" s="413"/>
      <c r="E389" s="420"/>
      <c r="F389" s="431"/>
      <c r="G389" s="429"/>
    </row>
    <row r="390" spans="1:7" x14ac:dyDescent="0.2">
      <c r="A390" s="405"/>
      <c r="B390" s="408"/>
      <c r="C390" s="412"/>
      <c r="D390" s="413"/>
      <c r="E390" s="417"/>
      <c r="F390" s="833" t="s">
        <v>293</v>
      </c>
      <c r="G390" s="834"/>
    </row>
    <row r="391" spans="1:7" ht="16" thickBot="1" x14ac:dyDescent="0.25">
      <c r="A391" s="405"/>
      <c r="B391" s="316"/>
      <c r="C391" s="234"/>
      <c r="D391" s="413"/>
      <c r="E391" s="316"/>
      <c r="F391" s="835"/>
      <c r="G391" s="836"/>
    </row>
    <row r="392" spans="1:7" x14ac:dyDescent="0.2">
      <c r="A392" s="405"/>
      <c r="B392" s="408"/>
      <c r="C392" s="412"/>
      <c r="D392" s="413"/>
      <c r="E392" s="417"/>
      <c r="F392" s="424">
        <v>200</v>
      </c>
      <c r="G392" s="421"/>
    </row>
    <row r="393" spans="1:7" x14ac:dyDescent="0.2">
      <c r="A393" s="405"/>
      <c r="B393" s="408"/>
      <c r="C393" s="411"/>
      <c r="D393" s="413"/>
      <c r="E393" s="417"/>
      <c r="F393" s="425">
        <v>100</v>
      </c>
      <c r="G393" s="422">
        <v>200</v>
      </c>
    </row>
    <row r="394" spans="1:7" x14ac:dyDescent="0.2">
      <c r="A394" s="405"/>
      <c r="B394" s="408"/>
      <c r="C394" s="411"/>
      <c r="D394" s="413"/>
      <c r="E394" s="417"/>
      <c r="F394" s="425">
        <v>50</v>
      </c>
      <c r="G394" s="422">
        <v>50</v>
      </c>
    </row>
    <row r="395" spans="1:7" x14ac:dyDescent="0.2">
      <c r="A395" s="405"/>
      <c r="B395" s="408"/>
      <c r="C395" s="411"/>
      <c r="D395" s="413"/>
      <c r="E395" s="417"/>
      <c r="F395" s="425" t="s">
        <v>289</v>
      </c>
      <c r="G395" s="422">
        <v>20</v>
      </c>
    </row>
    <row r="396" spans="1:7" x14ac:dyDescent="0.2">
      <c r="A396" s="405"/>
      <c r="B396" s="408"/>
      <c r="C396" s="411"/>
      <c r="D396" s="413"/>
      <c r="E396" s="417"/>
      <c r="F396" s="425" t="s">
        <v>290</v>
      </c>
      <c r="G396" s="422">
        <v>10</v>
      </c>
    </row>
    <row r="397" spans="1:7" x14ac:dyDescent="0.2">
      <c r="A397" s="405"/>
      <c r="B397" s="408"/>
      <c r="C397" s="411"/>
      <c r="D397" s="413"/>
      <c r="E397" s="417"/>
      <c r="F397" s="426" t="s">
        <v>291</v>
      </c>
      <c r="G397" s="422">
        <f>11+3.4+6.2</f>
        <v>20.6</v>
      </c>
    </row>
    <row r="398" spans="1:7" ht="16" thickBot="1" x14ac:dyDescent="0.25">
      <c r="A398" s="405"/>
      <c r="B398" s="408"/>
      <c r="C398" s="411"/>
      <c r="D398" s="413"/>
      <c r="E398" s="417" t="s">
        <v>340</v>
      </c>
      <c r="F398" s="427" t="s">
        <v>292</v>
      </c>
      <c r="G398" s="423"/>
    </row>
    <row r="399" spans="1:7" ht="16" thickBot="1" x14ac:dyDescent="0.25">
      <c r="A399" s="405"/>
      <c r="B399" s="408"/>
      <c r="C399" s="411"/>
      <c r="D399" s="415"/>
      <c r="E399" s="417"/>
      <c r="F399" s="837">
        <f>SUM(G392:G397)</f>
        <v>300.60000000000002</v>
      </c>
      <c r="G399" s="838"/>
    </row>
    <row r="400" spans="1:7" ht="16" thickBot="1" x14ac:dyDescent="0.25">
      <c r="A400" s="406" t="s">
        <v>19</v>
      </c>
      <c r="B400" s="185"/>
      <c r="C400" s="407">
        <f>SUM(C378:C399)</f>
        <v>1126.6000000000004</v>
      </c>
      <c r="D400" s="186">
        <f>SUM(D378:D399)</f>
        <v>826</v>
      </c>
      <c r="E400" s="186">
        <f>C400-D400</f>
        <v>300.60000000000036</v>
      </c>
      <c r="F400" s="416"/>
      <c r="G400" s="187"/>
    </row>
    <row r="401" spans="1:7" ht="16" thickBot="1" x14ac:dyDescent="0.25"/>
    <row r="402" spans="1:7" ht="33" thickBot="1" x14ac:dyDescent="0.25">
      <c r="A402" s="686"/>
      <c r="B402" s="183" t="s">
        <v>283</v>
      </c>
      <c r="C402" s="236" t="s">
        <v>284</v>
      </c>
      <c r="D402" s="184" t="s">
        <v>285</v>
      </c>
      <c r="E402" s="184" t="s">
        <v>125</v>
      </c>
      <c r="F402" s="827" t="s">
        <v>286</v>
      </c>
      <c r="G402" s="828"/>
    </row>
    <row r="403" spans="1:7" ht="16" thickBot="1" x14ac:dyDescent="0.25">
      <c r="A403" s="433">
        <v>45676</v>
      </c>
      <c r="B403" s="435" t="s">
        <v>287</v>
      </c>
      <c r="C403" s="436">
        <f>E400</f>
        <v>300.60000000000036</v>
      </c>
      <c r="D403" s="28"/>
      <c r="E403" s="438" t="s">
        <v>287</v>
      </c>
      <c r="F403" s="829" t="s">
        <v>288</v>
      </c>
      <c r="G403" s="830"/>
    </row>
    <row r="404" spans="1:7" ht="16" thickBot="1" x14ac:dyDescent="0.25">
      <c r="A404" s="432"/>
      <c r="B404" s="434" t="s">
        <v>222</v>
      </c>
      <c r="C404" s="410"/>
      <c r="D404" s="439">
        <v>50</v>
      </c>
      <c r="E404" s="437" t="s">
        <v>222</v>
      </c>
      <c r="F404" s="829"/>
      <c r="G404" s="830"/>
    </row>
    <row r="405" spans="1:7" ht="16" x14ac:dyDescent="0.2">
      <c r="A405" s="405"/>
      <c r="B405" s="409" t="s">
        <v>294</v>
      </c>
      <c r="C405" s="411">
        <f>150+130</f>
        <v>280</v>
      </c>
      <c r="D405" s="413"/>
      <c r="E405" s="418" t="s">
        <v>295</v>
      </c>
      <c r="F405" s="424">
        <v>200</v>
      </c>
      <c r="G405" s="421"/>
    </row>
    <row r="406" spans="1:7" ht="16" x14ac:dyDescent="0.2">
      <c r="A406" s="405"/>
      <c r="B406" s="409" t="s">
        <v>546</v>
      </c>
      <c r="C406" s="411"/>
      <c r="D406" s="413">
        <v>120</v>
      </c>
      <c r="E406" s="418" t="s">
        <v>510</v>
      </c>
      <c r="F406" s="425">
        <v>100</v>
      </c>
      <c r="G406" s="422">
        <v>200</v>
      </c>
    </row>
    <row r="407" spans="1:7" x14ac:dyDescent="0.2">
      <c r="A407" s="405"/>
      <c r="B407" s="316" t="s">
        <v>194</v>
      </c>
      <c r="C407" s="410"/>
      <c r="D407" s="414">
        <v>200</v>
      </c>
      <c r="E407" s="316" t="s">
        <v>224</v>
      </c>
      <c r="F407" s="425">
        <v>50</v>
      </c>
      <c r="G407" s="422">
        <v>50</v>
      </c>
    </row>
    <row r="408" spans="1:7" x14ac:dyDescent="0.2">
      <c r="A408" s="405"/>
      <c r="B408" s="316"/>
      <c r="C408" s="410"/>
      <c r="D408" s="414"/>
      <c r="E408" s="316"/>
      <c r="F408" s="425" t="s">
        <v>289</v>
      </c>
      <c r="G408" s="422">
        <v>20</v>
      </c>
    </row>
    <row r="409" spans="1:7" x14ac:dyDescent="0.2">
      <c r="A409" s="405"/>
      <c r="B409" s="408"/>
      <c r="C409" s="411"/>
      <c r="D409" s="413"/>
      <c r="E409" s="419"/>
      <c r="F409" s="425" t="s">
        <v>290</v>
      </c>
      <c r="G409" s="422">
        <v>10</v>
      </c>
    </row>
    <row r="410" spans="1:7" x14ac:dyDescent="0.2">
      <c r="A410" s="405"/>
      <c r="B410" s="409"/>
      <c r="C410" s="412"/>
      <c r="D410" s="413"/>
      <c r="E410" s="409"/>
      <c r="F410" s="426" t="s">
        <v>291</v>
      </c>
      <c r="G410" s="422">
        <f>11+3.4+6.2</f>
        <v>20.6</v>
      </c>
    </row>
    <row r="411" spans="1:7" ht="16" thickBot="1" x14ac:dyDescent="0.25">
      <c r="A411" s="405"/>
      <c r="B411" s="409"/>
      <c r="C411" s="412"/>
      <c r="D411" s="413"/>
      <c r="E411" s="409"/>
      <c r="F411" s="427" t="s">
        <v>292</v>
      </c>
      <c r="G411" s="423"/>
    </row>
    <row r="412" spans="1:7" ht="16" thickBot="1" x14ac:dyDescent="0.25">
      <c r="A412" s="405"/>
      <c r="B412" s="408"/>
      <c r="C412" s="412"/>
      <c r="D412" s="413"/>
      <c r="E412" s="417"/>
      <c r="F412" s="831">
        <f>SUM(G405:G410)</f>
        <v>300.60000000000002</v>
      </c>
      <c r="G412" s="832"/>
    </row>
    <row r="413" spans="1:7" x14ac:dyDescent="0.2">
      <c r="A413" s="405"/>
      <c r="B413" s="408"/>
      <c r="C413" s="411"/>
      <c r="D413" s="413"/>
      <c r="E413" s="417"/>
      <c r="F413" s="430"/>
      <c r="G413" s="428"/>
    </row>
    <row r="414" spans="1:7" ht="16" thickBot="1" x14ac:dyDescent="0.25">
      <c r="A414" s="405"/>
      <c r="B414" s="408"/>
      <c r="C414" s="411"/>
      <c r="D414" s="413"/>
      <c r="E414" s="420"/>
      <c r="F414" s="431"/>
      <c r="G414" s="429"/>
    </row>
    <row r="415" spans="1:7" x14ac:dyDescent="0.2">
      <c r="A415" s="405"/>
      <c r="B415" s="408"/>
      <c r="C415" s="412"/>
      <c r="D415" s="413"/>
      <c r="E415" s="417"/>
      <c r="F415" s="833" t="s">
        <v>293</v>
      </c>
      <c r="G415" s="834"/>
    </row>
    <row r="416" spans="1:7" ht="16" thickBot="1" x14ac:dyDescent="0.25">
      <c r="A416" s="405"/>
      <c r="B416" s="316"/>
      <c r="C416" s="234"/>
      <c r="D416" s="413"/>
      <c r="E416" s="316"/>
      <c r="F416" s="835"/>
      <c r="G416" s="836"/>
    </row>
    <row r="417" spans="1:7" x14ac:dyDescent="0.2">
      <c r="A417" s="405"/>
      <c r="B417" s="408"/>
      <c r="C417" s="412"/>
      <c r="D417" s="413"/>
      <c r="E417" s="417"/>
      <c r="F417" s="424">
        <v>200</v>
      </c>
      <c r="G417" s="421"/>
    </row>
    <row r="418" spans="1:7" x14ac:dyDescent="0.2">
      <c r="A418" s="405"/>
      <c r="B418" s="408"/>
      <c r="C418" s="411"/>
      <c r="D418" s="413"/>
      <c r="E418" s="417"/>
      <c r="F418" s="425">
        <v>100</v>
      </c>
      <c r="G418" s="422">
        <v>100</v>
      </c>
    </row>
    <row r="419" spans="1:7" x14ac:dyDescent="0.2">
      <c r="A419" s="405"/>
      <c r="B419" s="408"/>
      <c r="C419" s="411"/>
      <c r="D419" s="413"/>
      <c r="E419" s="417"/>
      <c r="F419" s="425">
        <v>50</v>
      </c>
      <c r="G419" s="422">
        <v>50</v>
      </c>
    </row>
    <row r="420" spans="1:7" x14ac:dyDescent="0.2">
      <c r="A420" s="405"/>
      <c r="B420" s="408"/>
      <c r="C420" s="411"/>
      <c r="D420" s="413"/>
      <c r="E420" s="417"/>
      <c r="F420" s="425" t="s">
        <v>289</v>
      </c>
      <c r="G420" s="422">
        <v>40</v>
      </c>
    </row>
    <row r="421" spans="1:7" x14ac:dyDescent="0.2">
      <c r="A421" s="405"/>
      <c r="B421" s="408"/>
      <c r="C421" s="411"/>
      <c r="D421" s="413"/>
      <c r="E421" s="417"/>
      <c r="F421" s="425" t="s">
        <v>290</v>
      </c>
      <c r="G421" s="422">
        <v>0</v>
      </c>
    </row>
    <row r="422" spans="1:7" x14ac:dyDescent="0.2">
      <c r="A422" s="405"/>
      <c r="B422" s="408"/>
      <c r="C422" s="411"/>
      <c r="D422" s="413"/>
      <c r="E422" s="417"/>
      <c r="F422" s="426" t="s">
        <v>291</v>
      </c>
      <c r="G422" s="422">
        <f>11+3.4+6.2</f>
        <v>20.6</v>
      </c>
    </row>
    <row r="423" spans="1:7" ht="16" thickBot="1" x14ac:dyDescent="0.25">
      <c r="A423" s="405"/>
      <c r="B423" s="408"/>
      <c r="C423" s="411"/>
      <c r="D423" s="413"/>
      <c r="E423" s="417" t="s">
        <v>340</v>
      </c>
      <c r="F423" s="427" t="s">
        <v>292</v>
      </c>
      <c r="G423" s="423"/>
    </row>
    <row r="424" spans="1:7" ht="16" thickBot="1" x14ac:dyDescent="0.25">
      <c r="A424" s="405"/>
      <c r="B424" s="408"/>
      <c r="C424" s="411"/>
      <c r="D424" s="415"/>
      <c r="E424" s="417"/>
      <c r="F424" s="837">
        <f>SUM(G417:G422)</f>
        <v>210.6</v>
      </c>
      <c r="G424" s="838"/>
    </row>
    <row r="425" spans="1:7" ht="16" thickBot="1" x14ac:dyDescent="0.25">
      <c r="A425" s="406" t="s">
        <v>19</v>
      </c>
      <c r="B425" s="185"/>
      <c r="C425" s="407">
        <f>SUM(C403:C424)</f>
        <v>580.60000000000036</v>
      </c>
      <c r="D425" s="186">
        <f>SUM(D403:D424)</f>
        <v>370</v>
      </c>
      <c r="E425" s="186">
        <f>C425-D425</f>
        <v>210.60000000000036</v>
      </c>
      <c r="F425" s="416"/>
      <c r="G425" s="187"/>
    </row>
    <row r="426" spans="1:7" ht="16" thickBot="1" x14ac:dyDescent="0.25"/>
    <row r="427" spans="1:7" ht="33" thickBot="1" x14ac:dyDescent="0.25">
      <c r="A427" s="686"/>
      <c r="B427" s="183" t="s">
        <v>283</v>
      </c>
      <c r="C427" s="236" t="s">
        <v>284</v>
      </c>
      <c r="D427" s="184" t="s">
        <v>285</v>
      </c>
      <c r="E427" s="184" t="s">
        <v>125</v>
      </c>
      <c r="F427" s="827" t="s">
        <v>286</v>
      </c>
      <c r="G427" s="828"/>
    </row>
    <row r="428" spans="1:7" ht="16" thickBot="1" x14ac:dyDescent="0.25">
      <c r="A428" s="433">
        <v>45677</v>
      </c>
      <c r="B428" s="435" t="s">
        <v>287</v>
      </c>
      <c r="C428" s="436">
        <f>E425</f>
        <v>210.60000000000036</v>
      </c>
      <c r="D428" s="28"/>
      <c r="E428" s="438" t="s">
        <v>287</v>
      </c>
      <c r="F428" s="829" t="s">
        <v>288</v>
      </c>
      <c r="G428" s="830"/>
    </row>
    <row r="429" spans="1:7" ht="16" thickBot="1" x14ac:dyDescent="0.25">
      <c r="A429" s="432"/>
      <c r="B429" s="434" t="s">
        <v>334</v>
      </c>
      <c r="C429" s="410"/>
      <c r="D429" s="439">
        <v>180</v>
      </c>
      <c r="E429" s="437" t="s">
        <v>577</v>
      </c>
      <c r="F429" s="829"/>
      <c r="G429" s="830"/>
    </row>
    <row r="430" spans="1:7" ht="16" x14ac:dyDescent="0.2">
      <c r="A430" s="405"/>
      <c r="B430" s="409" t="s">
        <v>294</v>
      </c>
      <c r="C430" s="411">
        <f>900</f>
        <v>900</v>
      </c>
      <c r="D430" s="413"/>
      <c r="E430" s="418" t="s">
        <v>295</v>
      </c>
      <c r="F430" s="424">
        <v>200</v>
      </c>
      <c r="G430" s="421"/>
    </row>
    <row r="431" spans="1:7" ht="16" x14ac:dyDescent="0.2">
      <c r="A431" s="405"/>
      <c r="B431" s="409" t="s">
        <v>298</v>
      </c>
      <c r="C431" s="411"/>
      <c r="D431" s="413">
        <v>900</v>
      </c>
      <c r="E431" s="418" t="s">
        <v>298</v>
      </c>
      <c r="F431" s="425">
        <v>100</v>
      </c>
      <c r="G431" s="422">
        <v>100</v>
      </c>
    </row>
    <row r="432" spans="1:7" x14ac:dyDescent="0.2">
      <c r="A432" s="405"/>
      <c r="B432" s="316" t="s">
        <v>70</v>
      </c>
      <c r="C432" s="410">
        <v>1200</v>
      </c>
      <c r="D432" s="414"/>
      <c r="E432" s="316" t="s">
        <v>571</v>
      </c>
      <c r="F432" s="425">
        <v>50</v>
      </c>
      <c r="G432" s="422">
        <v>50</v>
      </c>
    </row>
    <row r="433" spans="1:7" x14ac:dyDescent="0.2">
      <c r="A433" s="405"/>
      <c r="B433" s="316" t="s">
        <v>549</v>
      </c>
      <c r="C433" s="410">
        <v>350</v>
      </c>
      <c r="D433" s="414"/>
      <c r="E433" s="316" t="s">
        <v>222</v>
      </c>
      <c r="F433" s="425" t="s">
        <v>289</v>
      </c>
      <c r="G433" s="422">
        <v>40</v>
      </c>
    </row>
    <row r="434" spans="1:7" x14ac:dyDescent="0.2">
      <c r="A434" s="405"/>
      <c r="B434" s="408"/>
      <c r="C434" s="411"/>
      <c r="D434" s="413"/>
      <c r="E434" s="419"/>
      <c r="F434" s="425" t="s">
        <v>290</v>
      </c>
      <c r="G434" s="422">
        <v>0</v>
      </c>
    </row>
    <row r="435" spans="1:7" x14ac:dyDescent="0.2">
      <c r="A435" s="405"/>
      <c r="B435" s="409"/>
      <c r="C435" s="412"/>
      <c r="D435" s="413"/>
      <c r="E435" s="409"/>
      <c r="F435" s="426" t="s">
        <v>291</v>
      </c>
      <c r="G435" s="422">
        <f>11+3.4+6.2</f>
        <v>20.6</v>
      </c>
    </row>
    <row r="436" spans="1:7" ht="16" thickBot="1" x14ac:dyDescent="0.25">
      <c r="A436" s="405"/>
      <c r="B436" s="409"/>
      <c r="C436" s="412"/>
      <c r="D436" s="413"/>
      <c r="E436" s="409"/>
      <c r="F436" s="427" t="s">
        <v>292</v>
      </c>
      <c r="G436" s="423"/>
    </row>
    <row r="437" spans="1:7" ht="16" thickBot="1" x14ac:dyDescent="0.25">
      <c r="A437" s="405"/>
      <c r="B437" s="408"/>
      <c r="C437" s="412"/>
      <c r="D437" s="413"/>
      <c r="E437" s="417"/>
      <c r="F437" s="831">
        <f>SUM(G430:G435)</f>
        <v>210.6</v>
      </c>
      <c r="G437" s="832"/>
    </row>
    <row r="438" spans="1:7" x14ac:dyDescent="0.2">
      <c r="A438" s="405"/>
      <c r="B438" s="408"/>
      <c r="C438" s="411"/>
      <c r="D438" s="413"/>
      <c r="E438" s="417"/>
      <c r="F438" s="430"/>
      <c r="G438" s="428"/>
    </row>
    <row r="439" spans="1:7" ht="16" thickBot="1" x14ac:dyDescent="0.25">
      <c r="A439" s="405"/>
      <c r="B439" s="408"/>
      <c r="C439" s="411"/>
      <c r="D439" s="413"/>
      <c r="E439" s="420"/>
      <c r="F439" s="431"/>
      <c r="G439" s="429"/>
    </row>
    <row r="440" spans="1:7" x14ac:dyDescent="0.2">
      <c r="A440" s="405"/>
      <c r="B440" s="408"/>
      <c r="C440" s="412"/>
      <c r="D440" s="413"/>
      <c r="E440" s="417"/>
      <c r="F440" s="833" t="s">
        <v>293</v>
      </c>
      <c r="G440" s="834"/>
    </row>
    <row r="441" spans="1:7" ht="16" thickBot="1" x14ac:dyDescent="0.25">
      <c r="A441" s="405"/>
      <c r="B441" s="316"/>
      <c r="C441" s="234"/>
      <c r="D441" s="413"/>
      <c r="E441" s="316"/>
      <c r="F441" s="835"/>
      <c r="G441" s="836"/>
    </row>
    <row r="442" spans="1:7" x14ac:dyDescent="0.2">
      <c r="A442" s="405"/>
      <c r="B442" s="408"/>
      <c r="C442" s="412"/>
      <c r="D442" s="413"/>
      <c r="E442" s="417"/>
      <c r="F442" s="424">
        <v>200</v>
      </c>
      <c r="G442" s="421">
        <v>600</v>
      </c>
    </row>
    <row r="443" spans="1:7" x14ac:dyDescent="0.2">
      <c r="A443" s="405"/>
      <c r="B443" s="408"/>
      <c r="C443" s="411"/>
      <c r="D443" s="413"/>
      <c r="E443" s="417"/>
      <c r="F443" s="425">
        <v>100</v>
      </c>
      <c r="G443" s="422">
        <v>800</v>
      </c>
    </row>
    <row r="444" spans="1:7" x14ac:dyDescent="0.2">
      <c r="A444" s="405"/>
      <c r="B444" s="408"/>
      <c r="C444" s="411"/>
      <c r="D444" s="413"/>
      <c r="E444" s="417"/>
      <c r="F444" s="425">
        <v>50</v>
      </c>
      <c r="G444" s="422">
        <v>150</v>
      </c>
    </row>
    <row r="445" spans="1:7" x14ac:dyDescent="0.2">
      <c r="A445" s="405"/>
      <c r="B445" s="408"/>
      <c r="C445" s="411"/>
      <c r="D445" s="413"/>
      <c r="E445" s="417"/>
      <c r="F445" s="425" t="s">
        <v>289</v>
      </c>
      <c r="G445" s="422">
        <v>0</v>
      </c>
    </row>
    <row r="446" spans="1:7" x14ac:dyDescent="0.2">
      <c r="A446" s="405"/>
      <c r="B446" s="408"/>
      <c r="C446" s="411"/>
      <c r="D446" s="413"/>
      <c r="E446" s="417"/>
      <c r="F446" s="425" t="s">
        <v>290</v>
      </c>
      <c r="G446" s="422">
        <v>0</v>
      </c>
    </row>
    <row r="447" spans="1:7" x14ac:dyDescent="0.2">
      <c r="A447" s="405"/>
      <c r="B447" s="408"/>
      <c r="C447" s="411"/>
      <c r="D447" s="413"/>
      <c r="E447" s="417"/>
      <c r="F447" s="426" t="s">
        <v>291</v>
      </c>
      <c r="G447" s="422">
        <v>30.6</v>
      </c>
    </row>
    <row r="448" spans="1:7" ht="16" thickBot="1" x14ac:dyDescent="0.25">
      <c r="A448" s="405"/>
      <c r="B448" s="408"/>
      <c r="C448" s="411"/>
      <c r="D448" s="413"/>
      <c r="E448" s="417" t="s">
        <v>340</v>
      </c>
      <c r="F448" s="427" t="s">
        <v>292</v>
      </c>
      <c r="G448" s="423"/>
    </row>
    <row r="449" spans="1:7" ht="16" thickBot="1" x14ac:dyDescent="0.25">
      <c r="A449" s="405"/>
      <c r="B449" s="408"/>
      <c r="C449" s="411"/>
      <c r="D449" s="415"/>
      <c r="E449" s="417"/>
      <c r="F449" s="837">
        <f>SUM(G442:G447)</f>
        <v>1580.6</v>
      </c>
      <c r="G449" s="838"/>
    </row>
    <row r="450" spans="1:7" ht="16" thickBot="1" x14ac:dyDescent="0.25">
      <c r="A450" s="406" t="s">
        <v>19</v>
      </c>
      <c r="B450" s="185"/>
      <c r="C450" s="407">
        <f>SUM(C428:C449)</f>
        <v>2660.6000000000004</v>
      </c>
      <c r="D450" s="186">
        <f>SUM(D428:D449)</f>
        <v>1080</v>
      </c>
      <c r="E450" s="186">
        <f>C450-D450</f>
        <v>1580.6000000000004</v>
      </c>
      <c r="F450" s="416"/>
      <c r="G450" s="187"/>
    </row>
    <row r="451" spans="1:7" ht="16" thickBot="1" x14ac:dyDescent="0.25"/>
    <row r="452" spans="1:7" ht="33" thickBot="1" x14ac:dyDescent="0.25">
      <c r="A452" s="686"/>
      <c r="B452" s="183" t="s">
        <v>283</v>
      </c>
      <c r="C452" s="236" t="s">
        <v>284</v>
      </c>
      <c r="D452" s="184" t="s">
        <v>285</v>
      </c>
      <c r="E452" s="184" t="s">
        <v>125</v>
      </c>
      <c r="F452" s="827" t="s">
        <v>286</v>
      </c>
      <c r="G452" s="828"/>
    </row>
    <row r="453" spans="1:7" ht="16" thickBot="1" x14ac:dyDescent="0.25">
      <c r="A453" s="433">
        <v>45678</v>
      </c>
      <c r="B453" s="435" t="s">
        <v>287</v>
      </c>
      <c r="C453" s="436">
        <f>E450</f>
        <v>1580.6000000000004</v>
      </c>
      <c r="D453" s="28"/>
      <c r="E453" s="438" t="s">
        <v>287</v>
      </c>
      <c r="F453" s="829" t="s">
        <v>288</v>
      </c>
      <c r="G453" s="830"/>
    </row>
    <row r="454" spans="1:7" ht="16" thickBot="1" x14ac:dyDescent="0.25">
      <c r="A454" s="432"/>
      <c r="B454" s="434" t="s">
        <v>550</v>
      </c>
      <c r="C454" s="410"/>
      <c r="D454" s="439">
        <v>1100</v>
      </c>
      <c r="E454" s="437" t="s">
        <v>298</v>
      </c>
      <c r="F454" s="829"/>
      <c r="G454" s="830"/>
    </row>
    <row r="455" spans="1:7" ht="16" x14ac:dyDescent="0.2">
      <c r="A455" s="405"/>
      <c r="B455" s="409" t="s">
        <v>188</v>
      </c>
      <c r="C455" s="411"/>
      <c r="D455" s="413">
        <v>500</v>
      </c>
      <c r="E455" s="418" t="s">
        <v>224</v>
      </c>
      <c r="F455" s="424">
        <v>200</v>
      </c>
      <c r="G455" s="421"/>
    </row>
    <row r="456" spans="1:7" ht="16" x14ac:dyDescent="0.2">
      <c r="A456" s="405"/>
      <c r="B456" s="409" t="s">
        <v>547</v>
      </c>
      <c r="C456" s="411"/>
      <c r="D456" s="413">
        <v>100</v>
      </c>
      <c r="E456" s="418" t="s">
        <v>224</v>
      </c>
      <c r="F456" s="425">
        <v>100</v>
      </c>
      <c r="G456" s="422">
        <v>100</v>
      </c>
    </row>
    <row r="457" spans="1:7" x14ac:dyDescent="0.2">
      <c r="A457" s="405"/>
      <c r="B457" s="316" t="s">
        <v>334</v>
      </c>
      <c r="C457" s="410"/>
      <c r="D457" s="414">
        <v>17</v>
      </c>
      <c r="E457" s="316" t="s">
        <v>590</v>
      </c>
      <c r="F457" s="425">
        <v>50</v>
      </c>
      <c r="G457" s="422">
        <v>50</v>
      </c>
    </row>
    <row r="458" spans="1:7" x14ac:dyDescent="0.2">
      <c r="A458" s="405"/>
      <c r="B458" s="316" t="s">
        <v>75</v>
      </c>
      <c r="C458" s="410">
        <v>1440</v>
      </c>
      <c r="D458" s="414"/>
      <c r="E458" s="316" t="s">
        <v>581</v>
      </c>
      <c r="F458" s="425" t="s">
        <v>289</v>
      </c>
      <c r="G458" s="422">
        <v>40</v>
      </c>
    </row>
    <row r="459" spans="1:7" ht="16" x14ac:dyDescent="0.2">
      <c r="A459" s="405"/>
      <c r="B459" s="408" t="s">
        <v>222</v>
      </c>
      <c r="C459" s="411"/>
      <c r="D459" s="413">
        <f>79*2</f>
        <v>158</v>
      </c>
      <c r="E459" s="419" t="s">
        <v>493</v>
      </c>
      <c r="F459" s="425" t="s">
        <v>290</v>
      </c>
      <c r="G459" s="422">
        <v>0</v>
      </c>
    </row>
    <row r="460" spans="1:7" x14ac:dyDescent="0.2">
      <c r="A460" s="405"/>
      <c r="B460" s="409" t="s">
        <v>489</v>
      </c>
      <c r="C460" s="412"/>
      <c r="D460" s="413">
        <v>100</v>
      </c>
      <c r="E460" s="409" t="s">
        <v>490</v>
      </c>
      <c r="F460" s="426" t="s">
        <v>291</v>
      </c>
      <c r="G460" s="422">
        <f>11+3.4+6.2</f>
        <v>20.6</v>
      </c>
    </row>
    <row r="461" spans="1:7" ht="16" thickBot="1" x14ac:dyDescent="0.25">
      <c r="A461" s="405"/>
      <c r="B461" s="409" t="s">
        <v>294</v>
      </c>
      <c r="C461" s="412">
        <v>150</v>
      </c>
      <c r="D461" s="413"/>
      <c r="E461" s="409" t="s">
        <v>295</v>
      </c>
      <c r="F461" s="427" t="s">
        <v>292</v>
      </c>
      <c r="G461" s="423"/>
    </row>
    <row r="462" spans="1:7" ht="16" thickBot="1" x14ac:dyDescent="0.25">
      <c r="A462" s="405"/>
      <c r="B462" s="408"/>
      <c r="C462" s="412"/>
      <c r="D462" s="413"/>
      <c r="E462" s="417"/>
      <c r="F462" s="831">
        <f>SUM(G455:G460)</f>
        <v>210.6</v>
      </c>
      <c r="G462" s="832"/>
    </row>
    <row r="463" spans="1:7" x14ac:dyDescent="0.2">
      <c r="A463" s="405"/>
      <c r="B463" s="408"/>
      <c r="C463" s="411"/>
      <c r="D463" s="413"/>
      <c r="E463" s="417"/>
      <c r="F463" s="430"/>
      <c r="G463" s="428"/>
    </row>
    <row r="464" spans="1:7" ht="16" thickBot="1" x14ac:dyDescent="0.25">
      <c r="A464" s="405"/>
      <c r="B464" s="408"/>
      <c r="C464" s="411"/>
      <c r="D464" s="413"/>
      <c r="E464" s="420"/>
      <c r="F464" s="431"/>
      <c r="G464" s="429"/>
    </row>
    <row r="465" spans="1:7" x14ac:dyDescent="0.2">
      <c r="A465" s="405"/>
      <c r="B465" s="408"/>
      <c r="C465" s="412"/>
      <c r="D465" s="413"/>
      <c r="E465" s="417"/>
      <c r="F465" s="833" t="s">
        <v>293</v>
      </c>
      <c r="G465" s="834"/>
    </row>
    <row r="466" spans="1:7" ht="16" thickBot="1" x14ac:dyDescent="0.25">
      <c r="A466" s="405"/>
      <c r="B466" s="316"/>
      <c r="C466" s="234"/>
      <c r="D466" s="413"/>
      <c r="E466" s="316"/>
      <c r="F466" s="835"/>
      <c r="G466" s="836"/>
    </row>
    <row r="467" spans="1:7" x14ac:dyDescent="0.2">
      <c r="A467" s="405"/>
      <c r="B467" s="408"/>
      <c r="C467" s="412"/>
      <c r="D467" s="413"/>
      <c r="E467" s="417"/>
      <c r="F467" s="424">
        <v>200</v>
      </c>
      <c r="G467" s="421">
        <v>200</v>
      </c>
    </row>
    <row r="468" spans="1:7" x14ac:dyDescent="0.2">
      <c r="A468" s="405"/>
      <c r="B468" s="408"/>
      <c r="C468" s="411"/>
      <c r="D468" s="413"/>
      <c r="E468" s="417"/>
      <c r="F468" s="425">
        <v>100</v>
      </c>
      <c r="G468" s="422">
        <v>800</v>
      </c>
    </row>
    <row r="469" spans="1:7" x14ac:dyDescent="0.2">
      <c r="A469" s="405"/>
      <c r="B469" s="408"/>
      <c r="C469" s="411"/>
      <c r="D469" s="413"/>
      <c r="E469" s="417"/>
      <c r="F469" s="425">
        <v>50</v>
      </c>
      <c r="G469" s="422">
        <v>150</v>
      </c>
    </row>
    <row r="470" spans="1:7" x14ac:dyDescent="0.2">
      <c r="A470" s="405"/>
      <c r="B470" s="408"/>
      <c r="C470" s="411"/>
      <c r="D470" s="413"/>
      <c r="E470" s="417"/>
      <c r="F470" s="425" t="s">
        <v>289</v>
      </c>
      <c r="G470" s="422">
        <v>0</v>
      </c>
    </row>
    <row r="471" spans="1:7" x14ac:dyDescent="0.2">
      <c r="A471" s="405"/>
      <c r="B471" s="408"/>
      <c r="C471" s="411"/>
      <c r="D471" s="413"/>
      <c r="E471" s="417"/>
      <c r="F471" s="425" t="s">
        <v>290</v>
      </c>
      <c r="G471" s="422">
        <v>10</v>
      </c>
    </row>
    <row r="472" spans="1:7" x14ac:dyDescent="0.2">
      <c r="A472" s="405"/>
      <c r="B472" s="408"/>
      <c r="C472" s="411"/>
      <c r="D472" s="413"/>
      <c r="E472" s="417"/>
      <c r="F472" s="426" t="s">
        <v>291</v>
      </c>
      <c r="G472" s="422">
        <v>35.6</v>
      </c>
    </row>
    <row r="473" spans="1:7" ht="16" thickBot="1" x14ac:dyDescent="0.25">
      <c r="A473" s="405"/>
      <c r="B473" s="408"/>
      <c r="C473" s="411"/>
      <c r="D473" s="413"/>
      <c r="E473" s="417" t="s">
        <v>340</v>
      </c>
      <c r="F473" s="427" t="s">
        <v>292</v>
      </c>
      <c r="G473" s="423"/>
    </row>
    <row r="474" spans="1:7" ht="16" thickBot="1" x14ac:dyDescent="0.25">
      <c r="A474" s="405"/>
      <c r="B474" s="408"/>
      <c r="C474" s="411"/>
      <c r="D474" s="415"/>
      <c r="E474" s="417"/>
      <c r="F474" s="837">
        <f>SUM(G467:G472)</f>
        <v>1195.5999999999999</v>
      </c>
      <c r="G474" s="838"/>
    </row>
    <row r="475" spans="1:7" ht="16" thickBot="1" x14ac:dyDescent="0.25">
      <c r="A475" s="406" t="s">
        <v>19</v>
      </c>
      <c r="B475" s="185"/>
      <c r="C475" s="407">
        <f>SUM(C453:C474)</f>
        <v>3170.6000000000004</v>
      </c>
      <c r="D475" s="186">
        <f>SUM(D453:D474)</f>
        <v>1975</v>
      </c>
      <c r="E475" s="186">
        <f>C475-D475</f>
        <v>1195.6000000000004</v>
      </c>
      <c r="F475" s="416"/>
      <c r="G475" s="187"/>
    </row>
    <row r="476" spans="1:7" ht="16" thickBot="1" x14ac:dyDescent="0.25"/>
    <row r="477" spans="1:7" ht="33" thickBot="1" x14ac:dyDescent="0.25">
      <c r="A477" s="686"/>
      <c r="B477" s="183" t="s">
        <v>283</v>
      </c>
      <c r="C477" s="236" t="s">
        <v>284</v>
      </c>
      <c r="D477" s="184" t="s">
        <v>285</v>
      </c>
      <c r="E477" s="184" t="s">
        <v>125</v>
      </c>
      <c r="F477" s="827" t="s">
        <v>286</v>
      </c>
      <c r="G477" s="828"/>
    </row>
    <row r="478" spans="1:7" ht="16" thickBot="1" x14ac:dyDescent="0.25">
      <c r="A478" s="433">
        <v>45679</v>
      </c>
      <c r="B478" s="435" t="s">
        <v>287</v>
      </c>
      <c r="C478" s="436">
        <f>E475</f>
        <v>1195.6000000000004</v>
      </c>
      <c r="D478" s="28"/>
      <c r="E478" s="438" t="s">
        <v>287</v>
      </c>
      <c r="F478" s="829" t="s">
        <v>288</v>
      </c>
      <c r="G478" s="830"/>
    </row>
    <row r="479" spans="1:7" ht="16" thickBot="1" x14ac:dyDescent="0.25">
      <c r="A479" s="432"/>
      <c r="B479" s="434" t="s">
        <v>279</v>
      </c>
      <c r="C479" s="410"/>
      <c r="D479" s="439">
        <v>222.9</v>
      </c>
      <c r="E479" s="437" t="s">
        <v>591</v>
      </c>
      <c r="F479" s="829"/>
      <c r="G479" s="830"/>
    </row>
    <row r="480" spans="1:7" ht="16" x14ac:dyDescent="0.2">
      <c r="A480" s="405"/>
      <c r="B480" s="409" t="s">
        <v>489</v>
      </c>
      <c r="C480" s="411"/>
      <c r="D480" s="413">
        <v>100</v>
      </c>
      <c r="E480" s="418" t="s">
        <v>490</v>
      </c>
      <c r="F480" s="424">
        <v>200</v>
      </c>
      <c r="G480" s="421">
        <v>200</v>
      </c>
    </row>
    <row r="481" spans="1:7" ht="16" x14ac:dyDescent="0.2">
      <c r="A481" s="405"/>
      <c r="B481" s="409" t="s">
        <v>294</v>
      </c>
      <c r="C481" s="411">
        <v>300</v>
      </c>
      <c r="D481" s="413"/>
      <c r="E481" s="418" t="s">
        <v>295</v>
      </c>
      <c r="F481" s="425">
        <v>100</v>
      </c>
      <c r="G481" s="422">
        <v>800</v>
      </c>
    </row>
    <row r="482" spans="1:7" x14ac:dyDescent="0.2">
      <c r="A482" s="405"/>
      <c r="B482" s="316" t="s">
        <v>595</v>
      </c>
      <c r="C482" s="410"/>
      <c r="D482" s="414">
        <v>500</v>
      </c>
      <c r="E482" s="316" t="s">
        <v>187</v>
      </c>
      <c r="F482" s="425">
        <v>50</v>
      </c>
      <c r="G482" s="422">
        <v>150</v>
      </c>
    </row>
    <row r="483" spans="1:7" x14ac:dyDescent="0.2">
      <c r="A483" s="405"/>
      <c r="B483" s="316" t="s">
        <v>596</v>
      </c>
      <c r="C483" s="410"/>
      <c r="D483" s="414">
        <v>40</v>
      </c>
      <c r="E483" s="316" t="s">
        <v>485</v>
      </c>
      <c r="F483" s="425" t="s">
        <v>289</v>
      </c>
      <c r="G483" s="422">
        <v>0</v>
      </c>
    </row>
    <row r="484" spans="1:7" ht="16" x14ac:dyDescent="0.2">
      <c r="A484" s="405"/>
      <c r="B484" s="408" t="s">
        <v>222</v>
      </c>
      <c r="C484" s="411">
        <f>200+150+100+150+100</f>
        <v>700</v>
      </c>
      <c r="D484" s="413"/>
      <c r="E484" s="419" t="s">
        <v>549</v>
      </c>
      <c r="F484" s="425" t="s">
        <v>290</v>
      </c>
      <c r="G484" s="422">
        <v>10</v>
      </c>
    </row>
    <row r="485" spans="1:7" x14ac:dyDescent="0.2">
      <c r="A485" s="405"/>
      <c r="B485" s="409"/>
      <c r="C485" s="412"/>
      <c r="D485" s="413"/>
      <c r="E485" s="409"/>
      <c r="F485" s="426" t="s">
        <v>291</v>
      </c>
      <c r="G485" s="422">
        <v>35.6</v>
      </c>
    </row>
    <row r="486" spans="1:7" ht="16" thickBot="1" x14ac:dyDescent="0.25">
      <c r="A486" s="405"/>
      <c r="B486" s="409"/>
      <c r="C486" s="412"/>
      <c r="D486" s="413"/>
      <c r="E486" s="409"/>
      <c r="F486" s="427" t="s">
        <v>292</v>
      </c>
      <c r="G486" s="423"/>
    </row>
    <row r="487" spans="1:7" ht="16" thickBot="1" x14ac:dyDescent="0.25">
      <c r="A487" s="405"/>
      <c r="B487" s="408"/>
      <c r="C487" s="412"/>
      <c r="D487" s="413"/>
      <c r="E487" s="417"/>
      <c r="F487" s="831">
        <f>SUM(G480:G485)</f>
        <v>1195.5999999999999</v>
      </c>
      <c r="G487" s="832"/>
    </row>
    <row r="488" spans="1:7" x14ac:dyDescent="0.2">
      <c r="A488" s="405"/>
      <c r="B488" s="408"/>
      <c r="C488" s="411"/>
      <c r="D488" s="413"/>
      <c r="E488" s="417"/>
      <c r="F488" s="430"/>
      <c r="G488" s="428"/>
    </row>
    <row r="489" spans="1:7" ht="16" thickBot="1" x14ac:dyDescent="0.25">
      <c r="A489" s="405"/>
      <c r="B489" s="408"/>
      <c r="C489" s="411"/>
      <c r="D489" s="413"/>
      <c r="E489" s="420"/>
      <c r="F489" s="431"/>
      <c r="G489" s="429"/>
    </row>
    <row r="490" spans="1:7" x14ac:dyDescent="0.2">
      <c r="A490" s="405"/>
      <c r="B490" s="408"/>
      <c r="C490" s="412"/>
      <c r="D490" s="413"/>
      <c r="E490" s="417"/>
      <c r="F490" s="833" t="s">
        <v>293</v>
      </c>
      <c r="G490" s="834"/>
    </row>
    <row r="491" spans="1:7" ht="16" thickBot="1" x14ac:dyDescent="0.25">
      <c r="A491" s="405"/>
      <c r="B491" s="316"/>
      <c r="C491" s="234"/>
      <c r="D491" s="413"/>
      <c r="E491" s="316"/>
      <c r="F491" s="835"/>
      <c r="G491" s="836"/>
    </row>
    <row r="492" spans="1:7" x14ac:dyDescent="0.2">
      <c r="A492" s="405"/>
      <c r="B492" s="408"/>
      <c r="C492" s="412"/>
      <c r="D492" s="413"/>
      <c r="E492" s="417"/>
      <c r="F492" s="424">
        <v>200</v>
      </c>
      <c r="G492" s="421">
        <v>600</v>
      </c>
    </row>
    <row r="493" spans="1:7" x14ac:dyDescent="0.2">
      <c r="A493" s="405"/>
      <c r="B493" s="408"/>
      <c r="C493" s="411"/>
      <c r="D493" s="413"/>
      <c r="E493" s="417"/>
      <c r="F493" s="425">
        <v>100</v>
      </c>
      <c r="G493" s="422">
        <v>600</v>
      </c>
    </row>
    <row r="494" spans="1:7" x14ac:dyDescent="0.2">
      <c r="A494" s="405"/>
      <c r="B494" s="408"/>
      <c r="C494" s="411"/>
      <c r="D494" s="413"/>
      <c r="E494" s="417"/>
      <c r="F494" s="425">
        <v>50</v>
      </c>
      <c r="G494" s="422">
        <v>50</v>
      </c>
    </row>
    <row r="495" spans="1:7" x14ac:dyDescent="0.2">
      <c r="A495" s="405"/>
      <c r="B495" s="408"/>
      <c r="C495" s="411"/>
      <c r="D495" s="413"/>
      <c r="E495" s="417"/>
      <c r="F495" s="425" t="s">
        <v>289</v>
      </c>
      <c r="G495" s="422">
        <v>40</v>
      </c>
    </row>
    <row r="496" spans="1:7" x14ac:dyDescent="0.2">
      <c r="A496" s="405"/>
      <c r="B496" s="408"/>
      <c r="C496" s="411"/>
      <c r="D496" s="413"/>
      <c r="E496" s="417"/>
      <c r="F496" s="425" t="s">
        <v>290</v>
      </c>
      <c r="G496" s="422">
        <v>20</v>
      </c>
    </row>
    <row r="497" spans="1:7" x14ac:dyDescent="0.2">
      <c r="A497" s="405"/>
      <c r="B497" s="408"/>
      <c r="C497" s="411"/>
      <c r="D497" s="413"/>
      <c r="E497" s="417"/>
      <c r="F497" s="426" t="s">
        <v>291</v>
      </c>
      <c r="G497" s="422">
        <f>13+9.7</f>
        <v>22.7</v>
      </c>
    </row>
    <row r="498" spans="1:7" ht="16" thickBot="1" x14ac:dyDescent="0.25">
      <c r="A498" s="405"/>
      <c r="B498" s="408"/>
      <c r="C498" s="411"/>
      <c r="D498" s="413"/>
      <c r="E498" s="417" t="s">
        <v>340</v>
      </c>
      <c r="F498" s="427" t="s">
        <v>292</v>
      </c>
      <c r="G498" s="423"/>
    </row>
    <row r="499" spans="1:7" ht="16" thickBot="1" x14ac:dyDescent="0.25">
      <c r="A499" s="405"/>
      <c r="B499" s="408"/>
      <c r="C499" s="411"/>
      <c r="D499" s="415"/>
      <c r="E499" s="417"/>
      <c r="F499" s="837">
        <f>SUM(G492:G497)</f>
        <v>1332.7</v>
      </c>
      <c r="G499" s="838"/>
    </row>
    <row r="500" spans="1:7" ht="16" thickBot="1" x14ac:dyDescent="0.25">
      <c r="A500" s="406" t="s">
        <v>19</v>
      </c>
      <c r="B500" s="185"/>
      <c r="C500" s="407">
        <f>SUM(C478:C499)</f>
        <v>2195.6000000000004</v>
      </c>
      <c r="D500" s="186">
        <f>SUM(D478:D499)</f>
        <v>862.9</v>
      </c>
      <c r="E500" s="186">
        <f>C500-D500</f>
        <v>1332.7000000000003</v>
      </c>
      <c r="F500" s="416"/>
      <c r="G500" s="187"/>
    </row>
    <row r="501" spans="1:7" ht="16" thickBot="1" x14ac:dyDescent="0.25"/>
    <row r="502" spans="1:7" ht="33" thickBot="1" x14ac:dyDescent="0.25">
      <c r="A502" s="686"/>
      <c r="B502" s="183" t="s">
        <v>283</v>
      </c>
      <c r="C502" s="236" t="s">
        <v>284</v>
      </c>
      <c r="D502" s="184" t="s">
        <v>285</v>
      </c>
      <c r="E502" s="184" t="s">
        <v>125</v>
      </c>
      <c r="F502" s="827" t="s">
        <v>286</v>
      </c>
      <c r="G502" s="828"/>
    </row>
    <row r="503" spans="1:7" ht="15.75" customHeight="1" thickBot="1" x14ac:dyDescent="0.25">
      <c r="A503" s="433">
        <v>45680</v>
      </c>
      <c r="B503" s="435" t="s">
        <v>287</v>
      </c>
      <c r="C503" s="436">
        <f>E500</f>
        <v>1332.7000000000003</v>
      </c>
      <c r="D503" s="28"/>
      <c r="E503" s="438" t="s">
        <v>287</v>
      </c>
      <c r="F503" s="829" t="s">
        <v>288</v>
      </c>
      <c r="G503" s="830"/>
    </row>
    <row r="504" spans="1:7" ht="16" thickBot="1" x14ac:dyDescent="0.25">
      <c r="A504" s="432"/>
      <c r="B504" s="434" t="s">
        <v>187</v>
      </c>
      <c r="C504" s="410"/>
      <c r="D504" s="439">
        <v>150</v>
      </c>
      <c r="E504" s="437" t="s">
        <v>187</v>
      </c>
      <c r="F504" s="829"/>
      <c r="G504" s="830"/>
    </row>
    <row r="505" spans="1:7" ht="16" x14ac:dyDescent="0.2">
      <c r="A505" s="405"/>
      <c r="B505" s="409" t="s">
        <v>279</v>
      </c>
      <c r="C505" s="411"/>
      <c r="D505" s="413">
        <v>94.9</v>
      </c>
      <c r="E505" s="418" t="s">
        <v>374</v>
      </c>
      <c r="F505" s="424">
        <v>200</v>
      </c>
      <c r="G505" s="421">
        <v>600</v>
      </c>
    </row>
    <row r="506" spans="1:7" ht="16" x14ac:dyDescent="0.2">
      <c r="A506" s="405"/>
      <c r="B506" s="409" t="s">
        <v>303</v>
      </c>
      <c r="C506" s="411"/>
      <c r="D506" s="413">
        <v>200</v>
      </c>
      <c r="E506" s="418" t="s">
        <v>224</v>
      </c>
      <c r="F506" s="425">
        <v>100</v>
      </c>
      <c r="G506" s="422">
        <v>600</v>
      </c>
    </row>
    <row r="507" spans="1:7" x14ac:dyDescent="0.2">
      <c r="A507" s="405"/>
      <c r="B507" s="316" t="s">
        <v>222</v>
      </c>
      <c r="C507" s="410"/>
      <c r="D507" s="414">
        <v>150</v>
      </c>
      <c r="E507" s="316" t="s">
        <v>597</v>
      </c>
      <c r="F507" s="425">
        <v>50</v>
      </c>
      <c r="G507" s="422">
        <v>50</v>
      </c>
    </row>
    <row r="508" spans="1:7" x14ac:dyDescent="0.2">
      <c r="A508" s="405"/>
      <c r="B508" s="316" t="s">
        <v>194</v>
      </c>
      <c r="C508" s="410"/>
      <c r="D508" s="414">
        <v>609</v>
      </c>
      <c r="E508" s="316" t="s">
        <v>224</v>
      </c>
      <c r="F508" s="425" t="s">
        <v>289</v>
      </c>
      <c r="G508" s="422">
        <v>40</v>
      </c>
    </row>
    <row r="509" spans="1:7" ht="16" x14ac:dyDescent="0.2">
      <c r="A509" s="405"/>
      <c r="B509" s="408" t="s">
        <v>334</v>
      </c>
      <c r="C509" s="411"/>
      <c r="D509" s="413">
        <f>64+180</f>
        <v>244</v>
      </c>
      <c r="E509" s="419" t="s">
        <v>602</v>
      </c>
      <c r="F509" s="425" t="s">
        <v>290</v>
      </c>
      <c r="G509" s="422">
        <v>20</v>
      </c>
    </row>
    <row r="510" spans="1:7" x14ac:dyDescent="0.2">
      <c r="A510" s="405"/>
      <c r="B510" s="409" t="s">
        <v>294</v>
      </c>
      <c r="C510" s="412">
        <f>300+200</f>
        <v>500</v>
      </c>
      <c r="D510" s="413"/>
      <c r="E510" s="409" t="s">
        <v>295</v>
      </c>
      <c r="F510" s="426" t="s">
        <v>291</v>
      </c>
      <c r="G510" s="422">
        <f>13+9.7</f>
        <v>22.7</v>
      </c>
    </row>
    <row r="511" spans="1:7" ht="16" thickBot="1" x14ac:dyDescent="0.25">
      <c r="A511" s="405"/>
      <c r="B511" s="409" t="s">
        <v>298</v>
      </c>
      <c r="C511" s="412"/>
      <c r="D511" s="413">
        <v>350</v>
      </c>
      <c r="E511" s="409" t="s">
        <v>298</v>
      </c>
      <c r="F511" s="427" t="s">
        <v>292</v>
      </c>
      <c r="G511" s="423"/>
    </row>
    <row r="512" spans="1:7" ht="16" thickBot="1" x14ac:dyDescent="0.25">
      <c r="A512" s="405"/>
      <c r="B512" s="408"/>
      <c r="C512" s="412"/>
      <c r="D512" s="413"/>
      <c r="E512" s="417"/>
      <c r="F512" s="831">
        <f>SUM(G505:G510)</f>
        <v>1332.7</v>
      </c>
      <c r="G512" s="832"/>
    </row>
    <row r="513" spans="1:7" x14ac:dyDescent="0.2">
      <c r="A513" s="405"/>
      <c r="B513" s="408"/>
      <c r="C513" s="411"/>
      <c r="D513" s="413"/>
      <c r="E513" s="417"/>
      <c r="F513" s="430"/>
      <c r="G513" s="428"/>
    </row>
    <row r="514" spans="1:7" ht="16" thickBot="1" x14ac:dyDescent="0.25">
      <c r="A514" s="405"/>
      <c r="B514" s="408"/>
      <c r="C514" s="411"/>
      <c r="D514" s="413"/>
      <c r="E514" s="420"/>
      <c r="F514" s="431"/>
      <c r="G514" s="429"/>
    </row>
    <row r="515" spans="1:7" x14ac:dyDescent="0.2">
      <c r="A515" s="405"/>
      <c r="B515" s="408"/>
      <c r="C515" s="412"/>
      <c r="D515" s="413"/>
      <c r="E515" s="417"/>
      <c r="F515" s="833" t="s">
        <v>293</v>
      </c>
      <c r="G515" s="834"/>
    </row>
    <row r="516" spans="1:7" ht="16" thickBot="1" x14ac:dyDescent="0.25">
      <c r="A516" s="405"/>
      <c r="B516" s="316"/>
      <c r="C516" s="234"/>
      <c r="D516" s="413"/>
      <c r="E516" s="316"/>
      <c r="F516" s="835"/>
      <c r="G516" s="836"/>
    </row>
    <row r="517" spans="1:7" x14ac:dyDescent="0.2">
      <c r="A517" s="405"/>
      <c r="B517" s="408"/>
      <c r="C517" s="412"/>
      <c r="D517" s="413"/>
      <c r="E517" s="417"/>
      <c r="F517" s="424">
        <v>200</v>
      </c>
      <c r="G517" s="421"/>
    </row>
    <row r="518" spans="1:7" x14ac:dyDescent="0.2">
      <c r="A518" s="405"/>
      <c r="B518" s="408"/>
      <c r="C518" s="411"/>
      <c r="D518" s="413"/>
      <c r="E518" s="417"/>
      <c r="F518" s="425">
        <v>100</v>
      </c>
      <c r="G518" s="422"/>
    </row>
    <row r="519" spans="1:7" x14ac:dyDescent="0.2">
      <c r="A519" s="405"/>
      <c r="B519" s="408"/>
      <c r="C519" s="411"/>
      <c r="D519" s="413"/>
      <c r="E519" s="417"/>
      <c r="F519" s="425">
        <v>50</v>
      </c>
      <c r="G519" s="422"/>
    </row>
    <row r="520" spans="1:7" x14ac:dyDescent="0.2">
      <c r="A520" s="405"/>
      <c r="B520" s="408"/>
      <c r="C520" s="411"/>
      <c r="D520" s="413"/>
      <c r="E520" s="417"/>
      <c r="F520" s="425" t="s">
        <v>289</v>
      </c>
      <c r="G520" s="422"/>
    </row>
    <row r="521" spans="1:7" x14ac:dyDescent="0.2">
      <c r="A521" s="405"/>
      <c r="B521" s="408"/>
      <c r="C521" s="411"/>
      <c r="D521" s="413"/>
      <c r="E521" s="417"/>
      <c r="F521" s="425" t="s">
        <v>290</v>
      </c>
      <c r="G521" s="422">
        <v>10</v>
      </c>
    </row>
    <row r="522" spans="1:7" x14ac:dyDescent="0.2">
      <c r="A522" s="405"/>
      <c r="B522" s="408"/>
      <c r="C522" s="411"/>
      <c r="D522" s="413"/>
      <c r="E522" s="417"/>
      <c r="F522" s="426" t="s">
        <v>291</v>
      </c>
      <c r="G522" s="422">
        <f>15+7+2.8</f>
        <v>24.8</v>
      </c>
    </row>
    <row r="523" spans="1:7" ht="16" thickBot="1" x14ac:dyDescent="0.25">
      <c r="A523" s="405"/>
      <c r="B523" s="408"/>
      <c r="C523" s="411"/>
      <c r="D523" s="413"/>
      <c r="E523" s="417" t="s">
        <v>340</v>
      </c>
      <c r="F523" s="427" t="s">
        <v>292</v>
      </c>
      <c r="G523" s="423"/>
    </row>
    <row r="524" spans="1:7" ht="16" thickBot="1" x14ac:dyDescent="0.25">
      <c r="A524" s="405"/>
      <c r="B524" s="408"/>
      <c r="C524" s="411"/>
      <c r="D524" s="415"/>
      <c r="E524" s="417"/>
      <c r="F524" s="837">
        <f>SUM(G517:G522)</f>
        <v>34.799999999999997</v>
      </c>
      <c r="G524" s="838"/>
    </row>
    <row r="525" spans="1:7" ht="16" thickBot="1" x14ac:dyDescent="0.25">
      <c r="A525" s="406" t="s">
        <v>19</v>
      </c>
      <c r="B525" s="185"/>
      <c r="C525" s="407">
        <f>SUM(C503:C524)</f>
        <v>1832.7000000000003</v>
      </c>
      <c r="D525" s="186">
        <f>SUM(D503:D524)</f>
        <v>1797.9</v>
      </c>
      <c r="E525" s="186">
        <f>C525-D525</f>
        <v>34.800000000000182</v>
      </c>
      <c r="F525" s="416"/>
      <c r="G525" s="187"/>
    </row>
    <row r="526" spans="1:7" ht="16" thickBot="1" x14ac:dyDescent="0.25"/>
    <row r="527" spans="1:7" ht="33" thickBot="1" x14ac:dyDescent="0.25">
      <c r="A527" s="686"/>
      <c r="B527" s="183" t="s">
        <v>283</v>
      </c>
      <c r="C527" s="236" t="s">
        <v>284</v>
      </c>
      <c r="D527" s="184" t="s">
        <v>285</v>
      </c>
      <c r="E527" s="184" t="s">
        <v>125</v>
      </c>
      <c r="F527" s="827" t="s">
        <v>286</v>
      </c>
      <c r="G527" s="828"/>
    </row>
    <row r="528" spans="1:7" ht="16" thickBot="1" x14ac:dyDescent="0.25">
      <c r="A528" s="433">
        <v>45681</v>
      </c>
      <c r="B528" s="435" t="s">
        <v>287</v>
      </c>
      <c r="C528" s="436">
        <f>E525</f>
        <v>34.800000000000182</v>
      </c>
      <c r="D528" s="28"/>
      <c r="E528" s="438" t="s">
        <v>287</v>
      </c>
      <c r="F528" s="829" t="s">
        <v>288</v>
      </c>
      <c r="G528" s="830"/>
    </row>
    <row r="529" spans="1:7" ht="16" thickBot="1" x14ac:dyDescent="0.25">
      <c r="A529" s="432"/>
      <c r="B529" s="434" t="s">
        <v>70</v>
      </c>
      <c r="C529" s="410">
        <v>1200</v>
      </c>
      <c r="D529" s="439"/>
      <c r="E529" s="437" t="s">
        <v>502</v>
      </c>
      <c r="F529" s="829"/>
      <c r="G529" s="830"/>
    </row>
    <row r="530" spans="1:7" ht="16" x14ac:dyDescent="0.2">
      <c r="A530" s="405"/>
      <c r="B530" s="409" t="s">
        <v>298</v>
      </c>
      <c r="C530" s="411"/>
      <c r="D530" s="413">
        <v>1150</v>
      </c>
      <c r="E530" s="418" t="s">
        <v>298</v>
      </c>
      <c r="F530" s="424">
        <v>200</v>
      </c>
      <c r="G530" s="421"/>
    </row>
    <row r="531" spans="1:7" ht="16" x14ac:dyDescent="0.2">
      <c r="A531" s="405"/>
      <c r="B531" s="409" t="s">
        <v>222</v>
      </c>
      <c r="C531" s="411"/>
      <c r="D531" s="413">
        <v>50</v>
      </c>
      <c r="E531" s="418" t="s">
        <v>615</v>
      </c>
      <c r="F531" s="425">
        <v>100</v>
      </c>
      <c r="G531" s="422"/>
    </row>
    <row r="532" spans="1:7" x14ac:dyDescent="0.2">
      <c r="A532" s="405"/>
      <c r="B532" s="316"/>
      <c r="C532" s="410"/>
      <c r="D532" s="414"/>
      <c r="E532" s="316"/>
      <c r="F532" s="425">
        <v>50</v>
      </c>
      <c r="G532" s="422"/>
    </row>
    <row r="533" spans="1:7" x14ac:dyDescent="0.2">
      <c r="A533" s="405"/>
      <c r="B533" s="316"/>
      <c r="C533" s="410"/>
      <c r="D533" s="414"/>
      <c r="E533" s="316"/>
      <c r="F533" s="425" t="s">
        <v>289</v>
      </c>
      <c r="G533" s="422"/>
    </row>
    <row r="534" spans="1:7" x14ac:dyDescent="0.2">
      <c r="A534" s="405"/>
      <c r="B534" s="408"/>
      <c r="C534" s="411"/>
      <c r="D534" s="413"/>
      <c r="E534" s="419"/>
      <c r="F534" s="425" t="s">
        <v>290</v>
      </c>
      <c r="G534" s="422">
        <v>10</v>
      </c>
    </row>
    <row r="535" spans="1:7" x14ac:dyDescent="0.2">
      <c r="A535" s="405"/>
      <c r="B535" s="409"/>
      <c r="C535" s="412"/>
      <c r="D535" s="413"/>
      <c r="E535" s="409"/>
      <c r="F535" s="426" t="s">
        <v>291</v>
      </c>
      <c r="G535" s="422">
        <f>15+7+2.8</f>
        <v>24.8</v>
      </c>
    </row>
    <row r="536" spans="1:7" ht="16" thickBot="1" x14ac:dyDescent="0.25">
      <c r="A536" s="405"/>
      <c r="B536" s="409"/>
      <c r="C536" s="412"/>
      <c r="D536" s="413"/>
      <c r="E536" s="409"/>
      <c r="F536" s="427" t="s">
        <v>292</v>
      </c>
      <c r="G536" s="423"/>
    </row>
    <row r="537" spans="1:7" ht="16" thickBot="1" x14ac:dyDescent="0.25">
      <c r="A537" s="405"/>
      <c r="B537" s="408"/>
      <c r="C537" s="412"/>
      <c r="D537" s="413"/>
      <c r="E537" s="417"/>
      <c r="F537" s="831">
        <f>SUM(G530:G535)</f>
        <v>34.799999999999997</v>
      </c>
      <c r="G537" s="832"/>
    </row>
    <row r="538" spans="1:7" x14ac:dyDescent="0.2">
      <c r="A538" s="405"/>
      <c r="B538" s="408"/>
      <c r="C538" s="411"/>
      <c r="D538" s="413"/>
      <c r="E538" s="417"/>
      <c r="F538" s="430"/>
      <c r="G538" s="428"/>
    </row>
    <row r="539" spans="1:7" ht="16" thickBot="1" x14ac:dyDescent="0.25">
      <c r="A539" s="405"/>
      <c r="B539" s="408"/>
      <c r="C539" s="411"/>
      <c r="D539" s="413"/>
      <c r="E539" s="420"/>
      <c r="F539" s="431"/>
      <c r="G539" s="429"/>
    </row>
    <row r="540" spans="1:7" x14ac:dyDescent="0.2">
      <c r="A540" s="405"/>
      <c r="B540" s="408"/>
      <c r="C540" s="412"/>
      <c r="D540" s="413"/>
      <c r="E540" s="417"/>
      <c r="F540" s="833" t="s">
        <v>293</v>
      </c>
      <c r="G540" s="834"/>
    </row>
    <row r="541" spans="1:7" ht="16" thickBot="1" x14ac:dyDescent="0.25">
      <c r="A541" s="405"/>
      <c r="B541" s="316"/>
      <c r="C541" s="234"/>
      <c r="D541" s="413"/>
      <c r="E541" s="316"/>
      <c r="F541" s="835"/>
      <c r="G541" s="836"/>
    </row>
    <row r="542" spans="1:7" x14ac:dyDescent="0.2">
      <c r="A542" s="405"/>
      <c r="B542" s="408"/>
      <c r="C542" s="412"/>
      <c r="D542" s="413"/>
      <c r="E542" s="417"/>
      <c r="F542" s="424">
        <v>200</v>
      </c>
      <c r="G542" s="421"/>
    </row>
    <row r="543" spans="1:7" x14ac:dyDescent="0.2">
      <c r="A543" s="405"/>
      <c r="B543" s="408"/>
      <c r="C543" s="411"/>
      <c r="D543" s="413"/>
      <c r="E543" s="417"/>
      <c r="F543" s="425">
        <v>100</v>
      </c>
      <c r="G543" s="422"/>
    </row>
    <row r="544" spans="1:7" x14ac:dyDescent="0.2">
      <c r="A544" s="405"/>
      <c r="B544" s="408"/>
      <c r="C544" s="411"/>
      <c r="D544" s="413"/>
      <c r="E544" s="417"/>
      <c r="F544" s="425">
        <v>50</v>
      </c>
      <c r="G544" s="422"/>
    </row>
    <row r="545" spans="1:7" x14ac:dyDescent="0.2">
      <c r="A545" s="405"/>
      <c r="B545" s="408"/>
      <c r="C545" s="411"/>
      <c r="D545" s="413"/>
      <c r="E545" s="417"/>
      <c r="F545" s="425" t="s">
        <v>289</v>
      </c>
      <c r="G545" s="422"/>
    </row>
    <row r="546" spans="1:7" x14ac:dyDescent="0.2">
      <c r="A546" s="405"/>
      <c r="B546" s="408"/>
      <c r="C546" s="411"/>
      <c r="D546" s="413"/>
      <c r="E546" s="417"/>
      <c r="F546" s="425" t="s">
        <v>290</v>
      </c>
      <c r="G546" s="422">
        <v>10</v>
      </c>
    </row>
    <row r="547" spans="1:7" x14ac:dyDescent="0.2">
      <c r="A547" s="405"/>
      <c r="B547" s="408"/>
      <c r="C547" s="411"/>
      <c r="D547" s="413"/>
      <c r="E547" s="417"/>
      <c r="F547" s="426" t="s">
        <v>291</v>
      </c>
      <c r="G547" s="422">
        <f>15+7+2.8</f>
        <v>24.8</v>
      </c>
    </row>
    <row r="548" spans="1:7" ht="16" thickBot="1" x14ac:dyDescent="0.25">
      <c r="A548" s="405"/>
      <c r="B548" s="408"/>
      <c r="C548" s="411"/>
      <c r="D548" s="413"/>
      <c r="E548" s="417" t="s">
        <v>340</v>
      </c>
      <c r="F548" s="427" t="s">
        <v>292</v>
      </c>
      <c r="G548" s="423"/>
    </row>
    <row r="549" spans="1:7" ht="16" thickBot="1" x14ac:dyDescent="0.25">
      <c r="A549" s="405"/>
      <c r="B549" s="408"/>
      <c r="C549" s="411"/>
      <c r="D549" s="415"/>
      <c r="E549" s="417"/>
      <c r="F549" s="837">
        <f>SUM(G542:G547)</f>
        <v>34.799999999999997</v>
      </c>
      <c r="G549" s="838"/>
    </row>
    <row r="550" spans="1:7" ht="16" thickBot="1" x14ac:dyDescent="0.25">
      <c r="A550" s="406" t="s">
        <v>19</v>
      </c>
      <c r="B550" s="185"/>
      <c r="C550" s="407">
        <f>SUM(C528:C549)</f>
        <v>1234.8000000000002</v>
      </c>
      <c r="D550" s="186">
        <f>SUM(D528:D549)</f>
        <v>1200</v>
      </c>
      <c r="E550" s="186">
        <f>C550-D550</f>
        <v>34.800000000000182</v>
      </c>
      <c r="F550" s="416"/>
      <c r="G550" s="187"/>
    </row>
    <row r="551" spans="1:7" ht="16" thickBot="1" x14ac:dyDescent="0.25"/>
    <row r="552" spans="1:7" ht="33" thickBot="1" x14ac:dyDescent="0.25">
      <c r="A552" s="686"/>
      <c r="B552" s="183" t="s">
        <v>283</v>
      </c>
      <c r="C552" s="236" t="s">
        <v>284</v>
      </c>
      <c r="D552" s="184" t="s">
        <v>285</v>
      </c>
      <c r="E552" s="184" t="s">
        <v>125</v>
      </c>
      <c r="F552" s="827" t="s">
        <v>286</v>
      </c>
      <c r="G552" s="828"/>
    </row>
    <row r="553" spans="1:7" ht="16" thickBot="1" x14ac:dyDescent="0.25">
      <c r="A553" s="433">
        <v>45684</v>
      </c>
      <c r="B553" s="435" t="s">
        <v>287</v>
      </c>
      <c r="C553" s="436">
        <f>E550</f>
        <v>34.800000000000182</v>
      </c>
      <c r="D553" s="28"/>
      <c r="E553" s="438" t="s">
        <v>287</v>
      </c>
      <c r="F553" s="829" t="s">
        <v>288</v>
      </c>
      <c r="G553" s="830"/>
    </row>
    <row r="554" spans="1:7" ht="16" thickBot="1" x14ac:dyDescent="0.25">
      <c r="A554" s="432"/>
      <c r="B554" s="434" t="s">
        <v>222</v>
      </c>
      <c r="C554" s="410">
        <v>1100</v>
      </c>
      <c r="D554" s="439"/>
      <c r="E554" s="437" t="s">
        <v>623</v>
      </c>
      <c r="F554" s="829"/>
      <c r="G554" s="830"/>
    </row>
    <row r="555" spans="1:7" ht="16" x14ac:dyDescent="0.2">
      <c r="A555" s="405"/>
      <c r="B555" s="409" t="s">
        <v>294</v>
      </c>
      <c r="C555" s="411">
        <v>450</v>
      </c>
      <c r="D555" s="413"/>
      <c r="E555" s="418" t="s">
        <v>295</v>
      </c>
      <c r="F555" s="424">
        <v>200</v>
      </c>
      <c r="G555" s="421"/>
    </row>
    <row r="556" spans="1:7" ht="16" x14ac:dyDescent="0.2">
      <c r="A556" s="405"/>
      <c r="B556" s="409" t="s">
        <v>509</v>
      </c>
      <c r="C556" s="411"/>
      <c r="D556" s="413">
        <v>150</v>
      </c>
      <c r="E556" s="418" t="s">
        <v>567</v>
      </c>
      <c r="F556" s="425">
        <v>100</v>
      </c>
      <c r="G556" s="422"/>
    </row>
    <row r="557" spans="1:7" x14ac:dyDescent="0.2">
      <c r="A557" s="405"/>
      <c r="B557" s="316" t="s">
        <v>298</v>
      </c>
      <c r="C557" s="410"/>
      <c r="D557" s="414">
        <v>300</v>
      </c>
      <c r="E557" s="316" t="s">
        <v>298</v>
      </c>
      <c r="F557" s="425">
        <v>50</v>
      </c>
      <c r="G557" s="422"/>
    </row>
    <row r="558" spans="1:7" x14ac:dyDescent="0.2">
      <c r="A558" s="405"/>
      <c r="B558" s="316"/>
      <c r="C558" s="410"/>
      <c r="D558" s="414"/>
      <c r="E558" s="316"/>
      <c r="F558" s="425" t="s">
        <v>289</v>
      </c>
      <c r="G558" s="422"/>
    </row>
    <row r="559" spans="1:7" x14ac:dyDescent="0.2">
      <c r="A559" s="405"/>
      <c r="B559" s="408"/>
      <c r="C559" s="411"/>
      <c r="D559" s="413"/>
      <c r="E559" s="419"/>
      <c r="F559" s="425" t="s">
        <v>290</v>
      </c>
      <c r="G559" s="422">
        <v>10</v>
      </c>
    </row>
    <row r="560" spans="1:7" x14ac:dyDescent="0.2">
      <c r="A560" s="405"/>
      <c r="B560" s="409"/>
      <c r="C560" s="412"/>
      <c r="D560" s="413"/>
      <c r="E560" s="409"/>
      <c r="F560" s="426" t="s">
        <v>291</v>
      </c>
      <c r="G560" s="422">
        <f>15+7+2.8</f>
        <v>24.8</v>
      </c>
    </row>
    <row r="561" spans="1:7" ht="16" thickBot="1" x14ac:dyDescent="0.25">
      <c r="A561" s="405"/>
      <c r="B561" s="409"/>
      <c r="C561" s="412"/>
      <c r="D561" s="413"/>
      <c r="E561" s="409"/>
      <c r="F561" s="427" t="s">
        <v>292</v>
      </c>
      <c r="G561" s="423"/>
    </row>
    <row r="562" spans="1:7" ht="16" thickBot="1" x14ac:dyDescent="0.25">
      <c r="A562" s="405"/>
      <c r="B562" s="408"/>
      <c r="C562" s="412"/>
      <c r="D562" s="413"/>
      <c r="E562" s="417"/>
      <c r="F562" s="831">
        <f>SUM(G555:G560)</f>
        <v>34.799999999999997</v>
      </c>
      <c r="G562" s="832"/>
    </row>
    <row r="563" spans="1:7" x14ac:dyDescent="0.2">
      <c r="A563" s="405"/>
      <c r="B563" s="408"/>
      <c r="C563" s="411"/>
      <c r="D563" s="413"/>
      <c r="E563" s="417"/>
      <c r="F563" s="430"/>
      <c r="G563" s="428"/>
    </row>
    <row r="564" spans="1:7" ht="16" thickBot="1" x14ac:dyDescent="0.25">
      <c r="A564" s="405"/>
      <c r="B564" s="408"/>
      <c r="C564" s="411"/>
      <c r="D564" s="413"/>
      <c r="E564" s="420"/>
      <c r="F564" s="431"/>
      <c r="G564" s="429"/>
    </row>
    <row r="565" spans="1:7" x14ac:dyDescent="0.2">
      <c r="A565" s="405"/>
      <c r="B565" s="408"/>
      <c r="C565" s="412"/>
      <c r="D565" s="413"/>
      <c r="E565" s="417"/>
      <c r="F565" s="833" t="s">
        <v>293</v>
      </c>
      <c r="G565" s="834"/>
    </row>
    <row r="566" spans="1:7" ht="16" thickBot="1" x14ac:dyDescent="0.25">
      <c r="A566" s="405"/>
      <c r="B566" s="316"/>
      <c r="C566" s="234"/>
      <c r="D566" s="413"/>
      <c r="E566" s="316"/>
      <c r="F566" s="835"/>
      <c r="G566" s="836"/>
    </row>
    <row r="567" spans="1:7" x14ac:dyDescent="0.2">
      <c r="A567" s="405"/>
      <c r="B567" s="408"/>
      <c r="C567" s="412"/>
      <c r="D567" s="413"/>
      <c r="E567" s="417"/>
      <c r="F567" s="424">
        <v>200</v>
      </c>
      <c r="G567" s="421"/>
    </row>
    <row r="568" spans="1:7" x14ac:dyDescent="0.2">
      <c r="A568" s="405"/>
      <c r="B568" s="408"/>
      <c r="C568" s="411"/>
      <c r="D568" s="413"/>
      <c r="E568" s="417"/>
      <c r="F568" s="425">
        <v>100</v>
      </c>
      <c r="G568" s="422">
        <v>500</v>
      </c>
    </row>
    <row r="569" spans="1:7" x14ac:dyDescent="0.2">
      <c r="A569" s="405"/>
      <c r="B569" s="408"/>
      <c r="C569" s="411"/>
      <c r="D569" s="413"/>
      <c r="E569" s="417"/>
      <c r="F569" s="425">
        <v>50</v>
      </c>
      <c r="G569" s="422">
        <v>600</v>
      </c>
    </row>
    <row r="570" spans="1:7" x14ac:dyDescent="0.2">
      <c r="A570" s="405"/>
      <c r="B570" s="408"/>
      <c r="C570" s="411"/>
      <c r="D570" s="413"/>
      <c r="E570" s="417"/>
      <c r="F570" s="425" t="s">
        <v>289</v>
      </c>
      <c r="G570" s="422"/>
    </row>
    <row r="571" spans="1:7" x14ac:dyDescent="0.2">
      <c r="A571" s="405"/>
      <c r="B571" s="408"/>
      <c r="C571" s="411"/>
      <c r="D571" s="413"/>
      <c r="E571" s="417"/>
      <c r="F571" s="425" t="s">
        <v>290</v>
      </c>
      <c r="G571" s="422">
        <v>10</v>
      </c>
    </row>
    <row r="572" spans="1:7" x14ac:dyDescent="0.2">
      <c r="A572" s="405"/>
      <c r="B572" s="408"/>
      <c r="C572" s="411"/>
      <c r="D572" s="413"/>
      <c r="E572" s="417"/>
      <c r="F572" s="426" t="s">
        <v>291</v>
      </c>
      <c r="G572" s="422">
        <f>15+7+2.8</f>
        <v>24.8</v>
      </c>
    </row>
    <row r="573" spans="1:7" ht="16" thickBot="1" x14ac:dyDescent="0.25">
      <c r="A573" s="405"/>
      <c r="B573" s="408"/>
      <c r="C573" s="411"/>
      <c r="D573" s="413"/>
      <c r="E573" s="417" t="s">
        <v>340</v>
      </c>
      <c r="F573" s="427" t="s">
        <v>292</v>
      </c>
      <c r="G573" s="423"/>
    </row>
    <row r="574" spans="1:7" ht="16" thickBot="1" x14ac:dyDescent="0.25">
      <c r="A574" s="405"/>
      <c r="B574" s="408"/>
      <c r="C574" s="411"/>
      <c r="D574" s="415"/>
      <c r="E574" s="417"/>
      <c r="F574" s="837">
        <f>SUM(G567:G572)</f>
        <v>1134.8</v>
      </c>
      <c r="G574" s="838"/>
    </row>
    <row r="575" spans="1:7" ht="16" thickBot="1" x14ac:dyDescent="0.25">
      <c r="A575" s="406" t="s">
        <v>19</v>
      </c>
      <c r="B575" s="185"/>
      <c r="C575" s="407">
        <f>SUM(C553:C574)</f>
        <v>1584.8000000000002</v>
      </c>
      <c r="D575" s="186">
        <f>SUM(D553:D574)</f>
        <v>450</v>
      </c>
      <c r="E575" s="186">
        <f>C575-D575</f>
        <v>1134.8000000000002</v>
      </c>
      <c r="F575" s="416"/>
      <c r="G575" s="187"/>
    </row>
    <row r="576" spans="1:7" ht="16" thickBot="1" x14ac:dyDescent="0.25"/>
    <row r="577" spans="1:7" ht="33" thickBot="1" x14ac:dyDescent="0.25">
      <c r="A577" s="686"/>
      <c r="B577" s="183" t="s">
        <v>283</v>
      </c>
      <c r="C577" s="236" t="s">
        <v>284</v>
      </c>
      <c r="D577" s="184" t="s">
        <v>285</v>
      </c>
      <c r="E577" s="184" t="s">
        <v>125</v>
      </c>
      <c r="F577" s="827" t="s">
        <v>286</v>
      </c>
      <c r="G577" s="828"/>
    </row>
    <row r="578" spans="1:7" ht="16" thickBot="1" x14ac:dyDescent="0.25">
      <c r="A578" s="433">
        <v>45685</v>
      </c>
      <c r="B578" s="435" t="s">
        <v>287</v>
      </c>
      <c r="C578" s="436">
        <f>E575</f>
        <v>1134.8000000000002</v>
      </c>
      <c r="D578" s="28"/>
      <c r="E578" s="438" t="s">
        <v>287</v>
      </c>
      <c r="F578" s="829" t="s">
        <v>288</v>
      </c>
      <c r="G578" s="830"/>
    </row>
    <row r="579" spans="1:7" ht="16" thickBot="1" x14ac:dyDescent="0.25">
      <c r="A579" s="432"/>
      <c r="B579" s="434" t="s">
        <v>222</v>
      </c>
      <c r="C579" s="410"/>
      <c r="D579" s="439">
        <v>300</v>
      </c>
      <c r="E579" s="437" t="s">
        <v>624</v>
      </c>
      <c r="F579" s="829"/>
      <c r="G579" s="830"/>
    </row>
    <row r="580" spans="1:7" ht="16" x14ac:dyDescent="0.2">
      <c r="A580" s="405"/>
      <c r="B580" s="409" t="s">
        <v>298</v>
      </c>
      <c r="C580" s="411"/>
      <c r="D580" s="413">
        <v>700</v>
      </c>
      <c r="E580" s="418" t="s">
        <v>298</v>
      </c>
      <c r="F580" s="424">
        <v>200</v>
      </c>
      <c r="G580" s="421"/>
    </row>
    <row r="581" spans="1:7" ht="16" x14ac:dyDescent="0.2">
      <c r="A581" s="405"/>
      <c r="B581" s="409" t="s">
        <v>194</v>
      </c>
      <c r="C581" s="411"/>
      <c r="D581" s="413">
        <v>455</v>
      </c>
      <c r="E581" s="418" t="s">
        <v>224</v>
      </c>
      <c r="F581" s="425">
        <v>100</v>
      </c>
      <c r="G581" s="422">
        <v>500</v>
      </c>
    </row>
    <row r="582" spans="1:7" x14ac:dyDescent="0.2">
      <c r="A582" s="405"/>
      <c r="B582" s="316" t="s">
        <v>294</v>
      </c>
      <c r="C582" s="410">
        <f>300+300</f>
        <v>600</v>
      </c>
      <c r="D582" s="414"/>
      <c r="E582" s="316" t="s">
        <v>295</v>
      </c>
      <c r="F582" s="425">
        <v>50</v>
      </c>
      <c r="G582" s="422">
        <v>600</v>
      </c>
    </row>
    <row r="583" spans="1:7" x14ac:dyDescent="0.2">
      <c r="A583" s="405"/>
      <c r="B583" s="316" t="s">
        <v>632</v>
      </c>
      <c r="C583" s="410"/>
      <c r="D583" s="414">
        <v>30</v>
      </c>
      <c r="E583" s="316" t="s">
        <v>224</v>
      </c>
      <c r="F583" s="425" t="s">
        <v>289</v>
      </c>
      <c r="G583" s="422"/>
    </row>
    <row r="584" spans="1:7" ht="16" x14ac:dyDescent="0.2">
      <c r="A584" s="405"/>
      <c r="B584" s="408" t="s">
        <v>9</v>
      </c>
      <c r="C584" s="411"/>
      <c r="D584" s="413">
        <v>40</v>
      </c>
      <c r="E584" s="419" t="s">
        <v>633</v>
      </c>
      <c r="F584" s="425" t="s">
        <v>290</v>
      </c>
      <c r="G584" s="422">
        <v>10</v>
      </c>
    </row>
    <row r="585" spans="1:7" x14ac:dyDescent="0.2">
      <c r="A585" s="405"/>
      <c r="B585" s="409" t="s">
        <v>566</v>
      </c>
      <c r="C585" s="412"/>
      <c r="D585" s="413">
        <v>200</v>
      </c>
      <c r="E585" s="409" t="s">
        <v>510</v>
      </c>
      <c r="F585" s="426" t="s">
        <v>291</v>
      </c>
      <c r="G585" s="422">
        <f>15+7+2.8</f>
        <v>24.8</v>
      </c>
    </row>
    <row r="586" spans="1:7" ht="16" thickBot="1" x14ac:dyDescent="0.25">
      <c r="A586" s="405"/>
      <c r="B586" s="409"/>
      <c r="C586" s="412"/>
      <c r="D586" s="413"/>
      <c r="E586" s="409"/>
      <c r="F586" s="427" t="s">
        <v>292</v>
      </c>
      <c r="G586" s="423"/>
    </row>
    <row r="587" spans="1:7" ht="16" thickBot="1" x14ac:dyDescent="0.25">
      <c r="A587" s="405"/>
      <c r="B587" s="408"/>
      <c r="C587" s="412"/>
      <c r="D587" s="413"/>
      <c r="E587" s="417"/>
      <c r="F587" s="831">
        <f>SUM(G580:G585)</f>
        <v>1134.8</v>
      </c>
      <c r="G587" s="832"/>
    </row>
    <row r="588" spans="1:7" x14ac:dyDescent="0.2">
      <c r="A588" s="405"/>
      <c r="B588" s="408"/>
      <c r="C588" s="411"/>
      <c r="D588" s="413"/>
      <c r="E588" s="417"/>
      <c r="F588" s="430"/>
      <c r="G588" s="428"/>
    </row>
    <row r="589" spans="1:7" ht="16" thickBot="1" x14ac:dyDescent="0.25">
      <c r="A589" s="405"/>
      <c r="B589" s="408"/>
      <c r="C589" s="411"/>
      <c r="D589" s="413"/>
      <c r="E589" s="420"/>
      <c r="F589" s="431"/>
      <c r="G589" s="429"/>
    </row>
    <row r="590" spans="1:7" x14ac:dyDescent="0.2">
      <c r="A590" s="405"/>
      <c r="B590" s="408"/>
      <c r="C590" s="412"/>
      <c r="D590" s="413"/>
      <c r="E590" s="417"/>
      <c r="F590" s="833" t="s">
        <v>293</v>
      </c>
      <c r="G590" s="834"/>
    </row>
    <row r="591" spans="1:7" ht="16" thickBot="1" x14ac:dyDescent="0.25">
      <c r="A591" s="405"/>
      <c r="B591" s="316"/>
      <c r="C591" s="234"/>
      <c r="D591" s="413"/>
      <c r="E591" s="316"/>
      <c r="F591" s="835"/>
      <c r="G591" s="836"/>
    </row>
    <row r="592" spans="1:7" x14ac:dyDescent="0.2">
      <c r="A592" s="405"/>
      <c r="B592" s="408"/>
      <c r="C592" s="412"/>
      <c r="D592" s="413"/>
      <c r="E592" s="417"/>
      <c r="F592" s="424">
        <v>200</v>
      </c>
      <c r="G592" s="421"/>
    </row>
    <row r="593" spans="1:7" x14ac:dyDescent="0.2">
      <c r="A593" s="405"/>
      <c r="B593" s="408"/>
      <c r="C593" s="411"/>
      <c r="D593" s="413"/>
      <c r="E593" s="417"/>
      <c r="F593" s="425">
        <v>100</v>
      </c>
      <c r="G593" s="422"/>
    </row>
    <row r="594" spans="1:7" x14ac:dyDescent="0.2">
      <c r="A594" s="405"/>
      <c r="B594" s="408"/>
      <c r="C594" s="411"/>
      <c r="D594" s="413"/>
      <c r="E594" s="417"/>
      <c r="F594" s="425">
        <v>50</v>
      </c>
      <c r="G594" s="422"/>
    </row>
    <row r="595" spans="1:7" x14ac:dyDescent="0.2">
      <c r="A595" s="405"/>
      <c r="B595" s="408"/>
      <c r="C595" s="411"/>
      <c r="D595" s="413"/>
      <c r="E595" s="417"/>
      <c r="F595" s="425" t="s">
        <v>289</v>
      </c>
      <c r="G595" s="422"/>
    </row>
    <row r="596" spans="1:7" x14ac:dyDescent="0.2">
      <c r="A596" s="405"/>
      <c r="B596" s="408"/>
      <c r="C596" s="411"/>
      <c r="D596" s="413"/>
      <c r="E596" s="417"/>
      <c r="F596" s="425" t="s">
        <v>290</v>
      </c>
      <c r="G596" s="422"/>
    </row>
    <row r="597" spans="1:7" x14ac:dyDescent="0.2">
      <c r="A597" s="405"/>
      <c r="B597" s="408"/>
      <c r="C597" s="411"/>
      <c r="D597" s="413"/>
      <c r="E597" s="417"/>
      <c r="F597" s="426" t="s">
        <v>291</v>
      </c>
      <c r="G597" s="422">
        <f>6+3.8</f>
        <v>9.8000000000000007</v>
      </c>
    </row>
    <row r="598" spans="1:7" ht="16" thickBot="1" x14ac:dyDescent="0.25">
      <c r="A598" s="405"/>
      <c r="B598" s="408"/>
      <c r="C598" s="411"/>
      <c r="D598" s="413"/>
      <c r="E598" s="417" t="s">
        <v>340</v>
      </c>
      <c r="F598" s="427" t="s">
        <v>292</v>
      </c>
      <c r="G598" s="423"/>
    </row>
    <row r="599" spans="1:7" ht="16" thickBot="1" x14ac:dyDescent="0.25">
      <c r="A599" s="405"/>
      <c r="B599" s="408"/>
      <c r="C599" s="411"/>
      <c r="D599" s="415"/>
      <c r="E599" s="417"/>
      <c r="F599" s="837">
        <f>SUM(G592:G597)</f>
        <v>9.8000000000000007</v>
      </c>
      <c r="G599" s="838"/>
    </row>
    <row r="600" spans="1:7" ht="16" thickBot="1" x14ac:dyDescent="0.25">
      <c r="A600" s="406" t="s">
        <v>19</v>
      </c>
      <c r="B600" s="185"/>
      <c r="C600" s="407">
        <f>SUM(C578:C599)</f>
        <v>1734.8000000000002</v>
      </c>
      <c r="D600" s="186">
        <f>SUM(D578:D599)</f>
        <v>1725</v>
      </c>
      <c r="E600" s="186">
        <f>C600-D600</f>
        <v>9.8000000000001819</v>
      </c>
      <c r="F600" s="416"/>
      <c r="G600" s="187"/>
    </row>
    <row r="601" spans="1:7" ht="16" thickBot="1" x14ac:dyDescent="0.25"/>
    <row r="602" spans="1:7" ht="33" thickBot="1" x14ac:dyDescent="0.25">
      <c r="A602" s="686"/>
      <c r="B602" s="183" t="s">
        <v>283</v>
      </c>
      <c r="C602" s="236" t="s">
        <v>284</v>
      </c>
      <c r="D602" s="184" t="s">
        <v>285</v>
      </c>
      <c r="E602" s="184" t="s">
        <v>125</v>
      </c>
      <c r="F602" s="827" t="s">
        <v>286</v>
      </c>
      <c r="G602" s="828"/>
    </row>
    <row r="603" spans="1:7" ht="16" thickBot="1" x14ac:dyDescent="0.25">
      <c r="A603" s="433">
        <v>45686</v>
      </c>
      <c r="B603" s="435" t="s">
        <v>287</v>
      </c>
      <c r="C603" s="436">
        <f>E600</f>
        <v>9.8000000000001819</v>
      </c>
      <c r="D603" s="28"/>
      <c r="E603" s="438" t="s">
        <v>287</v>
      </c>
      <c r="F603" s="829" t="s">
        <v>288</v>
      </c>
      <c r="G603" s="830"/>
    </row>
    <row r="604" spans="1:7" ht="16" thickBot="1" x14ac:dyDescent="0.25">
      <c r="A604" s="432"/>
      <c r="B604" s="434" t="s">
        <v>70</v>
      </c>
      <c r="C604" s="410">
        <f>1200+1440</f>
        <v>2640</v>
      </c>
      <c r="D604" s="439"/>
      <c r="E604" s="437" t="s">
        <v>502</v>
      </c>
      <c r="F604" s="829"/>
      <c r="G604" s="830"/>
    </row>
    <row r="605" spans="1:7" ht="16" x14ac:dyDescent="0.2">
      <c r="A605" s="405"/>
      <c r="B605" s="409" t="s">
        <v>294</v>
      </c>
      <c r="C605" s="411">
        <v>150</v>
      </c>
      <c r="D605" s="413"/>
      <c r="E605" s="418" t="s">
        <v>295</v>
      </c>
      <c r="F605" s="424">
        <v>200</v>
      </c>
      <c r="G605" s="421"/>
    </row>
    <row r="606" spans="1:7" ht="16" x14ac:dyDescent="0.2">
      <c r="A606" s="405"/>
      <c r="B606" s="409" t="s">
        <v>187</v>
      </c>
      <c r="C606" s="411"/>
      <c r="D606" s="413">
        <v>150</v>
      </c>
      <c r="E606" s="418" t="s">
        <v>187</v>
      </c>
      <c r="F606" s="425">
        <v>100</v>
      </c>
      <c r="G606" s="422"/>
    </row>
    <row r="607" spans="1:7" x14ac:dyDescent="0.2">
      <c r="A607" s="405"/>
      <c r="B607" s="316" t="s">
        <v>222</v>
      </c>
      <c r="C607" s="410"/>
      <c r="D607" s="414">
        <f>800+120+150</f>
        <v>1070</v>
      </c>
      <c r="E607" s="316" t="s">
        <v>636</v>
      </c>
      <c r="F607" s="425">
        <v>50</v>
      </c>
      <c r="G607" s="422"/>
    </row>
    <row r="608" spans="1:7" x14ac:dyDescent="0.2">
      <c r="A608" s="405"/>
      <c r="B608" s="316" t="s">
        <v>194</v>
      </c>
      <c r="C608" s="410"/>
      <c r="D608" s="414">
        <v>50</v>
      </c>
      <c r="E608" s="316" t="s">
        <v>224</v>
      </c>
      <c r="F608" s="425" t="s">
        <v>289</v>
      </c>
      <c r="G608" s="422"/>
    </row>
    <row r="609" spans="1:7" ht="16" x14ac:dyDescent="0.2">
      <c r="A609" s="405"/>
      <c r="B609" s="408" t="s">
        <v>222</v>
      </c>
      <c r="C609" s="411">
        <v>380</v>
      </c>
      <c r="D609" s="413"/>
      <c r="E609" s="419" t="s">
        <v>549</v>
      </c>
      <c r="F609" s="425" t="s">
        <v>290</v>
      </c>
      <c r="G609" s="422"/>
    </row>
    <row r="610" spans="1:7" x14ac:dyDescent="0.2">
      <c r="A610" s="405"/>
      <c r="B610" s="409"/>
      <c r="C610" s="412"/>
      <c r="D610" s="413"/>
      <c r="E610" s="409"/>
      <c r="F610" s="426" t="s">
        <v>291</v>
      </c>
      <c r="G610" s="422">
        <f>6+3.8</f>
        <v>9.8000000000000007</v>
      </c>
    </row>
    <row r="611" spans="1:7" ht="16" thickBot="1" x14ac:dyDescent="0.25">
      <c r="A611" s="405"/>
      <c r="B611" s="409"/>
      <c r="C611" s="412"/>
      <c r="D611" s="413"/>
      <c r="E611" s="409"/>
      <c r="F611" s="427" t="s">
        <v>292</v>
      </c>
      <c r="G611" s="423"/>
    </row>
    <row r="612" spans="1:7" ht="16" thickBot="1" x14ac:dyDescent="0.25">
      <c r="A612" s="405"/>
      <c r="B612" s="408"/>
      <c r="C612" s="412"/>
      <c r="D612" s="413"/>
      <c r="E612" s="417"/>
      <c r="F612" s="831">
        <f>SUM(G605:G610)</f>
        <v>9.8000000000000007</v>
      </c>
      <c r="G612" s="832"/>
    </row>
    <row r="613" spans="1:7" x14ac:dyDescent="0.2">
      <c r="A613" s="405"/>
      <c r="B613" s="408"/>
      <c r="C613" s="411"/>
      <c r="D613" s="413"/>
      <c r="E613" s="417"/>
      <c r="F613" s="430"/>
      <c r="G613" s="428"/>
    </row>
    <row r="614" spans="1:7" ht="16" thickBot="1" x14ac:dyDescent="0.25">
      <c r="A614" s="405"/>
      <c r="B614" s="408"/>
      <c r="C614" s="411"/>
      <c r="D614" s="413"/>
      <c r="E614" s="420"/>
      <c r="F614" s="431"/>
      <c r="G614" s="429"/>
    </row>
    <row r="615" spans="1:7" x14ac:dyDescent="0.2">
      <c r="A615" s="405"/>
      <c r="B615" s="408"/>
      <c r="C615" s="412"/>
      <c r="D615" s="413"/>
      <c r="E615" s="417"/>
      <c r="F615" s="833" t="s">
        <v>293</v>
      </c>
      <c r="G615" s="834"/>
    </row>
    <row r="616" spans="1:7" ht="16" thickBot="1" x14ac:dyDescent="0.25">
      <c r="A616" s="405"/>
      <c r="B616" s="316"/>
      <c r="C616" s="234"/>
      <c r="D616" s="413"/>
      <c r="E616" s="316"/>
      <c r="F616" s="835"/>
      <c r="G616" s="836"/>
    </row>
    <row r="617" spans="1:7" x14ac:dyDescent="0.2">
      <c r="A617" s="405"/>
      <c r="B617" s="408"/>
      <c r="C617" s="412"/>
      <c r="D617" s="413"/>
      <c r="E617" s="417"/>
      <c r="F617" s="424">
        <v>200</v>
      </c>
      <c r="G617" s="421">
        <v>200</v>
      </c>
    </row>
    <row r="618" spans="1:7" x14ac:dyDescent="0.2">
      <c r="A618" s="405"/>
      <c r="B618" s="408"/>
      <c r="C618" s="411"/>
      <c r="D618" s="413"/>
      <c r="E618" s="417"/>
      <c r="F618" s="425">
        <v>100</v>
      </c>
      <c r="G618" s="422">
        <v>1500</v>
      </c>
    </row>
    <row r="619" spans="1:7" x14ac:dyDescent="0.2">
      <c r="A619" s="405"/>
      <c r="B619" s="408"/>
      <c r="C619" s="411"/>
      <c r="D619" s="413"/>
      <c r="E619" s="417"/>
      <c r="F619" s="425">
        <v>50</v>
      </c>
      <c r="G619" s="422">
        <v>100</v>
      </c>
    </row>
    <row r="620" spans="1:7" x14ac:dyDescent="0.2">
      <c r="A620" s="405"/>
      <c r="B620" s="408"/>
      <c r="C620" s="411"/>
      <c r="D620" s="413"/>
      <c r="E620" s="417"/>
      <c r="F620" s="425" t="s">
        <v>289</v>
      </c>
      <c r="G620" s="422">
        <v>100</v>
      </c>
    </row>
    <row r="621" spans="1:7" x14ac:dyDescent="0.2">
      <c r="A621" s="405"/>
      <c r="B621" s="408"/>
      <c r="C621" s="411"/>
      <c r="D621" s="413"/>
      <c r="E621" s="417"/>
      <c r="F621" s="425" t="s">
        <v>290</v>
      </c>
      <c r="G621" s="422"/>
    </row>
    <row r="622" spans="1:7" x14ac:dyDescent="0.2">
      <c r="A622" s="405"/>
      <c r="B622" s="408"/>
      <c r="C622" s="411"/>
      <c r="D622" s="413"/>
      <c r="E622" s="417"/>
      <c r="F622" s="426" t="s">
        <v>291</v>
      </c>
      <c r="G622" s="422">
        <f>6+3.8</f>
        <v>9.8000000000000007</v>
      </c>
    </row>
    <row r="623" spans="1:7" ht="16" thickBot="1" x14ac:dyDescent="0.25">
      <c r="A623" s="405"/>
      <c r="B623" s="408"/>
      <c r="C623" s="411"/>
      <c r="D623" s="413"/>
      <c r="E623" s="417" t="s">
        <v>340</v>
      </c>
      <c r="F623" s="427" t="s">
        <v>292</v>
      </c>
      <c r="G623" s="423"/>
    </row>
    <row r="624" spans="1:7" ht="16" thickBot="1" x14ac:dyDescent="0.25">
      <c r="A624" s="405"/>
      <c r="B624" s="408"/>
      <c r="C624" s="411"/>
      <c r="D624" s="415"/>
      <c r="E624" s="417"/>
      <c r="F624" s="837">
        <f>SUM(G617:G622)</f>
        <v>1909.8</v>
      </c>
      <c r="G624" s="838"/>
    </row>
    <row r="625" spans="1:7" ht="16" thickBot="1" x14ac:dyDescent="0.25">
      <c r="A625" s="406" t="s">
        <v>19</v>
      </c>
      <c r="B625" s="185"/>
      <c r="C625" s="407">
        <f>SUM(C603:C624)</f>
        <v>3179.8</v>
      </c>
      <c r="D625" s="186">
        <f>SUM(D603:D624)</f>
        <v>1270</v>
      </c>
      <c r="E625" s="186">
        <f>C625-D625</f>
        <v>1909.8000000000002</v>
      </c>
      <c r="F625" s="416"/>
      <c r="G625" s="187"/>
    </row>
    <row r="626" spans="1:7" ht="16" thickBot="1" x14ac:dyDescent="0.25"/>
    <row r="627" spans="1:7" ht="33" thickBot="1" x14ac:dyDescent="0.25">
      <c r="A627" s="686"/>
      <c r="B627" s="183" t="s">
        <v>283</v>
      </c>
      <c r="C627" s="236" t="s">
        <v>284</v>
      </c>
      <c r="D627" s="184" t="s">
        <v>285</v>
      </c>
      <c r="E627" s="184" t="s">
        <v>125</v>
      </c>
      <c r="F627" s="827" t="s">
        <v>286</v>
      </c>
      <c r="G627" s="828"/>
    </row>
    <row r="628" spans="1:7" ht="16" thickBot="1" x14ac:dyDescent="0.25">
      <c r="A628" s="433">
        <v>45687</v>
      </c>
      <c r="B628" s="435" t="s">
        <v>287</v>
      </c>
      <c r="C628" s="436">
        <f>E625</f>
        <v>1909.8000000000002</v>
      </c>
      <c r="D628" s="28"/>
      <c r="E628" s="438" t="s">
        <v>287</v>
      </c>
      <c r="F628" s="829" t="s">
        <v>288</v>
      </c>
      <c r="G628" s="830"/>
    </row>
    <row r="629" spans="1:7" ht="16" thickBot="1" x14ac:dyDescent="0.25">
      <c r="A629" s="432"/>
      <c r="B629" s="434" t="s">
        <v>298</v>
      </c>
      <c r="C629" s="410"/>
      <c r="D629" s="439">
        <v>1500</v>
      </c>
      <c r="E629" s="437" t="s">
        <v>298</v>
      </c>
      <c r="F629" s="829"/>
      <c r="G629" s="830"/>
    </row>
    <row r="630" spans="1:7" ht="16" x14ac:dyDescent="0.2">
      <c r="A630" s="405"/>
      <c r="B630" s="409" t="s">
        <v>187</v>
      </c>
      <c r="C630" s="411"/>
      <c r="D630" s="413">
        <v>780</v>
      </c>
      <c r="E630" s="418" t="s">
        <v>187</v>
      </c>
      <c r="F630" s="424">
        <v>200</v>
      </c>
      <c r="G630" s="421">
        <v>200</v>
      </c>
    </row>
    <row r="631" spans="1:7" ht="16" x14ac:dyDescent="0.2">
      <c r="A631" s="405"/>
      <c r="B631" s="409" t="s">
        <v>194</v>
      </c>
      <c r="C631" s="411"/>
      <c r="D631" s="413">
        <v>200</v>
      </c>
      <c r="E631" s="418" t="s">
        <v>224</v>
      </c>
      <c r="F631" s="425">
        <v>100</v>
      </c>
      <c r="G631" s="422">
        <v>1500</v>
      </c>
    </row>
    <row r="632" spans="1:7" x14ac:dyDescent="0.2">
      <c r="A632" s="405"/>
      <c r="B632" s="316" t="s">
        <v>294</v>
      </c>
      <c r="C632" s="410">
        <f>150+130+300+150</f>
        <v>730</v>
      </c>
      <c r="D632" s="414"/>
      <c r="E632" s="316" t="s">
        <v>295</v>
      </c>
      <c r="F632" s="425">
        <v>50</v>
      </c>
      <c r="G632" s="422">
        <v>100</v>
      </c>
    </row>
    <row r="633" spans="1:7" x14ac:dyDescent="0.2">
      <c r="A633" s="405"/>
      <c r="B633" s="316" t="s">
        <v>546</v>
      </c>
      <c r="C633" s="410"/>
      <c r="D633" s="414">
        <v>150</v>
      </c>
      <c r="E633" s="316" t="s">
        <v>490</v>
      </c>
      <c r="F633" s="425" t="s">
        <v>289</v>
      </c>
      <c r="G633" s="422">
        <v>100</v>
      </c>
    </row>
    <row r="634" spans="1:7" x14ac:dyDescent="0.2">
      <c r="A634" s="405"/>
      <c r="B634" s="408"/>
      <c r="C634" s="411"/>
      <c r="D634" s="413"/>
      <c r="E634" s="419"/>
      <c r="F634" s="425" t="s">
        <v>290</v>
      </c>
      <c r="G634" s="422"/>
    </row>
    <row r="635" spans="1:7" x14ac:dyDescent="0.2">
      <c r="A635" s="405"/>
      <c r="B635" s="409"/>
      <c r="C635" s="412"/>
      <c r="D635" s="413"/>
      <c r="E635" s="409"/>
      <c r="F635" s="426" t="s">
        <v>291</v>
      </c>
      <c r="G635" s="422">
        <f>6+3.8</f>
        <v>9.8000000000000007</v>
      </c>
    </row>
    <row r="636" spans="1:7" ht="16" thickBot="1" x14ac:dyDescent="0.25">
      <c r="A636" s="405"/>
      <c r="B636" s="409"/>
      <c r="C636" s="412"/>
      <c r="D636" s="413"/>
      <c r="E636" s="409"/>
      <c r="F636" s="427" t="s">
        <v>292</v>
      </c>
      <c r="G636" s="423"/>
    </row>
    <row r="637" spans="1:7" ht="16" thickBot="1" x14ac:dyDescent="0.25">
      <c r="A637" s="405"/>
      <c r="B637" s="408"/>
      <c r="C637" s="412"/>
      <c r="D637" s="413"/>
      <c r="E637" s="417"/>
      <c r="F637" s="831">
        <f>SUM(G630:G635)</f>
        <v>1909.8</v>
      </c>
      <c r="G637" s="832"/>
    </row>
    <row r="638" spans="1:7" x14ac:dyDescent="0.2">
      <c r="A638" s="405"/>
      <c r="B638" s="408"/>
      <c r="C638" s="411"/>
      <c r="D638" s="413"/>
      <c r="E638" s="417"/>
      <c r="F638" s="430"/>
      <c r="G638" s="428"/>
    </row>
    <row r="639" spans="1:7" ht="16" thickBot="1" x14ac:dyDescent="0.25">
      <c r="A639" s="405"/>
      <c r="B639" s="408"/>
      <c r="C639" s="411"/>
      <c r="D639" s="413"/>
      <c r="E639" s="420"/>
      <c r="F639" s="431"/>
      <c r="G639" s="429"/>
    </row>
    <row r="640" spans="1:7" x14ac:dyDescent="0.2">
      <c r="A640" s="405"/>
      <c r="B640" s="408"/>
      <c r="C640" s="412"/>
      <c r="D640" s="413"/>
      <c r="E640" s="417"/>
      <c r="F640" s="833" t="s">
        <v>293</v>
      </c>
      <c r="G640" s="834"/>
    </row>
    <row r="641" spans="1:7" ht="16" thickBot="1" x14ac:dyDescent="0.25">
      <c r="A641" s="405"/>
      <c r="B641" s="316"/>
      <c r="C641" s="234"/>
      <c r="D641" s="413"/>
      <c r="E641" s="316"/>
      <c r="F641" s="835"/>
      <c r="G641" s="836"/>
    </row>
    <row r="642" spans="1:7" x14ac:dyDescent="0.2">
      <c r="A642" s="405"/>
      <c r="B642" s="408"/>
      <c r="C642" s="412"/>
      <c r="D642" s="413"/>
      <c r="E642" s="417"/>
      <c r="F642" s="424">
        <v>200</v>
      </c>
      <c r="G642" s="421"/>
    </row>
    <row r="643" spans="1:7" x14ac:dyDescent="0.2">
      <c r="A643" s="405"/>
      <c r="B643" s="408"/>
      <c r="C643" s="411"/>
      <c r="D643" s="413"/>
      <c r="E643" s="417"/>
      <c r="F643" s="425">
        <v>100</v>
      </c>
      <c r="G643" s="422"/>
    </row>
    <row r="644" spans="1:7" x14ac:dyDescent="0.2">
      <c r="A644" s="405"/>
      <c r="B644" s="408"/>
      <c r="C644" s="411"/>
      <c r="D644" s="413"/>
      <c r="E644" s="417"/>
      <c r="F644" s="425">
        <v>50</v>
      </c>
      <c r="G644" s="422"/>
    </row>
    <row r="645" spans="1:7" x14ac:dyDescent="0.2">
      <c r="A645" s="405"/>
      <c r="B645" s="408"/>
      <c r="C645" s="411"/>
      <c r="D645" s="413"/>
      <c r="E645" s="417"/>
      <c r="F645" s="425" t="s">
        <v>289</v>
      </c>
      <c r="G645" s="422"/>
    </row>
    <row r="646" spans="1:7" x14ac:dyDescent="0.2">
      <c r="A646" s="405"/>
      <c r="B646" s="408"/>
      <c r="C646" s="411"/>
      <c r="D646" s="413"/>
      <c r="E646" s="417"/>
      <c r="F646" s="425" t="s">
        <v>290</v>
      </c>
      <c r="G646" s="422"/>
    </row>
    <row r="647" spans="1:7" x14ac:dyDescent="0.2">
      <c r="A647" s="405"/>
      <c r="B647" s="408"/>
      <c r="C647" s="411"/>
      <c r="D647" s="413"/>
      <c r="E647" s="417"/>
      <c r="F647" s="426" t="s">
        <v>291</v>
      </c>
      <c r="G647" s="422">
        <f>6+3.8</f>
        <v>9.8000000000000007</v>
      </c>
    </row>
    <row r="648" spans="1:7" ht="16" thickBot="1" x14ac:dyDescent="0.25">
      <c r="A648" s="405"/>
      <c r="B648" s="408"/>
      <c r="C648" s="411"/>
      <c r="D648" s="413"/>
      <c r="E648" s="417" t="s">
        <v>340</v>
      </c>
      <c r="F648" s="427" t="s">
        <v>292</v>
      </c>
      <c r="G648" s="423"/>
    </row>
    <row r="649" spans="1:7" ht="16" thickBot="1" x14ac:dyDescent="0.25">
      <c r="A649" s="405"/>
      <c r="B649" s="408"/>
      <c r="C649" s="411"/>
      <c r="D649" s="415"/>
      <c r="E649" s="417"/>
      <c r="F649" s="837">
        <f>SUM(G642:G647)</f>
        <v>9.8000000000000007</v>
      </c>
      <c r="G649" s="838"/>
    </row>
    <row r="650" spans="1:7" ht="16" thickBot="1" x14ac:dyDescent="0.25">
      <c r="A650" s="406" t="s">
        <v>19</v>
      </c>
      <c r="B650" s="185"/>
      <c r="C650" s="407">
        <f>SUM(C628:C649)</f>
        <v>2639.8</v>
      </c>
      <c r="D650" s="186">
        <f>SUM(D628:D649)</f>
        <v>2630</v>
      </c>
      <c r="E650" s="186">
        <f>C650-D650</f>
        <v>9.8000000000001819</v>
      </c>
      <c r="F650" s="416"/>
      <c r="G650" s="187"/>
    </row>
    <row r="651" spans="1:7" ht="16" thickBot="1" x14ac:dyDescent="0.25"/>
    <row r="652" spans="1:7" ht="33" thickBot="1" x14ac:dyDescent="0.25">
      <c r="A652" s="686"/>
      <c r="B652" s="183" t="s">
        <v>283</v>
      </c>
      <c r="C652" s="236" t="s">
        <v>284</v>
      </c>
      <c r="D652" s="184" t="s">
        <v>285</v>
      </c>
      <c r="E652" s="184" t="s">
        <v>125</v>
      </c>
      <c r="F652" s="827" t="s">
        <v>286</v>
      </c>
      <c r="G652" s="828"/>
    </row>
    <row r="653" spans="1:7" ht="16" thickBot="1" x14ac:dyDescent="0.25">
      <c r="A653" s="433">
        <v>45690</v>
      </c>
      <c r="B653" s="435" t="s">
        <v>287</v>
      </c>
      <c r="C653" s="436">
        <f>E650</f>
        <v>9.8000000000001819</v>
      </c>
      <c r="D653" s="28"/>
      <c r="E653" s="438" t="s">
        <v>287</v>
      </c>
      <c r="F653" s="829" t="s">
        <v>288</v>
      </c>
      <c r="G653" s="830"/>
    </row>
    <row r="654" spans="1:7" ht="16" thickBot="1" x14ac:dyDescent="0.25">
      <c r="A654" s="432"/>
      <c r="B654" s="434" t="s">
        <v>294</v>
      </c>
      <c r="C654" s="410">
        <v>150</v>
      </c>
      <c r="D654" s="439"/>
      <c r="E654" s="437" t="s">
        <v>295</v>
      </c>
      <c r="F654" s="829"/>
      <c r="G654" s="830"/>
    </row>
    <row r="655" spans="1:7" x14ac:dyDescent="0.2">
      <c r="A655" s="405"/>
      <c r="B655" s="409"/>
      <c r="C655" s="411"/>
      <c r="D655" s="413"/>
      <c r="E655" s="418"/>
      <c r="F655" s="424">
        <v>200</v>
      </c>
      <c r="G655" s="421">
        <v>200</v>
      </c>
    </row>
    <row r="656" spans="1:7" x14ac:dyDescent="0.2">
      <c r="A656" s="405"/>
      <c r="B656" s="409"/>
      <c r="C656" s="411"/>
      <c r="D656" s="413"/>
      <c r="E656" s="418"/>
      <c r="F656" s="425">
        <v>100</v>
      </c>
      <c r="G656" s="422">
        <v>1500</v>
      </c>
    </row>
    <row r="657" spans="1:7" x14ac:dyDescent="0.2">
      <c r="A657" s="405"/>
      <c r="B657" s="316"/>
      <c r="C657" s="410"/>
      <c r="D657" s="414"/>
      <c r="E657" s="316"/>
      <c r="F657" s="425">
        <v>50</v>
      </c>
      <c r="G657" s="422">
        <v>100</v>
      </c>
    </row>
    <row r="658" spans="1:7" x14ac:dyDescent="0.2">
      <c r="A658" s="405"/>
      <c r="B658" s="316"/>
      <c r="C658" s="410"/>
      <c r="D658" s="414"/>
      <c r="E658" s="316"/>
      <c r="F658" s="425" t="s">
        <v>289</v>
      </c>
      <c r="G658" s="422">
        <v>100</v>
      </c>
    </row>
    <row r="659" spans="1:7" x14ac:dyDescent="0.2">
      <c r="A659" s="405"/>
      <c r="B659" s="408"/>
      <c r="C659" s="411"/>
      <c r="D659" s="413"/>
      <c r="E659" s="419"/>
      <c r="F659" s="425" t="s">
        <v>290</v>
      </c>
      <c r="G659" s="422"/>
    </row>
    <row r="660" spans="1:7" x14ac:dyDescent="0.2">
      <c r="A660" s="405"/>
      <c r="B660" s="409"/>
      <c r="C660" s="412"/>
      <c r="D660" s="413"/>
      <c r="E660" s="409"/>
      <c r="F660" s="426" t="s">
        <v>291</v>
      </c>
      <c r="G660" s="422">
        <f>6+3.8</f>
        <v>9.8000000000000007</v>
      </c>
    </row>
    <row r="661" spans="1:7" ht="16" thickBot="1" x14ac:dyDescent="0.25">
      <c r="A661" s="405"/>
      <c r="B661" s="409"/>
      <c r="C661" s="412"/>
      <c r="D661" s="413"/>
      <c r="E661" s="409"/>
      <c r="F661" s="427" t="s">
        <v>292</v>
      </c>
      <c r="G661" s="423"/>
    </row>
    <row r="662" spans="1:7" ht="16" thickBot="1" x14ac:dyDescent="0.25">
      <c r="A662" s="405"/>
      <c r="B662" s="408"/>
      <c r="C662" s="412"/>
      <c r="D662" s="413"/>
      <c r="E662" s="417"/>
      <c r="F662" s="831">
        <f>SUM(G655:G660)</f>
        <v>1909.8</v>
      </c>
      <c r="G662" s="832"/>
    </row>
    <row r="663" spans="1:7" x14ac:dyDescent="0.2">
      <c r="A663" s="405"/>
      <c r="B663" s="408"/>
      <c r="C663" s="411"/>
      <c r="D663" s="413"/>
      <c r="E663" s="417"/>
      <c r="F663" s="430"/>
      <c r="G663" s="428"/>
    </row>
    <row r="664" spans="1:7" ht="16" thickBot="1" x14ac:dyDescent="0.25">
      <c r="A664" s="405"/>
      <c r="B664" s="408"/>
      <c r="C664" s="411"/>
      <c r="D664" s="413"/>
      <c r="E664" s="420"/>
      <c r="F664" s="431"/>
      <c r="G664" s="429"/>
    </row>
    <row r="665" spans="1:7" x14ac:dyDescent="0.2">
      <c r="A665" s="405"/>
      <c r="B665" s="408"/>
      <c r="C665" s="412"/>
      <c r="D665" s="413"/>
      <c r="E665" s="417"/>
      <c r="F665" s="833" t="s">
        <v>293</v>
      </c>
      <c r="G665" s="834"/>
    </row>
    <row r="666" spans="1:7" ht="16" thickBot="1" x14ac:dyDescent="0.25">
      <c r="A666" s="405"/>
      <c r="B666" s="316"/>
      <c r="C666" s="234"/>
      <c r="D666" s="413"/>
      <c r="E666" s="316"/>
      <c r="F666" s="835"/>
      <c r="G666" s="836"/>
    </row>
    <row r="667" spans="1:7" x14ac:dyDescent="0.2">
      <c r="A667" s="405"/>
      <c r="B667" s="408"/>
      <c r="C667" s="412"/>
      <c r="D667" s="413"/>
      <c r="E667" s="417"/>
      <c r="F667" s="424">
        <v>200</v>
      </c>
      <c r="G667" s="421"/>
    </row>
    <row r="668" spans="1:7" x14ac:dyDescent="0.2">
      <c r="A668" s="405"/>
      <c r="B668" s="408"/>
      <c r="C668" s="411"/>
      <c r="D668" s="413"/>
      <c r="E668" s="417"/>
      <c r="F668" s="425">
        <v>100</v>
      </c>
      <c r="G668" s="422">
        <v>100</v>
      </c>
    </row>
    <row r="669" spans="1:7" x14ac:dyDescent="0.2">
      <c r="A669" s="405"/>
      <c r="B669" s="408"/>
      <c r="C669" s="411"/>
      <c r="D669" s="413"/>
      <c r="E669" s="417"/>
      <c r="F669" s="425">
        <v>50</v>
      </c>
      <c r="G669" s="422">
        <v>50</v>
      </c>
    </row>
    <row r="670" spans="1:7" x14ac:dyDescent="0.2">
      <c r="A670" s="405"/>
      <c r="B670" s="408"/>
      <c r="C670" s="411"/>
      <c r="D670" s="413"/>
      <c r="E670" s="417"/>
      <c r="F670" s="425" t="s">
        <v>289</v>
      </c>
      <c r="G670" s="422"/>
    </row>
    <row r="671" spans="1:7" x14ac:dyDescent="0.2">
      <c r="A671" s="405"/>
      <c r="B671" s="408"/>
      <c r="C671" s="411"/>
      <c r="D671" s="413"/>
      <c r="E671" s="417"/>
      <c r="F671" s="425" t="s">
        <v>290</v>
      </c>
      <c r="G671" s="422"/>
    </row>
    <row r="672" spans="1:7" x14ac:dyDescent="0.2">
      <c r="A672" s="405"/>
      <c r="B672" s="408"/>
      <c r="C672" s="411"/>
      <c r="D672" s="413"/>
      <c r="E672" s="417"/>
      <c r="F672" s="426" t="s">
        <v>291</v>
      </c>
      <c r="G672" s="422">
        <f>6+3.8</f>
        <v>9.8000000000000007</v>
      </c>
    </row>
    <row r="673" spans="1:7" ht="16" thickBot="1" x14ac:dyDescent="0.25">
      <c r="A673" s="405"/>
      <c r="B673" s="408"/>
      <c r="C673" s="411"/>
      <c r="D673" s="413"/>
      <c r="E673" s="417" t="s">
        <v>340</v>
      </c>
      <c r="F673" s="427" t="s">
        <v>292</v>
      </c>
      <c r="G673" s="423"/>
    </row>
    <row r="674" spans="1:7" ht="16" thickBot="1" x14ac:dyDescent="0.25">
      <c r="A674" s="405"/>
      <c r="B674" s="408"/>
      <c r="C674" s="411"/>
      <c r="D674" s="415"/>
      <c r="E674" s="417"/>
      <c r="F674" s="837">
        <f>SUM(G667:G672)</f>
        <v>159.80000000000001</v>
      </c>
      <c r="G674" s="838"/>
    </row>
    <row r="675" spans="1:7" ht="16" thickBot="1" x14ac:dyDescent="0.25">
      <c r="A675" s="406" t="s">
        <v>19</v>
      </c>
      <c r="B675" s="185"/>
      <c r="C675" s="407">
        <f>SUM(C653:C674)</f>
        <v>159.80000000000018</v>
      </c>
      <c r="D675" s="186">
        <f>SUM(D653:D674)</f>
        <v>0</v>
      </c>
      <c r="E675" s="186">
        <f>C675-D675</f>
        <v>159.80000000000018</v>
      </c>
      <c r="F675" s="416"/>
      <c r="G675" s="187"/>
    </row>
    <row r="676" spans="1:7" ht="16" thickBot="1" x14ac:dyDescent="0.25"/>
    <row r="677" spans="1:7" ht="33" thickBot="1" x14ac:dyDescent="0.25">
      <c r="A677" s="686"/>
      <c r="B677" s="183" t="s">
        <v>283</v>
      </c>
      <c r="C677" s="236" t="s">
        <v>284</v>
      </c>
      <c r="D677" s="184" t="s">
        <v>285</v>
      </c>
      <c r="E677" s="184" t="s">
        <v>125</v>
      </c>
      <c r="F677" s="827" t="s">
        <v>286</v>
      </c>
      <c r="G677" s="828"/>
    </row>
    <row r="678" spans="1:7" ht="16" thickBot="1" x14ac:dyDescent="0.25">
      <c r="A678" s="433">
        <v>45691</v>
      </c>
      <c r="B678" s="435" t="s">
        <v>287</v>
      </c>
      <c r="C678" s="436">
        <f>E675</f>
        <v>159.80000000000018</v>
      </c>
      <c r="D678" s="28"/>
      <c r="E678" s="438" t="s">
        <v>287</v>
      </c>
      <c r="F678" s="829" t="s">
        <v>288</v>
      </c>
      <c r="G678" s="830"/>
    </row>
    <row r="679" spans="1:7" ht="16" thickBot="1" x14ac:dyDescent="0.25">
      <c r="A679" s="432"/>
      <c r="B679" s="434" t="s">
        <v>377</v>
      </c>
      <c r="C679" s="410"/>
      <c r="D679" s="439">
        <v>30</v>
      </c>
      <c r="E679" s="437" t="s">
        <v>659</v>
      </c>
      <c r="F679" s="829"/>
      <c r="G679" s="830"/>
    </row>
    <row r="680" spans="1:7" ht="16" x14ac:dyDescent="0.2">
      <c r="A680" s="405"/>
      <c r="B680" s="409" t="s">
        <v>334</v>
      </c>
      <c r="C680" s="411"/>
      <c r="D680" s="413">
        <v>52</v>
      </c>
      <c r="E680" s="418" t="s">
        <v>419</v>
      </c>
      <c r="F680" s="424">
        <v>200</v>
      </c>
      <c r="G680" s="421"/>
    </row>
    <row r="681" spans="1:7" ht="16" x14ac:dyDescent="0.2">
      <c r="A681" s="405"/>
      <c r="B681" s="409" t="s">
        <v>294</v>
      </c>
      <c r="C681" s="411">
        <f>150+300+100+300</f>
        <v>850</v>
      </c>
      <c r="D681" s="413"/>
      <c r="E681" s="418" t="s">
        <v>295</v>
      </c>
      <c r="F681" s="425">
        <v>100</v>
      </c>
      <c r="G681" s="422">
        <v>100</v>
      </c>
    </row>
    <row r="682" spans="1:7" x14ac:dyDescent="0.2">
      <c r="A682" s="405"/>
      <c r="B682" s="316" t="s">
        <v>546</v>
      </c>
      <c r="C682" s="410"/>
      <c r="D682" s="414">
        <v>150</v>
      </c>
      <c r="E682" s="316" t="s">
        <v>490</v>
      </c>
      <c r="F682" s="425">
        <v>50</v>
      </c>
      <c r="G682" s="422">
        <v>50</v>
      </c>
    </row>
    <row r="683" spans="1:7" x14ac:dyDescent="0.2">
      <c r="A683" s="405"/>
      <c r="B683" s="316" t="s">
        <v>194</v>
      </c>
      <c r="C683" s="410"/>
      <c r="D683" s="414">
        <v>110</v>
      </c>
      <c r="E683" s="316" t="s">
        <v>224</v>
      </c>
      <c r="F683" s="425" t="s">
        <v>289</v>
      </c>
      <c r="G683" s="422"/>
    </row>
    <row r="684" spans="1:7" ht="16" x14ac:dyDescent="0.2">
      <c r="A684" s="405"/>
      <c r="B684" s="408" t="s">
        <v>187</v>
      </c>
      <c r="C684" s="411"/>
      <c r="D684" s="413">
        <v>650</v>
      </c>
      <c r="E684" s="419" t="s">
        <v>187</v>
      </c>
      <c r="F684" s="425" t="s">
        <v>290</v>
      </c>
      <c r="G684" s="422"/>
    </row>
    <row r="685" spans="1:7" x14ac:dyDescent="0.2">
      <c r="A685" s="405"/>
      <c r="B685" s="409" t="s">
        <v>70</v>
      </c>
      <c r="C685" s="412">
        <v>1440</v>
      </c>
      <c r="D685" s="413"/>
      <c r="E685" s="409" t="s">
        <v>653</v>
      </c>
      <c r="F685" s="426" t="s">
        <v>291</v>
      </c>
      <c r="G685" s="422">
        <f>6+3.8</f>
        <v>9.8000000000000007</v>
      </c>
    </row>
    <row r="686" spans="1:7" ht="16" thickBot="1" x14ac:dyDescent="0.25">
      <c r="A686" s="405"/>
      <c r="B686" s="409" t="s">
        <v>222</v>
      </c>
      <c r="C686" s="412">
        <v>150</v>
      </c>
      <c r="D686" s="413"/>
      <c r="E686" s="409" t="s">
        <v>549</v>
      </c>
      <c r="F686" s="427" t="s">
        <v>292</v>
      </c>
      <c r="G686" s="423"/>
    </row>
    <row r="687" spans="1:7" ht="16" thickBot="1" x14ac:dyDescent="0.25">
      <c r="A687" s="405"/>
      <c r="B687" s="408"/>
      <c r="C687" s="412"/>
      <c r="D687" s="413"/>
      <c r="E687" s="417"/>
      <c r="F687" s="831">
        <f>SUM(G680:G685)</f>
        <v>159.80000000000001</v>
      </c>
      <c r="G687" s="832"/>
    </row>
    <row r="688" spans="1:7" x14ac:dyDescent="0.2">
      <c r="A688" s="405"/>
      <c r="B688" s="408"/>
      <c r="C688" s="411"/>
      <c r="D688" s="413"/>
      <c r="E688" s="417"/>
      <c r="F688" s="430"/>
      <c r="G688" s="428"/>
    </row>
    <row r="689" spans="1:7" ht="16" thickBot="1" x14ac:dyDescent="0.25">
      <c r="A689" s="405"/>
      <c r="B689" s="408"/>
      <c r="C689" s="411"/>
      <c r="D689" s="413"/>
      <c r="E689" s="420"/>
      <c r="F689" s="431"/>
      <c r="G689" s="429"/>
    </row>
    <row r="690" spans="1:7" x14ac:dyDescent="0.2">
      <c r="A690" s="405"/>
      <c r="B690" s="408"/>
      <c r="C690" s="412"/>
      <c r="D690" s="413"/>
      <c r="E690" s="417"/>
      <c r="F690" s="833" t="s">
        <v>293</v>
      </c>
      <c r="G690" s="834"/>
    </row>
    <row r="691" spans="1:7" ht="16" thickBot="1" x14ac:dyDescent="0.25">
      <c r="A691" s="405"/>
      <c r="B691" s="316"/>
      <c r="C691" s="234"/>
      <c r="D691" s="413"/>
      <c r="E691" s="316"/>
      <c r="F691" s="835"/>
      <c r="G691" s="836"/>
    </row>
    <row r="692" spans="1:7" x14ac:dyDescent="0.2">
      <c r="A692" s="405"/>
      <c r="B692" s="408"/>
      <c r="C692" s="412"/>
      <c r="D692" s="413"/>
      <c r="E692" s="417"/>
      <c r="F692" s="424">
        <v>200</v>
      </c>
      <c r="G692" s="421">
        <v>800</v>
      </c>
    </row>
    <row r="693" spans="1:7" x14ac:dyDescent="0.2">
      <c r="A693" s="405"/>
      <c r="B693" s="408"/>
      <c r="C693" s="411"/>
      <c r="D693" s="413"/>
      <c r="E693" s="417"/>
      <c r="F693" s="425">
        <v>100</v>
      </c>
      <c r="G693" s="422">
        <v>700</v>
      </c>
    </row>
    <row r="694" spans="1:7" x14ac:dyDescent="0.2">
      <c r="A694" s="405"/>
      <c r="B694" s="408"/>
      <c r="C694" s="411"/>
      <c r="D694" s="413"/>
      <c r="E694" s="417"/>
      <c r="F694" s="425">
        <v>50</v>
      </c>
      <c r="G694" s="422">
        <v>50</v>
      </c>
    </row>
    <row r="695" spans="1:7" x14ac:dyDescent="0.2">
      <c r="A695" s="405"/>
      <c r="B695" s="408"/>
      <c r="C695" s="411"/>
      <c r="D695" s="413"/>
      <c r="E695" s="417"/>
      <c r="F695" s="425" t="s">
        <v>289</v>
      </c>
      <c r="G695" s="422">
        <v>40</v>
      </c>
    </row>
    <row r="696" spans="1:7" x14ac:dyDescent="0.2">
      <c r="A696" s="405"/>
      <c r="B696" s="408"/>
      <c r="C696" s="411"/>
      <c r="D696" s="413"/>
      <c r="E696" s="417"/>
      <c r="F696" s="425" t="s">
        <v>290</v>
      </c>
      <c r="G696" s="422"/>
    </row>
    <row r="697" spans="1:7" x14ac:dyDescent="0.2">
      <c r="A697" s="405"/>
      <c r="B697" s="408"/>
      <c r="C697" s="411"/>
      <c r="D697" s="413"/>
      <c r="E697" s="417"/>
      <c r="F697" s="426" t="s">
        <v>291</v>
      </c>
      <c r="G697" s="422">
        <v>17.8</v>
      </c>
    </row>
    <row r="698" spans="1:7" ht="16" thickBot="1" x14ac:dyDescent="0.25">
      <c r="A698" s="405"/>
      <c r="B698" s="408"/>
      <c r="C698" s="411"/>
      <c r="D698" s="413"/>
      <c r="E698" s="417" t="s">
        <v>340</v>
      </c>
      <c r="F698" s="427" t="s">
        <v>292</v>
      </c>
      <c r="G698" s="423"/>
    </row>
    <row r="699" spans="1:7" ht="16" thickBot="1" x14ac:dyDescent="0.25">
      <c r="A699" s="405"/>
      <c r="B699" s="408"/>
      <c r="C699" s="411"/>
      <c r="D699" s="415"/>
      <c r="E699" s="417"/>
      <c r="F699" s="837">
        <f>SUM(G692:G697)</f>
        <v>1607.8</v>
      </c>
      <c r="G699" s="838"/>
    </row>
    <row r="700" spans="1:7" ht="16" thickBot="1" x14ac:dyDescent="0.25">
      <c r="A700" s="406" t="s">
        <v>19</v>
      </c>
      <c r="B700" s="185"/>
      <c r="C700" s="407">
        <f>SUM(C678:C699)</f>
        <v>2599.8000000000002</v>
      </c>
      <c r="D700" s="186">
        <f>SUM(D678:D699)</f>
        <v>992</v>
      </c>
      <c r="E700" s="186">
        <f>C700-D700</f>
        <v>1607.8000000000002</v>
      </c>
      <c r="F700" s="416"/>
      <c r="G700" s="187"/>
    </row>
    <row r="701" spans="1:7" ht="16" thickBot="1" x14ac:dyDescent="0.25"/>
    <row r="702" spans="1:7" ht="33" thickBot="1" x14ac:dyDescent="0.25">
      <c r="A702" s="686"/>
      <c r="B702" s="183" t="s">
        <v>283</v>
      </c>
      <c r="C702" s="236" t="s">
        <v>284</v>
      </c>
      <c r="D702" s="184" t="s">
        <v>285</v>
      </c>
      <c r="E702" s="184" t="s">
        <v>125</v>
      </c>
      <c r="F702" s="827" t="s">
        <v>286</v>
      </c>
      <c r="G702" s="828"/>
    </row>
    <row r="703" spans="1:7" ht="16" thickBot="1" x14ac:dyDescent="0.25">
      <c r="A703" s="433">
        <v>45692</v>
      </c>
      <c r="B703" s="435" t="s">
        <v>287</v>
      </c>
      <c r="C703" s="436">
        <f>E700</f>
        <v>1607.8000000000002</v>
      </c>
      <c r="D703" s="28"/>
      <c r="E703" s="438" t="s">
        <v>287</v>
      </c>
      <c r="F703" s="829" t="s">
        <v>288</v>
      </c>
      <c r="G703" s="830"/>
    </row>
    <row r="704" spans="1:7" ht="16" thickBot="1" x14ac:dyDescent="0.25">
      <c r="A704" s="432"/>
      <c r="B704" s="434" t="s">
        <v>222</v>
      </c>
      <c r="C704" s="410"/>
      <c r="D704" s="439">
        <f>800+200+100</f>
        <v>1100</v>
      </c>
      <c r="E704" s="437" t="s">
        <v>296</v>
      </c>
      <c r="F704" s="829"/>
      <c r="G704" s="830"/>
    </row>
    <row r="705" spans="1:7" ht="16" x14ac:dyDescent="0.2">
      <c r="A705" s="405"/>
      <c r="B705" s="409" t="s">
        <v>334</v>
      </c>
      <c r="C705" s="411"/>
      <c r="D705" s="413">
        <v>184</v>
      </c>
      <c r="E705" s="418" t="s">
        <v>668</v>
      </c>
      <c r="F705" s="424">
        <v>200</v>
      </c>
      <c r="G705" s="421">
        <v>800</v>
      </c>
    </row>
    <row r="706" spans="1:7" ht="16" x14ac:dyDescent="0.2">
      <c r="A706" s="405"/>
      <c r="B706" s="409" t="s">
        <v>9</v>
      </c>
      <c r="C706" s="411"/>
      <c r="D706" s="413">
        <v>40</v>
      </c>
      <c r="E706" s="418" t="s">
        <v>677</v>
      </c>
      <c r="F706" s="425">
        <v>100</v>
      </c>
      <c r="G706" s="422">
        <v>700</v>
      </c>
    </row>
    <row r="707" spans="1:7" x14ac:dyDescent="0.2">
      <c r="A707" s="405"/>
      <c r="B707" s="316" t="s">
        <v>509</v>
      </c>
      <c r="C707" s="410"/>
      <c r="D707" s="414">
        <v>200</v>
      </c>
      <c r="E707" s="316" t="s">
        <v>510</v>
      </c>
      <c r="F707" s="425">
        <v>50</v>
      </c>
      <c r="G707" s="422">
        <v>50</v>
      </c>
    </row>
    <row r="708" spans="1:7" x14ac:dyDescent="0.2">
      <c r="A708" s="405"/>
      <c r="B708" s="316" t="s">
        <v>194</v>
      </c>
      <c r="C708" s="410"/>
      <c r="D708" s="414">
        <v>200</v>
      </c>
      <c r="E708" s="316" t="s">
        <v>224</v>
      </c>
      <c r="F708" s="425" t="s">
        <v>289</v>
      </c>
      <c r="G708" s="422">
        <v>40</v>
      </c>
    </row>
    <row r="709" spans="1:7" ht="16" x14ac:dyDescent="0.2">
      <c r="A709" s="405"/>
      <c r="B709" s="408" t="s">
        <v>188</v>
      </c>
      <c r="C709" s="411"/>
      <c r="D709" s="413">
        <v>400</v>
      </c>
      <c r="E709" s="419" t="s">
        <v>224</v>
      </c>
      <c r="F709" s="425" t="s">
        <v>290</v>
      </c>
      <c r="G709" s="422"/>
    </row>
    <row r="710" spans="1:7" x14ac:dyDescent="0.2">
      <c r="A710" s="405"/>
      <c r="B710" s="409" t="s">
        <v>298</v>
      </c>
      <c r="C710" s="412"/>
      <c r="D710" s="413">
        <v>150</v>
      </c>
      <c r="E710" s="409" t="s">
        <v>298</v>
      </c>
      <c r="F710" s="426" t="s">
        <v>291</v>
      </c>
      <c r="G710" s="422">
        <v>17.8</v>
      </c>
    </row>
    <row r="711" spans="1:7" ht="16" thickBot="1" x14ac:dyDescent="0.25">
      <c r="A711" s="405"/>
      <c r="B711" s="409" t="s">
        <v>294</v>
      </c>
      <c r="C711" s="412">
        <f>450+300</f>
        <v>750</v>
      </c>
      <c r="D711" s="413"/>
      <c r="E711" s="409" t="s">
        <v>295</v>
      </c>
      <c r="F711" s="427" t="s">
        <v>292</v>
      </c>
      <c r="G711" s="423"/>
    </row>
    <row r="712" spans="1:7" ht="16" thickBot="1" x14ac:dyDescent="0.25">
      <c r="A712" s="405"/>
      <c r="B712" s="408" t="s">
        <v>678</v>
      </c>
      <c r="C712" s="412"/>
      <c r="D712" s="413">
        <v>57</v>
      </c>
      <c r="E712" s="417" t="s">
        <v>678</v>
      </c>
      <c r="F712" s="831">
        <f>SUM(G705:G710)</f>
        <v>1607.8</v>
      </c>
      <c r="G712" s="832"/>
    </row>
    <row r="713" spans="1:7" x14ac:dyDescent="0.2">
      <c r="A713" s="405"/>
      <c r="B713" s="408"/>
      <c r="C713" s="411"/>
      <c r="D713" s="413"/>
      <c r="E713" s="417"/>
      <c r="F713" s="430"/>
      <c r="G713" s="428"/>
    </row>
    <row r="714" spans="1:7" ht="16" thickBot="1" x14ac:dyDescent="0.25">
      <c r="A714" s="405"/>
      <c r="B714" s="408"/>
      <c r="C714" s="411"/>
      <c r="D714" s="413"/>
      <c r="E714" s="420"/>
      <c r="F714" s="431"/>
      <c r="G714" s="429"/>
    </row>
    <row r="715" spans="1:7" x14ac:dyDescent="0.2">
      <c r="A715" s="405"/>
      <c r="B715" s="408"/>
      <c r="C715" s="412"/>
      <c r="D715" s="413"/>
      <c r="E715" s="417"/>
      <c r="F715" s="833" t="s">
        <v>293</v>
      </c>
      <c r="G715" s="834"/>
    </row>
    <row r="716" spans="1:7" ht="16" thickBot="1" x14ac:dyDescent="0.25">
      <c r="A716" s="405"/>
      <c r="B716" s="316"/>
      <c r="C716" s="234"/>
      <c r="D716" s="413"/>
      <c r="E716" s="316"/>
      <c r="F716" s="835"/>
      <c r="G716" s="836"/>
    </row>
    <row r="717" spans="1:7" x14ac:dyDescent="0.2">
      <c r="A717" s="405"/>
      <c r="B717" s="408"/>
      <c r="C717" s="412"/>
      <c r="D717" s="413"/>
      <c r="E717" s="417"/>
      <c r="F717" s="424">
        <v>200</v>
      </c>
      <c r="G717" s="421"/>
    </row>
    <row r="718" spans="1:7" x14ac:dyDescent="0.2">
      <c r="A718" s="405"/>
      <c r="B718" s="408"/>
      <c r="C718" s="411"/>
      <c r="D718" s="413"/>
      <c r="E718" s="417"/>
      <c r="F718" s="425">
        <v>100</v>
      </c>
      <c r="G718" s="422"/>
    </row>
    <row r="719" spans="1:7" x14ac:dyDescent="0.2">
      <c r="A719" s="405"/>
      <c r="B719" s="408"/>
      <c r="C719" s="411"/>
      <c r="D719" s="413"/>
      <c r="E719" s="417"/>
      <c r="F719" s="425">
        <v>50</v>
      </c>
      <c r="G719" s="422"/>
    </row>
    <row r="720" spans="1:7" x14ac:dyDescent="0.2">
      <c r="A720" s="405"/>
      <c r="B720" s="408"/>
      <c r="C720" s="411"/>
      <c r="D720" s="413"/>
      <c r="E720" s="417"/>
      <c r="F720" s="425" t="s">
        <v>289</v>
      </c>
      <c r="G720" s="422"/>
    </row>
    <row r="721" spans="1:7" x14ac:dyDescent="0.2">
      <c r="A721" s="405"/>
      <c r="B721" s="408"/>
      <c r="C721" s="411"/>
      <c r="D721" s="413"/>
      <c r="E721" s="417"/>
      <c r="F721" s="425" t="s">
        <v>290</v>
      </c>
      <c r="G721" s="422"/>
    </row>
    <row r="722" spans="1:7" x14ac:dyDescent="0.2">
      <c r="A722" s="405"/>
      <c r="B722" s="408"/>
      <c r="C722" s="411"/>
      <c r="D722" s="413"/>
      <c r="E722" s="417"/>
      <c r="F722" s="426" t="s">
        <v>291</v>
      </c>
      <c r="G722" s="422">
        <f>17+5+4.8</f>
        <v>26.8</v>
      </c>
    </row>
    <row r="723" spans="1:7" ht="16" thickBot="1" x14ac:dyDescent="0.25">
      <c r="A723" s="405"/>
      <c r="B723" s="408"/>
      <c r="C723" s="411"/>
      <c r="D723" s="413"/>
      <c r="E723" s="417" t="s">
        <v>340</v>
      </c>
      <c r="F723" s="427" t="s">
        <v>292</v>
      </c>
      <c r="G723" s="423"/>
    </row>
    <row r="724" spans="1:7" ht="16" thickBot="1" x14ac:dyDescent="0.25">
      <c r="A724" s="405"/>
      <c r="B724" s="408"/>
      <c r="C724" s="411"/>
      <c r="D724" s="415"/>
      <c r="E724" s="417"/>
      <c r="F724" s="837">
        <f>SUM(G717:G722)</f>
        <v>26.8</v>
      </c>
      <c r="G724" s="838"/>
    </row>
    <row r="725" spans="1:7" ht="16" thickBot="1" x14ac:dyDescent="0.25">
      <c r="A725" s="406" t="s">
        <v>19</v>
      </c>
      <c r="B725" s="185"/>
      <c r="C725" s="407">
        <f>SUM(C703:C724)</f>
        <v>2357.8000000000002</v>
      </c>
      <c r="D725" s="186">
        <f>SUM(D703:D724)</f>
        <v>2331</v>
      </c>
      <c r="E725" s="186">
        <f>C725-D725</f>
        <v>26.800000000000182</v>
      </c>
      <c r="F725" s="416"/>
      <c r="G725" s="187"/>
    </row>
    <row r="726" spans="1:7" ht="16" thickBot="1" x14ac:dyDescent="0.25"/>
    <row r="727" spans="1:7" ht="33" thickBot="1" x14ac:dyDescent="0.25">
      <c r="A727" s="686"/>
      <c r="B727" s="183" t="s">
        <v>283</v>
      </c>
      <c r="C727" s="236" t="s">
        <v>284</v>
      </c>
      <c r="D727" s="184" t="s">
        <v>285</v>
      </c>
      <c r="E727" s="184" t="s">
        <v>125</v>
      </c>
      <c r="F727" s="827" t="s">
        <v>286</v>
      </c>
      <c r="G727" s="828"/>
    </row>
    <row r="728" spans="1:7" ht="16" thickBot="1" x14ac:dyDescent="0.25">
      <c r="A728" s="433">
        <v>45693</v>
      </c>
      <c r="B728" s="435" t="s">
        <v>287</v>
      </c>
      <c r="C728" s="436">
        <f>E725</f>
        <v>26.800000000000182</v>
      </c>
      <c r="D728" s="28"/>
      <c r="E728" s="438" t="s">
        <v>287</v>
      </c>
      <c r="F728" s="829" t="s">
        <v>288</v>
      </c>
      <c r="G728" s="830"/>
    </row>
    <row r="729" spans="1:7" ht="16" thickBot="1" x14ac:dyDescent="0.25">
      <c r="A729" s="432"/>
      <c r="B729" s="434" t="s">
        <v>222</v>
      </c>
      <c r="C729" s="410">
        <v>550</v>
      </c>
      <c r="D729" s="439"/>
      <c r="E729" s="437" t="s">
        <v>549</v>
      </c>
      <c r="F729" s="829"/>
      <c r="G729" s="830"/>
    </row>
    <row r="730" spans="1:7" x14ac:dyDescent="0.2">
      <c r="A730" s="405"/>
      <c r="B730" s="409"/>
      <c r="C730" s="411"/>
      <c r="D730" s="413"/>
      <c r="E730" s="418"/>
      <c r="F730" s="424">
        <v>200</v>
      </c>
      <c r="G730" s="421"/>
    </row>
    <row r="731" spans="1:7" x14ac:dyDescent="0.2">
      <c r="A731" s="405"/>
      <c r="B731" s="409"/>
      <c r="C731" s="411"/>
      <c r="D731" s="413"/>
      <c r="E731" s="418"/>
      <c r="F731" s="425">
        <v>100</v>
      </c>
      <c r="G731" s="422"/>
    </row>
    <row r="732" spans="1:7" x14ac:dyDescent="0.2">
      <c r="A732" s="405"/>
      <c r="B732" s="316"/>
      <c r="C732" s="410"/>
      <c r="D732" s="414"/>
      <c r="E732" s="316"/>
      <c r="F732" s="425">
        <v>50</v>
      </c>
      <c r="G732" s="422"/>
    </row>
    <row r="733" spans="1:7" x14ac:dyDescent="0.2">
      <c r="A733" s="405"/>
      <c r="B733" s="316"/>
      <c r="C733" s="410"/>
      <c r="D733" s="414"/>
      <c r="E733" s="316"/>
      <c r="F733" s="425" t="s">
        <v>289</v>
      </c>
      <c r="G733" s="422"/>
    </row>
    <row r="734" spans="1:7" x14ac:dyDescent="0.2">
      <c r="A734" s="405"/>
      <c r="B734" s="408"/>
      <c r="C734" s="411"/>
      <c r="D734" s="413"/>
      <c r="E734" s="419"/>
      <c r="F734" s="425" t="s">
        <v>290</v>
      </c>
      <c r="G734" s="422"/>
    </row>
    <row r="735" spans="1:7" x14ac:dyDescent="0.2">
      <c r="A735" s="405"/>
      <c r="B735" s="409"/>
      <c r="C735" s="412"/>
      <c r="D735" s="413"/>
      <c r="E735" s="409"/>
      <c r="F735" s="426" t="s">
        <v>291</v>
      </c>
      <c r="G735" s="422">
        <f>17+5+4.8</f>
        <v>26.8</v>
      </c>
    </row>
    <row r="736" spans="1:7" ht="16" thickBot="1" x14ac:dyDescent="0.25">
      <c r="A736" s="405"/>
      <c r="B736" s="409"/>
      <c r="C736" s="412"/>
      <c r="D736" s="413"/>
      <c r="E736" s="409"/>
      <c r="F736" s="427" t="s">
        <v>292</v>
      </c>
      <c r="G736" s="423"/>
    </row>
    <row r="737" spans="1:7" ht="16" thickBot="1" x14ac:dyDescent="0.25">
      <c r="A737" s="405"/>
      <c r="B737" s="408"/>
      <c r="C737" s="412"/>
      <c r="D737" s="413"/>
      <c r="E737" s="417"/>
      <c r="F737" s="831">
        <f>SUM(G730:G735)</f>
        <v>26.8</v>
      </c>
      <c r="G737" s="832"/>
    </row>
    <row r="738" spans="1:7" x14ac:dyDescent="0.2">
      <c r="A738" s="405"/>
      <c r="B738" s="408"/>
      <c r="C738" s="411"/>
      <c r="D738" s="413"/>
      <c r="E738" s="417"/>
      <c r="F738" s="430"/>
      <c r="G738" s="428"/>
    </row>
    <row r="739" spans="1:7" ht="16" thickBot="1" x14ac:dyDescent="0.25">
      <c r="A739" s="405"/>
      <c r="B739" s="408"/>
      <c r="C739" s="411"/>
      <c r="D739" s="413"/>
      <c r="E739" s="420"/>
      <c r="F739" s="431"/>
      <c r="G739" s="429"/>
    </row>
    <row r="740" spans="1:7" x14ac:dyDescent="0.2">
      <c r="A740" s="405"/>
      <c r="B740" s="408"/>
      <c r="C740" s="412"/>
      <c r="D740" s="413"/>
      <c r="E740" s="417"/>
      <c r="F740" s="833" t="s">
        <v>293</v>
      </c>
      <c r="G740" s="834"/>
    </row>
    <row r="741" spans="1:7" ht="16" thickBot="1" x14ac:dyDescent="0.25">
      <c r="A741" s="405"/>
      <c r="B741" s="316"/>
      <c r="C741" s="234"/>
      <c r="D741" s="413"/>
      <c r="E741" s="316"/>
      <c r="F741" s="835"/>
      <c r="G741" s="836"/>
    </row>
    <row r="742" spans="1:7" x14ac:dyDescent="0.2">
      <c r="A742" s="405"/>
      <c r="B742" s="408"/>
      <c r="C742" s="412"/>
      <c r="D742" s="413"/>
      <c r="E742" s="417"/>
      <c r="F742" s="424">
        <v>200</v>
      </c>
      <c r="G742" s="421"/>
    </row>
    <row r="743" spans="1:7" x14ac:dyDescent="0.2">
      <c r="A743" s="405"/>
      <c r="B743" s="408"/>
      <c r="C743" s="411"/>
      <c r="D743" s="413"/>
      <c r="E743" s="417"/>
      <c r="F743" s="425">
        <v>100</v>
      </c>
      <c r="G743" s="422">
        <v>300</v>
      </c>
    </row>
    <row r="744" spans="1:7" x14ac:dyDescent="0.2">
      <c r="A744" s="405"/>
      <c r="B744" s="408"/>
      <c r="C744" s="411"/>
      <c r="D744" s="413"/>
      <c r="E744" s="417"/>
      <c r="F744" s="425">
        <v>50</v>
      </c>
      <c r="G744" s="422">
        <v>200</v>
      </c>
    </row>
    <row r="745" spans="1:7" x14ac:dyDescent="0.2">
      <c r="A745" s="405"/>
      <c r="B745" s="408"/>
      <c r="C745" s="411"/>
      <c r="D745" s="413"/>
      <c r="E745" s="417"/>
      <c r="F745" s="425" t="s">
        <v>289</v>
      </c>
      <c r="G745" s="422">
        <v>40</v>
      </c>
    </row>
    <row r="746" spans="1:7" x14ac:dyDescent="0.2">
      <c r="A746" s="405"/>
      <c r="B746" s="408"/>
      <c r="C746" s="411"/>
      <c r="D746" s="413"/>
      <c r="E746" s="417"/>
      <c r="F746" s="425" t="s">
        <v>290</v>
      </c>
      <c r="G746" s="422"/>
    </row>
    <row r="747" spans="1:7" x14ac:dyDescent="0.2">
      <c r="A747" s="405"/>
      <c r="B747" s="408"/>
      <c r="C747" s="411"/>
      <c r="D747" s="413"/>
      <c r="E747" s="417"/>
      <c r="F747" s="426" t="s">
        <v>291</v>
      </c>
      <c r="G747" s="422">
        <f>24+9.8+3</f>
        <v>36.799999999999997</v>
      </c>
    </row>
    <row r="748" spans="1:7" ht="16" thickBot="1" x14ac:dyDescent="0.25">
      <c r="A748" s="405"/>
      <c r="B748" s="408"/>
      <c r="C748" s="411"/>
      <c r="D748" s="413"/>
      <c r="E748" s="417" t="s">
        <v>340</v>
      </c>
      <c r="F748" s="427" t="s">
        <v>292</v>
      </c>
      <c r="G748" s="423"/>
    </row>
    <row r="749" spans="1:7" ht="16" thickBot="1" x14ac:dyDescent="0.25">
      <c r="A749" s="405"/>
      <c r="B749" s="408"/>
      <c r="C749" s="411"/>
      <c r="D749" s="415"/>
      <c r="E749" s="417"/>
      <c r="F749" s="837">
        <f>SUM(G742:G747)</f>
        <v>576.79999999999995</v>
      </c>
      <c r="G749" s="838"/>
    </row>
    <row r="750" spans="1:7" ht="16" thickBot="1" x14ac:dyDescent="0.25">
      <c r="A750" s="406" t="s">
        <v>19</v>
      </c>
      <c r="B750" s="185"/>
      <c r="C750" s="407">
        <f>SUM(C728:C749)</f>
        <v>576.80000000000018</v>
      </c>
      <c r="D750" s="186">
        <f>SUM(D728:D749)</f>
        <v>0</v>
      </c>
      <c r="E750" s="186">
        <f>C750-D750</f>
        <v>576.80000000000018</v>
      </c>
      <c r="F750" s="416"/>
      <c r="G750" s="187"/>
    </row>
    <row r="751" spans="1:7" ht="16" thickBot="1" x14ac:dyDescent="0.25"/>
    <row r="752" spans="1:7" ht="33" thickBot="1" x14ac:dyDescent="0.25">
      <c r="A752" s="686"/>
      <c r="B752" s="183" t="s">
        <v>283</v>
      </c>
      <c r="C752" s="236" t="s">
        <v>284</v>
      </c>
      <c r="D752" s="184" t="s">
        <v>285</v>
      </c>
      <c r="E752" s="184" t="s">
        <v>125</v>
      </c>
      <c r="F752" s="827" t="s">
        <v>286</v>
      </c>
      <c r="G752" s="828"/>
    </row>
    <row r="753" spans="1:7" ht="16" thickBot="1" x14ac:dyDescent="0.25">
      <c r="A753" s="433">
        <v>45694</v>
      </c>
      <c r="B753" s="435" t="s">
        <v>287</v>
      </c>
      <c r="C753" s="436">
        <f>E750</f>
        <v>576.80000000000018</v>
      </c>
      <c r="D753" s="28"/>
      <c r="E753" s="438" t="s">
        <v>287</v>
      </c>
      <c r="F753" s="829" t="s">
        <v>288</v>
      </c>
      <c r="G753" s="830"/>
    </row>
    <row r="754" spans="1:7" ht="16" thickBot="1" x14ac:dyDescent="0.25">
      <c r="A754" s="432"/>
      <c r="B754" s="434" t="s">
        <v>9</v>
      </c>
      <c r="C754" s="410"/>
      <c r="D754" s="439">
        <v>25</v>
      </c>
      <c r="E754" s="437" t="s">
        <v>681</v>
      </c>
      <c r="F754" s="829"/>
      <c r="G754" s="830"/>
    </row>
    <row r="755" spans="1:7" ht="16" x14ac:dyDescent="0.2">
      <c r="A755" s="405"/>
      <c r="B755" s="409" t="s">
        <v>294</v>
      </c>
      <c r="C755" s="411">
        <f>115+100</f>
        <v>215</v>
      </c>
      <c r="D755" s="413"/>
      <c r="E755" s="418" t="s">
        <v>295</v>
      </c>
      <c r="F755" s="424">
        <v>200</v>
      </c>
      <c r="G755" s="421"/>
    </row>
    <row r="756" spans="1:7" ht="16" x14ac:dyDescent="0.2">
      <c r="A756" s="405"/>
      <c r="B756" s="409" t="s">
        <v>222</v>
      </c>
      <c r="C756" s="411"/>
      <c r="D756" s="413">
        <v>50</v>
      </c>
      <c r="E756" s="418" t="s">
        <v>510</v>
      </c>
      <c r="F756" s="425">
        <v>100</v>
      </c>
      <c r="G756" s="422">
        <v>300</v>
      </c>
    </row>
    <row r="757" spans="1:7" x14ac:dyDescent="0.2">
      <c r="A757" s="405"/>
      <c r="B757" s="316" t="s">
        <v>298</v>
      </c>
      <c r="C757" s="410"/>
      <c r="D757" s="414">
        <v>680</v>
      </c>
      <c r="E757" s="316" t="s">
        <v>682</v>
      </c>
      <c r="F757" s="425">
        <v>50</v>
      </c>
      <c r="G757" s="422">
        <v>200</v>
      </c>
    </row>
    <row r="758" spans="1:7" x14ac:dyDescent="0.2">
      <c r="A758" s="405"/>
      <c r="B758" s="316"/>
      <c r="C758" s="410"/>
      <c r="D758" s="414"/>
      <c r="E758" s="316"/>
      <c r="F758" s="425" t="s">
        <v>289</v>
      </c>
      <c r="G758" s="422">
        <v>40</v>
      </c>
    </row>
    <row r="759" spans="1:7" x14ac:dyDescent="0.2">
      <c r="A759" s="405"/>
      <c r="B759" s="408"/>
      <c r="C759" s="411"/>
      <c r="D759" s="413"/>
      <c r="E759" s="419"/>
      <c r="F759" s="425" t="s">
        <v>290</v>
      </c>
      <c r="G759" s="422"/>
    </row>
    <row r="760" spans="1:7" x14ac:dyDescent="0.2">
      <c r="A760" s="405"/>
      <c r="B760" s="409"/>
      <c r="C760" s="412"/>
      <c r="D760" s="413"/>
      <c r="E760" s="409"/>
      <c r="F760" s="426" t="s">
        <v>291</v>
      </c>
      <c r="G760" s="422">
        <f>24+9.8+3</f>
        <v>36.799999999999997</v>
      </c>
    </row>
    <row r="761" spans="1:7" ht="16" thickBot="1" x14ac:dyDescent="0.25">
      <c r="A761" s="405"/>
      <c r="B761" s="409"/>
      <c r="C761" s="412"/>
      <c r="D761" s="413"/>
      <c r="E761" s="409"/>
      <c r="F761" s="427" t="s">
        <v>292</v>
      </c>
      <c r="G761" s="423"/>
    </row>
    <row r="762" spans="1:7" ht="16" thickBot="1" x14ac:dyDescent="0.25">
      <c r="A762" s="405"/>
      <c r="B762" s="408"/>
      <c r="C762" s="412"/>
      <c r="D762" s="413"/>
      <c r="E762" s="417"/>
      <c r="F762" s="831">
        <f>SUM(G755:G760)</f>
        <v>576.79999999999995</v>
      </c>
      <c r="G762" s="832"/>
    </row>
    <row r="763" spans="1:7" x14ac:dyDescent="0.2">
      <c r="A763" s="405"/>
      <c r="B763" s="408"/>
      <c r="C763" s="411"/>
      <c r="D763" s="413"/>
      <c r="E763" s="417"/>
      <c r="F763" s="430"/>
      <c r="G763" s="428"/>
    </row>
    <row r="764" spans="1:7" ht="16" thickBot="1" x14ac:dyDescent="0.25">
      <c r="A764" s="405"/>
      <c r="B764" s="408"/>
      <c r="C764" s="411"/>
      <c r="D764" s="413"/>
      <c r="E764" s="420"/>
      <c r="F764" s="431"/>
      <c r="G764" s="429"/>
    </row>
    <row r="765" spans="1:7" x14ac:dyDescent="0.2">
      <c r="A765" s="405"/>
      <c r="B765" s="408"/>
      <c r="C765" s="412"/>
      <c r="D765" s="413"/>
      <c r="E765" s="417"/>
      <c r="F765" s="833" t="s">
        <v>293</v>
      </c>
      <c r="G765" s="834"/>
    </row>
    <row r="766" spans="1:7" ht="16" thickBot="1" x14ac:dyDescent="0.25">
      <c r="A766" s="405"/>
      <c r="B766" s="316"/>
      <c r="C766" s="234"/>
      <c r="D766" s="413"/>
      <c r="E766" s="316"/>
      <c r="F766" s="835"/>
      <c r="G766" s="836"/>
    </row>
    <row r="767" spans="1:7" x14ac:dyDescent="0.2">
      <c r="A767" s="405"/>
      <c r="B767" s="408"/>
      <c r="C767" s="412"/>
      <c r="D767" s="413"/>
      <c r="E767" s="417"/>
      <c r="F767" s="424">
        <v>200</v>
      </c>
      <c r="G767" s="421"/>
    </row>
    <row r="768" spans="1:7" x14ac:dyDescent="0.2">
      <c r="A768" s="405"/>
      <c r="B768" s="408"/>
      <c r="C768" s="411"/>
      <c r="D768" s="413"/>
      <c r="E768" s="417"/>
      <c r="F768" s="425">
        <v>100</v>
      </c>
      <c r="G768" s="422"/>
    </row>
    <row r="769" spans="1:7" x14ac:dyDescent="0.2">
      <c r="A769" s="405"/>
      <c r="B769" s="408"/>
      <c r="C769" s="411"/>
      <c r="D769" s="413"/>
      <c r="E769" s="417"/>
      <c r="F769" s="425">
        <v>50</v>
      </c>
      <c r="G769" s="422"/>
    </row>
    <row r="770" spans="1:7" x14ac:dyDescent="0.2">
      <c r="A770" s="405"/>
      <c r="B770" s="408"/>
      <c r="C770" s="411"/>
      <c r="D770" s="413"/>
      <c r="E770" s="417"/>
      <c r="F770" s="425" t="s">
        <v>289</v>
      </c>
      <c r="G770" s="422"/>
    </row>
    <row r="771" spans="1:7" x14ac:dyDescent="0.2">
      <c r="A771" s="405"/>
      <c r="B771" s="408"/>
      <c r="C771" s="411"/>
      <c r="D771" s="413"/>
      <c r="E771" s="417"/>
      <c r="F771" s="425" t="s">
        <v>290</v>
      </c>
      <c r="G771" s="422"/>
    </row>
    <row r="772" spans="1:7" x14ac:dyDescent="0.2">
      <c r="A772" s="405"/>
      <c r="B772" s="408"/>
      <c r="C772" s="411"/>
      <c r="D772" s="413"/>
      <c r="E772" s="417"/>
      <c r="F772" s="426" t="s">
        <v>291</v>
      </c>
      <c r="G772" s="422">
        <f>24+9.8+3</f>
        <v>36.799999999999997</v>
      </c>
    </row>
    <row r="773" spans="1:7" ht="16" thickBot="1" x14ac:dyDescent="0.25">
      <c r="A773" s="405"/>
      <c r="B773" s="408"/>
      <c r="C773" s="411"/>
      <c r="D773" s="413"/>
      <c r="E773" s="417" t="s">
        <v>340</v>
      </c>
      <c r="F773" s="427" t="s">
        <v>292</v>
      </c>
      <c r="G773" s="423"/>
    </row>
    <row r="774" spans="1:7" ht="16" thickBot="1" x14ac:dyDescent="0.25">
      <c r="A774" s="405"/>
      <c r="B774" s="408"/>
      <c r="C774" s="411"/>
      <c r="D774" s="415"/>
      <c r="E774" s="417"/>
      <c r="F774" s="837">
        <f>SUM(G767:G772)</f>
        <v>36.799999999999997</v>
      </c>
      <c r="G774" s="838"/>
    </row>
    <row r="775" spans="1:7" ht="16" thickBot="1" x14ac:dyDescent="0.25">
      <c r="A775" s="406" t="s">
        <v>19</v>
      </c>
      <c r="B775" s="185"/>
      <c r="C775" s="407">
        <f>SUM(C753:C774)</f>
        <v>791.80000000000018</v>
      </c>
      <c r="D775" s="186">
        <f>SUM(D753:D774)</f>
        <v>755</v>
      </c>
      <c r="E775" s="186">
        <f>C775-D775</f>
        <v>36.800000000000182</v>
      </c>
      <c r="F775" s="416"/>
      <c r="G775" s="187"/>
    </row>
    <row r="776" spans="1:7" ht="16" thickBot="1" x14ac:dyDescent="0.25"/>
    <row r="777" spans="1:7" ht="33" thickBot="1" x14ac:dyDescent="0.25">
      <c r="A777" s="686"/>
      <c r="B777" s="183" t="s">
        <v>283</v>
      </c>
      <c r="C777" s="236" t="s">
        <v>284</v>
      </c>
      <c r="D777" s="184" t="s">
        <v>285</v>
      </c>
      <c r="E777" s="184" t="s">
        <v>125</v>
      </c>
      <c r="F777" s="827" t="s">
        <v>286</v>
      </c>
      <c r="G777" s="828"/>
    </row>
    <row r="778" spans="1:7" ht="16" thickBot="1" x14ac:dyDescent="0.25">
      <c r="A778" s="433">
        <v>45695</v>
      </c>
      <c r="B778" s="435" t="s">
        <v>287</v>
      </c>
      <c r="C778" s="436">
        <f>E775</f>
        <v>36.800000000000182</v>
      </c>
      <c r="D778" s="28"/>
      <c r="E778" s="438" t="s">
        <v>287</v>
      </c>
      <c r="F778" s="829" t="s">
        <v>288</v>
      </c>
      <c r="G778" s="830"/>
    </row>
    <row r="779" spans="1:7" ht="16" thickBot="1" x14ac:dyDescent="0.25">
      <c r="A779" s="432"/>
      <c r="B779" s="434" t="s">
        <v>70</v>
      </c>
      <c r="C779" s="410">
        <v>1200</v>
      </c>
      <c r="D779" s="439"/>
      <c r="E779" s="437" t="s">
        <v>70</v>
      </c>
      <c r="F779" s="829"/>
      <c r="G779" s="830"/>
    </row>
    <row r="780" spans="1:7" ht="16" x14ac:dyDescent="0.2">
      <c r="A780" s="405"/>
      <c r="B780" s="409" t="s">
        <v>222</v>
      </c>
      <c r="C780" s="411">
        <v>537</v>
      </c>
      <c r="D780" s="413"/>
      <c r="E780" s="418" t="s">
        <v>549</v>
      </c>
      <c r="F780" s="424">
        <v>200</v>
      </c>
      <c r="G780" s="421"/>
    </row>
    <row r="781" spans="1:7" x14ac:dyDescent="0.2">
      <c r="A781" s="405"/>
      <c r="B781" s="409"/>
      <c r="C781" s="411"/>
      <c r="D781" s="413"/>
      <c r="E781" s="418"/>
      <c r="F781" s="425">
        <v>100</v>
      </c>
      <c r="G781" s="422"/>
    </row>
    <row r="782" spans="1:7" x14ac:dyDescent="0.2">
      <c r="A782" s="405"/>
      <c r="B782" s="316"/>
      <c r="C782" s="410"/>
      <c r="D782" s="414"/>
      <c r="E782" s="316"/>
      <c r="F782" s="425">
        <v>50</v>
      </c>
      <c r="G782" s="422"/>
    </row>
    <row r="783" spans="1:7" x14ac:dyDescent="0.2">
      <c r="A783" s="405"/>
      <c r="B783" s="316"/>
      <c r="C783" s="410"/>
      <c r="D783" s="414"/>
      <c r="E783" s="316"/>
      <c r="F783" s="425" t="s">
        <v>289</v>
      </c>
      <c r="G783" s="422"/>
    </row>
    <row r="784" spans="1:7" x14ac:dyDescent="0.2">
      <c r="A784" s="405"/>
      <c r="B784" s="408"/>
      <c r="C784" s="411"/>
      <c r="D784" s="413"/>
      <c r="E784" s="419"/>
      <c r="F784" s="425" t="s">
        <v>290</v>
      </c>
      <c r="G784" s="422"/>
    </row>
    <row r="785" spans="1:7" x14ac:dyDescent="0.2">
      <c r="A785" s="405"/>
      <c r="B785" s="409"/>
      <c r="C785" s="412"/>
      <c r="D785" s="413"/>
      <c r="E785" s="409"/>
      <c r="F785" s="426" t="s">
        <v>291</v>
      </c>
      <c r="G785" s="422">
        <f>24+9.8+3</f>
        <v>36.799999999999997</v>
      </c>
    </row>
    <row r="786" spans="1:7" ht="16" thickBot="1" x14ac:dyDescent="0.25">
      <c r="A786" s="405"/>
      <c r="B786" s="409"/>
      <c r="C786" s="412"/>
      <c r="D786" s="413"/>
      <c r="E786" s="409"/>
      <c r="F786" s="427" t="s">
        <v>292</v>
      </c>
      <c r="G786" s="423"/>
    </row>
    <row r="787" spans="1:7" ht="16" thickBot="1" x14ac:dyDescent="0.25">
      <c r="A787" s="405"/>
      <c r="B787" s="408"/>
      <c r="C787" s="412"/>
      <c r="D787" s="413"/>
      <c r="E787" s="417"/>
      <c r="F787" s="831">
        <f>SUM(G780:G785)</f>
        <v>36.799999999999997</v>
      </c>
      <c r="G787" s="832"/>
    </row>
    <row r="788" spans="1:7" x14ac:dyDescent="0.2">
      <c r="A788" s="405"/>
      <c r="B788" s="408"/>
      <c r="C788" s="411"/>
      <c r="D788" s="413"/>
      <c r="E788" s="417"/>
      <c r="F788" s="430"/>
      <c r="G788" s="428"/>
    </row>
    <row r="789" spans="1:7" ht="16" thickBot="1" x14ac:dyDescent="0.25">
      <c r="A789" s="405"/>
      <c r="B789" s="408"/>
      <c r="C789" s="411"/>
      <c r="D789" s="413"/>
      <c r="E789" s="420"/>
      <c r="F789" s="431"/>
      <c r="G789" s="429"/>
    </row>
    <row r="790" spans="1:7" x14ac:dyDescent="0.2">
      <c r="A790" s="405"/>
      <c r="B790" s="408"/>
      <c r="C790" s="412"/>
      <c r="D790" s="413"/>
      <c r="E790" s="417"/>
      <c r="F790" s="833" t="s">
        <v>293</v>
      </c>
      <c r="G790" s="834"/>
    </row>
    <row r="791" spans="1:7" ht="16" thickBot="1" x14ac:dyDescent="0.25">
      <c r="A791" s="405"/>
      <c r="B791" s="316"/>
      <c r="C791" s="234"/>
      <c r="D791" s="413"/>
      <c r="E791" s="316"/>
      <c r="F791" s="835"/>
      <c r="G791" s="836"/>
    </row>
    <row r="792" spans="1:7" x14ac:dyDescent="0.2">
      <c r="A792" s="405"/>
      <c r="B792" s="408"/>
      <c r="C792" s="412"/>
      <c r="D792" s="413"/>
      <c r="E792" s="417"/>
      <c r="F792" s="424">
        <v>200</v>
      </c>
      <c r="G792" s="421">
        <v>1200</v>
      </c>
    </row>
    <row r="793" spans="1:7" x14ac:dyDescent="0.2">
      <c r="A793" s="405"/>
      <c r="B793" s="408"/>
      <c r="C793" s="411"/>
      <c r="D793" s="413"/>
      <c r="E793" s="417"/>
      <c r="F793" s="425">
        <v>100</v>
      </c>
      <c r="G793" s="422">
        <v>500</v>
      </c>
    </row>
    <row r="794" spans="1:7" x14ac:dyDescent="0.2">
      <c r="A794" s="405"/>
      <c r="B794" s="408"/>
      <c r="C794" s="411"/>
      <c r="D794" s="413"/>
      <c r="E794" s="417"/>
      <c r="F794" s="425">
        <v>50</v>
      </c>
      <c r="G794" s="422"/>
    </row>
    <row r="795" spans="1:7" x14ac:dyDescent="0.2">
      <c r="A795" s="405"/>
      <c r="B795" s="408"/>
      <c r="C795" s="411"/>
      <c r="D795" s="413"/>
      <c r="E795" s="417"/>
      <c r="F795" s="425" t="s">
        <v>289</v>
      </c>
      <c r="G795" s="422">
        <v>40</v>
      </c>
    </row>
    <row r="796" spans="1:7" x14ac:dyDescent="0.2">
      <c r="A796" s="405"/>
      <c r="B796" s="408"/>
      <c r="C796" s="411"/>
      <c r="D796" s="413"/>
      <c r="E796" s="417"/>
      <c r="F796" s="425" t="s">
        <v>290</v>
      </c>
      <c r="G796" s="422"/>
    </row>
    <row r="797" spans="1:7" x14ac:dyDescent="0.2">
      <c r="A797" s="405"/>
      <c r="B797" s="408"/>
      <c r="C797" s="411"/>
      <c r="D797" s="413"/>
      <c r="E797" s="417"/>
      <c r="F797" s="426" t="s">
        <v>291</v>
      </c>
      <c r="G797" s="422">
        <v>33.799999999999997</v>
      </c>
    </row>
    <row r="798" spans="1:7" ht="16" thickBot="1" x14ac:dyDescent="0.25">
      <c r="A798" s="405"/>
      <c r="B798" s="408"/>
      <c r="C798" s="411"/>
      <c r="D798" s="413"/>
      <c r="E798" s="417" t="s">
        <v>340</v>
      </c>
      <c r="F798" s="427" t="s">
        <v>292</v>
      </c>
      <c r="G798" s="423"/>
    </row>
    <row r="799" spans="1:7" ht="16" thickBot="1" x14ac:dyDescent="0.25">
      <c r="A799" s="405"/>
      <c r="B799" s="408"/>
      <c r="C799" s="411"/>
      <c r="D799" s="415"/>
      <c r="E799" s="417"/>
      <c r="F799" s="837">
        <f>SUM(G792:G797)</f>
        <v>1773.8</v>
      </c>
      <c r="G799" s="838"/>
    </row>
    <row r="800" spans="1:7" ht="16" thickBot="1" x14ac:dyDescent="0.25">
      <c r="A800" s="406" t="s">
        <v>19</v>
      </c>
      <c r="B800" s="185"/>
      <c r="C800" s="407">
        <f>SUM(C778:C799)</f>
        <v>1773.8000000000002</v>
      </c>
      <c r="D800" s="186">
        <f>SUM(D778:D799)</f>
        <v>0</v>
      </c>
      <c r="E800" s="186">
        <f>C800-D800</f>
        <v>1773.8000000000002</v>
      </c>
      <c r="F800" s="416"/>
      <c r="G800" s="187"/>
    </row>
    <row r="801" spans="1:7" ht="16" thickBot="1" x14ac:dyDescent="0.25"/>
    <row r="802" spans="1:7" ht="33" thickBot="1" x14ac:dyDescent="0.25">
      <c r="A802" s="686"/>
      <c r="B802" s="183" t="s">
        <v>283</v>
      </c>
      <c r="C802" s="236" t="s">
        <v>284</v>
      </c>
      <c r="D802" s="184" t="s">
        <v>285</v>
      </c>
      <c r="E802" s="184" t="s">
        <v>125</v>
      </c>
      <c r="F802" s="827" t="s">
        <v>286</v>
      </c>
      <c r="G802" s="828"/>
    </row>
    <row r="803" spans="1:7" ht="16" thickBot="1" x14ac:dyDescent="0.25">
      <c r="A803" s="433">
        <v>45697</v>
      </c>
      <c r="B803" s="435" t="s">
        <v>287</v>
      </c>
      <c r="C803" s="436">
        <f>E800</f>
        <v>1773.8000000000002</v>
      </c>
      <c r="D803" s="28"/>
      <c r="E803" s="438" t="s">
        <v>287</v>
      </c>
      <c r="F803" s="829" t="s">
        <v>288</v>
      </c>
      <c r="G803" s="830"/>
    </row>
    <row r="804" spans="1:7" ht="16" thickBot="1" x14ac:dyDescent="0.25">
      <c r="A804" s="432"/>
      <c r="B804" s="434" t="s">
        <v>294</v>
      </c>
      <c r="C804" s="410">
        <v>150</v>
      </c>
      <c r="D804" s="439"/>
      <c r="E804" s="437" t="s">
        <v>295</v>
      </c>
      <c r="F804" s="829"/>
      <c r="G804" s="830"/>
    </row>
    <row r="805" spans="1:7" ht="16" x14ac:dyDescent="0.2">
      <c r="A805" s="405"/>
      <c r="B805" s="409" t="s">
        <v>509</v>
      </c>
      <c r="C805" s="411"/>
      <c r="D805" s="413">
        <v>150</v>
      </c>
      <c r="E805" s="418" t="s">
        <v>490</v>
      </c>
      <c r="F805" s="424">
        <v>200</v>
      </c>
      <c r="G805" s="421">
        <v>1200</v>
      </c>
    </row>
    <row r="806" spans="1:7" x14ac:dyDescent="0.2">
      <c r="A806" s="405"/>
      <c r="B806" s="409"/>
      <c r="C806" s="411"/>
      <c r="D806" s="413"/>
      <c r="E806" s="418"/>
      <c r="F806" s="425">
        <v>100</v>
      </c>
      <c r="G806" s="422">
        <v>500</v>
      </c>
    </row>
    <row r="807" spans="1:7" x14ac:dyDescent="0.2">
      <c r="A807" s="405"/>
      <c r="B807" s="316"/>
      <c r="C807" s="410"/>
      <c r="D807" s="414"/>
      <c r="E807" s="316"/>
      <c r="F807" s="425">
        <v>50</v>
      </c>
      <c r="G807" s="422"/>
    </row>
    <row r="808" spans="1:7" x14ac:dyDescent="0.2">
      <c r="A808" s="405"/>
      <c r="B808" s="316"/>
      <c r="C808" s="410"/>
      <c r="D808" s="414"/>
      <c r="E808" s="316"/>
      <c r="F808" s="425" t="s">
        <v>289</v>
      </c>
      <c r="G808" s="422">
        <v>40</v>
      </c>
    </row>
    <row r="809" spans="1:7" x14ac:dyDescent="0.2">
      <c r="A809" s="405"/>
      <c r="B809" s="408"/>
      <c r="C809" s="411"/>
      <c r="D809" s="413"/>
      <c r="E809" s="419"/>
      <c r="F809" s="425" t="s">
        <v>290</v>
      </c>
      <c r="G809" s="422"/>
    </row>
    <row r="810" spans="1:7" x14ac:dyDescent="0.2">
      <c r="A810" s="405"/>
      <c r="B810" s="409"/>
      <c r="C810" s="412"/>
      <c r="D810" s="413"/>
      <c r="E810" s="409"/>
      <c r="F810" s="426" t="s">
        <v>291</v>
      </c>
      <c r="G810" s="422">
        <v>33.799999999999997</v>
      </c>
    </row>
    <row r="811" spans="1:7" ht="16" thickBot="1" x14ac:dyDescent="0.25">
      <c r="A811" s="405"/>
      <c r="B811" s="409"/>
      <c r="C811" s="412"/>
      <c r="D811" s="413"/>
      <c r="E811" s="409"/>
      <c r="F811" s="427" t="s">
        <v>292</v>
      </c>
      <c r="G811" s="423"/>
    </row>
    <row r="812" spans="1:7" ht="16" thickBot="1" x14ac:dyDescent="0.25">
      <c r="A812" s="405"/>
      <c r="B812" s="408"/>
      <c r="C812" s="412"/>
      <c r="D812" s="413"/>
      <c r="E812" s="417"/>
      <c r="F812" s="831">
        <f>SUM(G805:G810)</f>
        <v>1773.8</v>
      </c>
      <c r="G812" s="832"/>
    </row>
    <row r="813" spans="1:7" x14ac:dyDescent="0.2">
      <c r="A813" s="405"/>
      <c r="B813" s="408"/>
      <c r="C813" s="411"/>
      <c r="D813" s="413"/>
      <c r="E813" s="417"/>
      <c r="F813" s="430"/>
      <c r="G813" s="428"/>
    </row>
    <row r="814" spans="1:7" ht="16" thickBot="1" x14ac:dyDescent="0.25">
      <c r="A814" s="405"/>
      <c r="B814" s="408"/>
      <c r="C814" s="411"/>
      <c r="D814" s="413"/>
      <c r="E814" s="420"/>
      <c r="F814" s="431"/>
      <c r="G814" s="429"/>
    </row>
    <row r="815" spans="1:7" x14ac:dyDescent="0.2">
      <c r="A815" s="405"/>
      <c r="B815" s="408"/>
      <c r="C815" s="412"/>
      <c r="D815" s="413"/>
      <c r="E815" s="417"/>
      <c r="F815" s="833" t="s">
        <v>293</v>
      </c>
      <c r="G815" s="834"/>
    </row>
    <row r="816" spans="1:7" ht="16" thickBot="1" x14ac:dyDescent="0.25">
      <c r="A816" s="405"/>
      <c r="B816" s="316"/>
      <c r="C816" s="234"/>
      <c r="D816" s="413"/>
      <c r="E816" s="316"/>
      <c r="F816" s="835"/>
      <c r="G816" s="836"/>
    </row>
    <row r="817" spans="1:7" x14ac:dyDescent="0.2">
      <c r="A817" s="405"/>
      <c r="B817" s="408"/>
      <c r="C817" s="412"/>
      <c r="D817" s="413"/>
      <c r="E817" s="417"/>
      <c r="F817" s="424">
        <v>200</v>
      </c>
      <c r="G817" s="421">
        <v>1200</v>
      </c>
    </row>
    <row r="818" spans="1:7" x14ac:dyDescent="0.2">
      <c r="A818" s="405"/>
      <c r="B818" s="408"/>
      <c r="C818" s="411"/>
      <c r="D818" s="413"/>
      <c r="E818" s="417"/>
      <c r="F818" s="425">
        <v>100</v>
      </c>
      <c r="G818" s="422">
        <v>500</v>
      </c>
    </row>
    <row r="819" spans="1:7" x14ac:dyDescent="0.2">
      <c r="A819" s="405"/>
      <c r="B819" s="408"/>
      <c r="C819" s="411"/>
      <c r="D819" s="413"/>
      <c r="E819" s="417"/>
      <c r="F819" s="425">
        <v>50</v>
      </c>
      <c r="G819" s="422"/>
    </row>
    <row r="820" spans="1:7" x14ac:dyDescent="0.2">
      <c r="A820" s="405"/>
      <c r="B820" s="408"/>
      <c r="C820" s="411"/>
      <c r="D820" s="413"/>
      <c r="E820" s="417"/>
      <c r="F820" s="425" t="s">
        <v>289</v>
      </c>
      <c r="G820" s="422">
        <v>40</v>
      </c>
    </row>
    <row r="821" spans="1:7" x14ac:dyDescent="0.2">
      <c r="A821" s="405"/>
      <c r="B821" s="408"/>
      <c r="C821" s="411"/>
      <c r="D821" s="413"/>
      <c r="E821" s="417"/>
      <c r="F821" s="425" t="s">
        <v>290</v>
      </c>
      <c r="G821" s="422"/>
    </row>
    <row r="822" spans="1:7" x14ac:dyDescent="0.2">
      <c r="A822" s="405"/>
      <c r="B822" s="408"/>
      <c r="C822" s="411"/>
      <c r="D822" s="413"/>
      <c r="E822" s="417"/>
      <c r="F822" s="426" t="s">
        <v>291</v>
      </c>
      <c r="G822" s="422">
        <v>33.799999999999997</v>
      </c>
    </row>
    <row r="823" spans="1:7" ht="16" thickBot="1" x14ac:dyDescent="0.25">
      <c r="A823" s="405"/>
      <c r="B823" s="408"/>
      <c r="C823" s="411"/>
      <c r="D823" s="413"/>
      <c r="E823" s="417" t="s">
        <v>340</v>
      </c>
      <c r="F823" s="427" t="s">
        <v>292</v>
      </c>
      <c r="G823" s="423"/>
    </row>
    <row r="824" spans="1:7" ht="16" thickBot="1" x14ac:dyDescent="0.25">
      <c r="A824" s="405"/>
      <c r="B824" s="408"/>
      <c r="C824" s="411"/>
      <c r="D824" s="415"/>
      <c r="E824" s="417"/>
      <c r="F824" s="837">
        <f>SUM(G817:G822)</f>
        <v>1773.8</v>
      </c>
      <c r="G824" s="838"/>
    </row>
    <row r="825" spans="1:7" ht="16" thickBot="1" x14ac:dyDescent="0.25">
      <c r="A825" s="406" t="s">
        <v>19</v>
      </c>
      <c r="B825" s="185"/>
      <c r="C825" s="407">
        <f>SUM(C803:C824)</f>
        <v>1923.8000000000002</v>
      </c>
      <c r="D825" s="186">
        <f>SUM(D803:D824)</f>
        <v>150</v>
      </c>
      <c r="E825" s="186">
        <f>C825-D825</f>
        <v>1773.8000000000002</v>
      </c>
      <c r="F825" s="416"/>
      <c r="G825" s="187"/>
    </row>
    <row r="826" spans="1:7" ht="16" thickBot="1" x14ac:dyDescent="0.25"/>
    <row r="827" spans="1:7" ht="33" thickBot="1" x14ac:dyDescent="0.25">
      <c r="A827" s="686"/>
      <c r="B827" s="183" t="s">
        <v>283</v>
      </c>
      <c r="C827" s="236" t="s">
        <v>284</v>
      </c>
      <c r="D827" s="184" t="s">
        <v>285</v>
      </c>
      <c r="E827" s="184" t="s">
        <v>125</v>
      </c>
      <c r="F827" s="827" t="s">
        <v>286</v>
      </c>
      <c r="G827" s="828"/>
    </row>
    <row r="828" spans="1:7" ht="16" thickBot="1" x14ac:dyDescent="0.25">
      <c r="A828" s="433">
        <v>45698</v>
      </c>
      <c r="B828" s="435" t="s">
        <v>287</v>
      </c>
      <c r="C828" s="436">
        <f>E825</f>
        <v>1773.8000000000002</v>
      </c>
      <c r="D828" s="28"/>
      <c r="E828" s="438" t="s">
        <v>287</v>
      </c>
      <c r="F828" s="829" t="s">
        <v>288</v>
      </c>
      <c r="G828" s="830"/>
    </row>
    <row r="829" spans="1:7" ht="16" thickBot="1" x14ac:dyDescent="0.25">
      <c r="A829" s="432"/>
      <c r="B829" s="434" t="s">
        <v>279</v>
      </c>
      <c r="C829" s="410"/>
      <c r="D829" s="439">
        <v>806.1</v>
      </c>
      <c r="E829" s="437" t="s">
        <v>187</v>
      </c>
      <c r="F829" s="829"/>
      <c r="G829" s="830"/>
    </row>
    <row r="830" spans="1:7" ht="16" x14ac:dyDescent="0.2">
      <c r="A830" s="405"/>
      <c r="B830" s="409" t="s">
        <v>294</v>
      </c>
      <c r="C830" s="411">
        <f>300+150</f>
        <v>450</v>
      </c>
      <c r="D830" s="413"/>
      <c r="E830" s="418" t="s">
        <v>295</v>
      </c>
      <c r="F830" s="424">
        <v>200</v>
      </c>
      <c r="G830" s="421">
        <v>1200</v>
      </c>
    </row>
    <row r="831" spans="1:7" ht="16" x14ac:dyDescent="0.2">
      <c r="A831" s="405"/>
      <c r="B831" s="409" t="s">
        <v>187</v>
      </c>
      <c r="C831" s="411"/>
      <c r="D831" s="413">
        <v>700</v>
      </c>
      <c r="E831" s="418" t="s">
        <v>187</v>
      </c>
      <c r="F831" s="425">
        <v>100</v>
      </c>
      <c r="G831" s="422">
        <v>500</v>
      </c>
    </row>
    <row r="832" spans="1:7" x14ac:dyDescent="0.2">
      <c r="A832" s="405"/>
      <c r="B832" s="316" t="s">
        <v>194</v>
      </c>
      <c r="C832" s="410"/>
      <c r="D832" s="414">
        <v>200</v>
      </c>
      <c r="E832" s="316" t="s">
        <v>224</v>
      </c>
      <c r="F832" s="425">
        <v>50</v>
      </c>
      <c r="G832" s="422"/>
    </row>
    <row r="833" spans="1:7" x14ac:dyDescent="0.2">
      <c r="A833" s="405"/>
      <c r="B833" s="316" t="s">
        <v>345</v>
      </c>
      <c r="C833" s="410"/>
      <c r="D833" s="414">
        <v>200</v>
      </c>
      <c r="E833" s="316" t="s">
        <v>224</v>
      </c>
      <c r="F833" s="425" t="s">
        <v>289</v>
      </c>
      <c r="G833" s="422">
        <v>40</v>
      </c>
    </row>
    <row r="834" spans="1:7" ht="16" x14ac:dyDescent="0.2">
      <c r="A834" s="405"/>
      <c r="B834" s="408" t="s">
        <v>509</v>
      </c>
      <c r="C834" s="411"/>
      <c r="D834" s="413">
        <v>150</v>
      </c>
      <c r="E834" s="419" t="s">
        <v>510</v>
      </c>
      <c r="F834" s="425" t="s">
        <v>290</v>
      </c>
      <c r="G834" s="422"/>
    </row>
    <row r="835" spans="1:7" x14ac:dyDescent="0.2">
      <c r="A835" s="405"/>
      <c r="B835" s="409" t="s">
        <v>678</v>
      </c>
      <c r="C835" s="412"/>
      <c r="D835" s="413">
        <v>157</v>
      </c>
      <c r="E835" s="409" t="s">
        <v>678</v>
      </c>
      <c r="F835" s="426" t="s">
        <v>291</v>
      </c>
      <c r="G835" s="422">
        <v>33.799999999999997</v>
      </c>
    </row>
    <row r="836" spans="1:7" ht="16" thickBot="1" x14ac:dyDescent="0.25">
      <c r="A836" s="405"/>
      <c r="B836" s="409"/>
      <c r="C836" s="412"/>
      <c r="D836" s="413"/>
      <c r="E836" s="409"/>
      <c r="F836" s="427" t="s">
        <v>292</v>
      </c>
      <c r="G836" s="423"/>
    </row>
    <row r="837" spans="1:7" ht="16" thickBot="1" x14ac:dyDescent="0.25">
      <c r="A837" s="405"/>
      <c r="B837" s="408"/>
      <c r="C837" s="412"/>
      <c r="D837" s="413"/>
      <c r="E837" s="417"/>
      <c r="F837" s="831">
        <f>SUM(G830:G835)</f>
        <v>1773.8</v>
      </c>
      <c r="G837" s="832"/>
    </row>
    <row r="838" spans="1:7" x14ac:dyDescent="0.2">
      <c r="A838" s="405"/>
      <c r="B838" s="408"/>
      <c r="C838" s="411"/>
      <c r="D838" s="413"/>
      <c r="E838" s="417"/>
      <c r="F838" s="430"/>
      <c r="G838" s="428"/>
    </row>
    <row r="839" spans="1:7" ht="16" thickBot="1" x14ac:dyDescent="0.25">
      <c r="A839" s="405"/>
      <c r="B839" s="408"/>
      <c r="C839" s="411"/>
      <c r="D839" s="413"/>
      <c r="E839" s="420"/>
      <c r="F839" s="431"/>
      <c r="G839" s="429"/>
    </row>
    <row r="840" spans="1:7" x14ac:dyDescent="0.2">
      <c r="A840" s="405"/>
      <c r="B840" s="408"/>
      <c r="C840" s="412"/>
      <c r="D840" s="413"/>
      <c r="E840" s="417"/>
      <c r="F840" s="833" t="s">
        <v>293</v>
      </c>
      <c r="G840" s="834"/>
    </row>
    <row r="841" spans="1:7" ht="16" thickBot="1" x14ac:dyDescent="0.25">
      <c r="A841" s="405"/>
      <c r="B841" s="316"/>
      <c r="C841" s="234"/>
      <c r="D841" s="413"/>
      <c r="E841" s="316"/>
      <c r="F841" s="835"/>
      <c r="G841" s="836"/>
    </row>
    <row r="842" spans="1:7" x14ac:dyDescent="0.2">
      <c r="A842" s="405"/>
      <c r="B842" s="408"/>
      <c r="C842" s="412"/>
      <c r="D842" s="413"/>
      <c r="E842" s="417"/>
      <c r="F842" s="424">
        <v>200</v>
      </c>
      <c r="G842" s="421"/>
    </row>
    <row r="843" spans="1:7" x14ac:dyDescent="0.2">
      <c r="A843" s="405"/>
      <c r="B843" s="408"/>
      <c r="C843" s="411"/>
      <c r="D843" s="413"/>
      <c r="E843" s="417"/>
      <c r="F843" s="425">
        <v>100</v>
      </c>
      <c r="G843" s="422"/>
    </row>
    <row r="844" spans="1:7" x14ac:dyDescent="0.2">
      <c r="A844" s="405"/>
      <c r="B844" s="408"/>
      <c r="C844" s="411"/>
      <c r="D844" s="413"/>
      <c r="E844" s="417"/>
      <c r="F844" s="425">
        <v>50</v>
      </c>
      <c r="G844" s="422"/>
    </row>
    <row r="845" spans="1:7" x14ac:dyDescent="0.2">
      <c r="A845" s="405"/>
      <c r="B845" s="408"/>
      <c r="C845" s="411"/>
      <c r="D845" s="413"/>
      <c r="E845" s="417"/>
      <c r="F845" s="425" t="s">
        <v>289</v>
      </c>
      <c r="G845" s="422"/>
    </row>
    <row r="846" spans="1:7" x14ac:dyDescent="0.2">
      <c r="A846" s="405"/>
      <c r="B846" s="408"/>
      <c r="C846" s="411"/>
      <c r="D846" s="413"/>
      <c r="E846" s="417"/>
      <c r="F846" s="425" t="s">
        <v>290</v>
      </c>
      <c r="G846" s="422"/>
    </row>
    <row r="847" spans="1:7" x14ac:dyDescent="0.2">
      <c r="A847" s="405"/>
      <c r="B847" s="408"/>
      <c r="C847" s="411"/>
      <c r="D847" s="413"/>
      <c r="E847" s="417"/>
      <c r="F847" s="426" t="s">
        <v>291</v>
      </c>
      <c r="G847" s="422">
        <f>4+5+1.7</f>
        <v>10.7</v>
      </c>
    </row>
    <row r="848" spans="1:7" ht="16" thickBot="1" x14ac:dyDescent="0.25">
      <c r="A848" s="405"/>
      <c r="B848" s="408"/>
      <c r="C848" s="411"/>
      <c r="D848" s="413"/>
      <c r="E848" s="417" t="s">
        <v>340</v>
      </c>
      <c r="F848" s="427" t="s">
        <v>292</v>
      </c>
      <c r="G848" s="423"/>
    </row>
    <row r="849" spans="1:7" ht="16" thickBot="1" x14ac:dyDescent="0.25">
      <c r="A849" s="405"/>
      <c r="B849" s="408"/>
      <c r="C849" s="411"/>
      <c r="D849" s="415"/>
      <c r="E849" s="417"/>
      <c r="F849" s="837">
        <f>SUM(G842:G847)</f>
        <v>10.7</v>
      </c>
      <c r="G849" s="838"/>
    </row>
    <row r="850" spans="1:7" ht="16" thickBot="1" x14ac:dyDescent="0.25">
      <c r="A850" s="406" t="s">
        <v>19</v>
      </c>
      <c r="B850" s="185"/>
      <c r="C850" s="407">
        <f>SUM(C828:C849)</f>
        <v>2223.8000000000002</v>
      </c>
      <c r="D850" s="186">
        <f>SUM(D828:D849)</f>
        <v>2213.1</v>
      </c>
      <c r="E850" s="186">
        <f>C850-D850</f>
        <v>10.700000000000273</v>
      </c>
      <c r="F850" s="416"/>
      <c r="G850" s="187"/>
    </row>
    <row r="851" spans="1:7" ht="16" thickBot="1" x14ac:dyDescent="0.25"/>
    <row r="852" spans="1:7" ht="33" thickBot="1" x14ac:dyDescent="0.25">
      <c r="A852" s="686"/>
      <c r="B852" s="183" t="s">
        <v>283</v>
      </c>
      <c r="C852" s="236" t="s">
        <v>284</v>
      </c>
      <c r="D852" s="184" t="s">
        <v>285</v>
      </c>
      <c r="E852" s="184" t="s">
        <v>125</v>
      </c>
      <c r="F852" s="827" t="s">
        <v>286</v>
      </c>
      <c r="G852" s="828"/>
    </row>
    <row r="853" spans="1:7" ht="16" thickBot="1" x14ac:dyDescent="0.25">
      <c r="A853" s="433">
        <v>45699</v>
      </c>
      <c r="B853" s="435" t="s">
        <v>287</v>
      </c>
      <c r="C853" s="436">
        <f>E850</f>
        <v>10.700000000000273</v>
      </c>
      <c r="D853" s="28"/>
      <c r="E853" s="438" t="s">
        <v>287</v>
      </c>
      <c r="F853" s="829" t="s">
        <v>288</v>
      </c>
      <c r="G853" s="830"/>
    </row>
    <row r="854" spans="1:7" ht="16" thickBot="1" x14ac:dyDescent="0.25">
      <c r="A854" s="432"/>
      <c r="B854" s="434" t="s">
        <v>294</v>
      </c>
      <c r="C854" s="410">
        <f>150+150+300+250+150</f>
        <v>1000</v>
      </c>
      <c r="D854" s="439"/>
      <c r="E854" s="437" t="s">
        <v>295</v>
      </c>
      <c r="F854" s="829"/>
      <c r="G854" s="830"/>
    </row>
    <row r="855" spans="1:7" ht="16" x14ac:dyDescent="0.2">
      <c r="A855" s="405"/>
      <c r="B855" s="409" t="s">
        <v>187</v>
      </c>
      <c r="C855" s="411"/>
      <c r="D855" s="413">
        <v>50</v>
      </c>
      <c r="E855" s="418" t="s">
        <v>187</v>
      </c>
      <c r="F855" s="424">
        <v>200</v>
      </c>
      <c r="G855" s="421"/>
    </row>
    <row r="856" spans="1:7" ht="16" x14ac:dyDescent="0.2">
      <c r="A856" s="405"/>
      <c r="B856" s="409" t="s">
        <v>9</v>
      </c>
      <c r="C856" s="411"/>
      <c r="D856" s="413">
        <v>70</v>
      </c>
      <c r="E856" s="418" t="s">
        <v>703</v>
      </c>
      <c r="F856" s="425">
        <v>100</v>
      </c>
      <c r="G856" s="422"/>
    </row>
    <row r="857" spans="1:7" x14ac:dyDescent="0.2">
      <c r="A857" s="405"/>
      <c r="B857" s="316" t="s">
        <v>222</v>
      </c>
      <c r="C857" s="410"/>
      <c r="D857" s="414">
        <v>300</v>
      </c>
      <c r="E857" s="316" t="s">
        <v>704</v>
      </c>
      <c r="F857" s="425">
        <v>50</v>
      </c>
      <c r="G857" s="422"/>
    </row>
    <row r="858" spans="1:7" x14ac:dyDescent="0.2">
      <c r="A858" s="405"/>
      <c r="B858" s="316" t="s">
        <v>298</v>
      </c>
      <c r="C858" s="410"/>
      <c r="D858" s="414">
        <v>510</v>
      </c>
      <c r="E858" s="316" t="s">
        <v>298</v>
      </c>
      <c r="F858" s="425" t="s">
        <v>289</v>
      </c>
      <c r="G858" s="422"/>
    </row>
    <row r="859" spans="1:7" x14ac:dyDescent="0.2">
      <c r="A859" s="405"/>
      <c r="B859" s="408"/>
      <c r="C859" s="411"/>
      <c r="D859" s="413"/>
      <c r="E859" s="419"/>
      <c r="F859" s="425" t="s">
        <v>290</v>
      </c>
      <c r="G859" s="422"/>
    </row>
    <row r="860" spans="1:7" x14ac:dyDescent="0.2">
      <c r="A860" s="405"/>
      <c r="B860" s="409"/>
      <c r="C860" s="412"/>
      <c r="D860" s="413"/>
      <c r="E860" s="409"/>
      <c r="F860" s="426" t="s">
        <v>291</v>
      </c>
      <c r="G860" s="422">
        <f>4+5+1.7</f>
        <v>10.7</v>
      </c>
    </row>
    <row r="861" spans="1:7" ht="16" thickBot="1" x14ac:dyDescent="0.25">
      <c r="A861" s="405"/>
      <c r="B861" s="409"/>
      <c r="C861" s="412"/>
      <c r="D861" s="413"/>
      <c r="E861" s="409"/>
      <c r="F861" s="427" t="s">
        <v>292</v>
      </c>
      <c r="G861" s="423"/>
    </row>
    <row r="862" spans="1:7" ht="16" thickBot="1" x14ac:dyDescent="0.25">
      <c r="A862" s="405"/>
      <c r="B862" s="408"/>
      <c r="C862" s="412"/>
      <c r="D862" s="413"/>
      <c r="E862" s="417"/>
      <c r="F862" s="831">
        <f>SUM(G855:G860)</f>
        <v>10.7</v>
      </c>
      <c r="G862" s="832"/>
    </row>
    <row r="863" spans="1:7" x14ac:dyDescent="0.2">
      <c r="A863" s="405"/>
      <c r="B863" s="408"/>
      <c r="C863" s="411"/>
      <c r="D863" s="413"/>
      <c r="E863" s="417"/>
      <c r="F863" s="430"/>
      <c r="G863" s="428"/>
    </row>
    <row r="864" spans="1:7" ht="16" thickBot="1" x14ac:dyDescent="0.25">
      <c r="A864" s="405"/>
      <c r="B864" s="408"/>
      <c r="C864" s="411"/>
      <c r="D864" s="413"/>
      <c r="E864" s="420"/>
      <c r="F864" s="431"/>
      <c r="G864" s="429"/>
    </row>
    <row r="865" spans="1:7" x14ac:dyDescent="0.2">
      <c r="A865" s="405"/>
      <c r="B865" s="408"/>
      <c r="C865" s="412"/>
      <c r="D865" s="413"/>
      <c r="E865" s="417"/>
      <c r="F865" s="833" t="s">
        <v>293</v>
      </c>
      <c r="G865" s="834"/>
    </row>
    <row r="866" spans="1:7" ht="16" thickBot="1" x14ac:dyDescent="0.25">
      <c r="A866" s="405"/>
      <c r="B866" s="316"/>
      <c r="C866" s="234"/>
      <c r="D866" s="413"/>
      <c r="E866" s="316"/>
      <c r="F866" s="835"/>
      <c r="G866" s="836"/>
    </row>
    <row r="867" spans="1:7" x14ac:dyDescent="0.2">
      <c r="A867" s="405"/>
      <c r="B867" s="408"/>
      <c r="C867" s="412"/>
      <c r="D867" s="413"/>
      <c r="E867" s="417"/>
      <c r="F867" s="424">
        <v>200</v>
      </c>
      <c r="G867" s="421"/>
    </row>
    <row r="868" spans="1:7" x14ac:dyDescent="0.2">
      <c r="A868" s="405"/>
      <c r="B868" s="408"/>
      <c r="C868" s="411"/>
      <c r="D868" s="413"/>
      <c r="E868" s="417"/>
      <c r="F868" s="425">
        <v>100</v>
      </c>
      <c r="G868" s="422"/>
    </row>
    <row r="869" spans="1:7" x14ac:dyDescent="0.2">
      <c r="A869" s="405"/>
      <c r="B869" s="408"/>
      <c r="C869" s="411"/>
      <c r="D869" s="413"/>
      <c r="E869" s="417"/>
      <c r="F869" s="425">
        <v>50</v>
      </c>
      <c r="G869" s="422">
        <v>50</v>
      </c>
    </row>
    <row r="870" spans="1:7" x14ac:dyDescent="0.2">
      <c r="A870" s="405"/>
      <c r="B870" s="408"/>
      <c r="C870" s="411"/>
      <c r="D870" s="413"/>
      <c r="E870" s="417"/>
      <c r="F870" s="425" t="s">
        <v>289</v>
      </c>
      <c r="G870" s="422">
        <v>20</v>
      </c>
    </row>
    <row r="871" spans="1:7" x14ac:dyDescent="0.2">
      <c r="A871" s="405"/>
      <c r="B871" s="408"/>
      <c r="C871" s="411"/>
      <c r="D871" s="413"/>
      <c r="E871" s="417"/>
      <c r="F871" s="425" t="s">
        <v>290</v>
      </c>
      <c r="G871" s="422"/>
    </row>
    <row r="872" spans="1:7" x14ac:dyDescent="0.2">
      <c r="A872" s="405"/>
      <c r="B872" s="408"/>
      <c r="C872" s="411"/>
      <c r="D872" s="413"/>
      <c r="E872" s="417"/>
      <c r="F872" s="426" t="s">
        <v>291</v>
      </c>
      <c r="G872" s="422">
        <f>4+5+1.7</f>
        <v>10.7</v>
      </c>
    </row>
    <row r="873" spans="1:7" ht="16" thickBot="1" x14ac:dyDescent="0.25">
      <c r="A873" s="405"/>
      <c r="B873" s="408"/>
      <c r="C873" s="411"/>
      <c r="D873" s="413"/>
      <c r="E873" s="417" t="s">
        <v>340</v>
      </c>
      <c r="F873" s="427" t="s">
        <v>292</v>
      </c>
      <c r="G873" s="423"/>
    </row>
    <row r="874" spans="1:7" ht="16" thickBot="1" x14ac:dyDescent="0.25">
      <c r="A874" s="405"/>
      <c r="B874" s="408"/>
      <c r="C874" s="411"/>
      <c r="D874" s="415"/>
      <c r="E874" s="417"/>
      <c r="F874" s="837">
        <f>SUM(G867:G872)</f>
        <v>80.7</v>
      </c>
      <c r="G874" s="838"/>
    </row>
    <row r="875" spans="1:7" ht="16" thickBot="1" x14ac:dyDescent="0.25">
      <c r="A875" s="406" t="s">
        <v>19</v>
      </c>
      <c r="B875" s="185"/>
      <c r="C875" s="407">
        <f>SUM(C853:C874)</f>
        <v>1010.7000000000003</v>
      </c>
      <c r="D875" s="186">
        <f>SUM(D853:D874)</f>
        <v>930</v>
      </c>
      <c r="E875" s="186">
        <f>C875-D875</f>
        <v>80.700000000000273</v>
      </c>
      <c r="F875" s="416"/>
      <c r="G875" s="187"/>
    </row>
    <row r="876" spans="1:7" ht="16" thickBot="1" x14ac:dyDescent="0.25"/>
    <row r="877" spans="1:7" ht="33" thickBot="1" x14ac:dyDescent="0.25">
      <c r="A877" s="686"/>
      <c r="B877" s="183" t="s">
        <v>283</v>
      </c>
      <c r="C877" s="236" t="s">
        <v>284</v>
      </c>
      <c r="D877" s="184" t="s">
        <v>285</v>
      </c>
      <c r="E877" s="184" t="s">
        <v>125</v>
      </c>
      <c r="F877" s="827" t="s">
        <v>286</v>
      </c>
      <c r="G877" s="828"/>
    </row>
    <row r="878" spans="1:7" ht="16" thickBot="1" x14ac:dyDescent="0.25">
      <c r="A878" s="433">
        <v>45700</v>
      </c>
      <c r="B878" s="435" t="s">
        <v>287</v>
      </c>
      <c r="C878" s="436">
        <f>E875</f>
        <v>80.700000000000273</v>
      </c>
      <c r="D878" s="28"/>
      <c r="E878" s="438" t="s">
        <v>287</v>
      </c>
      <c r="F878" s="829" t="s">
        <v>288</v>
      </c>
      <c r="G878" s="830"/>
    </row>
    <row r="879" spans="1:7" ht="16" thickBot="1" x14ac:dyDescent="0.25">
      <c r="A879" s="432"/>
      <c r="B879" s="434" t="s">
        <v>294</v>
      </c>
      <c r="C879" s="410">
        <v>150</v>
      </c>
      <c r="D879" s="439"/>
      <c r="E879" s="437" t="s">
        <v>295</v>
      </c>
      <c r="F879" s="829"/>
      <c r="G879" s="830"/>
    </row>
    <row r="880" spans="1:7" ht="16" x14ac:dyDescent="0.2">
      <c r="A880" s="405"/>
      <c r="B880" s="409" t="s">
        <v>70</v>
      </c>
      <c r="C880" s="411">
        <v>1200</v>
      </c>
      <c r="D880" s="413"/>
      <c r="E880" s="418" t="s">
        <v>610</v>
      </c>
      <c r="F880" s="424">
        <v>200</v>
      </c>
      <c r="G880" s="421"/>
    </row>
    <row r="881" spans="1:7" x14ac:dyDescent="0.2">
      <c r="A881" s="405"/>
      <c r="B881" s="409"/>
      <c r="C881" s="411"/>
      <c r="D881" s="413"/>
      <c r="E881" s="418"/>
      <c r="F881" s="425">
        <v>100</v>
      </c>
      <c r="G881" s="422"/>
    </row>
    <row r="882" spans="1:7" x14ac:dyDescent="0.2">
      <c r="A882" s="405"/>
      <c r="B882" s="316"/>
      <c r="C882" s="410"/>
      <c r="D882" s="414"/>
      <c r="E882" s="316"/>
      <c r="F882" s="425">
        <v>50</v>
      </c>
      <c r="G882" s="422">
        <v>50</v>
      </c>
    </row>
    <row r="883" spans="1:7" x14ac:dyDescent="0.2">
      <c r="A883" s="405"/>
      <c r="B883" s="316"/>
      <c r="C883" s="410"/>
      <c r="D883" s="414"/>
      <c r="E883" s="316"/>
      <c r="F883" s="425" t="s">
        <v>289</v>
      </c>
      <c r="G883" s="422">
        <v>20</v>
      </c>
    </row>
    <row r="884" spans="1:7" x14ac:dyDescent="0.2">
      <c r="A884" s="405"/>
      <c r="B884" s="408"/>
      <c r="C884" s="411"/>
      <c r="D884" s="413"/>
      <c r="E884" s="419"/>
      <c r="F884" s="425" t="s">
        <v>290</v>
      </c>
      <c r="G884" s="422"/>
    </row>
    <row r="885" spans="1:7" x14ac:dyDescent="0.2">
      <c r="A885" s="405"/>
      <c r="B885" s="409"/>
      <c r="C885" s="412"/>
      <c r="D885" s="413"/>
      <c r="E885" s="409"/>
      <c r="F885" s="426" t="s">
        <v>291</v>
      </c>
      <c r="G885" s="422">
        <f>4+5+1.7</f>
        <v>10.7</v>
      </c>
    </row>
    <row r="886" spans="1:7" ht="16" thickBot="1" x14ac:dyDescent="0.25">
      <c r="A886" s="405"/>
      <c r="B886" s="409"/>
      <c r="C886" s="412"/>
      <c r="D886" s="413"/>
      <c r="E886" s="409"/>
      <c r="F886" s="427" t="s">
        <v>292</v>
      </c>
      <c r="G886" s="423"/>
    </row>
    <row r="887" spans="1:7" ht="16" thickBot="1" x14ac:dyDescent="0.25">
      <c r="A887" s="405"/>
      <c r="B887" s="408"/>
      <c r="C887" s="412"/>
      <c r="D887" s="413"/>
      <c r="E887" s="417"/>
      <c r="F887" s="831">
        <f>SUM(G880:G885)</f>
        <v>80.7</v>
      </c>
      <c r="G887" s="832"/>
    </row>
    <row r="888" spans="1:7" x14ac:dyDescent="0.2">
      <c r="A888" s="405"/>
      <c r="B888" s="408"/>
      <c r="C888" s="411"/>
      <c r="D888" s="413"/>
      <c r="E888" s="417"/>
      <c r="F888" s="430"/>
      <c r="G888" s="428"/>
    </row>
    <row r="889" spans="1:7" ht="16" thickBot="1" x14ac:dyDescent="0.25">
      <c r="A889" s="405"/>
      <c r="B889" s="408"/>
      <c r="C889" s="411"/>
      <c r="D889" s="413"/>
      <c r="E889" s="420"/>
      <c r="F889" s="431"/>
      <c r="G889" s="429"/>
    </row>
    <row r="890" spans="1:7" x14ac:dyDescent="0.2">
      <c r="A890" s="405"/>
      <c r="B890" s="408"/>
      <c r="C890" s="412"/>
      <c r="D890" s="413"/>
      <c r="E890" s="417"/>
      <c r="F890" s="833" t="s">
        <v>293</v>
      </c>
      <c r="G890" s="834"/>
    </row>
    <row r="891" spans="1:7" ht="16" thickBot="1" x14ac:dyDescent="0.25">
      <c r="A891" s="405"/>
      <c r="B891" s="316"/>
      <c r="C891" s="234"/>
      <c r="D891" s="413"/>
      <c r="E891" s="316"/>
      <c r="F891" s="835"/>
      <c r="G891" s="836"/>
    </row>
    <row r="892" spans="1:7" x14ac:dyDescent="0.2">
      <c r="A892" s="405"/>
      <c r="B892" s="408"/>
      <c r="C892" s="412"/>
      <c r="D892" s="413"/>
      <c r="E892" s="417"/>
      <c r="F892" s="424">
        <v>200</v>
      </c>
      <c r="G892" s="421">
        <v>800</v>
      </c>
    </row>
    <row r="893" spans="1:7" x14ac:dyDescent="0.2">
      <c r="A893" s="405"/>
      <c r="B893" s="408"/>
      <c r="C893" s="411"/>
      <c r="D893" s="413"/>
      <c r="E893" s="417"/>
      <c r="F893" s="425">
        <v>100</v>
      </c>
      <c r="G893" s="422">
        <v>400</v>
      </c>
    </row>
    <row r="894" spans="1:7" x14ac:dyDescent="0.2">
      <c r="A894" s="405"/>
      <c r="B894" s="408"/>
      <c r="C894" s="411"/>
      <c r="D894" s="413"/>
      <c r="E894" s="417"/>
      <c r="F894" s="425">
        <v>50</v>
      </c>
      <c r="G894" s="422">
        <v>200</v>
      </c>
    </row>
    <row r="895" spans="1:7" x14ac:dyDescent="0.2">
      <c r="A895" s="405"/>
      <c r="B895" s="408"/>
      <c r="C895" s="411"/>
      <c r="D895" s="413"/>
      <c r="E895" s="417"/>
      <c r="F895" s="425" t="s">
        <v>289</v>
      </c>
      <c r="G895" s="422">
        <v>20</v>
      </c>
    </row>
    <row r="896" spans="1:7" x14ac:dyDescent="0.2">
      <c r="A896" s="405"/>
      <c r="B896" s="408"/>
      <c r="C896" s="411"/>
      <c r="D896" s="413"/>
      <c r="E896" s="417"/>
      <c r="F896" s="425" t="s">
        <v>290</v>
      </c>
      <c r="G896" s="422"/>
    </row>
    <row r="897" spans="1:7" x14ac:dyDescent="0.2">
      <c r="A897" s="405"/>
      <c r="B897" s="408"/>
      <c r="C897" s="411"/>
      <c r="D897" s="413"/>
      <c r="E897" s="417"/>
      <c r="F897" s="426" t="s">
        <v>291</v>
      </c>
      <c r="G897" s="422">
        <f>4+5+1.7</f>
        <v>10.7</v>
      </c>
    </row>
    <row r="898" spans="1:7" ht="16" thickBot="1" x14ac:dyDescent="0.25">
      <c r="A898" s="405"/>
      <c r="B898" s="408"/>
      <c r="C898" s="411"/>
      <c r="D898" s="413"/>
      <c r="E898" s="417" t="s">
        <v>340</v>
      </c>
      <c r="F898" s="427" t="s">
        <v>292</v>
      </c>
      <c r="G898" s="423"/>
    </row>
    <row r="899" spans="1:7" ht="16" thickBot="1" x14ac:dyDescent="0.25">
      <c r="A899" s="405"/>
      <c r="B899" s="408"/>
      <c r="C899" s="411"/>
      <c r="D899" s="415"/>
      <c r="E899" s="417"/>
      <c r="F899" s="837">
        <f>SUM(G892:G897)</f>
        <v>1430.7</v>
      </c>
      <c r="G899" s="838"/>
    </row>
    <row r="900" spans="1:7" ht="16" thickBot="1" x14ac:dyDescent="0.25">
      <c r="A900" s="406" t="s">
        <v>19</v>
      </c>
      <c r="B900" s="185"/>
      <c r="C900" s="407">
        <f>SUM(C878:C899)</f>
        <v>1430.7000000000003</v>
      </c>
      <c r="D900" s="186">
        <f>SUM(D878:D899)</f>
        <v>0</v>
      </c>
      <c r="E900" s="186">
        <f>C900-D900</f>
        <v>1430.7000000000003</v>
      </c>
      <c r="F900" s="416"/>
      <c r="G900" s="187"/>
    </row>
    <row r="901" spans="1:7" ht="16" thickBot="1" x14ac:dyDescent="0.25"/>
    <row r="902" spans="1:7" ht="33" thickBot="1" x14ac:dyDescent="0.25">
      <c r="A902" s="686"/>
      <c r="B902" s="183" t="s">
        <v>283</v>
      </c>
      <c r="C902" s="236" t="s">
        <v>284</v>
      </c>
      <c r="D902" s="184" t="s">
        <v>285</v>
      </c>
      <c r="E902" s="184" t="s">
        <v>125</v>
      </c>
      <c r="F902" s="827" t="s">
        <v>286</v>
      </c>
      <c r="G902" s="828"/>
    </row>
    <row r="903" spans="1:7" ht="16" thickBot="1" x14ac:dyDescent="0.25">
      <c r="A903" s="433">
        <v>45701</v>
      </c>
      <c r="B903" s="435" t="s">
        <v>287</v>
      </c>
      <c r="C903" s="436">
        <f>E900</f>
        <v>1430.7000000000003</v>
      </c>
      <c r="D903" s="28"/>
      <c r="E903" s="438" t="s">
        <v>287</v>
      </c>
      <c r="F903" s="829" t="s">
        <v>288</v>
      </c>
      <c r="G903" s="830"/>
    </row>
    <row r="904" spans="1:7" ht="16" thickBot="1" x14ac:dyDescent="0.25">
      <c r="A904" s="432"/>
      <c r="B904" s="434" t="s">
        <v>294</v>
      </c>
      <c r="C904" s="410">
        <f>300+100+130+300</f>
        <v>830</v>
      </c>
      <c r="D904" s="439"/>
      <c r="E904" s="437" t="s">
        <v>295</v>
      </c>
      <c r="F904" s="829"/>
      <c r="G904" s="830"/>
    </row>
    <row r="905" spans="1:7" ht="16" x14ac:dyDescent="0.2">
      <c r="A905" s="405"/>
      <c r="B905" s="409" t="s">
        <v>222</v>
      </c>
      <c r="C905" s="411">
        <f>120+150</f>
        <v>270</v>
      </c>
      <c r="D905" s="413"/>
      <c r="E905" s="418" t="s">
        <v>702</v>
      </c>
      <c r="F905" s="424">
        <v>200</v>
      </c>
      <c r="G905" s="421">
        <v>800</v>
      </c>
    </row>
    <row r="906" spans="1:7" ht="16" x14ac:dyDescent="0.2">
      <c r="A906" s="405"/>
      <c r="B906" s="409" t="s">
        <v>298</v>
      </c>
      <c r="C906" s="411"/>
      <c r="D906" s="413">
        <v>1460</v>
      </c>
      <c r="E906" s="418" t="s">
        <v>298</v>
      </c>
      <c r="F906" s="425">
        <v>100</v>
      </c>
      <c r="G906" s="422">
        <v>400</v>
      </c>
    </row>
    <row r="907" spans="1:7" x14ac:dyDescent="0.2">
      <c r="A907" s="405"/>
      <c r="B907" s="316" t="s">
        <v>187</v>
      </c>
      <c r="C907" s="410"/>
      <c r="D907" s="414">
        <v>600</v>
      </c>
      <c r="E907" s="316" t="s">
        <v>187</v>
      </c>
      <c r="F907" s="425">
        <v>50</v>
      </c>
      <c r="G907" s="422">
        <v>200</v>
      </c>
    </row>
    <row r="908" spans="1:7" x14ac:dyDescent="0.2">
      <c r="A908" s="405"/>
      <c r="B908" s="316" t="s">
        <v>712</v>
      </c>
      <c r="C908" s="410"/>
      <c r="D908" s="414">
        <v>50</v>
      </c>
      <c r="E908" s="316" t="s">
        <v>713</v>
      </c>
      <c r="F908" s="425" t="s">
        <v>289</v>
      </c>
      <c r="G908" s="422">
        <v>20</v>
      </c>
    </row>
    <row r="909" spans="1:7" ht="16" x14ac:dyDescent="0.2">
      <c r="A909" s="405"/>
      <c r="B909" s="408" t="s">
        <v>546</v>
      </c>
      <c r="C909" s="411"/>
      <c r="D909" s="413">
        <v>60</v>
      </c>
      <c r="E909" s="419" t="s">
        <v>714</v>
      </c>
      <c r="F909" s="425" t="s">
        <v>290</v>
      </c>
      <c r="G909" s="422"/>
    </row>
    <row r="910" spans="1:7" x14ac:dyDescent="0.2">
      <c r="A910" s="405"/>
      <c r="B910" s="409" t="s">
        <v>194</v>
      </c>
      <c r="C910" s="412"/>
      <c r="D910" s="413">
        <v>200</v>
      </c>
      <c r="E910" s="409" t="s">
        <v>224</v>
      </c>
      <c r="F910" s="426" t="s">
        <v>291</v>
      </c>
      <c r="G910" s="422">
        <f>4+5+1.7</f>
        <v>10.7</v>
      </c>
    </row>
    <row r="911" spans="1:7" ht="16" thickBot="1" x14ac:dyDescent="0.25">
      <c r="A911" s="405"/>
      <c r="B911" s="409" t="s">
        <v>715</v>
      </c>
      <c r="C911" s="412"/>
      <c r="D911" s="413">
        <v>60</v>
      </c>
      <c r="E911" s="409" t="s">
        <v>716</v>
      </c>
      <c r="F911" s="427" t="s">
        <v>292</v>
      </c>
      <c r="G911" s="423"/>
    </row>
    <row r="912" spans="1:7" ht="16" thickBot="1" x14ac:dyDescent="0.25">
      <c r="A912" s="405"/>
      <c r="B912" s="408"/>
      <c r="C912" s="412"/>
      <c r="D912" s="413"/>
      <c r="E912" s="417"/>
      <c r="F912" s="831">
        <f>SUM(G905:G910)</f>
        <v>1430.7</v>
      </c>
      <c r="G912" s="832"/>
    </row>
    <row r="913" spans="1:7" x14ac:dyDescent="0.2">
      <c r="A913" s="405"/>
      <c r="B913" s="408"/>
      <c r="C913" s="411"/>
      <c r="D913" s="413"/>
      <c r="E913" s="417"/>
      <c r="F913" s="430"/>
      <c r="G913" s="428"/>
    </row>
    <row r="914" spans="1:7" ht="16" thickBot="1" x14ac:dyDescent="0.25">
      <c r="A914" s="405"/>
      <c r="B914" s="408"/>
      <c r="C914" s="411"/>
      <c r="D914" s="413"/>
      <c r="E914" s="420"/>
      <c r="F914" s="431"/>
      <c r="G914" s="429"/>
    </row>
    <row r="915" spans="1:7" x14ac:dyDescent="0.2">
      <c r="A915" s="405"/>
      <c r="B915" s="408"/>
      <c r="C915" s="412"/>
      <c r="D915" s="413"/>
      <c r="E915" s="417"/>
      <c r="F915" s="833" t="s">
        <v>293</v>
      </c>
      <c r="G915" s="834"/>
    </row>
    <row r="916" spans="1:7" ht="16" thickBot="1" x14ac:dyDescent="0.25">
      <c r="A916" s="405"/>
      <c r="B916" s="316"/>
      <c r="C916" s="234"/>
      <c r="D916" s="413"/>
      <c r="E916" s="316"/>
      <c r="F916" s="835"/>
      <c r="G916" s="836"/>
    </row>
    <row r="917" spans="1:7" x14ac:dyDescent="0.2">
      <c r="A917" s="405"/>
      <c r="B917" s="408"/>
      <c r="C917" s="412"/>
      <c r="D917" s="413"/>
      <c r="E917" s="417"/>
      <c r="F917" s="424">
        <v>200</v>
      </c>
      <c r="G917" s="421"/>
    </row>
    <row r="918" spans="1:7" x14ac:dyDescent="0.2">
      <c r="A918" s="405"/>
      <c r="B918" s="408"/>
      <c r="C918" s="411"/>
      <c r="D918" s="413"/>
      <c r="E918" s="417"/>
      <c r="F918" s="425">
        <v>100</v>
      </c>
      <c r="G918" s="422"/>
    </row>
    <row r="919" spans="1:7" x14ac:dyDescent="0.2">
      <c r="A919" s="405"/>
      <c r="B919" s="408"/>
      <c r="C919" s="411"/>
      <c r="D919" s="413"/>
      <c r="E919" s="417"/>
      <c r="F919" s="425">
        <v>50</v>
      </c>
      <c r="G919" s="422">
        <v>50</v>
      </c>
    </row>
    <row r="920" spans="1:7" x14ac:dyDescent="0.2">
      <c r="A920" s="405"/>
      <c r="B920" s="408"/>
      <c r="C920" s="411"/>
      <c r="D920" s="413"/>
      <c r="E920" s="417"/>
      <c r="F920" s="425" t="s">
        <v>289</v>
      </c>
      <c r="G920" s="422">
        <v>40</v>
      </c>
    </row>
    <row r="921" spans="1:7" x14ac:dyDescent="0.2">
      <c r="A921" s="405"/>
      <c r="B921" s="408"/>
      <c r="C921" s="411"/>
      <c r="D921" s="413"/>
      <c r="E921" s="417"/>
      <c r="F921" s="425" t="s">
        <v>290</v>
      </c>
      <c r="G921" s="422"/>
    </row>
    <row r="922" spans="1:7" x14ac:dyDescent="0.2">
      <c r="A922" s="405"/>
      <c r="B922" s="408"/>
      <c r="C922" s="411"/>
      <c r="D922" s="413"/>
      <c r="E922" s="417"/>
      <c r="F922" s="426" t="s">
        <v>291</v>
      </c>
      <c r="G922" s="422">
        <f>4+5+1.7</f>
        <v>10.7</v>
      </c>
    </row>
    <row r="923" spans="1:7" ht="16" thickBot="1" x14ac:dyDescent="0.25">
      <c r="A923" s="405"/>
      <c r="B923" s="408"/>
      <c r="C923" s="411"/>
      <c r="D923" s="413"/>
      <c r="E923" s="417" t="s">
        <v>340</v>
      </c>
      <c r="F923" s="427" t="s">
        <v>292</v>
      </c>
      <c r="G923" s="423"/>
    </row>
    <row r="924" spans="1:7" ht="16" thickBot="1" x14ac:dyDescent="0.25">
      <c r="A924" s="405"/>
      <c r="B924" s="408"/>
      <c r="C924" s="411"/>
      <c r="D924" s="415"/>
      <c r="E924" s="417"/>
      <c r="F924" s="837">
        <f>SUM(G917:G922)</f>
        <v>100.7</v>
      </c>
      <c r="G924" s="838"/>
    </row>
    <row r="925" spans="1:7" ht="16" thickBot="1" x14ac:dyDescent="0.25">
      <c r="A925" s="406" t="s">
        <v>19</v>
      </c>
      <c r="B925" s="185"/>
      <c r="C925" s="407">
        <f>SUM(C903:C924)</f>
        <v>2530.7000000000003</v>
      </c>
      <c r="D925" s="186">
        <f>SUM(D903:D924)</f>
        <v>2430</v>
      </c>
      <c r="E925" s="186">
        <f>C925-D925</f>
        <v>100.70000000000027</v>
      </c>
      <c r="F925" s="416"/>
      <c r="G925" s="187"/>
    </row>
    <row r="926" spans="1:7" ht="16" thickBot="1" x14ac:dyDescent="0.25"/>
    <row r="927" spans="1:7" ht="33" thickBot="1" x14ac:dyDescent="0.25">
      <c r="A927" s="686"/>
      <c r="B927" s="183" t="s">
        <v>283</v>
      </c>
      <c r="C927" s="236" t="s">
        <v>284</v>
      </c>
      <c r="D927" s="184" t="s">
        <v>285</v>
      </c>
      <c r="E927" s="184" t="s">
        <v>125</v>
      </c>
      <c r="F927" s="827" t="s">
        <v>286</v>
      </c>
      <c r="G927" s="828"/>
    </row>
    <row r="928" spans="1:7" ht="15.75" customHeight="1" thickBot="1" x14ac:dyDescent="0.25">
      <c r="A928" s="433">
        <v>45702</v>
      </c>
      <c r="B928" s="435" t="s">
        <v>287</v>
      </c>
      <c r="C928" s="436">
        <f>E925</f>
        <v>100.70000000000027</v>
      </c>
      <c r="D928" s="28"/>
      <c r="E928" s="438" t="s">
        <v>287</v>
      </c>
      <c r="F928" s="829" t="s">
        <v>288</v>
      </c>
      <c r="G928" s="830"/>
    </row>
    <row r="929" spans="1:7" ht="16" thickBot="1" x14ac:dyDescent="0.25">
      <c r="A929" s="432"/>
      <c r="B929" s="434" t="s">
        <v>222</v>
      </c>
      <c r="C929" s="410"/>
      <c r="D929" s="439">
        <v>50</v>
      </c>
      <c r="E929" s="437" t="s">
        <v>615</v>
      </c>
      <c r="F929" s="829"/>
      <c r="G929" s="830"/>
    </row>
    <row r="930" spans="1:7" ht="16" x14ac:dyDescent="0.2">
      <c r="A930" s="405"/>
      <c r="B930" s="409" t="s">
        <v>710</v>
      </c>
      <c r="C930" s="411"/>
      <c r="D930" s="413">
        <v>70</v>
      </c>
      <c r="E930" s="418" t="s">
        <v>711</v>
      </c>
      <c r="F930" s="424">
        <v>200</v>
      </c>
      <c r="G930" s="421"/>
    </row>
    <row r="931" spans="1:7" ht="16" x14ac:dyDescent="0.2">
      <c r="A931" s="405"/>
      <c r="B931" s="409" t="s">
        <v>294</v>
      </c>
      <c r="C931" s="411">
        <v>450</v>
      </c>
      <c r="D931" s="413"/>
      <c r="E931" s="418" t="s">
        <v>295</v>
      </c>
      <c r="F931" s="425">
        <v>100</v>
      </c>
      <c r="G931" s="422"/>
    </row>
    <row r="932" spans="1:7" x14ac:dyDescent="0.2">
      <c r="A932" s="405"/>
      <c r="B932" s="316" t="s">
        <v>187</v>
      </c>
      <c r="C932" s="410"/>
      <c r="D932" s="414">
        <v>350</v>
      </c>
      <c r="E932" s="316" t="s">
        <v>187</v>
      </c>
      <c r="F932" s="425">
        <v>50</v>
      </c>
      <c r="G932" s="422">
        <v>50</v>
      </c>
    </row>
    <row r="933" spans="1:7" x14ac:dyDescent="0.2">
      <c r="A933" s="405"/>
      <c r="B933" s="316" t="s">
        <v>194</v>
      </c>
      <c r="C933" s="410"/>
      <c r="D933" s="414">
        <v>70</v>
      </c>
      <c r="E933" s="316" t="s">
        <v>224</v>
      </c>
      <c r="F933" s="425" t="s">
        <v>289</v>
      </c>
      <c r="G933" s="422">
        <v>40</v>
      </c>
    </row>
    <row r="934" spans="1:7" x14ac:dyDescent="0.2">
      <c r="A934" s="405"/>
      <c r="B934" s="408"/>
      <c r="C934" s="411"/>
      <c r="D934" s="413"/>
      <c r="E934" s="419"/>
      <c r="F934" s="425" t="s">
        <v>290</v>
      </c>
      <c r="G934" s="422"/>
    </row>
    <row r="935" spans="1:7" x14ac:dyDescent="0.2">
      <c r="A935" s="405"/>
      <c r="B935" s="409"/>
      <c r="C935" s="412"/>
      <c r="D935" s="413"/>
      <c r="E935" s="409"/>
      <c r="F935" s="426" t="s">
        <v>291</v>
      </c>
      <c r="G935" s="422">
        <f>4+5+1.7</f>
        <v>10.7</v>
      </c>
    </row>
    <row r="936" spans="1:7" ht="16" thickBot="1" x14ac:dyDescent="0.25">
      <c r="A936" s="405"/>
      <c r="B936" s="409"/>
      <c r="C936" s="412"/>
      <c r="D936" s="413"/>
      <c r="E936" s="409"/>
      <c r="F936" s="427" t="s">
        <v>292</v>
      </c>
      <c r="G936" s="423"/>
    </row>
    <row r="937" spans="1:7" ht="16" thickBot="1" x14ac:dyDescent="0.25">
      <c r="A937" s="405"/>
      <c r="B937" s="408"/>
      <c r="C937" s="412"/>
      <c r="D937" s="413"/>
      <c r="E937" s="417"/>
      <c r="F937" s="831">
        <f>SUM(G930:G935)</f>
        <v>100.7</v>
      </c>
      <c r="G937" s="832"/>
    </row>
    <row r="938" spans="1:7" x14ac:dyDescent="0.2">
      <c r="A938" s="405"/>
      <c r="B938" s="408"/>
      <c r="C938" s="411"/>
      <c r="D938" s="413"/>
      <c r="E938" s="417"/>
      <c r="F938" s="430"/>
      <c r="G938" s="428"/>
    </row>
    <row r="939" spans="1:7" ht="16" thickBot="1" x14ac:dyDescent="0.25">
      <c r="A939" s="405"/>
      <c r="B939" s="408"/>
      <c r="C939" s="411"/>
      <c r="D939" s="413"/>
      <c r="E939" s="420"/>
      <c r="F939" s="431"/>
      <c r="G939" s="429"/>
    </row>
    <row r="940" spans="1:7" x14ac:dyDescent="0.2">
      <c r="A940" s="405"/>
      <c r="B940" s="408"/>
      <c r="C940" s="412"/>
      <c r="D940" s="413"/>
      <c r="E940" s="417"/>
      <c r="F940" s="833" t="s">
        <v>293</v>
      </c>
      <c r="G940" s="834"/>
    </row>
    <row r="941" spans="1:7" ht="16" thickBot="1" x14ac:dyDescent="0.25">
      <c r="A941" s="405"/>
      <c r="B941" s="316"/>
      <c r="C941" s="234"/>
      <c r="D941" s="413"/>
      <c r="E941" s="316"/>
      <c r="F941" s="835"/>
      <c r="G941" s="836"/>
    </row>
    <row r="942" spans="1:7" x14ac:dyDescent="0.2">
      <c r="A942" s="405"/>
      <c r="B942" s="408"/>
      <c r="C942" s="412"/>
      <c r="D942" s="413"/>
      <c r="E942" s="417"/>
      <c r="F942" s="424">
        <v>200</v>
      </c>
      <c r="G942" s="421"/>
    </row>
    <row r="943" spans="1:7" x14ac:dyDescent="0.2">
      <c r="A943" s="405"/>
      <c r="B943" s="408"/>
      <c r="C943" s="411"/>
      <c r="D943" s="413"/>
      <c r="E943" s="417"/>
      <c r="F943" s="425">
        <v>100</v>
      </c>
      <c r="G943" s="422"/>
    </row>
    <row r="944" spans="1:7" x14ac:dyDescent="0.2">
      <c r="A944" s="405"/>
      <c r="B944" s="408"/>
      <c r="C944" s="411"/>
      <c r="D944" s="413"/>
      <c r="E944" s="417"/>
      <c r="F944" s="425">
        <v>50</v>
      </c>
      <c r="G944" s="422"/>
    </row>
    <row r="945" spans="1:7" x14ac:dyDescent="0.2">
      <c r="A945" s="405"/>
      <c r="B945" s="408"/>
      <c r="C945" s="411"/>
      <c r="D945" s="413"/>
      <c r="E945" s="417"/>
      <c r="F945" s="425" t="s">
        <v>289</v>
      </c>
      <c r="G945" s="422"/>
    </row>
    <row r="946" spans="1:7" x14ac:dyDescent="0.2">
      <c r="A946" s="405"/>
      <c r="B946" s="408"/>
      <c r="C946" s="411"/>
      <c r="D946" s="413"/>
      <c r="E946" s="417"/>
      <c r="F946" s="425" t="s">
        <v>290</v>
      </c>
      <c r="G946" s="422"/>
    </row>
    <row r="947" spans="1:7" x14ac:dyDescent="0.2">
      <c r="A947" s="405"/>
      <c r="B947" s="408"/>
      <c r="C947" s="411"/>
      <c r="D947" s="413"/>
      <c r="E947" s="417"/>
      <c r="F947" s="426" t="s">
        <v>291</v>
      </c>
      <c r="G947" s="422">
        <v>10.7</v>
      </c>
    </row>
    <row r="948" spans="1:7" ht="16" thickBot="1" x14ac:dyDescent="0.25">
      <c r="A948" s="405"/>
      <c r="B948" s="408"/>
      <c r="C948" s="411"/>
      <c r="D948" s="413"/>
      <c r="E948" s="417" t="s">
        <v>340</v>
      </c>
      <c r="F948" s="427" t="s">
        <v>292</v>
      </c>
      <c r="G948" s="423"/>
    </row>
    <row r="949" spans="1:7" ht="16" thickBot="1" x14ac:dyDescent="0.25">
      <c r="A949" s="405"/>
      <c r="B949" s="408"/>
      <c r="C949" s="411"/>
      <c r="D949" s="415"/>
      <c r="E949" s="417"/>
      <c r="F949" s="837">
        <f>SUM(G942:G947)</f>
        <v>10.7</v>
      </c>
      <c r="G949" s="838"/>
    </row>
    <row r="950" spans="1:7" ht="16" thickBot="1" x14ac:dyDescent="0.25">
      <c r="A950" s="406" t="s">
        <v>19</v>
      </c>
      <c r="B950" s="185"/>
      <c r="C950" s="407">
        <f>SUM(C928:C949)</f>
        <v>550.70000000000027</v>
      </c>
      <c r="D950" s="186">
        <f>SUM(D928:D949)</f>
        <v>540</v>
      </c>
      <c r="E950" s="186">
        <f>C950-D950</f>
        <v>10.700000000000273</v>
      </c>
      <c r="F950" s="416"/>
      <c r="G950" s="187"/>
    </row>
    <row r="951" spans="1:7" ht="16" thickBot="1" x14ac:dyDescent="0.25"/>
    <row r="952" spans="1:7" ht="33" thickBot="1" x14ac:dyDescent="0.25">
      <c r="A952" s="686"/>
      <c r="B952" s="183" t="s">
        <v>283</v>
      </c>
      <c r="C952" s="236" t="s">
        <v>284</v>
      </c>
      <c r="D952" s="184" t="s">
        <v>285</v>
      </c>
      <c r="E952" s="184" t="s">
        <v>125</v>
      </c>
      <c r="F952" s="827" t="s">
        <v>286</v>
      </c>
      <c r="G952" s="828"/>
    </row>
    <row r="953" spans="1:7" ht="16" thickBot="1" x14ac:dyDescent="0.25">
      <c r="A953" s="433">
        <v>45704</v>
      </c>
      <c r="B953" s="435" t="s">
        <v>287</v>
      </c>
      <c r="C953" s="436">
        <f>E950</f>
        <v>10.700000000000273</v>
      </c>
      <c r="D953" s="28"/>
      <c r="E953" s="438" t="s">
        <v>287</v>
      </c>
      <c r="F953" s="829" t="s">
        <v>288</v>
      </c>
      <c r="G953" s="830"/>
    </row>
    <row r="954" spans="1:7" ht="16" thickBot="1" x14ac:dyDescent="0.25">
      <c r="A954" s="432"/>
      <c r="B954" s="434" t="s">
        <v>294</v>
      </c>
      <c r="C954" s="410">
        <f>150*4</f>
        <v>600</v>
      </c>
      <c r="D954" s="439"/>
      <c r="E954" s="437" t="s">
        <v>295</v>
      </c>
      <c r="F954" s="829"/>
      <c r="G954" s="830"/>
    </row>
    <row r="955" spans="1:7" ht="16" x14ac:dyDescent="0.2">
      <c r="A955" s="405"/>
      <c r="B955" s="409" t="s">
        <v>279</v>
      </c>
      <c r="C955" s="411"/>
      <c r="D955" s="413">
        <v>98</v>
      </c>
      <c r="E955" s="418" t="s">
        <v>724</v>
      </c>
      <c r="F955" s="424">
        <v>200</v>
      </c>
      <c r="G955" s="421"/>
    </row>
    <row r="956" spans="1:7" x14ac:dyDescent="0.2">
      <c r="A956" s="405"/>
      <c r="B956" s="409"/>
      <c r="C956" s="411"/>
      <c r="D956" s="413"/>
      <c r="E956" s="418"/>
      <c r="F956" s="425">
        <v>100</v>
      </c>
      <c r="G956" s="422"/>
    </row>
    <row r="957" spans="1:7" x14ac:dyDescent="0.2">
      <c r="A957" s="405"/>
      <c r="B957" s="316"/>
      <c r="C957" s="410"/>
      <c r="D957" s="414"/>
      <c r="E957" s="316"/>
      <c r="F957" s="425">
        <v>50</v>
      </c>
      <c r="G957" s="422"/>
    </row>
    <row r="958" spans="1:7" x14ac:dyDescent="0.2">
      <c r="A958" s="405"/>
      <c r="B958" s="316"/>
      <c r="C958" s="410"/>
      <c r="D958" s="414"/>
      <c r="E958" s="316"/>
      <c r="F958" s="425" t="s">
        <v>289</v>
      </c>
      <c r="G958" s="422"/>
    </row>
    <row r="959" spans="1:7" x14ac:dyDescent="0.2">
      <c r="A959" s="405"/>
      <c r="B959" s="408"/>
      <c r="C959" s="411"/>
      <c r="D959" s="413"/>
      <c r="E959" s="419"/>
      <c r="F959" s="425" t="s">
        <v>290</v>
      </c>
      <c r="G959" s="422"/>
    </row>
    <row r="960" spans="1:7" x14ac:dyDescent="0.2">
      <c r="A960" s="405"/>
      <c r="B960" s="409"/>
      <c r="C960" s="412"/>
      <c r="D960" s="413"/>
      <c r="E960" s="409"/>
      <c r="F960" s="426" t="s">
        <v>291</v>
      </c>
      <c r="G960" s="422">
        <v>10.7</v>
      </c>
    </row>
    <row r="961" spans="1:7" ht="16" thickBot="1" x14ac:dyDescent="0.25">
      <c r="A961" s="405"/>
      <c r="B961" s="409"/>
      <c r="C961" s="412"/>
      <c r="D961" s="413"/>
      <c r="E961" s="409"/>
      <c r="F961" s="427" t="s">
        <v>292</v>
      </c>
      <c r="G961" s="423"/>
    </row>
    <row r="962" spans="1:7" ht="16" thickBot="1" x14ac:dyDescent="0.25">
      <c r="A962" s="405"/>
      <c r="B962" s="408"/>
      <c r="C962" s="412"/>
      <c r="D962" s="413"/>
      <c r="E962" s="417"/>
      <c r="F962" s="831">
        <f>SUM(G955:G960)</f>
        <v>10.7</v>
      </c>
      <c r="G962" s="832"/>
    </row>
    <row r="963" spans="1:7" x14ac:dyDescent="0.2">
      <c r="A963" s="405"/>
      <c r="B963" s="408"/>
      <c r="C963" s="411"/>
      <c r="D963" s="413"/>
      <c r="E963" s="417"/>
      <c r="F963" s="430"/>
      <c r="G963" s="428"/>
    </row>
    <row r="964" spans="1:7" ht="16" thickBot="1" x14ac:dyDescent="0.25">
      <c r="A964" s="405"/>
      <c r="B964" s="408"/>
      <c r="C964" s="411"/>
      <c r="D964" s="413"/>
      <c r="E964" s="420"/>
      <c r="F964" s="431"/>
      <c r="G964" s="429"/>
    </row>
    <row r="965" spans="1:7" x14ac:dyDescent="0.2">
      <c r="A965" s="405"/>
      <c r="B965" s="408"/>
      <c r="C965" s="412"/>
      <c r="D965" s="413"/>
      <c r="E965" s="417"/>
      <c r="F965" s="833" t="s">
        <v>293</v>
      </c>
      <c r="G965" s="834"/>
    </row>
    <row r="966" spans="1:7" ht="16" thickBot="1" x14ac:dyDescent="0.25">
      <c r="A966" s="405"/>
      <c r="B966" s="316"/>
      <c r="C966" s="234"/>
      <c r="D966" s="413"/>
      <c r="E966" s="316"/>
      <c r="F966" s="835"/>
      <c r="G966" s="836"/>
    </row>
    <row r="967" spans="1:7" x14ac:dyDescent="0.2">
      <c r="A967" s="405"/>
      <c r="B967" s="408"/>
      <c r="C967" s="412"/>
      <c r="D967" s="413"/>
      <c r="E967" s="417"/>
      <c r="F967" s="424">
        <v>200</v>
      </c>
      <c r="G967" s="421"/>
    </row>
    <row r="968" spans="1:7" x14ac:dyDescent="0.2">
      <c r="A968" s="405"/>
      <c r="B968" s="408"/>
      <c r="C968" s="411"/>
      <c r="D968" s="413"/>
      <c r="E968" s="417"/>
      <c r="F968" s="425">
        <v>100</v>
      </c>
      <c r="G968" s="422">
        <v>300</v>
      </c>
    </row>
    <row r="969" spans="1:7" x14ac:dyDescent="0.2">
      <c r="A969" s="405"/>
      <c r="B969" s="408"/>
      <c r="C969" s="411"/>
      <c r="D969" s="413"/>
      <c r="E969" s="417"/>
      <c r="F969" s="425">
        <v>50</v>
      </c>
      <c r="G969" s="422">
        <v>150</v>
      </c>
    </row>
    <row r="970" spans="1:7" x14ac:dyDescent="0.2">
      <c r="A970" s="405"/>
      <c r="B970" s="408"/>
      <c r="C970" s="411"/>
      <c r="D970" s="413"/>
      <c r="E970" s="417"/>
      <c r="F970" s="425" t="s">
        <v>289</v>
      </c>
      <c r="G970" s="422">
        <v>60</v>
      </c>
    </row>
    <row r="971" spans="1:7" x14ac:dyDescent="0.2">
      <c r="A971" s="405"/>
      <c r="B971" s="408"/>
      <c r="C971" s="411"/>
      <c r="D971" s="413"/>
      <c r="E971" s="417"/>
      <c r="F971" s="425" t="s">
        <v>290</v>
      </c>
      <c r="G971" s="422"/>
    </row>
    <row r="972" spans="1:7" x14ac:dyDescent="0.2">
      <c r="A972" s="405"/>
      <c r="B972" s="408"/>
      <c r="C972" s="411"/>
      <c r="D972" s="413"/>
      <c r="E972" s="417"/>
      <c r="F972" s="426" t="s">
        <v>291</v>
      </c>
      <c r="G972" s="422">
        <v>2.7</v>
      </c>
    </row>
    <row r="973" spans="1:7" ht="16" thickBot="1" x14ac:dyDescent="0.25">
      <c r="A973" s="405"/>
      <c r="B973" s="408"/>
      <c r="C973" s="411"/>
      <c r="D973" s="413"/>
      <c r="E973" s="417" t="s">
        <v>340</v>
      </c>
      <c r="F973" s="427" t="s">
        <v>292</v>
      </c>
      <c r="G973" s="423"/>
    </row>
    <row r="974" spans="1:7" ht="16" thickBot="1" x14ac:dyDescent="0.25">
      <c r="A974" s="405"/>
      <c r="B974" s="408"/>
      <c r="C974" s="411"/>
      <c r="D974" s="415"/>
      <c r="E974" s="417"/>
      <c r="F974" s="837">
        <f>SUM(G967:G972)</f>
        <v>512.70000000000005</v>
      </c>
      <c r="G974" s="838"/>
    </row>
    <row r="975" spans="1:7" ht="16" thickBot="1" x14ac:dyDescent="0.25">
      <c r="A975" s="406" t="s">
        <v>19</v>
      </c>
      <c r="B975" s="185"/>
      <c r="C975" s="407">
        <f>SUM(C953:C974)</f>
        <v>610.70000000000027</v>
      </c>
      <c r="D975" s="186">
        <f>SUM(D953:D974)</f>
        <v>98</v>
      </c>
      <c r="E975" s="186">
        <f>C975-D975</f>
        <v>512.70000000000027</v>
      </c>
      <c r="F975" s="416"/>
      <c r="G975" s="187"/>
    </row>
    <row r="976" spans="1:7" ht="16" thickBot="1" x14ac:dyDescent="0.25"/>
    <row r="977" spans="1:7" ht="33" thickBot="1" x14ac:dyDescent="0.25">
      <c r="A977" s="686"/>
      <c r="B977" s="183" t="s">
        <v>283</v>
      </c>
      <c r="C977" s="236" t="s">
        <v>284</v>
      </c>
      <c r="D977" s="184" t="s">
        <v>285</v>
      </c>
      <c r="E977" s="184" t="s">
        <v>125</v>
      </c>
      <c r="F977" s="827" t="s">
        <v>286</v>
      </c>
      <c r="G977" s="828"/>
    </row>
    <row r="978" spans="1:7" ht="16" thickBot="1" x14ac:dyDescent="0.25">
      <c r="A978" s="433">
        <v>45705</v>
      </c>
      <c r="B978" s="435" t="s">
        <v>287</v>
      </c>
      <c r="C978" s="436">
        <f>E975</f>
        <v>512.70000000000027</v>
      </c>
      <c r="D978" s="28"/>
      <c r="E978" s="438" t="s">
        <v>287</v>
      </c>
      <c r="F978" s="829" t="s">
        <v>288</v>
      </c>
      <c r="G978" s="830"/>
    </row>
    <row r="979" spans="1:7" ht="16" thickBot="1" x14ac:dyDescent="0.25">
      <c r="A979" s="432"/>
      <c r="B979" s="434" t="s">
        <v>298</v>
      </c>
      <c r="C979" s="410"/>
      <c r="D979" s="439">
        <v>1700</v>
      </c>
      <c r="E979" s="437" t="s">
        <v>298</v>
      </c>
      <c r="F979" s="829"/>
      <c r="G979" s="830"/>
    </row>
    <row r="980" spans="1:7" ht="16" x14ac:dyDescent="0.2">
      <c r="A980" s="405"/>
      <c r="B980" s="409" t="s">
        <v>294</v>
      </c>
      <c r="C980" s="411">
        <f>750+150+450</f>
        <v>1350</v>
      </c>
      <c r="D980" s="413"/>
      <c r="E980" s="418" t="s">
        <v>295</v>
      </c>
      <c r="F980" s="424">
        <v>200</v>
      </c>
      <c r="G980" s="421"/>
    </row>
    <row r="981" spans="1:7" ht="16" x14ac:dyDescent="0.2">
      <c r="A981" s="405"/>
      <c r="B981" s="409" t="s">
        <v>334</v>
      </c>
      <c r="C981" s="411"/>
      <c r="D981" s="413">
        <v>90</v>
      </c>
      <c r="E981" s="418" t="s">
        <v>577</v>
      </c>
      <c r="F981" s="425">
        <v>100</v>
      </c>
      <c r="G981" s="422">
        <v>300</v>
      </c>
    </row>
    <row r="982" spans="1:7" x14ac:dyDescent="0.2">
      <c r="A982" s="405"/>
      <c r="B982" s="316" t="s">
        <v>279</v>
      </c>
      <c r="C982" s="410"/>
      <c r="D982" s="414">
        <v>14</v>
      </c>
      <c r="E982" s="316" t="s">
        <v>677</v>
      </c>
      <c r="F982" s="425">
        <v>50</v>
      </c>
      <c r="G982" s="422">
        <v>150</v>
      </c>
    </row>
    <row r="983" spans="1:7" x14ac:dyDescent="0.2">
      <c r="A983" s="405"/>
      <c r="B983" s="316"/>
      <c r="C983" s="410"/>
      <c r="D983" s="414"/>
      <c r="E983" s="316"/>
      <c r="F983" s="425" t="s">
        <v>289</v>
      </c>
      <c r="G983" s="422">
        <v>60</v>
      </c>
    </row>
    <row r="984" spans="1:7" x14ac:dyDescent="0.2">
      <c r="A984" s="405"/>
      <c r="B984" s="408"/>
      <c r="C984" s="411"/>
      <c r="D984" s="413"/>
      <c r="E984" s="419"/>
      <c r="F984" s="425" t="s">
        <v>290</v>
      </c>
      <c r="G984" s="422"/>
    </row>
    <row r="985" spans="1:7" x14ac:dyDescent="0.2">
      <c r="A985" s="405"/>
      <c r="B985" s="409"/>
      <c r="C985" s="412"/>
      <c r="D985" s="413"/>
      <c r="E985" s="409"/>
      <c r="F985" s="426" t="s">
        <v>291</v>
      </c>
      <c r="G985" s="422">
        <v>2.7</v>
      </c>
    </row>
    <row r="986" spans="1:7" ht="16" thickBot="1" x14ac:dyDescent="0.25">
      <c r="A986" s="405"/>
      <c r="B986" s="409"/>
      <c r="C986" s="412"/>
      <c r="D986" s="413"/>
      <c r="E986" s="409"/>
      <c r="F986" s="427" t="s">
        <v>292</v>
      </c>
      <c r="G986" s="423"/>
    </row>
    <row r="987" spans="1:7" ht="16" thickBot="1" x14ac:dyDescent="0.25">
      <c r="A987" s="405"/>
      <c r="B987" s="408"/>
      <c r="C987" s="412"/>
      <c r="D987" s="413"/>
      <c r="E987" s="417"/>
      <c r="F987" s="831">
        <f>SUM(G980:G985)</f>
        <v>512.70000000000005</v>
      </c>
      <c r="G987" s="832"/>
    </row>
    <row r="988" spans="1:7" x14ac:dyDescent="0.2">
      <c r="A988" s="405"/>
      <c r="B988" s="408"/>
      <c r="C988" s="411"/>
      <c r="D988" s="413"/>
      <c r="E988" s="417"/>
      <c r="F988" s="430"/>
      <c r="G988" s="428"/>
    </row>
    <row r="989" spans="1:7" ht="16" thickBot="1" x14ac:dyDescent="0.25">
      <c r="A989" s="405"/>
      <c r="B989" s="408"/>
      <c r="C989" s="411"/>
      <c r="D989" s="413"/>
      <c r="E989" s="420"/>
      <c r="F989" s="431"/>
      <c r="G989" s="429"/>
    </row>
    <row r="990" spans="1:7" x14ac:dyDescent="0.2">
      <c r="A990" s="405"/>
      <c r="B990" s="408"/>
      <c r="C990" s="412"/>
      <c r="D990" s="413"/>
      <c r="E990" s="417"/>
      <c r="F990" s="833" t="s">
        <v>293</v>
      </c>
      <c r="G990" s="834"/>
    </row>
    <row r="991" spans="1:7" ht="16" thickBot="1" x14ac:dyDescent="0.25">
      <c r="A991" s="405"/>
      <c r="B991" s="316"/>
      <c r="C991" s="234"/>
      <c r="D991" s="413"/>
      <c r="E991" s="316"/>
      <c r="F991" s="835"/>
      <c r="G991" s="836"/>
    </row>
    <row r="992" spans="1:7" x14ac:dyDescent="0.2">
      <c r="A992" s="405"/>
      <c r="B992" s="408"/>
      <c r="C992" s="412"/>
      <c r="D992" s="413"/>
      <c r="E992" s="417"/>
      <c r="F992" s="424">
        <v>200</v>
      </c>
      <c r="G992" s="421"/>
    </row>
    <row r="993" spans="1:8" x14ac:dyDescent="0.2">
      <c r="A993" s="405"/>
      <c r="B993" s="408"/>
      <c r="C993" s="411"/>
      <c r="D993" s="413"/>
      <c r="E993" s="417"/>
      <c r="F993" s="425">
        <v>100</v>
      </c>
      <c r="G993" s="422"/>
    </row>
    <row r="994" spans="1:8" x14ac:dyDescent="0.2">
      <c r="A994" s="405"/>
      <c r="B994" s="408"/>
      <c r="C994" s="411"/>
      <c r="D994" s="413"/>
      <c r="E994" s="417"/>
      <c r="F994" s="425">
        <v>50</v>
      </c>
      <c r="G994" s="422"/>
    </row>
    <row r="995" spans="1:8" x14ac:dyDescent="0.2">
      <c r="A995" s="405"/>
      <c r="B995" s="408"/>
      <c r="C995" s="411"/>
      <c r="D995" s="413"/>
      <c r="E995" s="417"/>
      <c r="F995" s="425" t="s">
        <v>289</v>
      </c>
      <c r="G995" s="422">
        <v>20</v>
      </c>
    </row>
    <row r="996" spans="1:8" x14ac:dyDescent="0.2">
      <c r="A996" s="405"/>
      <c r="B996" s="408"/>
      <c r="C996" s="411"/>
      <c r="D996" s="413"/>
      <c r="E996" s="417"/>
      <c r="F996" s="425" t="s">
        <v>290</v>
      </c>
      <c r="G996" s="422">
        <v>10</v>
      </c>
    </row>
    <row r="997" spans="1:8" x14ac:dyDescent="0.2">
      <c r="A997" s="405"/>
      <c r="B997" s="408"/>
      <c r="C997" s="411"/>
      <c r="D997" s="413"/>
      <c r="E997" s="417"/>
      <c r="F997" s="426" t="s">
        <v>291</v>
      </c>
      <c r="G997" s="422">
        <v>28.7</v>
      </c>
    </row>
    <row r="998" spans="1:8" ht="16" thickBot="1" x14ac:dyDescent="0.25">
      <c r="A998" s="405"/>
      <c r="B998" s="408"/>
      <c r="C998" s="411"/>
      <c r="D998" s="413"/>
      <c r="E998" s="417" t="s">
        <v>340</v>
      </c>
      <c r="F998" s="427" t="s">
        <v>292</v>
      </c>
      <c r="G998" s="423"/>
    </row>
    <row r="999" spans="1:8" ht="16" thickBot="1" x14ac:dyDescent="0.25">
      <c r="A999" s="405"/>
      <c r="B999" s="408"/>
      <c r="C999" s="411"/>
      <c r="D999" s="415"/>
      <c r="E999" s="417"/>
      <c r="F999" s="837">
        <f>SUM(G992:G997)</f>
        <v>58.7</v>
      </c>
      <c r="G999" s="838"/>
    </row>
    <row r="1000" spans="1:8" ht="16" thickBot="1" x14ac:dyDescent="0.25">
      <c r="A1000" s="406" t="s">
        <v>19</v>
      </c>
      <c r="B1000" s="185"/>
      <c r="C1000" s="407">
        <f>SUM(C978:C999)</f>
        <v>1862.7000000000003</v>
      </c>
      <c r="D1000" s="186">
        <f>SUM(D978:D999)</f>
        <v>1804</v>
      </c>
      <c r="E1000" s="186">
        <f>C1000-D1000</f>
        <v>58.700000000000273</v>
      </c>
      <c r="F1000" s="416"/>
      <c r="G1000" s="187"/>
    </row>
    <row r="1001" spans="1:8" ht="16" thickBot="1" x14ac:dyDescent="0.25"/>
    <row r="1002" spans="1:8" ht="33" thickBot="1" x14ac:dyDescent="0.25">
      <c r="A1002" s="686"/>
      <c r="B1002" s="183" t="s">
        <v>283</v>
      </c>
      <c r="C1002" s="236" t="s">
        <v>284</v>
      </c>
      <c r="D1002" s="184" t="s">
        <v>285</v>
      </c>
      <c r="E1002" s="184" t="s">
        <v>125</v>
      </c>
      <c r="F1002" s="827" t="s">
        <v>286</v>
      </c>
      <c r="G1002" s="828"/>
    </row>
    <row r="1003" spans="1:8" ht="16" thickBot="1" x14ac:dyDescent="0.25">
      <c r="A1003" s="433">
        <v>45707</v>
      </c>
      <c r="B1003" s="435" t="s">
        <v>287</v>
      </c>
      <c r="C1003" s="436">
        <f>E1000</f>
        <v>58.700000000000273</v>
      </c>
      <c r="D1003" s="28"/>
      <c r="E1003" s="438" t="s">
        <v>287</v>
      </c>
      <c r="F1003" s="829" t="s">
        <v>288</v>
      </c>
      <c r="G1003" s="830"/>
      <c r="H1003">
        <v>0</v>
      </c>
    </row>
    <row r="1004" spans="1:8" ht="16" thickBot="1" x14ac:dyDescent="0.25">
      <c r="A1004" s="432"/>
      <c r="B1004" s="434" t="s">
        <v>294</v>
      </c>
      <c r="C1004" s="410">
        <v>450</v>
      </c>
      <c r="D1004" s="439"/>
      <c r="E1004" s="437" t="s">
        <v>295</v>
      </c>
      <c r="F1004" s="829"/>
      <c r="G1004" s="830"/>
    </row>
    <row r="1005" spans="1:8" ht="16" x14ac:dyDescent="0.2">
      <c r="A1005" s="405"/>
      <c r="B1005" s="409" t="s">
        <v>334</v>
      </c>
      <c r="C1005" s="411"/>
      <c r="D1005" s="413">
        <v>132</v>
      </c>
      <c r="E1005" s="418" t="s">
        <v>577</v>
      </c>
      <c r="F1005" s="424">
        <v>200</v>
      </c>
      <c r="G1005" s="421"/>
    </row>
    <row r="1006" spans="1:8" ht="16" x14ac:dyDescent="0.2">
      <c r="A1006" s="405"/>
      <c r="B1006" s="409" t="s">
        <v>298</v>
      </c>
      <c r="C1006" s="411"/>
      <c r="D1006" s="413">
        <v>200</v>
      </c>
      <c r="E1006" s="418" t="s">
        <v>298</v>
      </c>
      <c r="F1006" s="425">
        <v>100</v>
      </c>
      <c r="G1006" s="422"/>
    </row>
    <row r="1007" spans="1:8" x14ac:dyDescent="0.2">
      <c r="A1007" s="405"/>
      <c r="B1007" s="316" t="s">
        <v>509</v>
      </c>
      <c r="C1007" s="410"/>
      <c r="D1007" s="414">
        <v>150</v>
      </c>
      <c r="E1007" s="316" t="s">
        <v>510</v>
      </c>
      <c r="F1007" s="425">
        <v>50</v>
      </c>
      <c r="G1007" s="422"/>
    </row>
    <row r="1008" spans="1:8" x14ac:dyDescent="0.2">
      <c r="A1008" s="405"/>
      <c r="B1008" s="316" t="s">
        <v>9</v>
      </c>
      <c r="C1008" s="410"/>
      <c r="D1008" s="414">
        <v>17.5</v>
      </c>
      <c r="E1008" s="316" t="s">
        <v>517</v>
      </c>
      <c r="F1008" s="425" t="s">
        <v>289</v>
      </c>
      <c r="G1008" s="422">
        <v>20</v>
      </c>
    </row>
    <row r="1009" spans="1:7" ht="16" x14ac:dyDescent="0.2">
      <c r="A1009" s="405"/>
      <c r="B1009" s="408" t="s">
        <v>70</v>
      </c>
      <c r="C1009" s="411">
        <v>1200</v>
      </c>
      <c r="D1009" s="413"/>
      <c r="E1009" s="419" t="s">
        <v>502</v>
      </c>
      <c r="F1009" s="425" t="s">
        <v>290</v>
      </c>
      <c r="G1009" s="422">
        <v>10</v>
      </c>
    </row>
    <row r="1010" spans="1:7" x14ac:dyDescent="0.2">
      <c r="A1010" s="405"/>
      <c r="B1010" s="409" t="s">
        <v>740</v>
      </c>
      <c r="C1010" s="412"/>
      <c r="D1010" s="413">
        <v>764.8</v>
      </c>
      <c r="E1010" s="409" t="s">
        <v>745</v>
      </c>
      <c r="F1010" s="426" t="s">
        <v>291</v>
      </c>
      <c r="G1010" s="422">
        <v>28.7</v>
      </c>
    </row>
    <row r="1011" spans="1:7" ht="16" thickBot="1" x14ac:dyDescent="0.25">
      <c r="A1011" s="405"/>
      <c r="B1011" s="409" t="s">
        <v>222</v>
      </c>
      <c r="C1011" s="412">
        <v>156</v>
      </c>
      <c r="D1011" s="413"/>
      <c r="E1011" s="409" t="s">
        <v>549</v>
      </c>
      <c r="F1011" s="427" t="s">
        <v>292</v>
      </c>
      <c r="G1011" s="423"/>
    </row>
    <row r="1012" spans="1:7" ht="16" thickBot="1" x14ac:dyDescent="0.25">
      <c r="A1012" s="405"/>
      <c r="B1012" s="408"/>
      <c r="C1012" s="412"/>
      <c r="D1012" s="413"/>
      <c r="E1012" s="417"/>
      <c r="F1012" s="831">
        <f>SUM(G1005:G1010)</f>
        <v>58.7</v>
      </c>
      <c r="G1012" s="832"/>
    </row>
    <row r="1013" spans="1:7" x14ac:dyDescent="0.2">
      <c r="A1013" s="405"/>
      <c r="B1013" s="408"/>
      <c r="C1013" s="411"/>
      <c r="D1013" s="413"/>
      <c r="E1013" s="417"/>
      <c r="F1013" s="430"/>
      <c r="G1013" s="428"/>
    </row>
    <row r="1014" spans="1:7" ht="16" thickBot="1" x14ac:dyDescent="0.25">
      <c r="A1014" s="405"/>
      <c r="B1014" s="408"/>
      <c r="C1014" s="411"/>
      <c r="D1014" s="413"/>
      <c r="E1014" s="420"/>
      <c r="F1014" s="431"/>
      <c r="G1014" s="429"/>
    </row>
    <row r="1015" spans="1:7" x14ac:dyDescent="0.2">
      <c r="A1015" s="405"/>
      <c r="B1015" s="408"/>
      <c r="C1015" s="412"/>
      <c r="D1015" s="413"/>
      <c r="E1015" s="417"/>
      <c r="F1015" s="833" t="s">
        <v>293</v>
      </c>
      <c r="G1015" s="834"/>
    </row>
    <row r="1016" spans="1:7" ht="16" thickBot="1" x14ac:dyDescent="0.25">
      <c r="A1016" s="405"/>
      <c r="B1016" s="316"/>
      <c r="C1016" s="234"/>
      <c r="D1016" s="413"/>
      <c r="E1016" s="316"/>
      <c r="F1016" s="835"/>
      <c r="G1016" s="836"/>
    </row>
    <row r="1017" spans="1:7" x14ac:dyDescent="0.2">
      <c r="A1017" s="405"/>
      <c r="B1017" s="408"/>
      <c r="C1017" s="412"/>
      <c r="D1017" s="413"/>
      <c r="E1017" s="417"/>
      <c r="F1017" s="424">
        <v>200</v>
      </c>
      <c r="G1017" s="421">
        <v>200</v>
      </c>
    </row>
    <row r="1018" spans="1:7" x14ac:dyDescent="0.2">
      <c r="A1018" s="405"/>
      <c r="B1018" s="408"/>
      <c r="C1018" s="411"/>
      <c r="D1018" s="413"/>
      <c r="E1018" s="417"/>
      <c r="F1018" s="425">
        <v>100</v>
      </c>
      <c r="G1018" s="422">
        <v>200</v>
      </c>
    </row>
    <row r="1019" spans="1:7" x14ac:dyDescent="0.2">
      <c r="A1019" s="405"/>
      <c r="B1019" s="408"/>
      <c r="C1019" s="411"/>
      <c r="D1019" s="413"/>
      <c r="E1019" s="417"/>
      <c r="F1019" s="425">
        <v>50</v>
      </c>
      <c r="G1019" s="422">
        <v>150</v>
      </c>
    </row>
    <row r="1020" spans="1:7" x14ac:dyDescent="0.2">
      <c r="A1020" s="405"/>
      <c r="B1020" s="408"/>
      <c r="C1020" s="411"/>
      <c r="D1020" s="413"/>
      <c r="E1020" s="417"/>
      <c r="F1020" s="425" t="s">
        <v>289</v>
      </c>
      <c r="G1020" s="422">
        <v>20</v>
      </c>
    </row>
    <row r="1021" spans="1:7" x14ac:dyDescent="0.2">
      <c r="A1021" s="405"/>
      <c r="B1021" s="408"/>
      <c r="C1021" s="411"/>
      <c r="D1021" s="413"/>
      <c r="E1021" s="417"/>
      <c r="F1021" s="425" t="s">
        <v>290</v>
      </c>
      <c r="G1021" s="422">
        <v>10</v>
      </c>
    </row>
    <row r="1022" spans="1:7" x14ac:dyDescent="0.2">
      <c r="A1022" s="405"/>
      <c r="B1022" s="408"/>
      <c r="C1022" s="411"/>
      <c r="D1022" s="413"/>
      <c r="E1022" s="417"/>
      <c r="F1022" s="426" t="s">
        <v>291</v>
      </c>
      <c r="G1022" s="422">
        <v>20.399999999999999</v>
      </c>
    </row>
    <row r="1023" spans="1:7" ht="16" thickBot="1" x14ac:dyDescent="0.25">
      <c r="A1023" s="405"/>
      <c r="B1023" s="408"/>
      <c r="C1023" s="411"/>
      <c r="D1023" s="413"/>
      <c r="E1023" s="417" t="s">
        <v>340</v>
      </c>
      <c r="F1023" s="427" t="s">
        <v>292</v>
      </c>
      <c r="G1023" s="423"/>
    </row>
    <row r="1024" spans="1:7" ht="16" thickBot="1" x14ac:dyDescent="0.25">
      <c r="A1024" s="405"/>
      <c r="B1024" s="408"/>
      <c r="C1024" s="411"/>
      <c r="D1024" s="415"/>
      <c r="E1024" s="417"/>
      <c r="F1024" s="837">
        <f>SUM(G1017:G1022)</f>
        <v>600.4</v>
      </c>
      <c r="G1024" s="838"/>
    </row>
    <row r="1025" spans="1:7" ht="16" thickBot="1" x14ac:dyDescent="0.25">
      <c r="A1025" s="406" t="s">
        <v>19</v>
      </c>
      <c r="B1025" s="185"/>
      <c r="C1025" s="407">
        <f>SUM(C1003:C1024)</f>
        <v>1864.7000000000003</v>
      </c>
      <c r="D1025" s="186">
        <f>SUM(D1003:D1024)</f>
        <v>1264.3</v>
      </c>
      <c r="E1025" s="186">
        <f>C1025-D1025</f>
        <v>600.40000000000032</v>
      </c>
      <c r="F1025" s="416"/>
      <c r="G1025" s="187"/>
    </row>
    <row r="1026" spans="1:7" ht="16" thickBot="1" x14ac:dyDescent="0.25"/>
    <row r="1027" spans="1:7" ht="33" thickBot="1" x14ac:dyDescent="0.25">
      <c r="A1027" s="686"/>
      <c r="B1027" s="183" t="s">
        <v>283</v>
      </c>
      <c r="C1027" s="236" t="s">
        <v>284</v>
      </c>
      <c r="D1027" s="184" t="s">
        <v>285</v>
      </c>
      <c r="E1027" s="184" t="s">
        <v>125</v>
      </c>
      <c r="F1027" s="827" t="s">
        <v>286</v>
      </c>
      <c r="G1027" s="828"/>
    </row>
    <row r="1028" spans="1:7" ht="16" thickBot="1" x14ac:dyDescent="0.25">
      <c r="A1028" s="433">
        <v>45708</v>
      </c>
      <c r="B1028" s="435" t="s">
        <v>287</v>
      </c>
      <c r="C1028" s="436">
        <f>E1025</f>
        <v>600.40000000000032</v>
      </c>
      <c r="D1028" s="28"/>
      <c r="E1028" s="438" t="s">
        <v>287</v>
      </c>
      <c r="F1028" s="829" t="s">
        <v>288</v>
      </c>
      <c r="G1028" s="830"/>
    </row>
    <row r="1029" spans="1:7" ht="16" thickBot="1" x14ac:dyDescent="0.25">
      <c r="A1029" s="432"/>
      <c r="B1029" s="434" t="s">
        <v>222</v>
      </c>
      <c r="C1029" s="410"/>
      <c r="D1029" s="439">
        <v>300</v>
      </c>
      <c r="E1029" s="437" t="s">
        <v>746</v>
      </c>
      <c r="F1029" s="829"/>
      <c r="G1029" s="830"/>
    </row>
    <row r="1030" spans="1:7" ht="16" x14ac:dyDescent="0.2">
      <c r="A1030" s="405"/>
      <c r="B1030" s="409" t="s">
        <v>303</v>
      </c>
      <c r="C1030" s="411"/>
      <c r="D1030" s="413">
        <v>200</v>
      </c>
      <c r="E1030" s="418" t="s">
        <v>224</v>
      </c>
      <c r="F1030" s="424">
        <v>200</v>
      </c>
      <c r="G1030" s="421">
        <v>200</v>
      </c>
    </row>
    <row r="1031" spans="1:7" ht="16" x14ac:dyDescent="0.2">
      <c r="A1031" s="405"/>
      <c r="B1031" s="409" t="s">
        <v>194</v>
      </c>
      <c r="C1031" s="411"/>
      <c r="D1031" s="413">
        <v>350</v>
      </c>
      <c r="E1031" s="418" t="s">
        <v>224</v>
      </c>
      <c r="F1031" s="425">
        <v>100</v>
      </c>
      <c r="G1031" s="422">
        <v>200</v>
      </c>
    </row>
    <row r="1032" spans="1:7" x14ac:dyDescent="0.2">
      <c r="A1032" s="405"/>
      <c r="B1032" s="316" t="s">
        <v>294</v>
      </c>
      <c r="C1032" s="410">
        <v>760</v>
      </c>
      <c r="D1032" s="414"/>
      <c r="E1032" s="316" t="s">
        <v>295</v>
      </c>
      <c r="F1032" s="425">
        <v>50</v>
      </c>
      <c r="G1032" s="422">
        <v>150</v>
      </c>
    </row>
    <row r="1033" spans="1:7" x14ac:dyDescent="0.2">
      <c r="A1033" s="405"/>
      <c r="B1033" s="316" t="s">
        <v>298</v>
      </c>
      <c r="C1033" s="410"/>
      <c r="D1033" s="414">
        <v>450</v>
      </c>
      <c r="E1033" s="316" t="s">
        <v>298</v>
      </c>
      <c r="F1033" s="425" t="s">
        <v>289</v>
      </c>
      <c r="G1033" s="422">
        <v>20</v>
      </c>
    </row>
    <row r="1034" spans="1:7" ht="16" x14ac:dyDescent="0.2">
      <c r="A1034" s="405"/>
      <c r="B1034" s="408" t="s">
        <v>279</v>
      </c>
      <c r="C1034" s="411"/>
      <c r="D1034" s="413">
        <v>50</v>
      </c>
      <c r="E1034" s="419" t="s">
        <v>457</v>
      </c>
      <c r="F1034" s="425" t="s">
        <v>290</v>
      </c>
      <c r="G1034" s="422">
        <v>10</v>
      </c>
    </row>
    <row r="1035" spans="1:7" x14ac:dyDescent="0.2">
      <c r="A1035" s="405"/>
      <c r="B1035" s="409"/>
      <c r="C1035" s="412"/>
      <c r="D1035" s="413"/>
      <c r="E1035" s="409"/>
      <c r="F1035" s="426" t="s">
        <v>291</v>
      </c>
      <c r="G1035" s="422">
        <v>20.399999999999999</v>
      </c>
    </row>
    <row r="1036" spans="1:7" ht="16" thickBot="1" x14ac:dyDescent="0.25">
      <c r="A1036" s="405"/>
      <c r="B1036" s="409"/>
      <c r="C1036" s="412"/>
      <c r="D1036" s="413"/>
      <c r="E1036" s="409"/>
      <c r="F1036" s="427" t="s">
        <v>292</v>
      </c>
      <c r="G1036" s="423"/>
    </row>
    <row r="1037" spans="1:7" ht="16" thickBot="1" x14ac:dyDescent="0.25">
      <c r="A1037" s="405"/>
      <c r="B1037" s="408"/>
      <c r="C1037" s="412"/>
      <c r="D1037" s="413"/>
      <c r="E1037" s="417"/>
      <c r="F1037" s="831">
        <f>SUM(G1030:G1035)</f>
        <v>600.4</v>
      </c>
      <c r="G1037" s="832"/>
    </row>
    <row r="1038" spans="1:7" x14ac:dyDescent="0.2">
      <c r="A1038" s="405"/>
      <c r="B1038" s="408"/>
      <c r="C1038" s="411"/>
      <c r="D1038" s="413"/>
      <c r="E1038" s="417"/>
      <c r="F1038" s="430"/>
      <c r="G1038" s="428"/>
    </row>
    <row r="1039" spans="1:7" ht="16" thickBot="1" x14ac:dyDescent="0.25">
      <c r="A1039" s="405"/>
      <c r="B1039" s="408"/>
      <c r="C1039" s="411"/>
      <c r="D1039" s="413"/>
      <c r="E1039" s="420"/>
      <c r="F1039" s="431"/>
      <c r="G1039" s="429"/>
    </row>
    <row r="1040" spans="1:7" x14ac:dyDescent="0.2">
      <c r="A1040" s="405"/>
      <c r="B1040" s="408"/>
      <c r="C1040" s="412"/>
      <c r="D1040" s="413"/>
      <c r="E1040" s="417"/>
      <c r="F1040" s="833" t="s">
        <v>293</v>
      </c>
      <c r="G1040" s="834"/>
    </row>
    <row r="1041" spans="1:7" ht="16" thickBot="1" x14ac:dyDescent="0.25">
      <c r="A1041" s="405"/>
      <c r="B1041" s="316"/>
      <c r="C1041" s="234"/>
      <c r="D1041" s="413"/>
      <c r="E1041" s="316"/>
      <c r="F1041" s="835"/>
      <c r="G1041" s="836"/>
    </row>
    <row r="1042" spans="1:7" x14ac:dyDescent="0.2">
      <c r="A1042" s="405"/>
      <c r="B1042" s="408"/>
      <c r="C1042" s="412"/>
      <c r="D1042" s="413"/>
      <c r="E1042" s="417"/>
      <c r="F1042" s="424">
        <v>200</v>
      </c>
      <c r="G1042" s="421"/>
    </row>
    <row r="1043" spans="1:7" x14ac:dyDescent="0.2">
      <c r="A1043" s="405"/>
      <c r="B1043" s="408"/>
      <c r="C1043" s="411"/>
      <c r="D1043" s="413"/>
      <c r="E1043" s="417"/>
      <c r="F1043" s="425">
        <v>100</v>
      </c>
      <c r="G1043" s="422"/>
    </row>
    <row r="1044" spans="1:7" x14ac:dyDescent="0.2">
      <c r="A1044" s="405"/>
      <c r="B1044" s="408"/>
      <c r="C1044" s="411"/>
      <c r="D1044" s="413"/>
      <c r="E1044" s="417"/>
      <c r="F1044" s="425">
        <v>50</v>
      </c>
      <c r="G1044" s="422"/>
    </row>
    <row r="1045" spans="1:7" x14ac:dyDescent="0.2">
      <c r="A1045" s="405"/>
      <c r="B1045" s="408"/>
      <c r="C1045" s="411"/>
      <c r="D1045" s="413"/>
      <c r="E1045" s="417"/>
      <c r="F1045" s="425" t="s">
        <v>289</v>
      </c>
      <c r="G1045" s="422"/>
    </row>
    <row r="1046" spans="1:7" x14ac:dyDescent="0.2">
      <c r="A1046" s="405"/>
      <c r="B1046" s="408"/>
      <c r="C1046" s="411"/>
      <c r="D1046" s="413"/>
      <c r="E1046" s="417"/>
      <c r="F1046" s="425" t="s">
        <v>290</v>
      </c>
      <c r="G1046" s="422"/>
    </row>
    <row r="1047" spans="1:7" x14ac:dyDescent="0.2">
      <c r="A1047" s="405"/>
      <c r="B1047" s="408"/>
      <c r="C1047" s="411"/>
      <c r="D1047" s="413"/>
      <c r="E1047" s="417"/>
      <c r="F1047" s="426" t="s">
        <v>291</v>
      </c>
      <c r="G1047" s="422">
        <f>2+2+2+2+2+0.4</f>
        <v>10.4</v>
      </c>
    </row>
    <row r="1048" spans="1:7" ht="16" thickBot="1" x14ac:dyDescent="0.25">
      <c r="A1048" s="405"/>
      <c r="B1048" s="408"/>
      <c r="C1048" s="411"/>
      <c r="D1048" s="413"/>
      <c r="E1048" s="417" t="s">
        <v>340</v>
      </c>
      <c r="F1048" s="427" t="s">
        <v>292</v>
      </c>
      <c r="G1048" s="423"/>
    </row>
    <row r="1049" spans="1:7" ht="16" thickBot="1" x14ac:dyDescent="0.25">
      <c r="A1049" s="405"/>
      <c r="B1049" s="408"/>
      <c r="C1049" s="411"/>
      <c r="D1049" s="415"/>
      <c r="E1049" s="417"/>
      <c r="F1049" s="837">
        <f>SUM(G1042:G1047)</f>
        <v>10.4</v>
      </c>
      <c r="G1049" s="838"/>
    </row>
    <row r="1050" spans="1:7" ht="16" thickBot="1" x14ac:dyDescent="0.25">
      <c r="A1050" s="406" t="s">
        <v>19</v>
      </c>
      <c r="B1050" s="185"/>
      <c r="C1050" s="407">
        <f>SUM(C1028:C1049)</f>
        <v>1360.4000000000003</v>
      </c>
      <c r="D1050" s="186">
        <f>SUM(D1028:D1049)</f>
        <v>1350</v>
      </c>
      <c r="E1050" s="186">
        <f>C1050-D1050</f>
        <v>10.400000000000318</v>
      </c>
      <c r="F1050" s="416"/>
      <c r="G1050" s="187"/>
    </row>
    <row r="1051" spans="1:7" ht="16" thickBot="1" x14ac:dyDescent="0.25"/>
    <row r="1052" spans="1:7" ht="33" thickBot="1" x14ac:dyDescent="0.25">
      <c r="A1052" s="686"/>
      <c r="B1052" s="183" t="s">
        <v>283</v>
      </c>
      <c r="C1052" s="236" t="s">
        <v>284</v>
      </c>
      <c r="D1052" s="184" t="s">
        <v>285</v>
      </c>
      <c r="E1052" s="184" t="s">
        <v>125</v>
      </c>
      <c r="F1052" s="827" t="s">
        <v>286</v>
      </c>
      <c r="G1052" s="828"/>
    </row>
    <row r="1053" spans="1:7" ht="16" thickBot="1" x14ac:dyDescent="0.25">
      <c r="A1053" s="433">
        <v>45709</v>
      </c>
      <c r="B1053" s="435" t="s">
        <v>287</v>
      </c>
      <c r="C1053" s="436">
        <f>E1050</f>
        <v>10.400000000000318</v>
      </c>
      <c r="D1053" s="28"/>
      <c r="E1053" s="438" t="s">
        <v>287</v>
      </c>
      <c r="F1053" s="829" t="s">
        <v>288</v>
      </c>
      <c r="G1053" s="830"/>
    </row>
    <row r="1054" spans="1:7" ht="16" thickBot="1" x14ac:dyDescent="0.25">
      <c r="A1054" s="432"/>
      <c r="B1054" s="434" t="s">
        <v>222</v>
      </c>
      <c r="C1054" s="410">
        <v>190</v>
      </c>
      <c r="D1054" s="439"/>
      <c r="E1054" s="437" t="s">
        <v>549</v>
      </c>
      <c r="F1054" s="829"/>
      <c r="G1054" s="830"/>
    </row>
    <row r="1055" spans="1:7" x14ac:dyDescent="0.2">
      <c r="A1055" s="405"/>
      <c r="B1055" s="409"/>
      <c r="C1055" s="411"/>
      <c r="D1055" s="413"/>
      <c r="E1055" s="418"/>
      <c r="F1055" s="424">
        <v>200</v>
      </c>
      <c r="G1055" s="421"/>
    </row>
    <row r="1056" spans="1:7" x14ac:dyDescent="0.2">
      <c r="A1056" s="405"/>
      <c r="B1056" s="409"/>
      <c r="C1056" s="411"/>
      <c r="D1056" s="413"/>
      <c r="E1056" s="418"/>
      <c r="F1056" s="425">
        <v>100</v>
      </c>
      <c r="G1056" s="422"/>
    </row>
    <row r="1057" spans="1:7" x14ac:dyDescent="0.2">
      <c r="A1057" s="405"/>
      <c r="B1057" s="316"/>
      <c r="C1057" s="410"/>
      <c r="D1057" s="414"/>
      <c r="E1057" s="316"/>
      <c r="F1057" s="425">
        <v>50</v>
      </c>
      <c r="G1057" s="422"/>
    </row>
    <row r="1058" spans="1:7" x14ac:dyDescent="0.2">
      <c r="A1058" s="405"/>
      <c r="B1058" s="316"/>
      <c r="C1058" s="410"/>
      <c r="D1058" s="414"/>
      <c r="E1058" s="316"/>
      <c r="F1058" s="425" t="s">
        <v>289</v>
      </c>
      <c r="G1058" s="422"/>
    </row>
    <row r="1059" spans="1:7" x14ac:dyDescent="0.2">
      <c r="A1059" s="405"/>
      <c r="B1059" s="408"/>
      <c r="C1059" s="411"/>
      <c r="D1059" s="413"/>
      <c r="E1059" s="419"/>
      <c r="F1059" s="425" t="s">
        <v>290</v>
      </c>
      <c r="G1059" s="422"/>
    </row>
    <row r="1060" spans="1:7" x14ac:dyDescent="0.2">
      <c r="A1060" s="405"/>
      <c r="B1060" s="409"/>
      <c r="C1060" s="412"/>
      <c r="D1060" s="413"/>
      <c r="E1060" s="409"/>
      <c r="F1060" s="426" t="s">
        <v>291</v>
      </c>
      <c r="G1060" s="422">
        <f>2+2+2+2+2+0.4</f>
        <v>10.4</v>
      </c>
    </row>
    <row r="1061" spans="1:7" ht="16" thickBot="1" x14ac:dyDescent="0.25">
      <c r="A1061" s="405"/>
      <c r="B1061" s="409"/>
      <c r="C1061" s="412"/>
      <c r="D1061" s="413"/>
      <c r="E1061" s="409"/>
      <c r="F1061" s="427" t="s">
        <v>292</v>
      </c>
      <c r="G1061" s="423"/>
    </row>
    <row r="1062" spans="1:7" ht="16" thickBot="1" x14ac:dyDescent="0.25">
      <c r="A1062" s="405"/>
      <c r="B1062" s="408"/>
      <c r="C1062" s="412"/>
      <c r="D1062" s="413"/>
      <c r="E1062" s="417"/>
      <c r="F1062" s="831">
        <f>SUM(G1055:G1060)</f>
        <v>10.4</v>
      </c>
      <c r="G1062" s="832"/>
    </row>
    <row r="1063" spans="1:7" x14ac:dyDescent="0.2">
      <c r="A1063" s="405"/>
      <c r="B1063" s="408"/>
      <c r="C1063" s="411"/>
      <c r="D1063" s="413"/>
      <c r="E1063" s="417"/>
      <c r="F1063" s="430"/>
      <c r="G1063" s="428"/>
    </row>
    <row r="1064" spans="1:7" ht="16" thickBot="1" x14ac:dyDescent="0.25">
      <c r="A1064" s="405"/>
      <c r="B1064" s="408"/>
      <c r="C1064" s="411"/>
      <c r="D1064" s="413"/>
      <c r="E1064" s="420"/>
      <c r="F1064" s="431"/>
      <c r="G1064" s="429"/>
    </row>
    <row r="1065" spans="1:7" x14ac:dyDescent="0.2">
      <c r="A1065" s="405"/>
      <c r="B1065" s="408"/>
      <c r="C1065" s="412"/>
      <c r="D1065" s="413"/>
      <c r="E1065" s="417"/>
      <c r="F1065" s="833" t="s">
        <v>293</v>
      </c>
      <c r="G1065" s="834"/>
    </row>
    <row r="1066" spans="1:7" ht="16" thickBot="1" x14ac:dyDescent="0.25">
      <c r="A1066" s="405"/>
      <c r="B1066" s="316"/>
      <c r="C1066" s="234"/>
      <c r="D1066" s="413"/>
      <c r="E1066" s="316"/>
      <c r="F1066" s="835"/>
      <c r="G1066" s="836"/>
    </row>
    <row r="1067" spans="1:7" x14ac:dyDescent="0.2">
      <c r="A1067" s="405"/>
      <c r="B1067" s="408"/>
      <c r="C1067" s="412"/>
      <c r="D1067" s="413"/>
      <c r="E1067" s="417"/>
      <c r="F1067" s="424">
        <v>200</v>
      </c>
      <c r="G1067" s="421"/>
    </row>
    <row r="1068" spans="1:7" x14ac:dyDescent="0.2">
      <c r="A1068" s="405"/>
      <c r="B1068" s="408"/>
      <c r="C1068" s="411"/>
      <c r="D1068" s="413"/>
      <c r="E1068" s="417"/>
      <c r="F1068" s="425">
        <v>100</v>
      </c>
      <c r="G1068" s="422"/>
    </row>
    <row r="1069" spans="1:7" x14ac:dyDescent="0.2">
      <c r="A1069" s="405"/>
      <c r="B1069" s="408"/>
      <c r="C1069" s="411"/>
      <c r="D1069" s="413"/>
      <c r="E1069" s="417"/>
      <c r="F1069" s="425">
        <v>50</v>
      </c>
      <c r="G1069" s="422">
        <v>100</v>
      </c>
    </row>
    <row r="1070" spans="1:7" x14ac:dyDescent="0.2">
      <c r="A1070" s="405"/>
      <c r="B1070" s="408"/>
      <c r="C1070" s="411"/>
      <c r="D1070" s="413"/>
      <c r="E1070" s="417"/>
      <c r="F1070" s="425" t="s">
        <v>289</v>
      </c>
      <c r="G1070" s="422">
        <v>80</v>
      </c>
    </row>
    <row r="1071" spans="1:7" x14ac:dyDescent="0.2">
      <c r="A1071" s="405"/>
      <c r="B1071" s="408"/>
      <c r="C1071" s="411"/>
      <c r="D1071" s="413"/>
      <c r="E1071" s="417"/>
      <c r="F1071" s="425" t="s">
        <v>290</v>
      </c>
      <c r="G1071" s="422">
        <v>10</v>
      </c>
    </row>
    <row r="1072" spans="1:7" x14ac:dyDescent="0.2">
      <c r="A1072" s="405"/>
      <c r="B1072" s="408"/>
      <c r="C1072" s="411"/>
      <c r="D1072" s="413"/>
      <c r="E1072" s="417"/>
      <c r="F1072" s="426" t="s">
        <v>291</v>
      </c>
      <c r="G1072" s="422">
        <f>2+2+2+2+2+0.4</f>
        <v>10.4</v>
      </c>
    </row>
    <row r="1073" spans="1:7" ht="16" thickBot="1" x14ac:dyDescent="0.25">
      <c r="A1073" s="405"/>
      <c r="B1073" s="408"/>
      <c r="C1073" s="411"/>
      <c r="D1073" s="413"/>
      <c r="E1073" s="417" t="s">
        <v>340</v>
      </c>
      <c r="F1073" s="427" t="s">
        <v>292</v>
      </c>
      <c r="G1073" s="423"/>
    </row>
    <row r="1074" spans="1:7" ht="16" thickBot="1" x14ac:dyDescent="0.25">
      <c r="A1074" s="405"/>
      <c r="B1074" s="408"/>
      <c r="C1074" s="411"/>
      <c r="D1074" s="415"/>
      <c r="E1074" s="417"/>
      <c r="F1074" s="837">
        <f>SUM(G1067:G1072)</f>
        <v>200.4</v>
      </c>
      <c r="G1074" s="838"/>
    </row>
    <row r="1075" spans="1:7" ht="16" thickBot="1" x14ac:dyDescent="0.25">
      <c r="A1075" s="406" t="s">
        <v>19</v>
      </c>
      <c r="B1075" s="185"/>
      <c r="C1075" s="407">
        <f>SUM(C1053:C1074)</f>
        <v>200.40000000000032</v>
      </c>
      <c r="D1075" s="186">
        <f>SUM(D1053:D1074)</f>
        <v>0</v>
      </c>
      <c r="E1075" s="186">
        <f>C1075-D1075</f>
        <v>200.40000000000032</v>
      </c>
      <c r="F1075" s="416"/>
      <c r="G1075" s="187"/>
    </row>
    <row r="1076" spans="1:7" ht="16" thickBot="1" x14ac:dyDescent="0.25"/>
    <row r="1077" spans="1:7" ht="33" thickBot="1" x14ac:dyDescent="0.25">
      <c r="A1077" s="686"/>
      <c r="B1077" s="183" t="s">
        <v>283</v>
      </c>
      <c r="C1077" s="236" t="s">
        <v>284</v>
      </c>
      <c r="D1077" s="184" t="s">
        <v>285</v>
      </c>
      <c r="E1077" s="184" t="s">
        <v>125</v>
      </c>
      <c r="F1077" s="827" t="s">
        <v>286</v>
      </c>
      <c r="G1077" s="828"/>
    </row>
    <row r="1078" spans="1:7" ht="16" thickBot="1" x14ac:dyDescent="0.25">
      <c r="A1078" s="433">
        <v>45711</v>
      </c>
      <c r="B1078" s="435" t="s">
        <v>287</v>
      </c>
      <c r="C1078" s="436">
        <f>E1075</f>
        <v>200.40000000000032</v>
      </c>
      <c r="D1078" s="28"/>
      <c r="E1078" s="438" t="s">
        <v>287</v>
      </c>
      <c r="F1078" s="829" t="s">
        <v>288</v>
      </c>
      <c r="G1078" s="830"/>
    </row>
    <row r="1079" spans="1:7" ht="16" thickBot="1" x14ac:dyDescent="0.25">
      <c r="A1079" s="432"/>
      <c r="B1079" s="434" t="s">
        <v>294</v>
      </c>
      <c r="C1079" s="410">
        <f>150</f>
        <v>150</v>
      </c>
      <c r="D1079" s="439"/>
      <c r="E1079" s="437" t="s">
        <v>295</v>
      </c>
      <c r="F1079" s="829"/>
      <c r="G1079" s="830"/>
    </row>
    <row r="1080" spans="1:7" ht="16" x14ac:dyDescent="0.2">
      <c r="A1080" s="405"/>
      <c r="B1080" s="409" t="s">
        <v>509</v>
      </c>
      <c r="C1080" s="411"/>
      <c r="D1080" s="413">
        <v>200</v>
      </c>
      <c r="E1080" s="418" t="s">
        <v>510</v>
      </c>
      <c r="F1080" s="424">
        <v>200</v>
      </c>
      <c r="G1080" s="421"/>
    </row>
    <row r="1081" spans="1:7" ht="16" x14ac:dyDescent="0.2">
      <c r="A1081" s="405"/>
      <c r="B1081" s="409" t="s">
        <v>518</v>
      </c>
      <c r="C1081" s="411">
        <v>50</v>
      </c>
      <c r="D1081" s="413"/>
      <c r="E1081" s="418" t="s">
        <v>518</v>
      </c>
      <c r="F1081" s="425">
        <v>100</v>
      </c>
      <c r="G1081" s="422"/>
    </row>
    <row r="1082" spans="1:7" x14ac:dyDescent="0.2">
      <c r="A1082" s="405"/>
      <c r="B1082" s="316"/>
      <c r="C1082" s="410"/>
      <c r="D1082" s="414"/>
      <c r="E1082" s="316"/>
      <c r="F1082" s="425">
        <v>50</v>
      </c>
      <c r="G1082" s="422">
        <v>100</v>
      </c>
    </row>
    <row r="1083" spans="1:7" x14ac:dyDescent="0.2">
      <c r="A1083" s="405"/>
      <c r="B1083" s="316"/>
      <c r="C1083" s="410"/>
      <c r="D1083" s="414"/>
      <c r="E1083" s="316"/>
      <c r="F1083" s="425" t="s">
        <v>289</v>
      </c>
      <c r="G1083" s="422">
        <v>80</v>
      </c>
    </row>
    <row r="1084" spans="1:7" x14ac:dyDescent="0.2">
      <c r="A1084" s="405"/>
      <c r="B1084" s="408"/>
      <c r="C1084" s="411"/>
      <c r="D1084" s="413"/>
      <c r="E1084" s="419"/>
      <c r="F1084" s="425" t="s">
        <v>290</v>
      </c>
      <c r="G1084" s="422">
        <v>10</v>
      </c>
    </row>
    <row r="1085" spans="1:7" x14ac:dyDescent="0.2">
      <c r="A1085" s="405"/>
      <c r="B1085" s="409"/>
      <c r="C1085" s="412"/>
      <c r="D1085" s="413"/>
      <c r="E1085" s="409"/>
      <c r="F1085" s="426" t="s">
        <v>291</v>
      </c>
      <c r="G1085" s="422">
        <f>2+2+2+2+2+0.4</f>
        <v>10.4</v>
      </c>
    </row>
    <row r="1086" spans="1:7" ht="16" thickBot="1" x14ac:dyDescent="0.25">
      <c r="A1086" s="405"/>
      <c r="B1086" s="409"/>
      <c r="C1086" s="412"/>
      <c r="D1086" s="413"/>
      <c r="E1086" s="409"/>
      <c r="F1086" s="427" t="s">
        <v>292</v>
      </c>
      <c r="G1086" s="423"/>
    </row>
    <row r="1087" spans="1:7" ht="16" thickBot="1" x14ac:dyDescent="0.25">
      <c r="A1087" s="405"/>
      <c r="B1087" s="408"/>
      <c r="C1087" s="412"/>
      <c r="D1087" s="413"/>
      <c r="E1087" s="417"/>
      <c r="F1087" s="831">
        <f>SUM(G1080:G1085)</f>
        <v>200.4</v>
      </c>
      <c r="G1087" s="832"/>
    </row>
    <row r="1088" spans="1:7" x14ac:dyDescent="0.2">
      <c r="A1088" s="405"/>
      <c r="B1088" s="408"/>
      <c r="C1088" s="411"/>
      <c r="D1088" s="413"/>
      <c r="E1088" s="417"/>
      <c r="F1088" s="430"/>
      <c r="G1088" s="428"/>
    </row>
    <row r="1089" spans="1:7" ht="16" thickBot="1" x14ac:dyDescent="0.25">
      <c r="A1089" s="405"/>
      <c r="B1089" s="408"/>
      <c r="C1089" s="411"/>
      <c r="D1089" s="413"/>
      <c r="E1089" s="420"/>
      <c r="F1089" s="431"/>
      <c r="G1089" s="429"/>
    </row>
    <row r="1090" spans="1:7" x14ac:dyDescent="0.2">
      <c r="A1090" s="405"/>
      <c r="B1090" s="408"/>
      <c r="C1090" s="412"/>
      <c r="D1090" s="413"/>
      <c r="E1090" s="417"/>
      <c r="F1090" s="833" t="s">
        <v>293</v>
      </c>
      <c r="G1090" s="834"/>
    </row>
    <row r="1091" spans="1:7" ht="16" thickBot="1" x14ac:dyDescent="0.25">
      <c r="A1091" s="405"/>
      <c r="B1091" s="316"/>
      <c r="C1091" s="234"/>
      <c r="D1091" s="413"/>
      <c r="E1091" s="316"/>
      <c r="F1091" s="835"/>
      <c r="G1091" s="836"/>
    </row>
    <row r="1092" spans="1:7" x14ac:dyDescent="0.2">
      <c r="A1092" s="405"/>
      <c r="B1092" s="408"/>
      <c r="C1092" s="412"/>
      <c r="D1092" s="413"/>
      <c r="E1092" s="417"/>
      <c r="F1092" s="424">
        <v>200</v>
      </c>
      <c r="G1092" s="421"/>
    </row>
    <row r="1093" spans="1:7" x14ac:dyDescent="0.2">
      <c r="A1093" s="405"/>
      <c r="B1093" s="408"/>
      <c r="C1093" s="411"/>
      <c r="D1093" s="413"/>
      <c r="E1093" s="417"/>
      <c r="F1093" s="425">
        <v>100</v>
      </c>
      <c r="G1093" s="422"/>
    </row>
    <row r="1094" spans="1:7" x14ac:dyDescent="0.2">
      <c r="A1094" s="405"/>
      <c r="B1094" s="408"/>
      <c r="C1094" s="411"/>
      <c r="D1094" s="413"/>
      <c r="E1094" s="417"/>
      <c r="F1094" s="425">
        <v>50</v>
      </c>
      <c r="G1094" s="422">
        <v>100</v>
      </c>
    </row>
    <row r="1095" spans="1:7" x14ac:dyDescent="0.2">
      <c r="A1095" s="405"/>
      <c r="B1095" s="408"/>
      <c r="C1095" s="411"/>
      <c r="D1095" s="413"/>
      <c r="E1095" s="417"/>
      <c r="F1095" s="425" t="s">
        <v>289</v>
      </c>
      <c r="G1095" s="422">
        <v>80</v>
      </c>
    </row>
    <row r="1096" spans="1:7" x14ac:dyDescent="0.2">
      <c r="A1096" s="405"/>
      <c r="B1096" s="408"/>
      <c r="C1096" s="411"/>
      <c r="D1096" s="413"/>
      <c r="E1096" s="417"/>
      <c r="F1096" s="425" t="s">
        <v>290</v>
      </c>
      <c r="G1096" s="422">
        <v>10</v>
      </c>
    </row>
    <row r="1097" spans="1:7" x14ac:dyDescent="0.2">
      <c r="A1097" s="405"/>
      <c r="B1097" s="408"/>
      <c r="C1097" s="411"/>
      <c r="D1097" s="413"/>
      <c r="E1097" s="417"/>
      <c r="F1097" s="426" t="s">
        <v>291</v>
      </c>
      <c r="G1097" s="422">
        <f>2+2+2+2+2+0.4</f>
        <v>10.4</v>
      </c>
    </row>
    <row r="1098" spans="1:7" ht="16" thickBot="1" x14ac:dyDescent="0.25">
      <c r="A1098" s="405"/>
      <c r="B1098" s="408"/>
      <c r="C1098" s="411"/>
      <c r="D1098" s="413"/>
      <c r="E1098" s="417" t="s">
        <v>340</v>
      </c>
      <c r="F1098" s="427" t="s">
        <v>292</v>
      </c>
      <c r="G1098" s="423"/>
    </row>
    <row r="1099" spans="1:7" ht="16" thickBot="1" x14ac:dyDescent="0.25">
      <c r="A1099" s="405"/>
      <c r="B1099" s="408"/>
      <c r="C1099" s="411"/>
      <c r="D1099" s="415"/>
      <c r="E1099" s="417"/>
      <c r="F1099" s="837">
        <f>SUM(G1092:G1097)</f>
        <v>200.4</v>
      </c>
      <c r="G1099" s="838"/>
    </row>
    <row r="1100" spans="1:7" ht="16" thickBot="1" x14ac:dyDescent="0.25">
      <c r="A1100" s="406" t="s">
        <v>19</v>
      </c>
      <c r="B1100" s="185"/>
      <c r="C1100" s="407">
        <f>SUM(C1078:C1099)</f>
        <v>400.40000000000032</v>
      </c>
      <c r="D1100" s="186">
        <f>SUM(D1078:D1099)</f>
        <v>200</v>
      </c>
      <c r="E1100" s="186">
        <f>C1100-D1100</f>
        <v>200.40000000000032</v>
      </c>
      <c r="F1100" s="416"/>
      <c r="G1100" s="187"/>
    </row>
    <row r="1101" spans="1:7" ht="16" thickBot="1" x14ac:dyDescent="0.25"/>
    <row r="1102" spans="1:7" ht="33" thickBot="1" x14ac:dyDescent="0.25">
      <c r="A1102" s="686"/>
      <c r="B1102" s="183" t="s">
        <v>283</v>
      </c>
      <c r="C1102" s="236" t="s">
        <v>284</v>
      </c>
      <c r="D1102" s="184" t="s">
        <v>285</v>
      </c>
      <c r="E1102" s="184" t="s">
        <v>125</v>
      </c>
      <c r="F1102" s="827" t="s">
        <v>286</v>
      </c>
      <c r="G1102" s="828"/>
    </row>
    <row r="1103" spans="1:7" ht="16" thickBot="1" x14ac:dyDescent="0.25">
      <c r="A1103" s="433">
        <v>45712</v>
      </c>
      <c r="B1103" s="435" t="s">
        <v>287</v>
      </c>
      <c r="C1103" s="436">
        <f>E1100</f>
        <v>200.40000000000032</v>
      </c>
      <c r="D1103" s="28"/>
      <c r="E1103" s="438" t="s">
        <v>287</v>
      </c>
      <c r="F1103" s="829" t="s">
        <v>288</v>
      </c>
      <c r="G1103" s="830"/>
    </row>
    <row r="1104" spans="1:7" ht="16" thickBot="1" x14ac:dyDescent="0.25">
      <c r="A1104" s="432"/>
      <c r="B1104" s="434" t="s">
        <v>294</v>
      </c>
      <c r="C1104" s="410">
        <f>150+450+300</f>
        <v>900</v>
      </c>
      <c r="D1104" s="439"/>
      <c r="E1104" s="437" t="s">
        <v>295</v>
      </c>
      <c r="F1104" s="829"/>
      <c r="G1104" s="830"/>
    </row>
    <row r="1105" spans="1:7" ht="16" x14ac:dyDescent="0.2">
      <c r="A1105" s="405"/>
      <c r="B1105" s="409" t="s">
        <v>509</v>
      </c>
      <c r="C1105" s="411"/>
      <c r="D1105" s="413">
        <v>200</v>
      </c>
      <c r="E1105" s="418" t="s">
        <v>490</v>
      </c>
      <c r="F1105" s="424">
        <v>200</v>
      </c>
      <c r="G1105" s="421"/>
    </row>
    <row r="1106" spans="1:7" ht="16" x14ac:dyDescent="0.2">
      <c r="A1106" s="405"/>
      <c r="B1106" s="409" t="s">
        <v>187</v>
      </c>
      <c r="C1106" s="411"/>
      <c r="D1106" s="413">
        <v>500</v>
      </c>
      <c r="E1106" s="418" t="s">
        <v>187</v>
      </c>
      <c r="F1106" s="425">
        <v>100</v>
      </c>
      <c r="G1106" s="422"/>
    </row>
    <row r="1107" spans="1:7" x14ac:dyDescent="0.2">
      <c r="A1107" s="405"/>
      <c r="B1107" s="316" t="s">
        <v>310</v>
      </c>
      <c r="C1107" s="410"/>
      <c r="D1107" s="414">
        <v>60</v>
      </c>
      <c r="E1107" s="316" t="s">
        <v>548</v>
      </c>
      <c r="F1107" s="425">
        <v>50</v>
      </c>
      <c r="G1107" s="422">
        <v>100</v>
      </c>
    </row>
    <row r="1108" spans="1:7" x14ac:dyDescent="0.2">
      <c r="A1108" s="405"/>
      <c r="B1108" s="316" t="s">
        <v>298</v>
      </c>
      <c r="C1108" s="410"/>
      <c r="D1108" s="414">
        <v>230</v>
      </c>
      <c r="E1108" s="316" t="s">
        <v>298</v>
      </c>
      <c r="F1108" s="425" t="s">
        <v>289</v>
      </c>
      <c r="G1108" s="422">
        <v>80</v>
      </c>
    </row>
    <row r="1109" spans="1:7" x14ac:dyDescent="0.2">
      <c r="A1109" s="405"/>
      <c r="B1109" s="408"/>
      <c r="C1109" s="411"/>
      <c r="D1109" s="413"/>
      <c r="E1109" s="419"/>
      <c r="F1109" s="425" t="s">
        <v>290</v>
      </c>
      <c r="G1109" s="422">
        <v>10</v>
      </c>
    </row>
    <row r="1110" spans="1:7" x14ac:dyDescent="0.2">
      <c r="A1110" s="405"/>
      <c r="B1110" s="409"/>
      <c r="C1110" s="412"/>
      <c r="D1110" s="413"/>
      <c r="E1110" s="409"/>
      <c r="F1110" s="426" t="s">
        <v>291</v>
      </c>
      <c r="G1110" s="422">
        <f>2+2+2+2+2+0.4</f>
        <v>10.4</v>
      </c>
    </row>
    <row r="1111" spans="1:7" ht="16" thickBot="1" x14ac:dyDescent="0.25">
      <c r="A1111" s="405"/>
      <c r="B1111" s="409"/>
      <c r="C1111" s="412"/>
      <c r="D1111" s="413"/>
      <c r="E1111" s="409"/>
      <c r="F1111" s="427" t="s">
        <v>292</v>
      </c>
      <c r="G1111" s="423"/>
    </row>
    <row r="1112" spans="1:7" ht="16" thickBot="1" x14ac:dyDescent="0.25">
      <c r="A1112" s="405"/>
      <c r="B1112" s="408"/>
      <c r="C1112" s="412"/>
      <c r="D1112" s="413"/>
      <c r="E1112" s="417"/>
      <c r="F1112" s="831">
        <f>SUM(G1105:G1110)</f>
        <v>200.4</v>
      </c>
      <c r="G1112" s="832"/>
    </row>
    <row r="1113" spans="1:7" x14ac:dyDescent="0.2">
      <c r="A1113" s="405"/>
      <c r="B1113" s="408"/>
      <c r="C1113" s="411"/>
      <c r="D1113" s="413"/>
      <c r="E1113" s="417"/>
      <c r="F1113" s="430"/>
      <c r="G1113" s="428"/>
    </row>
    <row r="1114" spans="1:7" ht="16" thickBot="1" x14ac:dyDescent="0.25">
      <c r="A1114" s="405"/>
      <c r="B1114" s="408"/>
      <c r="C1114" s="411"/>
      <c r="D1114" s="413"/>
      <c r="E1114" s="420"/>
      <c r="F1114" s="431"/>
      <c r="G1114" s="429"/>
    </row>
    <row r="1115" spans="1:7" x14ac:dyDescent="0.2">
      <c r="A1115" s="405"/>
      <c r="B1115" s="408"/>
      <c r="C1115" s="412"/>
      <c r="D1115" s="413"/>
      <c r="E1115" s="417"/>
      <c r="F1115" s="833" t="s">
        <v>293</v>
      </c>
      <c r="G1115" s="834"/>
    </row>
    <row r="1116" spans="1:7" ht="16" thickBot="1" x14ac:dyDescent="0.25">
      <c r="A1116" s="405"/>
      <c r="B1116" s="316"/>
      <c r="C1116" s="234"/>
      <c r="D1116" s="413"/>
      <c r="E1116" s="316"/>
      <c r="F1116" s="835"/>
      <c r="G1116" s="836"/>
    </row>
    <row r="1117" spans="1:7" x14ac:dyDescent="0.2">
      <c r="A1117" s="405"/>
      <c r="B1117" s="408"/>
      <c r="C1117" s="412"/>
      <c r="D1117" s="413"/>
      <c r="E1117" s="417"/>
      <c r="F1117" s="424">
        <v>200</v>
      </c>
      <c r="G1117" s="421"/>
    </row>
    <row r="1118" spans="1:7" x14ac:dyDescent="0.2">
      <c r="A1118" s="405"/>
      <c r="B1118" s="408"/>
      <c r="C1118" s="411"/>
      <c r="D1118" s="413"/>
      <c r="E1118" s="417"/>
      <c r="F1118" s="425">
        <v>100</v>
      </c>
      <c r="G1118" s="422"/>
    </row>
    <row r="1119" spans="1:7" x14ac:dyDescent="0.2">
      <c r="A1119" s="405"/>
      <c r="B1119" s="408"/>
      <c r="C1119" s="411"/>
      <c r="D1119" s="413"/>
      <c r="E1119" s="417"/>
      <c r="F1119" s="425">
        <v>50</v>
      </c>
      <c r="G1119" s="422">
        <v>100</v>
      </c>
    </row>
    <row r="1120" spans="1:7" x14ac:dyDescent="0.2">
      <c r="A1120" s="405"/>
      <c r="B1120" s="408"/>
      <c r="C1120" s="411"/>
      <c r="D1120" s="413"/>
      <c r="E1120" s="417"/>
      <c r="F1120" s="425" t="s">
        <v>289</v>
      </c>
      <c r="G1120" s="422"/>
    </row>
    <row r="1121" spans="1:7" x14ac:dyDescent="0.2">
      <c r="A1121" s="405"/>
      <c r="B1121" s="408"/>
      <c r="C1121" s="411"/>
      <c r="D1121" s="413"/>
      <c r="E1121" s="417"/>
      <c r="F1121" s="425" t="s">
        <v>290</v>
      </c>
      <c r="G1121" s="422"/>
    </row>
    <row r="1122" spans="1:7" x14ac:dyDescent="0.2">
      <c r="A1122" s="405"/>
      <c r="B1122" s="408"/>
      <c r="C1122" s="411"/>
      <c r="D1122" s="413"/>
      <c r="E1122" s="417"/>
      <c r="F1122" s="426" t="s">
        <v>291</v>
      </c>
      <c r="G1122" s="422">
        <f>2+2+2+2+2+0.4</f>
        <v>10.4</v>
      </c>
    </row>
    <row r="1123" spans="1:7" ht="16" thickBot="1" x14ac:dyDescent="0.25">
      <c r="A1123" s="405"/>
      <c r="B1123" s="408"/>
      <c r="C1123" s="411"/>
      <c r="D1123" s="413"/>
      <c r="E1123" s="417" t="s">
        <v>340</v>
      </c>
      <c r="F1123" s="427" t="s">
        <v>292</v>
      </c>
      <c r="G1123" s="423"/>
    </row>
    <row r="1124" spans="1:7" ht="16" thickBot="1" x14ac:dyDescent="0.25">
      <c r="A1124" s="405"/>
      <c r="B1124" s="408"/>
      <c r="C1124" s="411"/>
      <c r="D1124" s="415"/>
      <c r="E1124" s="417"/>
      <c r="F1124" s="837">
        <f>SUM(G1117:G1122)</f>
        <v>110.4</v>
      </c>
      <c r="G1124" s="838"/>
    </row>
    <row r="1125" spans="1:7" ht="16" thickBot="1" x14ac:dyDescent="0.25">
      <c r="A1125" s="406" t="s">
        <v>19</v>
      </c>
      <c r="B1125" s="185"/>
      <c r="C1125" s="407">
        <f>SUM(C1103:C1124)</f>
        <v>1100.4000000000003</v>
      </c>
      <c r="D1125" s="186">
        <f>SUM(D1103:D1124)</f>
        <v>990</v>
      </c>
      <c r="E1125" s="186">
        <f>C1125-D1125</f>
        <v>110.40000000000032</v>
      </c>
      <c r="F1125" s="416"/>
      <c r="G1125" s="187"/>
    </row>
    <row r="1126" spans="1:7" ht="16" thickBot="1" x14ac:dyDescent="0.25"/>
    <row r="1127" spans="1:7" ht="33" thickBot="1" x14ac:dyDescent="0.25">
      <c r="A1127" s="686"/>
      <c r="B1127" s="183" t="s">
        <v>283</v>
      </c>
      <c r="C1127" s="236" t="s">
        <v>284</v>
      </c>
      <c r="D1127" s="184" t="s">
        <v>285</v>
      </c>
      <c r="E1127" s="184" t="s">
        <v>125</v>
      </c>
      <c r="F1127" s="827" t="s">
        <v>286</v>
      </c>
      <c r="G1127" s="828"/>
    </row>
    <row r="1128" spans="1:7" ht="16" thickBot="1" x14ac:dyDescent="0.25">
      <c r="A1128" s="433">
        <v>45713</v>
      </c>
      <c r="B1128" s="435" t="s">
        <v>287</v>
      </c>
      <c r="C1128" s="436">
        <f>E1125</f>
        <v>110.40000000000032</v>
      </c>
      <c r="D1128" s="28"/>
      <c r="E1128" s="438" t="s">
        <v>287</v>
      </c>
      <c r="F1128" s="829" t="s">
        <v>288</v>
      </c>
      <c r="G1128" s="830"/>
    </row>
    <row r="1129" spans="1:7" ht="16" thickBot="1" x14ac:dyDescent="0.25">
      <c r="A1129" s="432"/>
      <c r="B1129" s="434" t="s">
        <v>294</v>
      </c>
      <c r="C1129" s="410">
        <v>250</v>
      </c>
      <c r="D1129" s="439"/>
      <c r="E1129" s="437" t="s">
        <v>295</v>
      </c>
      <c r="F1129" s="829"/>
      <c r="G1129" s="830"/>
    </row>
    <row r="1130" spans="1:7" ht="16" x14ac:dyDescent="0.2">
      <c r="A1130" s="405"/>
      <c r="B1130" s="409" t="s">
        <v>566</v>
      </c>
      <c r="C1130" s="411"/>
      <c r="D1130" s="413">
        <v>150</v>
      </c>
      <c r="E1130" s="418" t="s">
        <v>510</v>
      </c>
      <c r="F1130" s="424">
        <v>200</v>
      </c>
      <c r="G1130" s="421"/>
    </row>
    <row r="1131" spans="1:7" x14ac:dyDescent="0.2">
      <c r="A1131" s="405"/>
      <c r="B1131" s="409"/>
      <c r="C1131" s="411"/>
      <c r="D1131" s="413"/>
      <c r="E1131" s="418"/>
      <c r="F1131" s="425">
        <v>100</v>
      </c>
      <c r="G1131" s="422"/>
    </row>
    <row r="1132" spans="1:7" x14ac:dyDescent="0.2">
      <c r="A1132" s="405"/>
      <c r="B1132" s="316"/>
      <c r="C1132" s="410"/>
      <c r="D1132" s="414"/>
      <c r="E1132" s="316"/>
      <c r="F1132" s="425">
        <v>50</v>
      </c>
      <c r="G1132" s="422">
        <v>100</v>
      </c>
    </row>
    <row r="1133" spans="1:7" x14ac:dyDescent="0.2">
      <c r="A1133" s="405"/>
      <c r="B1133" s="316"/>
      <c r="C1133" s="410"/>
      <c r="D1133" s="414"/>
      <c r="E1133" s="316"/>
      <c r="F1133" s="425" t="s">
        <v>289</v>
      </c>
      <c r="G1133" s="422"/>
    </row>
    <row r="1134" spans="1:7" x14ac:dyDescent="0.2">
      <c r="A1134" s="405"/>
      <c r="B1134" s="408"/>
      <c r="C1134" s="411"/>
      <c r="D1134" s="413"/>
      <c r="E1134" s="419"/>
      <c r="F1134" s="425" t="s">
        <v>290</v>
      </c>
      <c r="G1134" s="422"/>
    </row>
    <row r="1135" spans="1:7" x14ac:dyDescent="0.2">
      <c r="A1135" s="405"/>
      <c r="B1135" s="409"/>
      <c r="C1135" s="412"/>
      <c r="D1135" s="413"/>
      <c r="E1135" s="409"/>
      <c r="F1135" s="426" t="s">
        <v>291</v>
      </c>
      <c r="G1135" s="422">
        <f>2+2+2+2+2+0.4</f>
        <v>10.4</v>
      </c>
    </row>
    <row r="1136" spans="1:7" ht="16" thickBot="1" x14ac:dyDescent="0.25">
      <c r="A1136" s="405"/>
      <c r="B1136" s="409"/>
      <c r="C1136" s="412"/>
      <c r="D1136" s="413"/>
      <c r="E1136" s="409"/>
      <c r="F1136" s="427" t="s">
        <v>292</v>
      </c>
      <c r="G1136" s="423"/>
    </row>
    <row r="1137" spans="1:7" ht="16" thickBot="1" x14ac:dyDescent="0.25">
      <c r="A1137" s="405"/>
      <c r="B1137" s="408"/>
      <c r="C1137" s="412"/>
      <c r="D1137" s="413"/>
      <c r="E1137" s="417"/>
      <c r="F1137" s="831">
        <f>SUM(G1130:G1135)</f>
        <v>110.4</v>
      </c>
      <c r="G1137" s="832"/>
    </row>
    <row r="1138" spans="1:7" x14ac:dyDescent="0.2">
      <c r="A1138" s="405"/>
      <c r="B1138" s="408"/>
      <c r="C1138" s="411"/>
      <c r="D1138" s="413"/>
      <c r="E1138" s="417"/>
      <c r="F1138" s="430"/>
      <c r="G1138" s="428"/>
    </row>
    <row r="1139" spans="1:7" ht="16" thickBot="1" x14ac:dyDescent="0.25">
      <c r="A1139" s="405"/>
      <c r="B1139" s="408"/>
      <c r="C1139" s="411"/>
      <c r="D1139" s="413"/>
      <c r="E1139" s="420"/>
      <c r="F1139" s="431"/>
      <c r="G1139" s="429"/>
    </row>
    <row r="1140" spans="1:7" x14ac:dyDescent="0.2">
      <c r="A1140" s="405"/>
      <c r="B1140" s="408"/>
      <c r="C1140" s="412"/>
      <c r="D1140" s="413"/>
      <c r="E1140" s="417"/>
      <c r="F1140" s="833" t="s">
        <v>293</v>
      </c>
      <c r="G1140" s="834"/>
    </row>
    <row r="1141" spans="1:7" ht="16" thickBot="1" x14ac:dyDescent="0.25">
      <c r="A1141" s="405"/>
      <c r="B1141" s="316"/>
      <c r="C1141" s="234"/>
      <c r="D1141" s="413"/>
      <c r="E1141" s="316"/>
      <c r="F1141" s="835"/>
      <c r="G1141" s="836"/>
    </row>
    <row r="1142" spans="1:7" x14ac:dyDescent="0.2">
      <c r="A1142" s="405"/>
      <c r="B1142" s="408"/>
      <c r="C1142" s="412"/>
      <c r="D1142" s="413"/>
      <c r="E1142" s="417"/>
      <c r="F1142" s="424">
        <v>200</v>
      </c>
      <c r="G1142" s="421"/>
    </row>
    <row r="1143" spans="1:7" x14ac:dyDescent="0.2">
      <c r="A1143" s="405"/>
      <c r="B1143" s="408"/>
      <c r="C1143" s="411"/>
      <c r="D1143" s="413"/>
      <c r="E1143" s="417"/>
      <c r="F1143" s="425">
        <v>100</v>
      </c>
      <c r="G1143" s="422"/>
    </row>
    <row r="1144" spans="1:7" x14ac:dyDescent="0.2">
      <c r="A1144" s="405"/>
      <c r="B1144" s="408"/>
      <c r="C1144" s="411"/>
      <c r="D1144" s="413"/>
      <c r="E1144" s="417"/>
      <c r="F1144" s="425">
        <v>50</v>
      </c>
      <c r="G1144" s="422">
        <v>100</v>
      </c>
    </row>
    <row r="1145" spans="1:7" x14ac:dyDescent="0.2">
      <c r="A1145" s="405"/>
      <c r="B1145" s="408"/>
      <c r="C1145" s="411"/>
      <c r="D1145" s="413"/>
      <c r="E1145" s="417"/>
      <c r="F1145" s="425" t="s">
        <v>289</v>
      </c>
      <c r="G1145" s="422">
        <v>80</v>
      </c>
    </row>
    <row r="1146" spans="1:7" x14ac:dyDescent="0.2">
      <c r="A1146" s="405"/>
      <c r="B1146" s="408"/>
      <c r="C1146" s="411"/>
      <c r="D1146" s="413"/>
      <c r="E1146" s="417"/>
      <c r="F1146" s="425" t="s">
        <v>290</v>
      </c>
      <c r="G1146" s="422">
        <v>20</v>
      </c>
    </row>
    <row r="1147" spans="1:7" x14ac:dyDescent="0.2">
      <c r="A1147" s="405"/>
      <c r="B1147" s="408"/>
      <c r="C1147" s="411"/>
      <c r="D1147" s="413"/>
      <c r="E1147" s="417"/>
      <c r="F1147" s="426" t="s">
        <v>291</v>
      </c>
      <c r="G1147" s="422">
        <f>2+2+2+2+2+0.4</f>
        <v>10.4</v>
      </c>
    </row>
    <row r="1148" spans="1:7" ht="16" thickBot="1" x14ac:dyDescent="0.25">
      <c r="A1148" s="405"/>
      <c r="B1148" s="408"/>
      <c r="C1148" s="411"/>
      <c r="D1148" s="413"/>
      <c r="E1148" s="417" t="s">
        <v>340</v>
      </c>
      <c r="F1148" s="427" t="s">
        <v>292</v>
      </c>
      <c r="G1148" s="423"/>
    </row>
    <row r="1149" spans="1:7" ht="16" thickBot="1" x14ac:dyDescent="0.25">
      <c r="A1149" s="405"/>
      <c r="B1149" s="408"/>
      <c r="C1149" s="411"/>
      <c r="D1149" s="415"/>
      <c r="E1149" s="417"/>
      <c r="F1149" s="837">
        <f>SUM(G1142:G1147)</f>
        <v>210.4</v>
      </c>
      <c r="G1149" s="838"/>
    </row>
    <row r="1150" spans="1:7" ht="16" thickBot="1" x14ac:dyDescent="0.25">
      <c r="A1150" s="406" t="s">
        <v>19</v>
      </c>
      <c r="B1150" s="185"/>
      <c r="C1150" s="407">
        <f>SUM(C1128:C1149)</f>
        <v>360.40000000000032</v>
      </c>
      <c r="D1150" s="186">
        <f>SUM(D1128:D1149)</f>
        <v>150</v>
      </c>
      <c r="E1150" s="186">
        <f>C1150-D1150</f>
        <v>210.40000000000032</v>
      </c>
      <c r="F1150" s="416"/>
      <c r="G1150" s="187"/>
    </row>
    <row r="1151" spans="1:7" ht="16" thickBot="1" x14ac:dyDescent="0.25"/>
    <row r="1152" spans="1:7" ht="33" thickBot="1" x14ac:dyDescent="0.25">
      <c r="A1152" s="686"/>
      <c r="B1152" s="183" t="s">
        <v>283</v>
      </c>
      <c r="C1152" s="236" t="s">
        <v>284</v>
      </c>
      <c r="D1152" s="184" t="s">
        <v>285</v>
      </c>
      <c r="E1152" s="184" t="s">
        <v>125</v>
      </c>
      <c r="F1152" s="827" t="s">
        <v>286</v>
      </c>
      <c r="G1152" s="828"/>
    </row>
    <row r="1153" spans="1:7" ht="16" thickBot="1" x14ac:dyDescent="0.25">
      <c r="A1153" s="433">
        <v>45714</v>
      </c>
      <c r="B1153" s="435" t="s">
        <v>287</v>
      </c>
      <c r="C1153" s="436">
        <f>E1150</f>
        <v>210.40000000000032</v>
      </c>
      <c r="D1153" s="28"/>
      <c r="E1153" s="438" t="s">
        <v>287</v>
      </c>
      <c r="F1153" s="829" t="s">
        <v>288</v>
      </c>
      <c r="G1153" s="830"/>
    </row>
    <row r="1154" spans="1:7" ht="16" thickBot="1" x14ac:dyDescent="0.25">
      <c r="A1154" s="432"/>
      <c r="B1154" s="434" t="s">
        <v>9</v>
      </c>
      <c r="C1154" s="410"/>
      <c r="D1154" s="439">
        <v>120</v>
      </c>
      <c r="E1154" s="437" t="s">
        <v>703</v>
      </c>
      <c r="F1154" s="829"/>
      <c r="G1154" s="830"/>
    </row>
    <row r="1155" spans="1:7" ht="16" x14ac:dyDescent="0.2">
      <c r="A1155" s="405"/>
      <c r="B1155" s="409" t="s">
        <v>334</v>
      </c>
      <c r="C1155" s="411"/>
      <c r="D1155" s="413">
        <v>180</v>
      </c>
      <c r="E1155" s="418" t="s">
        <v>577</v>
      </c>
      <c r="F1155" s="424">
        <v>200</v>
      </c>
      <c r="G1155" s="421"/>
    </row>
    <row r="1156" spans="1:7" ht="16" x14ac:dyDescent="0.2">
      <c r="A1156" s="405"/>
      <c r="B1156" s="409" t="s">
        <v>294</v>
      </c>
      <c r="C1156" s="411">
        <f>150+300+150+150</f>
        <v>750</v>
      </c>
      <c r="D1156" s="413"/>
      <c r="E1156" s="418" t="s">
        <v>295</v>
      </c>
      <c r="F1156" s="425">
        <v>100</v>
      </c>
      <c r="G1156" s="422"/>
    </row>
    <row r="1157" spans="1:7" x14ac:dyDescent="0.2">
      <c r="A1157" s="405"/>
      <c r="B1157" s="316" t="s">
        <v>194</v>
      </c>
      <c r="C1157" s="410"/>
      <c r="D1157" s="414">
        <v>50</v>
      </c>
      <c r="E1157" s="316" t="s">
        <v>224</v>
      </c>
      <c r="F1157" s="425">
        <v>50</v>
      </c>
      <c r="G1157" s="422">
        <v>100</v>
      </c>
    </row>
    <row r="1158" spans="1:7" x14ac:dyDescent="0.2">
      <c r="A1158" s="405"/>
      <c r="B1158" s="316" t="s">
        <v>546</v>
      </c>
      <c r="C1158" s="410"/>
      <c r="D1158" s="414">
        <v>150</v>
      </c>
      <c r="E1158" s="316" t="s">
        <v>485</v>
      </c>
      <c r="F1158" s="425" t="s">
        <v>289</v>
      </c>
      <c r="G1158" s="422">
        <v>80</v>
      </c>
    </row>
    <row r="1159" spans="1:7" x14ac:dyDescent="0.2">
      <c r="A1159" s="405"/>
      <c r="B1159" s="408"/>
      <c r="C1159" s="411"/>
      <c r="D1159" s="413"/>
      <c r="E1159" s="419"/>
      <c r="F1159" s="425" t="s">
        <v>290</v>
      </c>
      <c r="G1159" s="422">
        <v>20</v>
      </c>
    </row>
    <row r="1160" spans="1:7" x14ac:dyDescent="0.2">
      <c r="A1160" s="405"/>
      <c r="B1160" s="409"/>
      <c r="C1160" s="412"/>
      <c r="D1160" s="413"/>
      <c r="E1160" s="409"/>
      <c r="F1160" s="426" t="s">
        <v>291</v>
      </c>
      <c r="G1160" s="422">
        <f>2+2+2+2+2+0.4</f>
        <v>10.4</v>
      </c>
    </row>
    <row r="1161" spans="1:7" ht="16" thickBot="1" x14ac:dyDescent="0.25">
      <c r="A1161" s="405"/>
      <c r="B1161" s="409"/>
      <c r="C1161" s="412"/>
      <c r="D1161" s="413"/>
      <c r="E1161" s="409"/>
      <c r="F1161" s="427" t="s">
        <v>292</v>
      </c>
      <c r="G1161" s="423"/>
    </row>
    <row r="1162" spans="1:7" ht="16" thickBot="1" x14ac:dyDescent="0.25">
      <c r="A1162" s="405"/>
      <c r="B1162" s="408"/>
      <c r="C1162" s="412"/>
      <c r="D1162" s="413"/>
      <c r="E1162" s="417"/>
      <c r="F1162" s="831">
        <f>SUM(G1155:G1160)</f>
        <v>210.4</v>
      </c>
      <c r="G1162" s="832"/>
    </row>
    <row r="1163" spans="1:7" x14ac:dyDescent="0.2">
      <c r="A1163" s="405"/>
      <c r="B1163" s="408"/>
      <c r="C1163" s="411"/>
      <c r="D1163" s="413"/>
      <c r="E1163" s="417"/>
      <c r="F1163" s="430"/>
      <c r="G1163" s="428"/>
    </row>
    <row r="1164" spans="1:7" ht="16" thickBot="1" x14ac:dyDescent="0.25">
      <c r="A1164" s="405"/>
      <c r="B1164" s="408"/>
      <c r="C1164" s="411"/>
      <c r="D1164" s="413"/>
      <c r="E1164" s="420"/>
      <c r="F1164" s="431"/>
      <c r="G1164" s="429"/>
    </row>
    <row r="1165" spans="1:7" x14ac:dyDescent="0.2">
      <c r="A1165" s="405"/>
      <c r="B1165" s="408"/>
      <c r="C1165" s="412"/>
      <c r="D1165" s="413"/>
      <c r="E1165" s="417"/>
      <c r="F1165" s="833" t="s">
        <v>293</v>
      </c>
      <c r="G1165" s="834"/>
    </row>
    <row r="1166" spans="1:7" ht="16" thickBot="1" x14ac:dyDescent="0.25">
      <c r="A1166" s="405"/>
      <c r="B1166" s="316"/>
      <c r="C1166" s="234"/>
      <c r="D1166" s="413"/>
      <c r="E1166" s="316"/>
      <c r="F1166" s="835"/>
      <c r="G1166" s="836"/>
    </row>
    <row r="1167" spans="1:7" x14ac:dyDescent="0.2">
      <c r="A1167" s="405"/>
      <c r="B1167" s="408"/>
      <c r="C1167" s="412"/>
      <c r="D1167" s="413"/>
      <c r="E1167" s="417"/>
      <c r="F1167" s="424">
        <v>200</v>
      </c>
      <c r="G1167" s="421">
        <v>200</v>
      </c>
    </row>
    <row r="1168" spans="1:7" x14ac:dyDescent="0.2">
      <c r="A1168" s="405"/>
      <c r="B1168" s="408"/>
      <c r="C1168" s="411"/>
      <c r="D1168" s="413"/>
      <c r="E1168" s="417"/>
      <c r="F1168" s="425">
        <v>100</v>
      </c>
      <c r="G1168" s="422">
        <v>100</v>
      </c>
    </row>
    <row r="1169" spans="1:7" x14ac:dyDescent="0.2">
      <c r="A1169" s="405"/>
      <c r="B1169" s="408"/>
      <c r="C1169" s="411"/>
      <c r="D1169" s="413"/>
      <c r="E1169" s="417"/>
      <c r="F1169" s="425">
        <v>50</v>
      </c>
      <c r="G1169" s="422">
        <v>100</v>
      </c>
    </row>
    <row r="1170" spans="1:7" x14ac:dyDescent="0.2">
      <c r="A1170" s="405"/>
      <c r="B1170" s="408"/>
      <c r="C1170" s="411"/>
      <c r="D1170" s="413"/>
      <c r="E1170" s="417"/>
      <c r="F1170" s="425" t="s">
        <v>289</v>
      </c>
      <c r="G1170" s="422"/>
    </row>
    <row r="1171" spans="1:7" x14ac:dyDescent="0.2">
      <c r="A1171" s="405"/>
      <c r="B1171" s="408"/>
      <c r="C1171" s="411"/>
      <c r="D1171" s="413"/>
      <c r="E1171" s="417"/>
      <c r="F1171" s="425" t="s">
        <v>290</v>
      </c>
      <c r="G1171" s="422">
        <v>30</v>
      </c>
    </row>
    <row r="1172" spans="1:7" x14ac:dyDescent="0.2">
      <c r="A1172" s="405"/>
      <c r="B1172" s="408"/>
      <c r="C1172" s="411"/>
      <c r="D1172" s="413"/>
      <c r="E1172" s="417"/>
      <c r="F1172" s="426" t="s">
        <v>291</v>
      </c>
      <c r="G1172" s="422">
        <v>30.4</v>
      </c>
    </row>
    <row r="1173" spans="1:7" ht="16" thickBot="1" x14ac:dyDescent="0.25">
      <c r="A1173" s="405"/>
      <c r="B1173" s="408"/>
      <c r="C1173" s="411"/>
      <c r="D1173" s="413"/>
      <c r="E1173" s="417" t="s">
        <v>340</v>
      </c>
      <c r="F1173" s="427" t="s">
        <v>292</v>
      </c>
      <c r="G1173" s="423"/>
    </row>
    <row r="1174" spans="1:7" ht="16" thickBot="1" x14ac:dyDescent="0.25">
      <c r="A1174" s="405"/>
      <c r="B1174" s="408"/>
      <c r="C1174" s="411"/>
      <c r="D1174" s="415"/>
      <c r="E1174" s="417"/>
      <c r="F1174" s="837">
        <f>SUM(G1167:G1172)</f>
        <v>460.4</v>
      </c>
      <c r="G1174" s="838"/>
    </row>
    <row r="1175" spans="1:7" ht="16" thickBot="1" x14ac:dyDescent="0.25">
      <c r="A1175" s="406" t="s">
        <v>19</v>
      </c>
      <c r="B1175" s="185"/>
      <c r="C1175" s="407">
        <f>SUM(C1153:C1174)</f>
        <v>960.40000000000032</v>
      </c>
      <c r="D1175" s="186">
        <f>SUM(D1153:D1174)</f>
        <v>500</v>
      </c>
      <c r="E1175" s="186">
        <f>C1175-D1175</f>
        <v>460.40000000000032</v>
      </c>
      <c r="F1175" s="416"/>
      <c r="G1175" s="187"/>
    </row>
    <row r="1176" spans="1:7" ht="16" thickBot="1" x14ac:dyDescent="0.25"/>
    <row r="1177" spans="1:7" ht="33" thickBot="1" x14ac:dyDescent="0.25">
      <c r="A1177" s="686"/>
      <c r="B1177" s="183" t="s">
        <v>283</v>
      </c>
      <c r="C1177" s="236" t="s">
        <v>284</v>
      </c>
      <c r="D1177" s="184" t="s">
        <v>285</v>
      </c>
      <c r="E1177" s="184" t="s">
        <v>125</v>
      </c>
      <c r="F1177" s="827" t="s">
        <v>286</v>
      </c>
      <c r="G1177" s="828"/>
    </row>
    <row r="1178" spans="1:7" ht="16" thickBot="1" x14ac:dyDescent="0.25">
      <c r="A1178" s="433">
        <v>45715</v>
      </c>
      <c r="B1178" s="435" t="s">
        <v>287</v>
      </c>
      <c r="C1178" s="436">
        <f>E1175</f>
        <v>460.40000000000032</v>
      </c>
      <c r="D1178" s="28"/>
      <c r="E1178" s="438" t="s">
        <v>287</v>
      </c>
      <c r="F1178" s="829" t="s">
        <v>288</v>
      </c>
      <c r="G1178" s="830"/>
    </row>
    <row r="1179" spans="1:7" ht="16" thickBot="1" x14ac:dyDescent="0.25">
      <c r="A1179" s="432"/>
      <c r="B1179" s="434" t="s">
        <v>222</v>
      </c>
      <c r="C1179" s="410"/>
      <c r="D1179" s="439">
        <f>280</f>
        <v>280</v>
      </c>
      <c r="E1179" s="437" t="s">
        <v>704</v>
      </c>
      <c r="F1179" s="829"/>
      <c r="G1179" s="830"/>
    </row>
    <row r="1180" spans="1:7" ht="16" x14ac:dyDescent="0.2">
      <c r="A1180" s="405"/>
      <c r="B1180" s="409" t="s">
        <v>294</v>
      </c>
      <c r="C1180" s="411">
        <f>150+150+150+280</f>
        <v>730</v>
      </c>
      <c r="D1180" s="413"/>
      <c r="E1180" s="418" t="s">
        <v>295</v>
      </c>
      <c r="F1180" s="424">
        <v>200</v>
      </c>
      <c r="G1180" s="421">
        <v>200</v>
      </c>
    </row>
    <row r="1181" spans="1:7" ht="16" x14ac:dyDescent="0.2">
      <c r="A1181" s="405"/>
      <c r="B1181" s="409" t="s">
        <v>194</v>
      </c>
      <c r="C1181" s="411"/>
      <c r="D1181" s="413">
        <v>160</v>
      </c>
      <c r="E1181" s="418" t="s">
        <v>224</v>
      </c>
      <c r="F1181" s="425">
        <v>100</v>
      </c>
      <c r="G1181" s="422">
        <v>100</v>
      </c>
    </row>
    <row r="1182" spans="1:7" x14ac:dyDescent="0.2">
      <c r="A1182" s="405"/>
      <c r="B1182" s="316" t="s">
        <v>546</v>
      </c>
      <c r="C1182" s="410"/>
      <c r="D1182" s="414">
        <v>150</v>
      </c>
      <c r="E1182" s="316" t="s">
        <v>490</v>
      </c>
      <c r="F1182" s="425">
        <v>50</v>
      </c>
      <c r="G1182" s="422">
        <v>100</v>
      </c>
    </row>
    <row r="1183" spans="1:7" x14ac:dyDescent="0.2">
      <c r="A1183" s="405"/>
      <c r="B1183" s="316" t="s">
        <v>279</v>
      </c>
      <c r="C1183" s="410"/>
      <c r="D1183" s="414">
        <v>54</v>
      </c>
      <c r="E1183" s="316" t="s">
        <v>677</v>
      </c>
      <c r="F1183" s="425" t="s">
        <v>289</v>
      </c>
      <c r="G1183" s="422"/>
    </row>
    <row r="1184" spans="1:7" ht="16" x14ac:dyDescent="0.2">
      <c r="A1184" s="405"/>
      <c r="B1184" s="408" t="s">
        <v>298</v>
      </c>
      <c r="C1184" s="411"/>
      <c r="D1184" s="413">
        <v>530</v>
      </c>
      <c r="E1184" s="419" t="s">
        <v>298</v>
      </c>
      <c r="F1184" s="425" t="s">
        <v>290</v>
      </c>
      <c r="G1184" s="422">
        <v>30</v>
      </c>
    </row>
    <row r="1185" spans="1:7" x14ac:dyDescent="0.2">
      <c r="A1185" s="405"/>
      <c r="B1185" s="409"/>
      <c r="C1185" s="412"/>
      <c r="D1185" s="413"/>
      <c r="E1185" s="409"/>
      <c r="F1185" s="426" t="s">
        <v>291</v>
      </c>
      <c r="G1185" s="422">
        <v>30.4</v>
      </c>
    </row>
    <row r="1186" spans="1:7" ht="16" thickBot="1" x14ac:dyDescent="0.25">
      <c r="A1186" s="405"/>
      <c r="B1186" s="409"/>
      <c r="C1186" s="412"/>
      <c r="D1186" s="413"/>
      <c r="E1186" s="409"/>
      <c r="F1186" s="427" t="s">
        <v>292</v>
      </c>
      <c r="G1186" s="423"/>
    </row>
    <row r="1187" spans="1:7" ht="16" thickBot="1" x14ac:dyDescent="0.25">
      <c r="A1187" s="405"/>
      <c r="B1187" s="408"/>
      <c r="C1187" s="412"/>
      <c r="D1187" s="413"/>
      <c r="E1187" s="417"/>
      <c r="F1187" s="831">
        <f>SUM(G1180:G1185)</f>
        <v>460.4</v>
      </c>
      <c r="G1187" s="832"/>
    </row>
    <row r="1188" spans="1:7" x14ac:dyDescent="0.2">
      <c r="A1188" s="405"/>
      <c r="B1188" s="408"/>
      <c r="C1188" s="411"/>
      <c r="D1188" s="413"/>
      <c r="E1188" s="417"/>
      <c r="F1188" s="430"/>
      <c r="G1188" s="428"/>
    </row>
    <row r="1189" spans="1:7" ht="16" thickBot="1" x14ac:dyDescent="0.25">
      <c r="A1189" s="405"/>
      <c r="B1189" s="408"/>
      <c r="C1189" s="411"/>
      <c r="D1189" s="413"/>
      <c r="E1189" s="420"/>
      <c r="F1189" s="431"/>
      <c r="G1189" s="429"/>
    </row>
    <row r="1190" spans="1:7" x14ac:dyDescent="0.2">
      <c r="A1190" s="405"/>
      <c r="B1190" s="408"/>
      <c r="C1190" s="412"/>
      <c r="D1190" s="413"/>
      <c r="E1190" s="417"/>
      <c r="F1190" s="833" t="s">
        <v>293</v>
      </c>
      <c r="G1190" s="834"/>
    </row>
    <row r="1191" spans="1:7" ht="16" thickBot="1" x14ac:dyDescent="0.25">
      <c r="A1191" s="405"/>
      <c r="B1191" s="316"/>
      <c r="C1191" s="234"/>
      <c r="D1191" s="413"/>
      <c r="E1191" s="316"/>
      <c r="F1191" s="835"/>
      <c r="G1191" s="836"/>
    </row>
    <row r="1192" spans="1:7" x14ac:dyDescent="0.2">
      <c r="A1192" s="405"/>
      <c r="B1192" s="408"/>
      <c r="C1192" s="412"/>
      <c r="D1192" s="413"/>
      <c r="E1192" s="417"/>
      <c r="F1192" s="424">
        <v>200</v>
      </c>
      <c r="G1192" s="421"/>
    </row>
    <row r="1193" spans="1:7" x14ac:dyDescent="0.2">
      <c r="A1193" s="405"/>
      <c r="B1193" s="408"/>
      <c r="C1193" s="411"/>
      <c r="D1193" s="413"/>
      <c r="E1193" s="417"/>
      <c r="F1193" s="425">
        <v>100</v>
      </c>
      <c r="G1193" s="422"/>
    </row>
    <row r="1194" spans="1:7" x14ac:dyDescent="0.2">
      <c r="A1194" s="405"/>
      <c r="B1194" s="408"/>
      <c r="C1194" s="411"/>
      <c r="D1194" s="413"/>
      <c r="E1194" s="417"/>
      <c r="F1194" s="425">
        <v>50</v>
      </c>
      <c r="G1194" s="422"/>
    </row>
    <row r="1195" spans="1:7" x14ac:dyDescent="0.2">
      <c r="A1195" s="405"/>
      <c r="B1195" s="408"/>
      <c r="C1195" s="411"/>
      <c r="D1195" s="413"/>
      <c r="E1195" s="417"/>
      <c r="F1195" s="425" t="s">
        <v>289</v>
      </c>
      <c r="G1195" s="422"/>
    </row>
    <row r="1196" spans="1:7" x14ac:dyDescent="0.2">
      <c r="A1196" s="405"/>
      <c r="B1196" s="408"/>
      <c r="C1196" s="411"/>
      <c r="D1196" s="413"/>
      <c r="E1196" s="417"/>
      <c r="F1196" s="425" t="s">
        <v>290</v>
      </c>
      <c r="G1196" s="422"/>
    </row>
    <row r="1197" spans="1:7" x14ac:dyDescent="0.2">
      <c r="A1197" s="405"/>
      <c r="B1197" s="408"/>
      <c r="C1197" s="411"/>
      <c r="D1197" s="413"/>
      <c r="E1197" s="417"/>
      <c r="F1197" s="426" t="s">
        <v>291</v>
      </c>
      <c r="G1197" s="422">
        <v>16.399999999999999</v>
      </c>
    </row>
    <row r="1198" spans="1:7" ht="16" thickBot="1" x14ac:dyDescent="0.25">
      <c r="A1198" s="405"/>
      <c r="B1198" s="408"/>
      <c r="C1198" s="411"/>
      <c r="D1198" s="413"/>
      <c r="E1198" s="417" t="s">
        <v>340</v>
      </c>
      <c r="F1198" s="427" t="s">
        <v>292</v>
      </c>
      <c r="G1198" s="423"/>
    </row>
    <row r="1199" spans="1:7" ht="16" thickBot="1" x14ac:dyDescent="0.25">
      <c r="A1199" s="405"/>
      <c r="B1199" s="408"/>
      <c r="C1199" s="411"/>
      <c r="D1199" s="415"/>
      <c r="E1199" s="417"/>
      <c r="F1199" s="837">
        <f>SUM(G1192:G1197)</f>
        <v>16.399999999999999</v>
      </c>
      <c r="G1199" s="838"/>
    </row>
    <row r="1200" spans="1:7" ht="16" thickBot="1" x14ac:dyDescent="0.25">
      <c r="A1200" s="406" t="s">
        <v>19</v>
      </c>
      <c r="B1200" s="185"/>
      <c r="C1200" s="407">
        <f>SUM(C1178:C1199)</f>
        <v>1190.4000000000003</v>
      </c>
      <c r="D1200" s="186">
        <f>SUM(D1178:D1199)</f>
        <v>1174</v>
      </c>
      <c r="E1200" s="186">
        <f>C1200-D1200</f>
        <v>16.400000000000318</v>
      </c>
      <c r="F1200" s="416"/>
      <c r="G1200" s="187"/>
    </row>
    <row r="1201" spans="1:7" ht="16" thickBot="1" x14ac:dyDescent="0.25"/>
    <row r="1202" spans="1:7" ht="33" thickBot="1" x14ac:dyDescent="0.25">
      <c r="A1202" s="686"/>
      <c r="B1202" s="183" t="s">
        <v>283</v>
      </c>
      <c r="C1202" s="236" t="s">
        <v>284</v>
      </c>
      <c r="D1202" s="184" t="s">
        <v>285</v>
      </c>
      <c r="E1202" s="184" t="s">
        <v>125</v>
      </c>
      <c r="F1202" s="827" t="s">
        <v>286</v>
      </c>
      <c r="G1202" s="828"/>
    </row>
    <row r="1203" spans="1:7" ht="16" thickBot="1" x14ac:dyDescent="0.25">
      <c r="A1203" s="433">
        <v>45716</v>
      </c>
      <c r="B1203" s="435" t="s">
        <v>287</v>
      </c>
      <c r="C1203" s="436">
        <f>E1200</f>
        <v>16.400000000000318</v>
      </c>
      <c r="D1203" s="28"/>
      <c r="E1203" s="438" t="s">
        <v>287</v>
      </c>
      <c r="F1203" s="829" t="s">
        <v>288</v>
      </c>
      <c r="G1203" s="830"/>
    </row>
    <row r="1204" spans="1:7" ht="16" thickBot="1" x14ac:dyDescent="0.25">
      <c r="A1204" s="432"/>
      <c r="B1204" s="434" t="s">
        <v>294</v>
      </c>
      <c r="C1204" s="410">
        <f>200+400+150</f>
        <v>750</v>
      </c>
      <c r="D1204" s="439"/>
      <c r="E1204" s="437" t="s">
        <v>295</v>
      </c>
      <c r="F1204" s="829"/>
      <c r="G1204" s="830"/>
    </row>
    <row r="1205" spans="1:7" ht="16" x14ac:dyDescent="0.2">
      <c r="A1205" s="405"/>
      <c r="B1205" s="409" t="s">
        <v>194</v>
      </c>
      <c r="C1205" s="411"/>
      <c r="D1205" s="413">
        <v>200</v>
      </c>
      <c r="E1205" s="418" t="s">
        <v>224</v>
      </c>
      <c r="F1205" s="424">
        <v>200</v>
      </c>
      <c r="G1205" s="421"/>
    </row>
    <row r="1206" spans="1:7" ht="16" x14ac:dyDescent="0.2">
      <c r="A1206" s="405"/>
      <c r="B1206" s="409" t="s">
        <v>298</v>
      </c>
      <c r="C1206" s="411"/>
      <c r="D1206" s="413">
        <v>550</v>
      </c>
      <c r="E1206" s="418" t="s">
        <v>298</v>
      </c>
      <c r="F1206" s="425">
        <v>100</v>
      </c>
      <c r="G1206" s="422"/>
    </row>
    <row r="1207" spans="1:7" x14ac:dyDescent="0.2">
      <c r="A1207" s="405"/>
      <c r="B1207" s="316"/>
      <c r="C1207" s="410"/>
      <c r="D1207" s="414"/>
      <c r="E1207" s="316"/>
      <c r="F1207" s="425">
        <v>50</v>
      </c>
      <c r="G1207" s="422"/>
    </row>
    <row r="1208" spans="1:7" x14ac:dyDescent="0.2">
      <c r="A1208" s="405"/>
      <c r="B1208" s="316"/>
      <c r="C1208" s="410"/>
      <c r="D1208" s="414"/>
      <c r="E1208" s="316"/>
      <c r="F1208" s="425" t="s">
        <v>289</v>
      </c>
      <c r="G1208" s="422"/>
    </row>
    <row r="1209" spans="1:7" x14ac:dyDescent="0.2">
      <c r="A1209" s="405"/>
      <c r="B1209" s="408"/>
      <c r="C1209" s="411"/>
      <c r="D1209" s="413"/>
      <c r="E1209" s="419"/>
      <c r="F1209" s="425" t="s">
        <v>290</v>
      </c>
      <c r="G1209" s="422"/>
    </row>
    <row r="1210" spans="1:7" x14ac:dyDescent="0.2">
      <c r="A1210" s="405"/>
      <c r="B1210" s="409"/>
      <c r="C1210" s="412"/>
      <c r="D1210" s="413"/>
      <c r="E1210" s="409"/>
      <c r="F1210" s="426" t="s">
        <v>291</v>
      </c>
      <c r="G1210" s="422">
        <v>16.399999999999999</v>
      </c>
    </row>
    <row r="1211" spans="1:7" ht="16" thickBot="1" x14ac:dyDescent="0.25">
      <c r="A1211" s="405"/>
      <c r="B1211" s="409"/>
      <c r="C1211" s="412"/>
      <c r="D1211" s="413"/>
      <c r="E1211" s="409"/>
      <c r="F1211" s="427" t="s">
        <v>292</v>
      </c>
      <c r="G1211" s="423"/>
    </row>
    <row r="1212" spans="1:7" ht="16" thickBot="1" x14ac:dyDescent="0.25">
      <c r="A1212" s="405"/>
      <c r="B1212" s="408"/>
      <c r="C1212" s="412"/>
      <c r="D1212" s="413"/>
      <c r="E1212" s="417"/>
      <c r="F1212" s="831">
        <f>SUM(G1205:G1210)</f>
        <v>16.399999999999999</v>
      </c>
      <c r="G1212" s="832"/>
    </row>
    <row r="1213" spans="1:7" x14ac:dyDescent="0.2">
      <c r="A1213" s="405"/>
      <c r="B1213" s="408"/>
      <c r="C1213" s="411"/>
      <c r="D1213" s="413"/>
      <c r="E1213" s="417"/>
      <c r="F1213" s="430"/>
      <c r="G1213" s="428"/>
    </row>
    <row r="1214" spans="1:7" ht="16" thickBot="1" x14ac:dyDescent="0.25">
      <c r="A1214" s="405"/>
      <c r="B1214" s="408"/>
      <c r="C1214" s="411"/>
      <c r="D1214" s="413"/>
      <c r="E1214" s="420"/>
      <c r="F1214" s="431"/>
      <c r="G1214" s="429"/>
    </row>
    <row r="1215" spans="1:7" x14ac:dyDescent="0.2">
      <c r="A1215" s="405"/>
      <c r="B1215" s="408"/>
      <c r="C1215" s="412"/>
      <c r="D1215" s="413"/>
      <c r="E1215" s="417"/>
      <c r="F1215" s="833" t="s">
        <v>293</v>
      </c>
      <c r="G1215" s="834"/>
    </row>
    <row r="1216" spans="1:7" ht="16" thickBot="1" x14ac:dyDescent="0.25">
      <c r="A1216" s="405"/>
      <c r="B1216" s="316"/>
      <c r="C1216" s="234"/>
      <c r="D1216" s="413"/>
      <c r="E1216" s="316"/>
      <c r="F1216" s="835"/>
      <c r="G1216" s="836"/>
    </row>
    <row r="1217" spans="1:10" x14ac:dyDescent="0.2">
      <c r="A1217" s="405"/>
      <c r="B1217" s="408"/>
      <c r="C1217" s="412"/>
      <c r="D1217" s="413"/>
      <c r="E1217" s="417"/>
      <c r="F1217" s="424">
        <v>200</v>
      </c>
      <c r="G1217" s="421"/>
    </row>
    <row r="1218" spans="1:10" x14ac:dyDescent="0.2">
      <c r="A1218" s="405"/>
      <c r="B1218" s="408"/>
      <c r="C1218" s="411"/>
      <c r="D1218" s="413"/>
      <c r="E1218" s="417"/>
      <c r="F1218" s="425">
        <v>100</v>
      </c>
      <c r="G1218" s="422"/>
    </row>
    <row r="1219" spans="1:10" x14ac:dyDescent="0.2">
      <c r="A1219" s="405"/>
      <c r="B1219" s="408"/>
      <c r="C1219" s="411"/>
      <c r="D1219" s="413"/>
      <c r="E1219" s="417"/>
      <c r="F1219" s="425">
        <v>50</v>
      </c>
      <c r="G1219" s="422"/>
    </row>
    <row r="1220" spans="1:10" x14ac:dyDescent="0.2">
      <c r="A1220" s="405"/>
      <c r="B1220" s="408"/>
      <c r="C1220" s="411"/>
      <c r="D1220" s="413"/>
      <c r="E1220" s="417"/>
      <c r="F1220" s="425" t="s">
        <v>289</v>
      </c>
      <c r="G1220" s="422"/>
    </row>
    <row r="1221" spans="1:10" x14ac:dyDescent="0.2">
      <c r="A1221" s="405"/>
      <c r="B1221" s="408"/>
      <c r="C1221" s="411"/>
      <c r="D1221" s="413"/>
      <c r="E1221" s="417"/>
      <c r="F1221" s="425" t="s">
        <v>290</v>
      </c>
      <c r="G1221" s="422"/>
    </row>
    <row r="1222" spans="1:10" x14ac:dyDescent="0.2">
      <c r="A1222" s="405"/>
      <c r="B1222" s="408"/>
      <c r="C1222" s="411"/>
      <c r="D1222" s="413"/>
      <c r="E1222" s="417"/>
      <c r="F1222" s="426" t="s">
        <v>291</v>
      </c>
      <c r="G1222" s="422">
        <v>16.399999999999999</v>
      </c>
    </row>
    <row r="1223" spans="1:10" ht="16" thickBot="1" x14ac:dyDescent="0.25">
      <c r="A1223" s="405"/>
      <c r="B1223" s="408"/>
      <c r="C1223" s="411"/>
      <c r="D1223" s="413"/>
      <c r="E1223" s="417" t="s">
        <v>340</v>
      </c>
      <c r="F1223" s="427" t="s">
        <v>292</v>
      </c>
      <c r="G1223" s="423"/>
      <c r="J1223" s="696"/>
    </row>
    <row r="1224" spans="1:10" ht="16" thickBot="1" x14ac:dyDescent="0.25">
      <c r="A1224" s="405"/>
      <c r="B1224" s="408"/>
      <c r="C1224" s="411"/>
      <c r="D1224" s="415"/>
      <c r="E1224" s="417"/>
      <c r="F1224" s="837">
        <f>SUM(G1217:G1222)</f>
        <v>16.399999999999999</v>
      </c>
      <c r="G1224" s="838"/>
    </row>
    <row r="1225" spans="1:10" ht="16" thickBot="1" x14ac:dyDescent="0.25">
      <c r="A1225" s="406" t="s">
        <v>19</v>
      </c>
      <c r="B1225" s="185"/>
      <c r="C1225" s="407">
        <f>SUM(C1203:C1224)</f>
        <v>766.40000000000032</v>
      </c>
      <c r="D1225" s="186">
        <f>SUM(D1203:D1224)</f>
        <v>750</v>
      </c>
      <c r="E1225" s="186">
        <f>C1225-D1225</f>
        <v>16.400000000000318</v>
      </c>
      <c r="F1225" s="416"/>
      <c r="G1225" s="187"/>
    </row>
    <row r="1226" spans="1:10" ht="16" thickBot="1" x14ac:dyDescent="0.25"/>
    <row r="1227" spans="1:10" ht="33" thickBot="1" x14ac:dyDescent="0.25">
      <c r="A1227" s="686"/>
      <c r="B1227" s="183" t="s">
        <v>283</v>
      </c>
      <c r="C1227" s="236" t="s">
        <v>284</v>
      </c>
      <c r="D1227" s="184" t="s">
        <v>285</v>
      </c>
      <c r="E1227" s="184" t="s">
        <v>125</v>
      </c>
      <c r="F1227" s="827" t="s">
        <v>286</v>
      </c>
      <c r="G1227" s="828"/>
    </row>
    <row r="1228" spans="1:10" ht="16" thickBot="1" x14ac:dyDescent="0.25">
      <c r="A1228" s="433">
        <v>45718</v>
      </c>
      <c r="B1228" s="435" t="s">
        <v>287</v>
      </c>
      <c r="C1228" s="436">
        <f>E1225</f>
        <v>16.400000000000318</v>
      </c>
      <c r="D1228" s="28"/>
      <c r="E1228" s="438" t="s">
        <v>287</v>
      </c>
      <c r="F1228" s="829" t="s">
        <v>288</v>
      </c>
      <c r="G1228" s="830"/>
    </row>
    <row r="1229" spans="1:10" ht="16" thickBot="1" x14ac:dyDescent="0.25">
      <c r="A1229" s="432"/>
      <c r="B1229" s="434" t="s">
        <v>294</v>
      </c>
      <c r="C1229" s="410">
        <v>600</v>
      </c>
      <c r="D1229" s="439"/>
      <c r="E1229" s="437" t="s">
        <v>295</v>
      </c>
      <c r="F1229" s="829"/>
      <c r="G1229" s="830"/>
    </row>
    <row r="1230" spans="1:10" x14ac:dyDescent="0.2">
      <c r="A1230" s="405"/>
      <c r="B1230" s="409"/>
      <c r="C1230" s="411"/>
      <c r="D1230" s="413"/>
      <c r="E1230" s="418"/>
      <c r="F1230" s="424">
        <v>200</v>
      </c>
      <c r="G1230" s="421"/>
    </row>
    <row r="1231" spans="1:10" x14ac:dyDescent="0.2">
      <c r="A1231" s="405"/>
      <c r="B1231" s="409"/>
      <c r="C1231" s="411"/>
      <c r="D1231" s="413"/>
      <c r="E1231" s="418"/>
      <c r="F1231" s="425">
        <v>100</v>
      </c>
      <c r="G1231" s="422"/>
    </row>
    <row r="1232" spans="1:10" x14ac:dyDescent="0.2">
      <c r="A1232" s="405"/>
      <c r="B1232" s="316"/>
      <c r="C1232" s="410"/>
      <c r="D1232" s="414"/>
      <c r="E1232" s="316"/>
      <c r="F1232" s="425">
        <v>50</v>
      </c>
      <c r="G1232" s="422"/>
    </row>
    <row r="1233" spans="1:7" x14ac:dyDescent="0.2">
      <c r="A1233" s="405"/>
      <c r="B1233" s="316"/>
      <c r="C1233" s="410"/>
      <c r="D1233" s="414"/>
      <c r="E1233" s="316"/>
      <c r="F1233" s="425" t="s">
        <v>289</v>
      </c>
      <c r="G1233" s="422"/>
    </row>
    <row r="1234" spans="1:7" x14ac:dyDescent="0.2">
      <c r="A1234" s="405"/>
      <c r="B1234" s="408"/>
      <c r="C1234" s="411"/>
      <c r="D1234" s="413"/>
      <c r="E1234" s="419"/>
      <c r="F1234" s="425" t="s">
        <v>290</v>
      </c>
      <c r="G1234" s="422"/>
    </row>
    <row r="1235" spans="1:7" x14ac:dyDescent="0.2">
      <c r="A1235" s="405"/>
      <c r="B1235" s="409"/>
      <c r="C1235" s="412"/>
      <c r="D1235" s="413"/>
      <c r="E1235" s="409"/>
      <c r="F1235" s="426" t="s">
        <v>291</v>
      </c>
      <c r="G1235" s="422">
        <v>16.399999999999999</v>
      </c>
    </row>
    <row r="1236" spans="1:7" ht="16" thickBot="1" x14ac:dyDescent="0.25">
      <c r="A1236" s="405"/>
      <c r="B1236" s="409"/>
      <c r="C1236" s="412"/>
      <c r="D1236" s="413"/>
      <c r="E1236" s="409"/>
      <c r="F1236" s="427" t="s">
        <v>292</v>
      </c>
      <c r="G1236" s="423"/>
    </row>
    <row r="1237" spans="1:7" ht="16" thickBot="1" x14ac:dyDescent="0.25">
      <c r="A1237" s="405"/>
      <c r="B1237" s="408"/>
      <c r="C1237" s="412"/>
      <c r="D1237" s="413"/>
      <c r="E1237" s="417"/>
      <c r="F1237" s="831">
        <f>SUM(G1230:G1235)</f>
        <v>16.399999999999999</v>
      </c>
      <c r="G1237" s="832"/>
    </row>
    <row r="1238" spans="1:7" x14ac:dyDescent="0.2">
      <c r="A1238" s="405"/>
      <c r="B1238" s="408"/>
      <c r="C1238" s="411"/>
      <c r="D1238" s="413"/>
      <c r="E1238" s="417"/>
      <c r="F1238" s="430"/>
      <c r="G1238" s="428"/>
    </row>
    <row r="1239" spans="1:7" ht="16" thickBot="1" x14ac:dyDescent="0.25">
      <c r="A1239" s="405"/>
      <c r="B1239" s="408"/>
      <c r="C1239" s="411"/>
      <c r="D1239" s="413"/>
      <c r="E1239" s="420"/>
      <c r="F1239" s="431"/>
      <c r="G1239" s="429"/>
    </row>
    <row r="1240" spans="1:7" x14ac:dyDescent="0.2">
      <c r="A1240" s="405"/>
      <c r="B1240" s="408"/>
      <c r="C1240" s="412"/>
      <c r="D1240" s="413"/>
      <c r="E1240" s="417"/>
      <c r="F1240" s="833" t="s">
        <v>293</v>
      </c>
      <c r="G1240" s="834"/>
    </row>
    <row r="1241" spans="1:7" ht="16" thickBot="1" x14ac:dyDescent="0.25">
      <c r="A1241" s="405"/>
      <c r="B1241" s="316"/>
      <c r="C1241" s="234"/>
      <c r="D1241" s="413"/>
      <c r="E1241" s="316"/>
      <c r="F1241" s="835"/>
      <c r="G1241" s="836"/>
    </row>
    <row r="1242" spans="1:7" x14ac:dyDescent="0.2">
      <c r="A1242" s="405"/>
      <c r="B1242" s="408"/>
      <c r="C1242" s="412"/>
      <c r="D1242" s="413"/>
      <c r="E1242" s="417"/>
      <c r="F1242" s="424">
        <v>200</v>
      </c>
      <c r="G1242" s="421">
        <v>200</v>
      </c>
    </row>
    <row r="1243" spans="1:7" x14ac:dyDescent="0.2">
      <c r="A1243" s="405"/>
      <c r="B1243" s="408"/>
      <c r="C1243" s="411"/>
      <c r="D1243" s="413"/>
      <c r="E1243" s="417"/>
      <c r="F1243" s="425">
        <v>100</v>
      </c>
      <c r="G1243" s="422">
        <v>300</v>
      </c>
    </row>
    <row r="1244" spans="1:7" x14ac:dyDescent="0.2">
      <c r="A1244" s="405"/>
      <c r="B1244" s="408"/>
      <c r="C1244" s="411"/>
      <c r="D1244" s="413"/>
      <c r="E1244" s="417"/>
      <c r="F1244" s="425">
        <v>50</v>
      </c>
      <c r="G1244" s="422">
        <v>100</v>
      </c>
    </row>
    <row r="1245" spans="1:7" x14ac:dyDescent="0.2">
      <c r="A1245" s="405"/>
      <c r="B1245" s="408"/>
      <c r="C1245" s="411"/>
      <c r="D1245" s="413"/>
      <c r="E1245" s="417"/>
      <c r="F1245" s="425" t="s">
        <v>289</v>
      </c>
      <c r="G1245" s="422"/>
    </row>
    <row r="1246" spans="1:7" x14ac:dyDescent="0.2">
      <c r="A1246" s="405"/>
      <c r="B1246" s="408"/>
      <c r="C1246" s="411"/>
      <c r="D1246" s="413"/>
      <c r="E1246" s="417"/>
      <c r="F1246" s="425" t="s">
        <v>290</v>
      </c>
      <c r="G1246" s="422"/>
    </row>
    <row r="1247" spans="1:7" x14ac:dyDescent="0.2">
      <c r="A1247" s="405"/>
      <c r="B1247" s="408"/>
      <c r="C1247" s="411"/>
      <c r="D1247" s="413"/>
      <c r="E1247" s="417"/>
      <c r="F1247" s="426" t="s">
        <v>291</v>
      </c>
      <c r="G1247" s="422">
        <v>16.399999999999999</v>
      </c>
    </row>
    <row r="1248" spans="1:7" ht="16" thickBot="1" x14ac:dyDescent="0.25">
      <c r="A1248" s="405"/>
      <c r="B1248" s="408"/>
      <c r="C1248" s="411"/>
      <c r="D1248" s="413"/>
      <c r="E1248" s="417" t="s">
        <v>340</v>
      </c>
      <c r="F1248" s="427" t="s">
        <v>292</v>
      </c>
      <c r="G1248" s="423"/>
    </row>
    <row r="1249" spans="1:7" ht="16" thickBot="1" x14ac:dyDescent="0.25">
      <c r="A1249" s="405"/>
      <c r="B1249" s="408"/>
      <c r="C1249" s="411"/>
      <c r="D1249" s="415"/>
      <c r="E1249" s="417"/>
      <c r="F1249" s="837">
        <f>SUM(G1242:G1247)</f>
        <v>616.4</v>
      </c>
      <c r="G1249" s="838"/>
    </row>
    <row r="1250" spans="1:7" ht="16" thickBot="1" x14ac:dyDescent="0.25">
      <c r="A1250" s="406" t="s">
        <v>19</v>
      </c>
      <c r="B1250" s="185"/>
      <c r="C1250" s="407">
        <f>SUM(C1228:C1249)</f>
        <v>616.40000000000032</v>
      </c>
      <c r="D1250" s="186">
        <f>SUM(D1228:D1249)</f>
        <v>0</v>
      </c>
      <c r="E1250" s="186">
        <f>C1250-D1250</f>
        <v>616.40000000000032</v>
      </c>
      <c r="F1250" s="416"/>
      <c r="G1250" s="187"/>
    </row>
    <row r="1251" spans="1:7" ht="16" thickBot="1" x14ac:dyDescent="0.25"/>
    <row r="1252" spans="1:7" ht="33" thickBot="1" x14ac:dyDescent="0.25">
      <c r="A1252" s="686"/>
      <c r="B1252" s="183" t="s">
        <v>283</v>
      </c>
      <c r="C1252" s="236" t="s">
        <v>284</v>
      </c>
      <c r="D1252" s="184" t="s">
        <v>285</v>
      </c>
      <c r="E1252" s="184" t="s">
        <v>125</v>
      </c>
      <c r="F1252" s="827" t="s">
        <v>286</v>
      </c>
      <c r="G1252" s="828"/>
    </row>
    <row r="1253" spans="1:7" ht="16" thickBot="1" x14ac:dyDescent="0.25">
      <c r="A1253" s="433">
        <v>45719</v>
      </c>
      <c r="B1253" s="435" t="s">
        <v>287</v>
      </c>
      <c r="C1253" s="436">
        <f>E1250</f>
        <v>616.40000000000032</v>
      </c>
      <c r="D1253" s="28"/>
      <c r="E1253" s="438" t="s">
        <v>287</v>
      </c>
      <c r="F1253" s="829" t="s">
        <v>288</v>
      </c>
      <c r="G1253" s="830"/>
    </row>
    <row r="1254" spans="1:7" ht="16" thickBot="1" x14ac:dyDescent="0.25">
      <c r="A1254" s="432"/>
      <c r="B1254" s="434" t="s">
        <v>297</v>
      </c>
      <c r="C1254" s="410"/>
      <c r="D1254" s="439">
        <f>154+40</f>
        <v>194</v>
      </c>
      <c r="E1254" s="437" t="s">
        <v>799</v>
      </c>
      <c r="F1254" s="829"/>
      <c r="G1254" s="830"/>
    </row>
    <row r="1255" spans="1:7" ht="16" x14ac:dyDescent="0.2">
      <c r="A1255" s="405"/>
      <c r="B1255" s="409" t="s">
        <v>795</v>
      </c>
      <c r="C1255" s="411"/>
      <c r="D1255" s="413">
        <v>100</v>
      </c>
      <c r="E1255" s="418" t="s">
        <v>800</v>
      </c>
      <c r="F1255" s="424">
        <v>200</v>
      </c>
      <c r="G1255" s="421">
        <v>200</v>
      </c>
    </row>
    <row r="1256" spans="1:7" ht="16" x14ac:dyDescent="0.2">
      <c r="A1256" s="405"/>
      <c r="B1256" s="409" t="s">
        <v>396</v>
      </c>
      <c r="C1256" s="411"/>
      <c r="D1256" s="413">
        <v>260</v>
      </c>
      <c r="E1256" s="418" t="s">
        <v>801</v>
      </c>
      <c r="F1256" s="425">
        <v>100</v>
      </c>
      <c r="G1256" s="422">
        <v>300</v>
      </c>
    </row>
    <row r="1257" spans="1:7" x14ac:dyDescent="0.2">
      <c r="A1257" s="405"/>
      <c r="B1257" s="316" t="s">
        <v>294</v>
      </c>
      <c r="C1257" s="410">
        <f>300+300+300+150</f>
        <v>1050</v>
      </c>
      <c r="D1257" s="414"/>
      <c r="E1257" s="316" t="s">
        <v>295</v>
      </c>
      <c r="F1257" s="425">
        <v>50</v>
      </c>
      <c r="G1257" s="422">
        <v>100</v>
      </c>
    </row>
    <row r="1258" spans="1:7" x14ac:dyDescent="0.2">
      <c r="A1258" s="405"/>
      <c r="B1258" s="316" t="s">
        <v>298</v>
      </c>
      <c r="C1258" s="410"/>
      <c r="D1258" s="414">
        <f>240+850</f>
        <v>1090</v>
      </c>
      <c r="E1258" s="316" t="s">
        <v>298</v>
      </c>
      <c r="F1258" s="425" t="s">
        <v>289</v>
      </c>
      <c r="G1258" s="422"/>
    </row>
    <row r="1259" spans="1:7" ht="16" x14ac:dyDescent="0.2">
      <c r="A1259" s="405"/>
      <c r="B1259" s="408" t="s">
        <v>222</v>
      </c>
      <c r="C1259" s="411">
        <v>200</v>
      </c>
      <c r="D1259" s="413"/>
      <c r="E1259" s="419" t="s">
        <v>549</v>
      </c>
      <c r="F1259" s="425" t="s">
        <v>290</v>
      </c>
      <c r="G1259" s="422"/>
    </row>
    <row r="1260" spans="1:7" x14ac:dyDescent="0.2">
      <c r="A1260" s="405"/>
      <c r="B1260" s="409"/>
      <c r="C1260" s="412"/>
      <c r="D1260" s="413"/>
      <c r="E1260" s="409"/>
      <c r="F1260" s="426" t="s">
        <v>291</v>
      </c>
      <c r="G1260" s="422">
        <v>16.399999999999999</v>
      </c>
    </row>
    <row r="1261" spans="1:7" ht="16" thickBot="1" x14ac:dyDescent="0.25">
      <c r="A1261" s="405"/>
      <c r="B1261" s="409"/>
      <c r="C1261" s="412"/>
      <c r="D1261" s="413"/>
      <c r="E1261" s="409"/>
      <c r="F1261" s="427" t="s">
        <v>292</v>
      </c>
      <c r="G1261" s="423"/>
    </row>
    <row r="1262" spans="1:7" ht="16" thickBot="1" x14ac:dyDescent="0.25">
      <c r="A1262" s="405"/>
      <c r="B1262" s="408"/>
      <c r="C1262" s="412"/>
      <c r="D1262" s="413"/>
      <c r="E1262" s="417"/>
      <c r="F1262" s="831">
        <f>SUM(G1255:G1260)</f>
        <v>616.4</v>
      </c>
      <c r="G1262" s="832"/>
    </row>
    <row r="1263" spans="1:7" x14ac:dyDescent="0.2">
      <c r="A1263" s="405"/>
      <c r="B1263" s="408"/>
      <c r="C1263" s="411"/>
      <c r="D1263" s="413"/>
      <c r="E1263" s="417"/>
      <c r="F1263" s="430"/>
      <c r="G1263" s="428"/>
    </row>
    <row r="1264" spans="1:7" ht="16" thickBot="1" x14ac:dyDescent="0.25">
      <c r="A1264" s="405"/>
      <c r="B1264" s="408"/>
      <c r="C1264" s="411"/>
      <c r="D1264" s="413"/>
      <c r="E1264" s="420"/>
      <c r="F1264" s="431"/>
      <c r="G1264" s="429"/>
    </row>
    <row r="1265" spans="1:7" x14ac:dyDescent="0.2">
      <c r="A1265" s="405"/>
      <c r="B1265" s="408"/>
      <c r="C1265" s="412"/>
      <c r="D1265" s="413"/>
      <c r="E1265" s="417"/>
      <c r="F1265" s="833" t="s">
        <v>293</v>
      </c>
      <c r="G1265" s="834"/>
    </row>
    <row r="1266" spans="1:7" ht="16" thickBot="1" x14ac:dyDescent="0.25">
      <c r="A1266" s="405"/>
      <c r="B1266" s="316"/>
      <c r="C1266" s="234"/>
      <c r="D1266" s="413"/>
      <c r="E1266" s="316"/>
      <c r="F1266" s="835"/>
      <c r="G1266" s="836"/>
    </row>
    <row r="1267" spans="1:7" x14ac:dyDescent="0.2">
      <c r="A1267" s="405"/>
      <c r="B1267" s="408"/>
      <c r="C1267" s="412"/>
      <c r="D1267" s="413"/>
      <c r="E1267" s="417"/>
      <c r="F1267" s="424">
        <v>200</v>
      </c>
      <c r="G1267" s="421"/>
    </row>
    <row r="1268" spans="1:7" x14ac:dyDescent="0.2">
      <c r="A1268" s="405"/>
      <c r="B1268" s="408"/>
      <c r="C1268" s="411"/>
      <c r="D1268" s="413"/>
      <c r="E1268" s="417"/>
      <c r="F1268" s="425">
        <v>100</v>
      </c>
      <c r="G1268" s="422">
        <v>100</v>
      </c>
    </row>
    <row r="1269" spans="1:7" x14ac:dyDescent="0.2">
      <c r="A1269" s="405"/>
      <c r="B1269" s="408"/>
      <c r="C1269" s="411"/>
      <c r="D1269" s="413"/>
      <c r="E1269" s="417"/>
      <c r="F1269" s="425">
        <v>50</v>
      </c>
      <c r="G1269" s="422">
        <v>100</v>
      </c>
    </row>
    <row r="1270" spans="1:7" x14ac:dyDescent="0.2">
      <c r="A1270" s="405"/>
      <c r="B1270" s="408"/>
      <c r="C1270" s="411"/>
      <c r="D1270" s="413"/>
      <c r="E1270" s="417"/>
      <c r="F1270" s="425" t="s">
        <v>289</v>
      </c>
      <c r="G1270" s="422"/>
    </row>
    <row r="1271" spans="1:7" x14ac:dyDescent="0.2">
      <c r="A1271" s="405"/>
      <c r="B1271" s="408"/>
      <c r="C1271" s="411"/>
      <c r="D1271" s="413"/>
      <c r="E1271" s="417"/>
      <c r="F1271" s="425" t="s">
        <v>290</v>
      </c>
      <c r="G1271" s="422"/>
    </row>
    <row r="1272" spans="1:7" x14ac:dyDescent="0.2">
      <c r="A1272" s="405"/>
      <c r="B1272" s="408"/>
      <c r="C1272" s="411"/>
      <c r="D1272" s="413"/>
      <c r="E1272" s="417"/>
      <c r="F1272" s="426" t="s">
        <v>291</v>
      </c>
      <c r="G1272" s="422">
        <v>22.4</v>
      </c>
    </row>
    <row r="1273" spans="1:7" ht="16" thickBot="1" x14ac:dyDescent="0.25">
      <c r="A1273" s="405"/>
      <c r="B1273" s="408"/>
      <c r="C1273" s="411"/>
      <c r="D1273" s="413"/>
      <c r="E1273" s="417" t="s">
        <v>340</v>
      </c>
      <c r="F1273" s="427" t="s">
        <v>292</v>
      </c>
      <c r="G1273" s="423"/>
    </row>
    <row r="1274" spans="1:7" ht="16" thickBot="1" x14ac:dyDescent="0.25">
      <c r="A1274" s="405"/>
      <c r="B1274" s="408"/>
      <c r="C1274" s="411"/>
      <c r="D1274" s="415"/>
      <c r="E1274" s="417"/>
      <c r="F1274" s="837">
        <f>SUM(G1267:G1272)</f>
        <v>222.4</v>
      </c>
      <c r="G1274" s="838"/>
    </row>
    <row r="1275" spans="1:7" ht="16" thickBot="1" x14ac:dyDescent="0.25">
      <c r="A1275" s="406" t="s">
        <v>19</v>
      </c>
      <c r="B1275" s="185"/>
      <c r="C1275" s="407">
        <f>SUM(C1253:C1274)</f>
        <v>1866.4000000000003</v>
      </c>
      <c r="D1275" s="186">
        <f>SUM(D1253:D1274)</f>
        <v>1644</v>
      </c>
      <c r="E1275" s="186">
        <f>C1275-D1275</f>
        <v>222.40000000000032</v>
      </c>
      <c r="F1275" s="416"/>
      <c r="G1275" s="187"/>
    </row>
    <row r="1276" spans="1:7" ht="16" thickBot="1" x14ac:dyDescent="0.25"/>
    <row r="1277" spans="1:7" ht="33" thickBot="1" x14ac:dyDescent="0.25">
      <c r="A1277" s="686"/>
      <c r="B1277" s="183" t="s">
        <v>283</v>
      </c>
      <c r="C1277" s="236" t="s">
        <v>284</v>
      </c>
      <c r="D1277" s="184" t="s">
        <v>285</v>
      </c>
      <c r="E1277" s="184" t="s">
        <v>125</v>
      </c>
      <c r="F1277" s="827" t="s">
        <v>286</v>
      </c>
      <c r="G1277" s="828"/>
    </row>
    <row r="1278" spans="1:7" ht="16" thickBot="1" x14ac:dyDescent="0.25">
      <c r="A1278" s="433">
        <v>45720</v>
      </c>
      <c r="B1278" s="435" t="s">
        <v>287</v>
      </c>
      <c r="C1278" s="436">
        <f>E1275</f>
        <v>222.40000000000032</v>
      </c>
      <c r="D1278" s="28"/>
      <c r="E1278" s="438" t="s">
        <v>287</v>
      </c>
      <c r="F1278" s="829" t="s">
        <v>288</v>
      </c>
      <c r="G1278" s="830"/>
    </row>
    <row r="1279" spans="1:7" ht="16" thickBot="1" x14ac:dyDescent="0.25">
      <c r="A1279" s="432"/>
      <c r="B1279" s="434" t="s">
        <v>222</v>
      </c>
      <c r="C1279" s="410"/>
      <c r="D1279" s="439">
        <v>200</v>
      </c>
      <c r="E1279" s="437" t="s">
        <v>493</v>
      </c>
      <c r="F1279" s="829"/>
      <c r="G1279" s="830"/>
    </row>
    <row r="1280" spans="1:7" ht="16" x14ac:dyDescent="0.2">
      <c r="A1280" s="405"/>
      <c r="B1280" s="409" t="s">
        <v>518</v>
      </c>
      <c r="C1280" s="411">
        <v>5.4</v>
      </c>
      <c r="D1280" s="413"/>
      <c r="E1280" s="418" t="s">
        <v>518</v>
      </c>
      <c r="F1280" s="424">
        <v>200</v>
      </c>
      <c r="G1280" s="421"/>
    </row>
    <row r="1281" spans="1:7" ht="16" x14ac:dyDescent="0.2">
      <c r="A1281" s="405"/>
      <c r="B1281" s="409" t="s">
        <v>294</v>
      </c>
      <c r="C1281" s="411">
        <f>150+300+300</f>
        <v>750</v>
      </c>
      <c r="D1281" s="413"/>
      <c r="E1281" s="418" t="s">
        <v>295</v>
      </c>
      <c r="F1281" s="425">
        <v>100</v>
      </c>
      <c r="G1281" s="422">
        <v>100</v>
      </c>
    </row>
    <row r="1282" spans="1:7" x14ac:dyDescent="0.2">
      <c r="A1282" s="405"/>
      <c r="B1282" s="316" t="s">
        <v>809</v>
      </c>
      <c r="C1282" s="410"/>
      <c r="D1282" s="414">
        <v>200</v>
      </c>
      <c r="E1282" s="316" t="s">
        <v>224</v>
      </c>
      <c r="F1282" s="425">
        <v>50</v>
      </c>
      <c r="G1282" s="422">
        <v>100</v>
      </c>
    </row>
    <row r="1283" spans="1:7" x14ac:dyDescent="0.2">
      <c r="A1283" s="405"/>
      <c r="B1283" s="316" t="s">
        <v>345</v>
      </c>
      <c r="C1283" s="410"/>
      <c r="D1283" s="414">
        <v>100</v>
      </c>
      <c r="E1283" s="316" t="s">
        <v>224</v>
      </c>
      <c r="F1283" s="425" t="s">
        <v>289</v>
      </c>
      <c r="G1283" s="422"/>
    </row>
    <row r="1284" spans="1:7" ht="16" x14ac:dyDescent="0.2">
      <c r="A1284" s="405"/>
      <c r="B1284" s="408" t="s">
        <v>298</v>
      </c>
      <c r="C1284" s="411"/>
      <c r="D1284" s="413">
        <v>400</v>
      </c>
      <c r="E1284" s="419" t="s">
        <v>298</v>
      </c>
      <c r="F1284" s="425" t="s">
        <v>290</v>
      </c>
      <c r="G1284" s="422"/>
    </row>
    <row r="1285" spans="1:7" x14ac:dyDescent="0.2">
      <c r="A1285" s="405"/>
      <c r="B1285" s="409" t="s">
        <v>194</v>
      </c>
      <c r="C1285" s="412"/>
      <c r="D1285" s="413">
        <v>60</v>
      </c>
      <c r="E1285" s="409" t="s">
        <v>224</v>
      </c>
      <c r="F1285" s="426" t="s">
        <v>291</v>
      </c>
      <c r="G1285" s="422">
        <v>22.4</v>
      </c>
    </row>
    <row r="1286" spans="1:7" ht="16" thickBot="1" x14ac:dyDescent="0.25">
      <c r="A1286" s="405"/>
      <c r="B1286" s="409"/>
      <c r="C1286" s="412"/>
      <c r="D1286" s="413"/>
      <c r="E1286" s="409"/>
      <c r="F1286" s="427" t="s">
        <v>292</v>
      </c>
      <c r="G1286" s="423"/>
    </row>
    <row r="1287" spans="1:7" ht="16" thickBot="1" x14ac:dyDescent="0.25">
      <c r="A1287" s="405"/>
      <c r="B1287" s="408"/>
      <c r="C1287" s="412"/>
      <c r="D1287" s="413"/>
      <c r="E1287" s="417"/>
      <c r="F1287" s="831">
        <f>SUM(G1280:G1285)</f>
        <v>222.4</v>
      </c>
      <c r="G1287" s="832"/>
    </row>
    <row r="1288" spans="1:7" x14ac:dyDescent="0.2">
      <c r="A1288" s="405"/>
      <c r="B1288" s="408"/>
      <c r="C1288" s="411"/>
      <c r="D1288" s="413"/>
      <c r="E1288" s="417"/>
      <c r="F1288" s="430"/>
      <c r="G1288" s="428"/>
    </row>
    <row r="1289" spans="1:7" ht="16" thickBot="1" x14ac:dyDescent="0.25">
      <c r="A1289" s="405"/>
      <c r="B1289" s="408"/>
      <c r="C1289" s="411"/>
      <c r="D1289" s="413"/>
      <c r="E1289" s="420"/>
      <c r="F1289" s="431"/>
      <c r="G1289" s="429"/>
    </row>
    <row r="1290" spans="1:7" x14ac:dyDescent="0.2">
      <c r="A1290" s="405"/>
      <c r="B1290" s="408"/>
      <c r="C1290" s="412"/>
      <c r="D1290" s="413"/>
      <c r="E1290" s="417"/>
      <c r="F1290" s="833" t="s">
        <v>293</v>
      </c>
      <c r="G1290" s="834"/>
    </row>
    <row r="1291" spans="1:7" ht="16" thickBot="1" x14ac:dyDescent="0.25">
      <c r="A1291" s="405"/>
      <c r="B1291" s="316"/>
      <c r="C1291" s="234"/>
      <c r="D1291" s="413"/>
      <c r="E1291" s="316"/>
      <c r="F1291" s="835"/>
      <c r="G1291" s="836"/>
    </row>
    <row r="1292" spans="1:7" x14ac:dyDescent="0.2">
      <c r="A1292" s="405"/>
      <c r="B1292" s="408"/>
      <c r="C1292" s="412"/>
      <c r="D1292" s="413"/>
      <c r="E1292" s="417"/>
      <c r="F1292" s="424">
        <v>200</v>
      </c>
      <c r="G1292" s="421"/>
    </row>
    <row r="1293" spans="1:7" x14ac:dyDescent="0.2">
      <c r="A1293" s="405"/>
      <c r="B1293" s="408"/>
      <c r="C1293" s="411"/>
      <c r="D1293" s="413"/>
      <c r="E1293" s="417"/>
      <c r="F1293" s="425">
        <v>100</v>
      </c>
      <c r="G1293" s="422"/>
    </row>
    <row r="1294" spans="1:7" x14ac:dyDescent="0.2">
      <c r="A1294" s="405"/>
      <c r="B1294" s="408"/>
      <c r="C1294" s="411"/>
      <c r="D1294" s="413"/>
      <c r="E1294" s="417"/>
      <c r="F1294" s="425">
        <v>50</v>
      </c>
      <c r="G1294" s="422"/>
    </row>
    <row r="1295" spans="1:7" x14ac:dyDescent="0.2">
      <c r="A1295" s="405"/>
      <c r="B1295" s="408"/>
      <c r="C1295" s="411"/>
      <c r="D1295" s="413"/>
      <c r="E1295" s="417"/>
      <c r="F1295" s="425" t="s">
        <v>289</v>
      </c>
      <c r="G1295" s="422"/>
    </row>
    <row r="1296" spans="1:7" x14ac:dyDescent="0.2">
      <c r="A1296" s="405"/>
      <c r="B1296" s="408"/>
      <c r="C1296" s="411"/>
      <c r="D1296" s="413"/>
      <c r="E1296" s="417"/>
      <c r="F1296" s="425" t="s">
        <v>290</v>
      </c>
      <c r="G1296" s="422"/>
    </row>
    <row r="1297" spans="1:7" x14ac:dyDescent="0.2">
      <c r="A1297" s="405"/>
      <c r="B1297" s="408"/>
      <c r="C1297" s="411"/>
      <c r="D1297" s="413"/>
      <c r="E1297" s="417"/>
      <c r="F1297" s="426" t="s">
        <v>291</v>
      </c>
      <c r="G1297" s="422">
        <v>17.8</v>
      </c>
    </row>
    <row r="1298" spans="1:7" ht="16" thickBot="1" x14ac:dyDescent="0.25">
      <c r="A1298" s="405"/>
      <c r="B1298" s="408"/>
      <c r="C1298" s="411"/>
      <c r="D1298" s="413"/>
      <c r="E1298" s="417" t="s">
        <v>340</v>
      </c>
      <c r="F1298" s="427" t="s">
        <v>292</v>
      </c>
      <c r="G1298" s="423"/>
    </row>
    <row r="1299" spans="1:7" ht="16" thickBot="1" x14ac:dyDescent="0.25">
      <c r="A1299" s="405"/>
      <c r="B1299" s="408"/>
      <c r="C1299" s="411"/>
      <c r="D1299" s="415"/>
      <c r="E1299" s="417"/>
      <c r="F1299" s="837">
        <f>SUM(G1292:G1297)</f>
        <v>17.8</v>
      </c>
      <c r="G1299" s="838"/>
    </row>
    <row r="1300" spans="1:7" ht="16" thickBot="1" x14ac:dyDescent="0.25">
      <c r="A1300" s="406" t="s">
        <v>19</v>
      </c>
      <c r="B1300" s="185"/>
      <c r="C1300" s="407">
        <f>SUM(C1278:C1299)</f>
        <v>977.8000000000003</v>
      </c>
      <c r="D1300" s="186">
        <f>SUM(D1278:D1299)</f>
        <v>960</v>
      </c>
      <c r="E1300" s="186">
        <f>C1300-D1300</f>
        <v>17.800000000000296</v>
      </c>
      <c r="F1300" s="416"/>
      <c r="G1300" s="187"/>
    </row>
    <row r="1301" spans="1:7" ht="16" thickBot="1" x14ac:dyDescent="0.25"/>
    <row r="1302" spans="1:7" ht="33" thickBot="1" x14ac:dyDescent="0.25">
      <c r="A1302" s="686"/>
      <c r="B1302" s="183" t="s">
        <v>283</v>
      </c>
      <c r="C1302" s="236" t="s">
        <v>284</v>
      </c>
      <c r="D1302" s="184" t="s">
        <v>285</v>
      </c>
      <c r="E1302" s="184" t="s">
        <v>125</v>
      </c>
      <c r="F1302" s="827" t="s">
        <v>286</v>
      </c>
      <c r="G1302" s="828"/>
    </row>
    <row r="1303" spans="1:7" ht="16" thickBot="1" x14ac:dyDescent="0.25">
      <c r="A1303" s="433">
        <v>45721</v>
      </c>
      <c r="B1303" s="435" t="s">
        <v>287</v>
      </c>
      <c r="C1303" s="436">
        <f>E1300</f>
        <v>17.800000000000296</v>
      </c>
      <c r="D1303" s="28"/>
      <c r="E1303" s="438" t="s">
        <v>287</v>
      </c>
      <c r="F1303" s="829" t="s">
        <v>288</v>
      </c>
      <c r="G1303" s="830"/>
    </row>
    <row r="1304" spans="1:7" ht="16" thickBot="1" x14ac:dyDescent="0.25">
      <c r="A1304" s="432"/>
      <c r="B1304" s="434" t="s">
        <v>70</v>
      </c>
      <c r="C1304" s="410">
        <v>1200</v>
      </c>
      <c r="D1304" s="439"/>
      <c r="E1304" s="437" t="s">
        <v>502</v>
      </c>
      <c r="F1304" s="829"/>
      <c r="G1304" s="830"/>
    </row>
    <row r="1305" spans="1:7" ht="16" x14ac:dyDescent="0.2">
      <c r="A1305" s="405"/>
      <c r="B1305" s="409" t="s">
        <v>194</v>
      </c>
      <c r="C1305" s="411"/>
      <c r="D1305" s="413">
        <v>200</v>
      </c>
      <c r="E1305" s="418" t="s">
        <v>224</v>
      </c>
      <c r="F1305" s="424">
        <v>200</v>
      </c>
      <c r="G1305" s="421"/>
    </row>
    <row r="1306" spans="1:7" x14ac:dyDescent="0.2">
      <c r="A1306" s="405"/>
      <c r="B1306" s="409"/>
      <c r="C1306" s="411"/>
      <c r="D1306" s="413"/>
      <c r="E1306" s="418"/>
      <c r="F1306" s="425">
        <v>100</v>
      </c>
      <c r="G1306" s="422"/>
    </row>
    <row r="1307" spans="1:7" x14ac:dyDescent="0.2">
      <c r="A1307" s="405"/>
      <c r="B1307" s="316"/>
      <c r="C1307" s="410"/>
      <c r="D1307" s="414"/>
      <c r="E1307" s="316"/>
      <c r="F1307" s="425">
        <v>50</v>
      </c>
      <c r="G1307" s="422"/>
    </row>
    <row r="1308" spans="1:7" x14ac:dyDescent="0.2">
      <c r="A1308" s="405"/>
      <c r="B1308" s="316"/>
      <c r="C1308" s="410"/>
      <c r="D1308" s="414"/>
      <c r="E1308" s="316"/>
      <c r="F1308" s="425" t="s">
        <v>289</v>
      </c>
      <c r="G1308" s="422"/>
    </row>
    <row r="1309" spans="1:7" x14ac:dyDescent="0.2">
      <c r="A1309" s="405"/>
      <c r="B1309" s="408"/>
      <c r="C1309" s="411"/>
      <c r="D1309" s="413"/>
      <c r="E1309" s="419"/>
      <c r="F1309" s="425" t="s">
        <v>290</v>
      </c>
      <c r="G1309" s="422"/>
    </row>
    <row r="1310" spans="1:7" x14ac:dyDescent="0.2">
      <c r="A1310" s="405"/>
      <c r="B1310" s="409"/>
      <c r="C1310" s="412"/>
      <c r="D1310" s="413"/>
      <c r="E1310" s="409"/>
      <c r="F1310" s="426" t="s">
        <v>291</v>
      </c>
      <c r="G1310" s="422">
        <v>17.8</v>
      </c>
    </row>
    <row r="1311" spans="1:7" ht="16" thickBot="1" x14ac:dyDescent="0.25">
      <c r="A1311" s="405"/>
      <c r="B1311" s="409"/>
      <c r="C1311" s="412"/>
      <c r="D1311" s="413"/>
      <c r="E1311" s="409"/>
      <c r="F1311" s="427" t="s">
        <v>292</v>
      </c>
      <c r="G1311" s="423"/>
    </row>
    <row r="1312" spans="1:7" ht="16" thickBot="1" x14ac:dyDescent="0.25">
      <c r="A1312" s="405"/>
      <c r="B1312" s="408"/>
      <c r="C1312" s="412"/>
      <c r="D1312" s="413"/>
      <c r="E1312" s="417"/>
      <c r="F1312" s="831">
        <f>SUM(G1305:G1310)</f>
        <v>17.8</v>
      </c>
      <c r="G1312" s="832"/>
    </row>
    <row r="1313" spans="1:7" x14ac:dyDescent="0.2">
      <c r="A1313" s="405"/>
      <c r="B1313" s="408"/>
      <c r="C1313" s="411"/>
      <c r="D1313" s="413"/>
      <c r="E1313" s="417"/>
      <c r="F1313" s="430"/>
      <c r="G1313" s="428"/>
    </row>
    <row r="1314" spans="1:7" ht="16" thickBot="1" x14ac:dyDescent="0.25">
      <c r="A1314" s="405"/>
      <c r="B1314" s="408"/>
      <c r="C1314" s="411"/>
      <c r="D1314" s="413"/>
      <c r="E1314" s="420"/>
      <c r="F1314" s="431"/>
      <c r="G1314" s="429"/>
    </row>
    <row r="1315" spans="1:7" x14ac:dyDescent="0.2">
      <c r="A1315" s="405"/>
      <c r="B1315" s="408"/>
      <c r="C1315" s="412"/>
      <c r="D1315" s="413"/>
      <c r="E1315" s="417"/>
      <c r="F1315" s="833" t="s">
        <v>293</v>
      </c>
      <c r="G1315" s="834"/>
    </row>
    <row r="1316" spans="1:7" ht="16" thickBot="1" x14ac:dyDescent="0.25">
      <c r="A1316" s="405"/>
      <c r="B1316" s="316"/>
      <c r="C1316" s="234"/>
      <c r="D1316" s="413"/>
      <c r="E1316" s="316"/>
      <c r="F1316" s="835"/>
      <c r="G1316" s="836"/>
    </row>
    <row r="1317" spans="1:7" x14ac:dyDescent="0.2">
      <c r="A1317" s="405"/>
      <c r="B1317" s="408"/>
      <c r="C1317" s="412"/>
      <c r="D1317" s="413"/>
      <c r="E1317" s="417"/>
      <c r="F1317" s="424">
        <v>200</v>
      </c>
      <c r="G1317" s="421"/>
    </row>
    <row r="1318" spans="1:7" x14ac:dyDescent="0.2">
      <c r="A1318" s="405"/>
      <c r="B1318" s="408"/>
      <c r="C1318" s="411"/>
      <c r="D1318" s="413"/>
      <c r="E1318" s="417"/>
      <c r="F1318" s="425">
        <v>100</v>
      </c>
      <c r="G1318" s="422">
        <v>1000</v>
      </c>
    </row>
    <row r="1319" spans="1:7" x14ac:dyDescent="0.2">
      <c r="A1319" s="405"/>
      <c r="B1319" s="408"/>
      <c r="C1319" s="411"/>
      <c r="D1319" s="413"/>
      <c r="E1319" s="417"/>
      <c r="F1319" s="425">
        <v>50</v>
      </c>
      <c r="G1319" s="422"/>
    </row>
    <row r="1320" spans="1:7" x14ac:dyDescent="0.2">
      <c r="A1320" s="405"/>
      <c r="B1320" s="408"/>
      <c r="C1320" s="411"/>
      <c r="D1320" s="413"/>
      <c r="E1320" s="417"/>
      <c r="F1320" s="425" t="s">
        <v>289</v>
      </c>
      <c r="G1320" s="422"/>
    </row>
    <row r="1321" spans="1:7" x14ac:dyDescent="0.2">
      <c r="A1321" s="405"/>
      <c r="B1321" s="408"/>
      <c r="C1321" s="411"/>
      <c r="D1321" s="413"/>
      <c r="E1321" s="417"/>
      <c r="F1321" s="425" t="s">
        <v>290</v>
      </c>
      <c r="G1321" s="422"/>
    </row>
    <row r="1322" spans="1:7" x14ac:dyDescent="0.2">
      <c r="A1322" s="405"/>
      <c r="B1322" s="408"/>
      <c r="C1322" s="411"/>
      <c r="D1322" s="413"/>
      <c r="E1322" s="417"/>
      <c r="F1322" s="426" t="s">
        <v>291</v>
      </c>
      <c r="G1322" s="422">
        <v>17.8</v>
      </c>
    </row>
    <row r="1323" spans="1:7" ht="16" thickBot="1" x14ac:dyDescent="0.25">
      <c r="A1323" s="405"/>
      <c r="B1323" s="408"/>
      <c r="C1323" s="411"/>
      <c r="D1323" s="413"/>
      <c r="E1323" s="417" t="s">
        <v>340</v>
      </c>
      <c r="F1323" s="427" t="s">
        <v>292</v>
      </c>
      <c r="G1323" s="423"/>
    </row>
    <row r="1324" spans="1:7" ht="16" thickBot="1" x14ac:dyDescent="0.25">
      <c r="A1324" s="405"/>
      <c r="B1324" s="408"/>
      <c r="C1324" s="411"/>
      <c r="D1324" s="415"/>
      <c r="E1324" s="417"/>
      <c r="F1324" s="837">
        <f>SUM(G1317:G1322)</f>
        <v>1017.8</v>
      </c>
      <c r="G1324" s="838"/>
    </row>
    <row r="1325" spans="1:7" ht="16" thickBot="1" x14ac:dyDescent="0.25">
      <c r="A1325" s="406" t="s">
        <v>19</v>
      </c>
      <c r="B1325" s="185"/>
      <c r="C1325" s="407">
        <f>SUM(C1303:C1324)</f>
        <v>1217.8000000000002</v>
      </c>
      <c r="D1325" s="186">
        <f>SUM(D1303:D1324)</f>
        <v>200</v>
      </c>
      <c r="E1325" s="186">
        <f>C1325-D1325</f>
        <v>1017.8000000000002</v>
      </c>
      <c r="F1325" s="416"/>
      <c r="G1325" s="187"/>
    </row>
    <row r="1326" spans="1:7" ht="16" thickBot="1" x14ac:dyDescent="0.25"/>
    <row r="1327" spans="1:7" ht="33" thickBot="1" x14ac:dyDescent="0.25">
      <c r="A1327" s="686"/>
      <c r="B1327" s="183" t="s">
        <v>283</v>
      </c>
      <c r="C1327" s="236" t="s">
        <v>284</v>
      </c>
      <c r="D1327" s="184" t="s">
        <v>285</v>
      </c>
      <c r="E1327" s="184" t="s">
        <v>125</v>
      </c>
      <c r="F1327" s="827" t="s">
        <v>286</v>
      </c>
      <c r="G1327" s="828"/>
    </row>
    <row r="1328" spans="1:7" ht="16" thickBot="1" x14ac:dyDescent="0.25">
      <c r="A1328" s="433">
        <v>45722</v>
      </c>
      <c r="B1328" s="435" t="s">
        <v>287</v>
      </c>
      <c r="C1328" s="436">
        <f>E1325</f>
        <v>1017.8000000000002</v>
      </c>
      <c r="D1328" s="28"/>
      <c r="E1328" s="438" t="s">
        <v>287</v>
      </c>
      <c r="F1328" s="829" t="s">
        <v>288</v>
      </c>
      <c r="G1328" s="830"/>
    </row>
    <row r="1329" spans="1:7" ht="16" thickBot="1" x14ac:dyDescent="0.25">
      <c r="A1329" s="432"/>
      <c r="B1329" s="434" t="s">
        <v>222</v>
      </c>
      <c r="C1329" s="410"/>
      <c r="D1329" s="439">
        <v>200</v>
      </c>
      <c r="E1329" s="437" t="s">
        <v>817</v>
      </c>
      <c r="F1329" s="829"/>
      <c r="G1329" s="830"/>
    </row>
    <row r="1330" spans="1:7" ht="16" x14ac:dyDescent="0.2">
      <c r="A1330" s="405"/>
      <c r="B1330" s="409" t="s">
        <v>298</v>
      </c>
      <c r="C1330" s="411"/>
      <c r="D1330" s="413">
        <v>800</v>
      </c>
      <c r="E1330" s="418" t="s">
        <v>298</v>
      </c>
      <c r="F1330" s="424">
        <v>200</v>
      </c>
      <c r="G1330" s="421"/>
    </row>
    <row r="1331" spans="1:7" x14ac:dyDescent="0.2">
      <c r="A1331" s="405"/>
      <c r="B1331" s="409"/>
      <c r="C1331" s="411"/>
      <c r="D1331" s="413"/>
      <c r="E1331" s="418"/>
      <c r="F1331" s="425">
        <v>100</v>
      </c>
      <c r="G1331" s="422">
        <v>1000</v>
      </c>
    </row>
    <row r="1332" spans="1:7" x14ac:dyDescent="0.2">
      <c r="A1332" s="405"/>
      <c r="B1332" s="316"/>
      <c r="C1332" s="410"/>
      <c r="D1332" s="414"/>
      <c r="E1332" s="316"/>
      <c r="F1332" s="425">
        <v>50</v>
      </c>
      <c r="G1332" s="422"/>
    </row>
    <row r="1333" spans="1:7" x14ac:dyDescent="0.2">
      <c r="A1333" s="405"/>
      <c r="B1333" s="316"/>
      <c r="C1333" s="410"/>
      <c r="D1333" s="414"/>
      <c r="E1333" s="316"/>
      <c r="F1333" s="425" t="s">
        <v>289</v>
      </c>
      <c r="G1333" s="422"/>
    </row>
    <row r="1334" spans="1:7" x14ac:dyDescent="0.2">
      <c r="A1334" s="405"/>
      <c r="B1334" s="408"/>
      <c r="C1334" s="411"/>
      <c r="D1334" s="413"/>
      <c r="E1334" s="419"/>
      <c r="F1334" s="425" t="s">
        <v>290</v>
      </c>
      <c r="G1334" s="422"/>
    </row>
    <row r="1335" spans="1:7" x14ac:dyDescent="0.2">
      <c r="A1335" s="405"/>
      <c r="B1335" s="409"/>
      <c r="C1335" s="412"/>
      <c r="D1335" s="413"/>
      <c r="E1335" s="409"/>
      <c r="F1335" s="426" t="s">
        <v>291</v>
      </c>
      <c r="G1335" s="422">
        <v>17.8</v>
      </c>
    </row>
    <row r="1336" spans="1:7" ht="16" thickBot="1" x14ac:dyDescent="0.25">
      <c r="A1336" s="405"/>
      <c r="B1336" s="409"/>
      <c r="C1336" s="412"/>
      <c r="D1336" s="413"/>
      <c r="E1336" s="409"/>
      <c r="F1336" s="427" t="s">
        <v>292</v>
      </c>
      <c r="G1336" s="423"/>
    </row>
    <row r="1337" spans="1:7" ht="16" thickBot="1" x14ac:dyDescent="0.25">
      <c r="A1337" s="405"/>
      <c r="B1337" s="408"/>
      <c r="C1337" s="412"/>
      <c r="D1337" s="413"/>
      <c r="E1337" s="417"/>
      <c r="F1337" s="831">
        <f>SUM(G1330:G1335)</f>
        <v>1017.8</v>
      </c>
      <c r="G1337" s="832"/>
    </row>
    <row r="1338" spans="1:7" x14ac:dyDescent="0.2">
      <c r="A1338" s="405"/>
      <c r="B1338" s="408"/>
      <c r="C1338" s="411"/>
      <c r="D1338" s="413"/>
      <c r="E1338" s="417"/>
      <c r="F1338" s="430"/>
      <c r="G1338" s="428"/>
    </row>
    <row r="1339" spans="1:7" ht="16" thickBot="1" x14ac:dyDescent="0.25">
      <c r="A1339" s="405"/>
      <c r="B1339" s="408"/>
      <c r="C1339" s="411"/>
      <c r="D1339" s="413"/>
      <c r="E1339" s="420"/>
      <c r="F1339" s="431"/>
      <c r="G1339" s="429"/>
    </row>
    <row r="1340" spans="1:7" x14ac:dyDescent="0.2">
      <c r="A1340" s="405"/>
      <c r="B1340" s="408"/>
      <c r="C1340" s="412"/>
      <c r="D1340" s="413"/>
      <c r="E1340" s="417"/>
      <c r="F1340" s="833" t="s">
        <v>293</v>
      </c>
      <c r="G1340" s="834"/>
    </row>
    <row r="1341" spans="1:7" ht="16" thickBot="1" x14ac:dyDescent="0.25">
      <c r="A1341" s="405"/>
      <c r="B1341" s="316"/>
      <c r="C1341" s="234"/>
      <c r="D1341" s="413"/>
      <c r="E1341" s="316"/>
      <c r="F1341" s="835"/>
      <c r="G1341" s="836"/>
    </row>
    <row r="1342" spans="1:7" x14ac:dyDescent="0.2">
      <c r="A1342" s="405"/>
      <c r="B1342" s="408"/>
      <c r="C1342" s="412"/>
      <c r="D1342" s="413"/>
      <c r="E1342" s="417"/>
      <c r="F1342" s="424">
        <v>200</v>
      </c>
      <c r="G1342" s="421"/>
    </row>
    <row r="1343" spans="1:7" x14ac:dyDescent="0.2">
      <c r="A1343" s="405"/>
      <c r="B1343" s="408"/>
      <c r="C1343" s="411"/>
      <c r="D1343" s="413"/>
      <c r="E1343" s="417"/>
      <c r="F1343" s="425">
        <v>100</v>
      </c>
      <c r="G1343" s="422"/>
    </row>
    <row r="1344" spans="1:7" x14ac:dyDescent="0.2">
      <c r="A1344" s="405"/>
      <c r="B1344" s="408"/>
      <c r="C1344" s="411"/>
      <c r="D1344" s="413"/>
      <c r="E1344" s="417"/>
      <c r="F1344" s="425">
        <v>50</v>
      </c>
      <c r="G1344" s="422"/>
    </row>
    <row r="1345" spans="1:7" x14ac:dyDescent="0.2">
      <c r="A1345" s="405"/>
      <c r="B1345" s="408"/>
      <c r="C1345" s="411"/>
      <c r="D1345" s="413"/>
      <c r="E1345" s="417"/>
      <c r="F1345" s="425" t="s">
        <v>289</v>
      </c>
      <c r="G1345" s="422"/>
    </row>
    <row r="1346" spans="1:7" x14ac:dyDescent="0.2">
      <c r="A1346" s="405"/>
      <c r="B1346" s="408"/>
      <c r="C1346" s="411"/>
      <c r="D1346" s="413"/>
      <c r="E1346" s="417"/>
      <c r="F1346" s="425" t="s">
        <v>290</v>
      </c>
      <c r="G1346" s="422"/>
    </row>
    <row r="1347" spans="1:7" x14ac:dyDescent="0.2">
      <c r="A1347" s="405"/>
      <c r="B1347" s="408"/>
      <c r="C1347" s="411"/>
      <c r="D1347" s="413"/>
      <c r="E1347" s="417"/>
      <c r="F1347" s="426" t="s">
        <v>291</v>
      </c>
      <c r="G1347" s="422">
        <v>17.8</v>
      </c>
    </row>
    <row r="1348" spans="1:7" ht="16" thickBot="1" x14ac:dyDescent="0.25">
      <c r="A1348" s="405"/>
      <c r="B1348" s="408"/>
      <c r="C1348" s="411"/>
      <c r="D1348" s="413"/>
      <c r="E1348" s="417" t="s">
        <v>340</v>
      </c>
      <c r="F1348" s="427" t="s">
        <v>292</v>
      </c>
      <c r="G1348" s="423"/>
    </row>
    <row r="1349" spans="1:7" ht="16" thickBot="1" x14ac:dyDescent="0.25">
      <c r="A1349" s="405"/>
      <c r="B1349" s="408"/>
      <c r="C1349" s="411"/>
      <c r="D1349" s="415"/>
      <c r="E1349" s="417"/>
      <c r="F1349" s="837">
        <f>SUM(G1342:G1347)</f>
        <v>17.8</v>
      </c>
      <c r="G1349" s="838"/>
    </row>
    <row r="1350" spans="1:7" ht="16" thickBot="1" x14ac:dyDescent="0.25">
      <c r="A1350" s="406" t="s">
        <v>19</v>
      </c>
      <c r="B1350" s="185"/>
      <c r="C1350" s="407">
        <f>SUM(C1328:C1349)</f>
        <v>1017.8000000000002</v>
      </c>
      <c r="D1350" s="186">
        <f>SUM(D1328:D1349)</f>
        <v>1000</v>
      </c>
      <c r="E1350" s="186">
        <f>C1350-D1350</f>
        <v>17.800000000000182</v>
      </c>
      <c r="F1350" s="416"/>
      <c r="G1350" s="187"/>
    </row>
    <row r="1351" spans="1:7" ht="16" thickBot="1" x14ac:dyDescent="0.25"/>
    <row r="1352" spans="1:7" ht="33" thickBot="1" x14ac:dyDescent="0.25">
      <c r="A1352" s="686"/>
      <c r="B1352" s="183" t="s">
        <v>283</v>
      </c>
      <c r="C1352" s="236" t="s">
        <v>284</v>
      </c>
      <c r="D1352" s="184" t="s">
        <v>285</v>
      </c>
      <c r="E1352" s="184" t="s">
        <v>125</v>
      </c>
      <c r="F1352" s="827" t="s">
        <v>286</v>
      </c>
      <c r="G1352" s="828"/>
    </row>
    <row r="1353" spans="1:7" ht="16" thickBot="1" x14ac:dyDescent="0.25">
      <c r="A1353" s="433">
        <v>45723</v>
      </c>
      <c r="B1353" s="435" t="s">
        <v>287</v>
      </c>
      <c r="C1353" s="436">
        <f>E1350</f>
        <v>17.800000000000182</v>
      </c>
      <c r="D1353" s="28"/>
      <c r="E1353" s="438" t="s">
        <v>287</v>
      </c>
      <c r="F1353" s="829" t="s">
        <v>288</v>
      </c>
      <c r="G1353" s="830"/>
    </row>
    <row r="1354" spans="1:7" ht="16" thickBot="1" x14ac:dyDescent="0.25">
      <c r="A1354" s="432"/>
      <c r="B1354" s="434" t="s">
        <v>295</v>
      </c>
      <c r="C1354" s="410">
        <v>15</v>
      </c>
      <c r="D1354" s="439"/>
      <c r="E1354" s="437" t="s">
        <v>295</v>
      </c>
      <c r="F1354" s="829"/>
      <c r="G1354" s="830"/>
    </row>
    <row r="1355" spans="1:7" ht="16" x14ac:dyDescent="0.2">
      <c r="A1355" s="405"/>
      <c r="B1355" s="409" t="s">
        <v>70</v>
      </c>
      <c r="C1355" s="411">
        <v>1200</v>
      </c>
      <c r="D1355" s="413"/>
      <c r="E1355" s="418" t="s">
        <v>812</v>
      </c>
      <c r="F1355" s="424">
        <v>200</v>
      </c>
      <c r="G1355" s="421"/>
    </row>
    <row r="1356" spans="1:7" x14ac:dyDescent="0.2">
      <c r="A1356" s="405"/>
      <c r="B1356" s="409"/>
      <c r="C1356" s="411"/>
      <c r="D1356" s="413"/>
      <c r="E1356" s="418"/>
      <c r="F1356" s="425">
        <v>100</v>
      </c>
      <c r="G1356" s="422"/>
    </row>
    <row r="1357" spans="1:7" x14ac:dyDescent="0.2">
      <c r="A1357" s="405"/>
      <c r="B1357" s="316"/>
      <c r="C1357" s="410"/>
      <c r="D1357" s="414"/>
      <c r="E1357" s="316"/>
      <c r="F1357" s="425">
        <v>50</v>
      </c>
      <c r="G1357" s="422"/>
    </row>
    <row r="1358" spans="1:7" x14ac:dyDescent="0.2">
      <c r="A1358" s="405"/>
      <c r="B1358" s="316"/>
      <c r="C1358" s="410"/>
      <c r="D1358" s="414"/>
      <c r="E1358" s="316"/>
      <c r="F1358" s="425" t="s">
        <v>289</v>
      </c>
      <c r="G1358" s="422"/>
    </row>
    <row r="1359" spans="1:7" x14ac:dyDescent="0.2">
      <c r="A1359" s="405"/>
      <c r="B1359" s="408"/>
      <c r="C1359" s="411"/>
      <c r="D1359" s="413"/>
      <c r="E1359" s="419"/>
      <c r="F1359" s="425" t="s">
        <v>290</v>
      </c>
      <c r="G1359" s="422"/>
    </row>
    <row r="1360" spans="1:7" x14ac:dyDescent="0.2">
      <c r="A1360" s="405"/>
      <c r="B1360" s="409"/>
      <c r="C1360" s="412"/>
      <c r="D1360" s="413"/>
      <c r="E1360" s="409"/>
      <c r="F1360" s="426" t="s">
        <v>291</v>
      </c>
      <c r="G1360" s="422">
        <v>17.8</v>
      </c>
    </row>
    <row r="1361" spans="1:7" ht="16" thickBot="1" x14ac:dyDescent="0.25">
      <c r="A1361" s="405"/>
      <c r="B1361" s="409"/>
      <c r="C1361" s="412"/>
      <c r="D1361" s="413"/>
      <c r="E1361" s="409"/>
      <c r="F1361" s="427" t="s">
        <v>292</v>
      </c>
      <c r="G1361" s="423"/>
    </row>
    <row r="1362" spans="1:7" ht="16" thickBot="1" x14ac:dyDescent="0.25">
      <c r="A1362" s="405"/>
      <c r="B1362" s="408"/>
      <c r="C1362" s="412"/>
      <c r="D1362" s="413"/>
      <c r="E1362" s="417"/>
      <c r="F1362" s="831">
        <f>SUM(G1355:G1360)</f>
        <v>17.8</v>
      </c>
      <c r="G1362" s="832"/>
    </row>
    <row r="1363" spans="1:7" x14ac:dyDescent="0.2">
      <c r="A1363" s="405"/>
      <c r="B1363" s="408"/>
      <c r="C1363" s="411"/>
      <c r="D1363" s="413"/>
      <c r="E1363" s="417"/>
      <c r="F1363" s="430"/>
      <c r="G1363" s="428"/>
    </row>
    <row r="1364" spans="1:7" ht="16" thickBot="1" x14ac:dyDescent="0.25">
      <c r="A1364" s="405"/>
      <c r="B1364" s="408"/>
      <c r="C1364" s="411"/>
      <c r="D1364" s="413"/>
      <c r="E1364" s="420"/>
      <c r="F1364" s="431"/>
      <c r="G1364" s="429"/>
    </row>
    <row r="1365" spans="1:7" x14ac:dyDescent="0.2">
      <c r="A1365" s="405"/>
      <c r="B1365" s="408"/>
      <c r="C1365" s="412"/>
      <c r="D1365" s="413"/>
      <c r="E1365" s="417"/>
      <c r="F1365" s="833" t="s">
        <v>293</v>
      </c>
      <c r="G1365" s="834"/>
    </row>
    <row r="1366" spans="1:7" ht="16" thickBot="1" x14ac:dyDescent="0.25">
      <c r="A1366" s="405"/>
      <c r="B1366" s="316"/>
      <c r="C1366" s="234"/>
      <c r="D1366" s="413"/>
      <c r="E1366" s="316"/>
      <c r="F1366" s="835"/>
      <c r="G1366" s="836"/>
    </row>
    <row r="1367" spans="1:7" x14ac:dyDescent="0.2">
      <c r="A1367" s="405"/>
      <c r="B1367" s="408"/>
      <c r="C1367" s="412"/>
      <c r="D1367" s="413"/>
      <c r="E1367" s="417"/>
      <c r="F1367" s="424">
        <v>200</v>
      </c>
      <c r="G1367" s="421">
        <v>1000</v>
      </c>
    </row>
    <row r="1368" spans="1:7" x14ac:dyDescent="0.2">
      <c r="A1368" s="405"/>
      <c r="B1368" s="408"/>
      <c r="C1368" s="411"/>
      <c r="D1368" s="413"/>
      <c r="E1368" s="417"/>
      <c r="F1368" s="425">
        <v>100</v>
      </c>
      <c r="G1368" s="422">
        <v>200</v>
      </c>
    </row>
    <row r="1369" spans="1:7" x14ac:dyDescent="0.2">
      <c r="A1369" s="405"/>
      <c r="B1369" s="408"/>
      <c r="C1369" s="411"/>
      <c r="D1369" s="413"/>
      <c r="E1369" s="417"/>
      <c r="F1369" s="425">
        <v>50</v>
      </c>
      <c r="G1369" s="422"/>
    </row>
    <row r="1370" spans="1:7" x14ac:dyDescent="0.2">
      <c r="A1370" s="405"/>
      <c r="B1370" s="408"/>
      <c r="C1370" s="411"/>
      <c r="D1370" s="413"/>
      <c r="E1370" s="417"/>
      <c r="F1370" s="425" t="s">
        <v>289</v>
      </c>
      <c r="G1370" s="422">
        <v>20</v>
      </c>
    </row>
    <row r="1371" spans="1:7" x14ac:dyDescent="0.2">
      <c r="A1371" s="405"/>
      <c r="B1371" s="408"/>
      <c r="C1371" s="411"/>
      <c r="D1371" s="413"/>
      <c r="E1371" s="417"/>
      <c r="F1371" s="425" t="s">
        <v>290</v>
      </c>
      <c r="G1371" s="422"/>
    </row>
    <row r="1372" spans="1:7" x14ac:dyDescent="0.2">
      <c r="A1372" s="405"/>
      <c r="B1372" s="408"/>
      <c r="C1372" s="411"/>
      <c r="D1372" s="413"/>
      <c r="E1372" s="417"/>
      <c r="F1372" s="426" t="s">
        <v>291</v>
      </c>
      <c r="G1372" s="422">
        <v>12.8</v>
      </c>
    </row>
    <row r="1373" spans="1:7" ht="16" thickBot="1" x14ac:dyDescent="0.25">
      <c r="A1373" s="405"/>
      <c r="B1373" s="408"/>
      <c r="C1373" s="411"/>
      <c r="D1373" s="413"/>
      <c r="E1373" s="417" t="s">
        <v>340</v>
      </c>
      <c r="F1373" s="427" t="s">
        <v>292</v>
      </c>
      <c r="G1373" s="423"/>
    </row>
    <row r="1374" spans="1:7" ht="16" thickBot="1" x14ac:dyDescent="0.25">
      <c r="A1374" s="405"/>
      <c r="B1374" s="408"/>
      <c r="C1374" s="411"/>
      <c r="D1374" s="415"/>
      <c r="E1374" s="417"/>
      <c r="F1374" s="837">
        <f>SUM(G1367:G1372)</f>
        <v>1232.8</v>
      </c>
      <c r="G1374" s="838"/>
    </row>
    <row r="1375" spans="1:7" ht="16" thickBot="1" x14ac:dyDescent="0.25">
      <c r="A1375" s="406" t="s">
        <v>19</v>
      </c>
      <c r="B1375" s="185"/>
      <c r="C1375" s="407">
        <f>SUM(C1353:C1374)</f>
        <v>1232.8000000000002</v>
      </c>
      <c r="D1375" s="186">
        <f>SUM(D1353:D1374)</f>
        <v>0</v>
      </c>
      <c r="E1375" s="186">
        <f>C1375-D1375</f>
        <v>1232.8000000000002</v>
      </c>
      <c r="F1375" s="416"/>
      <c r="G1375" s="187"/>
    </row>
    <row r="1376" spans="1:7" ht="16" thickBot="1" x14ac:dyDescent="0.25"/>
    <row r="1377" spans="1:7" ht="33" thickBot="1" x14ac:dyDescent="0.25">
      <c r="A1377" s="686"/>
      <c r="B1377" s="183" t="s">
        <v>283</v>
      </c>
      <c r="C1377" s="236" t="s">
        <v>284</v>
      </c>
      <c r="D1377" s="184" t="s">
        <v>285</v>
      </c>
      <c r="E1377" s="184" t="s">
        <v>125</v>
      </c>
      <c r="F1377" s="827" t="s">
        <v>286</v>
      </c>
      <c r="G1377" s="828"/>
    </row>
    <row r="1378" spans="1:7" ht="16" thickBot="1" x14ac:dyDescent="0.25">
      <c r="A1378" s="433">
        <v>45724</v>
      </c>
      <c r="B1378" s="435" t="s">
        <v>287</v>
      </c>
      <c r="C1378" s="436">
        <f>E1375</f>
        <v>1232.8000000000002</v>
      </c>
      <c r="D1378" s="28"/>
      <c r="E1378" s="438" t="s">
        <v>287</v>
      </c>
      <c r="F1378" s="829" t="s">
        <v>288</v>
      </c>
      <c r="G1378" s="830"/>
    </row>
    <row r="1379" spans="1:7" ht="16" thickBot="1" x14ac:dyDescent="0.25">
      <c r="A1379" s="432"/>
      <c r="B1379" s="434" t="s">
        <v>295</v>
      </c>
      <c r="C1379" s="410">
        <v>400</v>
      </c>
      <c r="D1379" s="439"/>
      <c r="E1379" s="437" t="s">
        <v>295</v>
      </c>
      <c r="F1379" s="829"/>
      <c r="G1379" s="830"/>
    </row>
    <row r="1380" spans="1:7" ht="16" x14ac:dyDescent="0.2">
      <c r="A1380" s="405"/>
      <c r="B1380" s="409" t="s">
        <v>188</v>
      </c>
      <c r="C1380" s="411"/>
      <c r="D1380" s="413">
        <v>200</v>
      </c>
      <c r="E1380" s="418" t="s">
        <v>224</v>
      </c>
      <c r="F1380" s="424">
        <v>200</v>
      </c>
      <c r="G1380" s="421">
        <v>1000</v>
      </c>
    </row>
    <row r="1381" spans="1:7" ht="16" x14ac:dyDescent="0.2">
      <c r="A1381" s="405"/>
      <c r="B1381" s="409" t="s">
        <v>345</v>
      </c>
      <c r="C1381" s="411"/>
      <c r="D1381" s="413">
        <v>200</v>
      </c>
      <c r="E1381" s="418" t="s">
        <v>224</v>
      </c>
      <c r="F1381" s="425">
        <v>100</v>
      </c>
      <c r="G1381" s="422">
        <v>200</v>
      </c>
    </row>
    <row r="1382" spans="1:7" x14ac:dyDescent="0.2">
      <c r="A1382" s="405"/>
      <c r="B1382" s="316" t="s">
        <v>303</v>
      </c>
      <c r="C1382" s="410"/>
      <c r="D1382" s="414">
        <v>100</v>
      </c>
      <c r="E1382" s="316" t="s">
        <v>224</v>
      </c>
      <c r="F1382" s="425">
        <v>50</v>
      </c>
      <c r="G1382" s="422"/>
    </row>
    <row r="1383" spans="1:7" x14ac:dyDescent="0.2">
      <c r="A1383" s="405"/>
      <c r="B1383" s="316" t="s">
        <v>298</v>
      </c>
      <c r="C1383" s="410"/>
      <c r="D1383" s="414">
        <v>1120</v>
      </c>
      <c r="E1383" s="316" t="s">
        <v>298</v>
      </c>
      <c r="F1383" s="425" t="s">
        <v>289</v>
      </c>
      <c r="G1383" s="422">
        <v>20</v>
      </c>
    </row>
    <row r="1384" spans="1:7" x14ac:dyDescent="0.2">
      <c r="A1384" s="405"/>
      <c r="B1384" s="408"/>
      <c r="C1384" s="411"/>
      <c r="D1384" s="413"/>
      <c r="E1384" s="419"/>
      <c r="F1384" s="425" t="s">
        <v>290</v>
      </c>
      <c r="G1384" s="422"/>
    </row>
    <row r="1385" spans="1:7" x14ac:dyDescent="0.2">
      <c r="A1385" s="405"/>
      <c r="B1385" s="409"/>
      <c r="C1385" s="412"/>
      <c r="D1385" s="413"/>
      <c r="E1385" s="409"/>
      <c r="F1385" s="426" t="s">
        <v>291</v>
      </c>
      <c r="G1385" s="422">
        <v>12.8</v>
      </c>
    </row>
    <row r="1386" spans="1:7" ht="16" thickBot="1" x14ac:dyDescent="0.25">
      <c r="A1386" s="405"/>
      <c r="B1386" s="409"/>
      <c r="C1386" s="412"/>
      <c r="D1386" s="413"/>
      <c r="E1386" s="409"/>
      <c r="F1386" s="427" t="s">
        <v>292</v>
      </c>
      <c r="G1386" s="423"/>
    </row>
    <row r="1387" spans="1:7" ht="16" thickBot="1" x14ac:dyDescent="0.25">
      <c r="A1387" s="405"/>
      <c r="B1387" s="408"/>
      <c r="C1387" s="412"/>
      <c r="D1387" s="413"/>
      <c r="E1387" s="417"/>
      <c r="F1387" s="831">
        <f>SUM(G1380:G1385)</f>
        <v>1232.8</v>
      </c>
      <c r="G1387" s="832"/>
    </row>
    <row r="1388" spans="1:7" x14ac:dyDescent="0.2">
      <c r="A1388" s="405"/>
      <c r="B1388" s="408"/>
      <c r="C1388" s="411"/>
      <c r="D1388" s="413"/>
      <c r="E1388" s="417"/>
      <c r="F1388" s="430"/>
      <c r="G1388" s="428"/>
    </row>
    <row r="1389" spans="1:7" ht="16" thickBot="1" x14ac:dyDescent="0.25">
      <c r="A1389" s="405"/>
      <c r="B1389" s="408"/>
      <c r="C1389" s="411"/>
      <c r="D1389" s="413"/>
      <c r="E1389" s="420"/>
      <c r="F1389" s="431"/>
      <c r="G1389" s="429"/>
    </row>
    <row r="1390" spans="1:7" x14ac:dyDescent="0.2">
      <c r="A1390" s="405"/>
      <c r="B1390" s="408"/>
      <c r="C1390" s="412"/>
      <c r="D1390" s="413"/>
      <c r="E1390" s="417"/>
      <c r="F1390" s="833" t="s">
        <v>293</v>
      </c>
      <c r="G1390" s="834"/>
    </row>
    <row r="1391" spans="1:7" ht="16" thickBot="1" x14ac:dyDescent="0.25">
      <c r="A1391" s="405"/>
      <c r="B1391" s="316"/>
      <c r="C1391" s="234"/>
      <c r="D1391" s="413"/>
      <c r="E1391" s="316"/>
      <c r="F1391" s="835"/>
      <c r="G1391" s="836"/>
    </row>
    <row r="1392" spans="1:7" x14ac:dyDescent="0.2">
      <c r="A1392" s="405"/>
      <c r="B1392" s="408"/>
      <c r="C1392" s="412"/>
      <c r="D1392" s="413"/>
      <c r="E1392" s="417"/>
      <c r="F1392" s="424">
        <v>200</v>
      </c>
      <c r="G1392" s="421"/>
    </row>
    <row r="1393" spans="1:7" x14ac:dyDescent="0.2">
      <c r="A1393" s="405"/>
      <c r="B1393" s="408"/>
      <c r="C1393" s="411"/>
      <c r="D1393" s="413"/>
      <c r="E1393" s="417"/>
      <c r="F1393" s="425">
        <v>100</v>
      </c>
      <c r="G1393" s="422"/>
    </row>
    <row r="1394" spans="1:7" x14ac:dyDescent="0.2">
      <c r="A1394" s="405"/>
      <c r="B1394" s="408"/>
      <c r="C1394" s="411"/>
      <c r="D1394" s="413"/>
      <c r="E1394" s="417"/>
      <c r="F1394" s="425">
        <v>50</v>
      </c>
      <c r="G1394" s="422"/>
    </row>
    <row r="1395" spans="1:7" x14ac:dyDescent="0.2">
      <c r="A1395" s="405"/>
      <c r="B1395" s="408"/>
      <c r="C1395" s="411"/>
      <c r="D1395" s="413"/>
      <c r="E1395" s="417"/>
      <c r="F1395" s="425" t="s">
        <v>289</v>
      </c>
      <c r="G1395" s="422"/>
    </row>
    <row r="1396" spans="1:7" x14ac:dyDescent="0.2">
      <c r="A1396" s="405"/>
      <c r="B1396" s="408"/>
      <c r="C1396" s="411"/>
      <c r="D1396" s="413"/>
      <c r="E1396" s="417"/>
      <c r="F1396" s="425" t="s">
        <v>290</v>
      </c>
      <c r="G1396" s="422"/>
    </row>
    <row r="1397" spans="1:7" x14ac:dyDescent="0.2">
      <c r="A1397" s="405"/>
      <c r="B1397" s="408"/>
      <c r="C1397" s="411"/>
      <c r="D1397" s="413"/>
      <c r="E1397" s="417"/>
      <c r="F1397" s="426" t="s">
        <v>291</v>
      </c>
      <c r="G1397" s="422">
        <v>12.8</v>
      </c>
    </row>
    <row r="1398" spans="1:7" ht="16" thickBot="1" x14ac:dyDescent="0.25">
      <c r="A1398" s="405"/>
      <c r="B1398" s="408"/>
      <c r="C1398" s="411"/>
      <c r="D1398" s="413"/>
      <c r="E1398" s="417" t="s">
        <v>340</v>
      </c>
      <c r="F1398" s="427" t="s">
        <v>292</v>
      </c>
      <c r="G1398" s="423"/>
    </row>
    <row r="1399" spans="1:7" ht="16" thickBot="1" x14ac:dyDescent="0.25">
      <c r="A1399" s="405"/>
      <c r="B1399" s="408"/>
      <c r="C1399" s="411"/>
      <c r="D1399" s="415"/>
      <c r="E1399" s="417"/>
      <c r="F1399" s="837">
        <f>SUM(G1392:G1397)</f>
        <v>12.8</v>
      </c>
      <c r="G1399" s="838"/>
    </row>
    <row r="1400" spans="1:7" ht="16" thickBot="1" x14ac:dyDescent="0.25">
      <c r="A1400" s="406" t="s">
        <v>19</v>
      </c>
      <c r="B1400" s="185"/>
      <c r="C1400" s="407">
        <f>SUM(C1378:C1399)</f>
        <v>1632.8000000000002</v>
      </c>
      <c r="D1400" s="186">
        <f>SUM(D1378:D1399)</f>
        <v>1620</v>
      </c>
      <c r="E1400" s="186">
        <f>C1400-D1400</f>
        <v>12.800000000000182</v>
      </c>
      <c r="F1400" s="416"/>
      <c r="G1400" s="187"/>
    </row>
    <row r="1401" spans="1:7" ht="16" thickBot="1" x14ac:dyDescent="0.25"/>
    <row r="1402" spans="1:7" ht="33" thickBot="1" x14ac:dyDescent="0.25">
      <c r="A1402" s="686"/>
      <c r="B1402" s="183" t="s">
        <v>283</v>
      </c>
      <c r="C1402" s="236" t="s">
        <v>284</v>
      </c>
      <c r="D1402" s="184" t="s">
        <v>285</v>
      </c>
      <c r="E1402" s="184" t="s">
        <v>125</v>
      </c>
      <c r="F1402" s="827" t="s">
        <v>286</v>
      </c>
      <c r="G1402" s="828"/>
    </row>
    <row r="1403" spans="1:7" ht="16" thickBot="1" x14ac:dyDescent="0.25">
      <c r="A1403" s="433">
        <v>45725</v>
      </c>
      <c r="B1403" s="435" t="s">
        <v>287</v>
      </c>
      <c r="C1403" s="436">
        <f>E1400</f>
        <v>12.800000000000182</v>
      </c>
      <c r="D1403" s="28"/>
      <c r="E1403" s="438" t="s">
        <v>287</v>
      </c>
      <c r="F1403" s="829" t="s">
        <v>288</v>
      </c>
      <c r="G1403" s="830"/>
    </row>
    <row r="1404" spans="1:7" ht="16" thickBot="1" x14ac:dyDescent="0.25">
      <c r="A1404" s="432"/>
      <c r="B1404" s="434" t="s">
        <v>295</v>
      </c>
      <c r="C1404" s="410">
        <v>300</v>
      </c>
      <c r="D1404" s="439"/>
      <c r="E1404" s="437" t="s">
        <v>295</v>
      </c>
      <c r="F1404" s="829"/>
      <c r="G1404" s="830"/>
    </row>
    <row r="1405" spans="1:7" x14ac:dyDescent="0.2">
      <c r="A1405" s="405"/>
      <c r="B1405" s="409"/>
      <c r="C1405" s="411"/>
      <c r="D1405" s="413"/>
      <c r="E1405" s="418"/>
      <c r="F1405" s="424">
        <v>200</v>
      </c>
      <c r="G1405" s="421"/>
    </row>
    <row r="1406" spans="1:7" x14ac:dyDescent="0.2">
      <c r="A1406" s="405"/>
      <c r="B1406" s="409"/>
      <c r="C1406" s="411"/>
      <c r="D1406" s="413"/>
      <c r="E1406" s="418"/>
      <c r="F1406" s="425">
        <v>100</v>
      </c>
      <c r="G1406" s="422"/>
    </row>
    <row r="1407" spans="1:7" x14ac:dyDescent="0.2">
      <c r="A1407" s="405"/>
      <c r="B1407" s="316"/>
      <c r="C1407" s="410"/>
      <c r="D1407" s="414"/>
      <c r="E1407" s="316"/>
      <c r="F1407" s="425">
        <v>50</v>
      </c>
      <c r="G1407" s="422"/>
    </row>
    <row r="1408" spans="1:7" x14ac:dyDescent="0.2">
      <c r="A1408" s="405"/>
      <c r="B1408" s="316"/>
      <c r="C1408" s="410"/>
      <c r="D1408" s="414"/>
      <c r="E1408" s="316"/>
      <c r="F1408" s="425" t="s">
        <v>289</v>
      </c>
      <c r="G1408" s="422"/>
    </row>
    <row r="1409" spans="1:7" x14ac:dyDescent="0.2">
      <c r="A1409" s="405"/>
      <c r="B1409" s="408"/>
      <c r="C1409" s="411"/>
      <c r="D1409" s="413"/>
      <c r="E1409" s="419"/>
      <c r="F1409" s="425" t="s">
        <v>290</v>
      </c>
      <c r="G1409" s="422"/>
    </row>
    <row r="1410" spans="1:7" x14ac:dyDescent="0.2">
      <c r="A1410" s="405"/>
      <c r="B1410" s="409"/>
      <c r="C1410" s="412"/>
      <c r="D1410" s="413"/>
      <c r="E1410" s="409"/>
      <c r="F1410" s="426" t="s">
        <v>291</v>
      </c>
      <c r="G1410" s="422">
        <v>12.8</v>
      </c>
    </row>
    <row r="1411" spans="1:7" ht="16" thickBot="1" x14ac:dyDescent="0.25">
      <c r="A1411" s="405"/>
      <c r="B1411" s="409"/>
      <c r="C1411" s="412"/>
      <c r="D1411" s="413"/>
      <c r="E1411" s="409"/>
      <c r="F1411" s="427" t="s">
        <v>292</v>
      </c>
      <c r="G1411" s="423"/>
    </row>
    <row r="1412" spans="1:7" ht="16" thickBot="1" x14ac:dyDescent="0.25">
      <c r="A1412" s="405"/>
      <c r="B1412" s="408"/>
      <c r="C1412" s="412"/>
      <c r="D1412" s="413"/>
      <c r="E1412" s="417"/>
      <c r="F1412" s="831">
        <f>SUM(G1405:G1410)</f>
        <v>12.8</v>
      </c>
      <c r="G1412" s="832"/>
    </row>
    <row r="1413" spans="1:7" x14ac:dyDescent="0.2">
      <c r="A1413" s="405"/>
      <c r="B1413" s="408"/>
      <c r="C1413" s="411"/>
      <c r="D1413" s="413"/>
      <c r="E1413" s="417"/>
      <c r="F1413" s="430"/>
      <c r="G1413" s="428"/>
    </row>
    <row r="1414" spans="1:7" ht="16" thickBot="1" x14ac:dyDescent="0.25">
      <c r="A1414" s="405"/>
      <c r="B1414" s="408"/>
      <c r="C1414" s="411"/>
      <c r="D1414" s="413"/>
      <c r="E1414" s="420"/>
      <c r="F1414" s="431"/>
      <c r="G1414" s="429"/>
    </row>
    <row r="1415" spans="1:7" x14ac:dyDescent="0.2">
      <c r="A1415" s="405"/>
      <c r="B1415" s="408"/>
      <c r="C1415" s="412"/>
      <c r="D1415" s="413"/>
      <c r="E1415" s="417"/>
      <c r="F1415" s="833" t="s">
        <v>293</v>
      </c>
      <c r="G1415" s="834"/>
    </row>
    <row r="1416" spans="1:7" ht="16" thickBot="1" x14ac:dyDescent="0.25">
      <c r="A1416" s="405"/>
      <c r="B1416" s="316"/>
      <c r="C1416" s="234"/>
      <c r="D1416" s="413"/>
      <c r="E1416" s="316"/>
      <c r="F1416" s="835"/>
      <c r="G1416" s="836"/>
    </row>
    <row r="1417" spans="1:7" x14ac:dyDescent="0.2">
      <c r="A1417" s="405"/>
      <c r="B1417" s="408"/>
      <c r="C1417" s="412"/>
      <c r="D1417" s="413"/>
      <c r="E1417" s="417"/>
      <c r="F1417" s="424">
        <v>200</v>
      </c>
      <c r="G1417" s="421"/>
    </row>
    <row r="1418" spans="1:7" x14ac:dyDescent="0.2">
      <c r="A1418" s="405"/>
      <c r="B1418" s="408"/>
      <c r="C1418" s="411"/>
      <c r="D1418" s="413"/>
      <c r="E1418" s="417"/>
      <c r="F1418" s="425">
        <v>100</v>
      </c>
      <c r="G1418" s="422">
        <v>200</v>
      </c>
    </row>
    <row r="1419" spans="1:7" x14ac:dyDescent="0.2">
      <c r="A1419" s="405"/>
      <c r="B1419" s="408"/>
      <c r="C1419" s="411"/>
      <c r="D1419" s="413"/>
      <c r="E1419" s="417"/>
      <c r="F1419" s="425">
        <v>50</v>
      </c>
      <c r="G1419" s="422">
        <v>100</v>
      </c>
    </row>
    <row r="1420" spans="1:7" x14ac:dyDescent="0.2">
      <c r="A1420" s="405"/>
      <c r="B1420" s="408"/>
      <c r="C1420" s="411"/>
      <c r="D1420" s="413"/>
      <c r="E1420" s="417"/>
      <c r="F1420" s="425" t="s">
        <v>289</v>
      </c>
      <c r="G1420" s="422"/>
    </row>
    <row r="1421" spans="1:7" x14ac:dyDescent="0.2">
      <c r="A1421" s="405"/>
      <c r="B1421" s="408"/>
      <c r="C1421" s="411"/>
      <c r="D1421" s="413"/>
      <c r="E1421" s="417"/>
      <c r="F1421" s="425" t="s">
        <v>290</v>
      </c>
      <c r="G1421" s="422"/>
    </row>
    <row r="1422" spans="1:7" x14ac:dyDescent="0.2">
      <c r="A1422" s="405"/>
      <c r="B1422" s="408"/>
      <c r="C1422" s="411"/>
      <c r="D1422" s="413"/>
      <c r="E1422" s="417"/>
      <c r="F1422" s="426" t="s">
        <v>291</v>
      </c>
      <c r="G1422" s="422">
        <v>12.8</v>
      </c>
    </row>
    <row r="1423" spans="1:7" ht="16" thickBot="1" x14ac:dyDescent="0.25">
      <c r="A1423" s="405"/>
      <c r="B1423" s="408"/>
      <c r="C1423" s="411"/>
      <c r="D1423" s="413"/>
      <c r="E1423" s="417" t="s">
        <v>340</v>
      </c>
      <c r="F1423" s="427" t="s">
        <v>292</v>
      </c>
      <c r="G1423" s="423"/>
    </row>
    <row r="1424" spans="1:7" ht="16" thickBot="1" x14ac:dyDescent="0.25">
      <c r="A1424" s="405"/>
      <c r="B1424" s="408"/>
      <c r="C1424" s="411"/>
      <c r="D1424" s="415"/>
      <c r="E1424" s="417"/>
      <c r="F1424" s="837">
        <f>SUM(G1417:G1422)</f>
        <v>312.8</v>
      </c>
      <c r="G1424" s="838"/>
    </row>
    <row r="1425" spans="1:7" ht="16" thickBot="1" x14ac:dyDescent="0.25">
      <c r="A1425" s="406" t="s">
        <v>19</v>
      </c>
      <c r="B1425" s="185"/>
      <c r="C1425" s="407">
        <f>SUM(C1403:C1424)</f>
        <v>312.80000000000018</v>
      </c>
      <c r="D1425" s="186">
        <f>SUM(D1403:D1424)</f>
        <v>0</v>
      </c>
      <c r="E1425" s="186">
        <f>C1425-D1425</f>
        <v>312.80000000000018</v>
      </c>
      <c r="F1425" s="416"/>
      <c r="G1425" s="187"/>
    </row>
    <row r="1426" spans="1:7" ht="16" thickBot="1" x14ac:dyDescent="0.25"/>
    <row r="1427" spans="1:7" ht="33" thickBot="1" x14ac:dyDescent="0.25">
      <c r="A1427" s="686"/>
      <c r="B1427" s="183" t="s">
        <v>283</v>
      </c>
      <c r="C1427" s="236" t="s">
        <v>284</v>
      </c>
      <c r="D1427" s="184" t="s">
        <v>285</v>
      </c>
      <c r="E1427" s="184" t="s">
        <v>125</v>
      </c>
      <c r="F1427" s="827" t="s">
        <v>286</v>
      </c>
      <c r="G1427" s="828"/>
    </row>
    <row r="1428" spans="1:7" ht="16" thickBot="1" x14ac:dyDescent="0.25">
      <c r="A1428" s="433">
        <v>45726</v>
      </c>
      <c r="B1428" s="435" t="s">
        <v>287</v>
      </c>
      <c r="C1428" s="436">
        <f>E1425</f>
        <v>312.80000000000018</v>
      </c>
      <c r="D1428" s="28"/>
      <c r="E1428" s="438" t="s">
        <v>287</v>
      </c>
      <c r="F1428" s="829" t="s">
        <v>288</v>
      </c>
      <c r="G1428" s="830"/>
    </row>
    <row r="1429" spans="1:7" ht="16" thickBot="1" x14ac:dyDescent="0.25">
      <c r="A1429" s="432"/>
      <c r="B1429" s="434" t="s">
        <v>194</v>
      </c>
      <c r="C1429" s="410"/>
      <c r="D1429" s="439">
        <v>300</v>
      </c>
      <c r="E1429" s="437" t="s">
        <v>224</v>
      </c>
      <c r="F1429" s="829"/>
      <c r="G1429" s="830"/>
    </row>
    <row r="1430" spans="1:7" ht="16" x14ac:dyDescent="0.2">
      <c r="A1430" s="405"/>
      <c r="B1430" s="409" t="s">
        <v>294</v>
      </c>
      <c r="C1430" s="411">
        <f>300+300</f>
        <v>600</v>
      </c>
      <c r="D1430" s="413"/>
      <c r="E1430" s="418" t="s">
        <v>295</v>
      </c>
      <c r="F1430" s="424">
        <v>200</v>
      </c>
      <c r="G1430" s="421"/>
    </row>
    <row r="1431" spans="1:7" ht="16" x14ac:dyDescent="0.2">
      <c r="A1431" s="405"/>
      <c r="B1431" s="409" t="s">
        <v>298</v>
      </c>
      <c r="C1431" s="411"/>
      <c r="D1431" s="413">
        <v>600</v>
      </c>
      <c r="E1431" s="418" t="s">
        <v>298</v>
      </c>
      <c r="F1431" s="425">
        <v>100</v>
      </c>
      <c r="G1431" s="422">
        <v>200</v>
      </c>
    </row>
    <row r="1432" spans="1:7" x14ac:dyDescent="0.2">
      <c r="A1432" s="405"/>
      <c r="B1432" s="316"/>
      <c r="C1432" s="410"/>
      <c r="D1432" s="414"/>
      <c r="E1432" s="316"/>
      <c r="F1432" s="425">
        <v>50</v>
      </c>
      <c r="G1432" s="422">
        <v>100</v>
      </c>
    </row>
    <row r="1433" spans="1:7" x14ac:dyDescent="0.2">
      <c r="A1433" s="405"/>
      <c r="B1433" s="316"/>
      <c r="C1433" s="410"/>
      <c r="D1433" s="414"/>
      <c r="E1433" s="316"/>
      <c r="F1433" s="425" t="s">
        <v>289</v>
      </c>
      <c r="G1433" s="422"/>
    </row>
    <row r="1434" spans="1:7" x14ac:dyDescent="0.2">
      <c r="A1434" s="405"/>
      <c r="B1434" s="408"/>
      <c r="C1434" s="411"/>
      <c r="D1434" s="413"/>
      <c r="E1434" s="419"/>
      <c r="F1434" s="425" t="s">
        <v>290</v>
      </c>
      <c r="G1434" s="422"/>
    </row>
    <row r="1435" spans="1:7" x14ac:dyDescent="0.2">
      <c r="A1435" s="405"/>
      <c r="B1435" s="409"/>
      <c r="C1435" s="412"/>
      <c r="D1435" s="413"/>
      <c r="E1435" s="409"/>
      <c r="F1435" s="426" t="s">
        <v>291</v>
      </c>
      <c r="G1435" s="422">
        <v>12.8</v>
      </c>
    </row>
    <row r="1436" spans="1:7" ht="16" thickBot="1" x14ac:dyDescent="0.25">
      <c r="A1436" s="405"/>
      <c r="B1436" s="409"/>
      <c r="C1436" s="412"/>
      <c r="D1436" s="413"/>
      <c r="E1436" s="409"/>
      <c r="F1436" s="427" t="s">
        <v>292</v>
      </c>
      <c r="G1436" s="423"/>
    </row>
    <row r="1437" spans="1:7" ht="16" thickBot="1" x14ac:dyDescent="0.25">
      <c r="A1437" s="405"/>
      <c r="B1437" s="408"/>
      <c r="C1437" s="412"/>
      <c r="D1437" s="413"/>
      <c r="E1437" s="417"/>
      <c r="F1437" s="831">
        <f>SUM(G1430:G1435)</f>
        <v>312.8</v>
      </c>
      <c r="G1437" s="832"/>
    </row>
    <row r="1438" spans="1:7" x14ac:dyDescent="0.2">
      <c r="A1438" s="405"/>
      <c r="B1438" s="408"/>
      <c r="C1438" s="411"/>
      <c r="D1438" s="413"/>
      <c r="E1438" s="417"/>
      <c r="F1438" s="430"/>
      <c r="G1438" s="428"/>
    </row>
    <row r="1439" spans="1:7" ht="16" thickBot="1" x14ac:dyDescent="0.25">
      <c r="A1439" s="405"/>
      <c r="B1439" s="408"/>
      <c r="C1439" s="411"/>
      <c r="D1439" s="413"/>
      <c r="E1439" s="420"/>
      <c r="F1439" s="431"/>
      <c r="G1439" s="429"/>
    </row>
    <row r="1440" spans="1:7" x14ac:dyDescent="0.2">
      <c r="A1440" s="405"/>
      <c r="B1440" s="408"/>
      <c r="C1440" s="412"/>
      <c r="D1440" s="413"/>
      <c r="E1440" s="417"/>
      <c r="F1440" s="833" t="s">
        <v>293</v>
      </c>
      <c r="G1440" s="834"/>
    </row>
    <row r="1441" spans="1:7" ht="16" thickBot="1" x14ac:dyDescent="0.25">
      <c r="A1441" s="405"/>
      <c r="B1441" s="316"/>
      <c r="C1441" s="234"/>
      <c r="D1441" s="413"/>
      <c r="E1441" s="316"/>
      <c r="F1441" s="835"/>
      <c r="G1441" s="836"/>
    </row>
    <row r="1442" spans="1:7" x14ac:dyDescent="0.2">
      <c r="A1442" s="405"/>
      <c r="B1442" s="408"/>
      <c r="C1442" s="412"/>
      <c r="D1442" s="413"/>
      <c r="E1442" s="417"/>
      <c r="F1442" s="424">
        <v>200</v>
      </c>
      <c r="G1442" s="421"/>
    </row>
    <row r="1443" spans="1:7" x14ac:dyDescent="0.2">
      <c r="A1443" s="405"/>
      <c r="B1443" s="408"/>
      <c r="C1443" s="411"/>
      <c r="D1443" s="413"/>
      <c r="E1443" s="417"/>
      <c r="F1443" s="425">
        <v>100</v>
      </c>
      <c r="G1443" s="422"/>
    </row>
    <row r="1444" spans="1:7" x14ac:dyDescent="0.2">
      <c r="A1444" s="405"/>
      <c r="B1444" s="408"/>
      <c r="C1444" s="411"/>
      <c r="D1444" s="413"/>
      <c r="E1444" s="417"/>
      <c r="F1444" s="425">
        <v>50</v>
      </c>
      <c r="G1444" s="422"/>
    </row>
    <row r="1445" spans="1:7" x14ac:dyDescent="0.2">
      <c r="A1445" s="405"/>
      <c r="B1445" s="408"/>
      <c r="C1445" s="411"/>
      <c r="D1445" s="413"/>
      <c r="E1445" s="417"/>
      <c r="F1445" s="425" t="s">
        <v>289</v>
      </c>
      <c r="G1445" s="422"/>
    </row>
    <row r="1446" spans="1:7" x14ac:dyDescent="0.2">
      <c r="A1446" s="405"/>
      <c r="B1446" s="408"/>
      <c r="C1446" s="411"/>
      <c r="D1446" s="413"/>
      <c r="E1446" s="417"/>
      <c r="F1446" s="425" t="s">
        <v>290</v>
      </c>
      <c r="G1446" s="422"/>
    </row>
    <row r="1447" spans="1:7" x14ac:dyDescent="0.2">
      <c r="A1447" s="405"/>
      <c r="B1447" s="408"/>
      <c r="C1447" s="411"/>
      <c r="D1447" s="413"/>
      <c r="E1447" s="417"/>
      <c r="F1447" s="426" t="s">
        <v>291</v>
      </c>
      <c r="G1447" s="422">
        <v>12.8</v>
      </c>
    </row>
    <row r="1448" spans="1:7" ht="16" thickBot="1" x14ac:dyDescent="0.25">
      <c r="A1448" s="405"/>
      <c r="B1448" s="408"/>
      <c r="C1448" s="411"/>
      <c r="D1448" s="413"/>
      <c r="E1448" s="417" t="s">
        <v>340</v>
      </c>
      <c r="F1448" s="427" t="s">
        <v>292</v>
      </c>
      <c r="G1448" s="423"/>
    </row>
    <row r="1449" spans="1:7" ht="16" thickBot="1" x14ac:dyDescent="0.25">
      <c r="A1449" s="405"/>
      <c r="B1449" s="408"/>
      <c r="C1449" s="411"/>
      <c r="D1449" s="415"/>
      <c r="E1449" s="417"/>
      <c r="F1449" s="837">
        <f>SUM(G1442:G1447)</f>
        <v>12.8</v>
      </c>
      <c r="G1449" s="838"/>
    </row>
    <row r="1450" spans="1:7" ht="16" thickBot="1" x14ac:dyDescent="0.25">
      <c r="A1450" s="406" t="s">
        <v>19</v>
      </c>
      <c r="B1450" s="185"/>
      <c r="C1450" s="407">
        <f>SUM(C1428:C1449)</f>
        <v>912.80000000000018</v>
      </c>
      <c r="D1450" s="186">
        <f>SUM(D1428:D1449)</f>
        <v>900</v>
      </c>
      <c r="E1450" s="186">
        <f>C1450-D1450</f>
        <v>12.800000000000182</v>
      </c>
      <c r="F1450" s="416"/>
      <c r="G1450" s="187"/>
    </row>
    <row r="1451" spans="1:7" ht="16" thickBot="1" x14ac:dyDescent="0.25"/>
    <row r="1452" spans="1:7" ht="33" thickBot="1" x14ac:dyDescent="0.25">
      <c r="A1452" s="686"/>
      <c r="B1452" s="183" t="s">
        <v>283</v>
      </c>
      <c r="C1452" s="236" t="s">
        <v>284</v>
      </c>
      <c r="D1452" s="184" t="s">
        <v>285</v>
      </c>
      <c r="E1452" s="184" t="s">
        <v>125</v>
      </c>
      <c r="F1452" s="827" t="s">
        <v>286</v>
      </c>
      <c r="G1452" s="828"/>
    </row>
    <row r="1453" spans="1:7" ht="16" thickBot="1" x14ac:dyDescent="0.25">
      <c r="A1453" s="433">
        <v>45727</v>
      </c>
      <c r="B1453" s="435" t="s">
        <v>287</v>
      </c>
      <c r="C1453" s="436">
        <f>E1450</f>
        <v>12.800000000000182</v>
      </c>
      <c r="D1453" s="28"/>
      <c r="E1453" s="438" t="s">
        <v>287</v>
      </c>
      <c r="F1453" s="829" t="s">
        <v>288</v>
      </c>
      <c r="G1453" s="830"/>
    </row>
    <row r="1454" spans="1:7" ht="16" thickBot="1" x14ac:dyDescent="0.25">
      <c r="A1454" s="432"/>
      <c r="B1454" s="434" t="s">
        <v>298</v>
      </c>
      <c r="C1454" s="410"/>
      <c r="D1454" s="439">
        <v>314</v>
      </c>
      <c r="E1454" s="437" t="s">
        <v>298</v>
      </c>
      <c r="F1454" s="829"/>
      <c r="G1454" s="830"/>
    </row>
    <row r="1455" spans="1:7" ht="16" x14ac:dyDescent="0.2">
      <c r="A1455" s="405"/>
      <c r="B1455" s="409" t="s">
        <v>294</v>
      </c>
      <c r="C1455" s="411">
        <f>200+75+150+150+342</f>
        <v>917</v>
      </c>
      <c r="D1455" s="413"/>
      <c r="E1455" s="418" t="s">
        <v>295</v>
      </c>
      <c r="F1455" s="424">
        <v>200</v>
      </c>
      <c r="G1455" s="421"/>
    </row>
    <row r="1456" spans="1:7" x14ac:dyDescent="0.2">
      <c r="A1456" s="405"/>
      <c r="B1456" s="409"/>
      <c r="C1456" s="411"/>
      <c r="D1456" s="413"/>
      <c r="E1456" s="418"/>
      <c r="F1456" s="425">
        <v>100</v>
      </c>
      <c r="G1456" s="422">
        <v>200</v>
      </c>
    </row>
    <row r="1457" spans="1:7" x14ac:dyDescent="0.2">
      <c r="A1457" s="405"/>
      <c r="B1457" s="316"/>
      <c r="C1457" s="410"/>
      <c r="D1457" s="414"/>
      <c r="E1457" s="316"/>
      <c r="F1457" s="425">
        <v>50</v>
      </c>
      <c r="G1457" s="422">
        <v>100</v>
      </c>
    </row>
    <row r="1458" spans="1:7" x14ac:dyDescent="0.2">
      <c r="A1458" s="405"/>
      <c r="B1458" s="316"/>
      <c r="C1458" s="410"/>
      <c r="D1458" s="414"/>
      <c r="E1458" s="316"/>
      <c r="F1458" s="425" t="s">
        <v>289</v>
      </c>
      <c r="G1458" s="422"/>
    </row>
    <row r="1459" spans="1:7" x14ac:dyDescent="0.2">
      <c r="A1459" s="405"/>
      <c r="B1459" s="408"/>
      <c r="C1459" s="411"/>
      <c r="D1459" s="413"/>
      <c r="E1459" s="419"/>
      <c r="F1459" s="425" t="s">
        <v>290</v>
      </c>
      <c r="G1459" s="422"/>
    </row>
    <row r="1460" spans="1:7" x14ac:dyDescent="0.2">
      <c r="A1460" s="405"/>
      <c r="B1460" s="409"/>
      <c r="C1460" s="412"/>
      <c r="D1460" s="413"/>
      <c r="E1460" s="409"/>
      <c r="F1460" s="426" t="s">
        <v>291</v>
      </c>
      <c r="G1460" s="422">
        <v>12.8</v>
      </c>
    </row>
    <row r="1461" spans="1:7" ht="16" thickBot="1" x14ac:dyDescent="0.25">
      <c r="A1461" s="405"/>
      <c r="B1461" s="409"/>
      <c r="C1461" s="412"/>
      <c r="D1461" s="413"/>
      <c r="E1461" s="409"/>
      <c r="F1461" s="427" t="s">
        <v>292</v>
      </c>
      <c r="G1461" s="423"/>
    </row>
    <row r="1462" spans="1:7" ht="16" thickBot="1" x14ac:dyDescent="0.25">
      <c r="A1462" s="405"/>
      <c r="B1462" s="408"/>
      <c r="C1462" s="412"/>
      <c r="D1462" s="413"/>
      <c r="E1462" s="417"/>
      <c r="F1462" s="831">
        <f>SUM(G1455:G1460)</f>
        <v>312.8</v>
      </c>
      <c r="G1462" s="832"/>
    </row>
    <row r="1463" spans="1:7" x14ac:dyDescent="0.2">
      <c r="A1463" s="405"/>
      <c r="B1463" s="408"/>
      <c r="C1463" s="411"/>
      <c r="D1463" s="413"/>
      <c r="E1463" s="417"/>
      <c r="F1463" s="430"/>
      <c r="G1463" s="428"/>
    </row>
    <row r="1464" spans="1:7" ht="16" thickBot="1" x14ac:dyDescent="0.25">
      <c r="A1464" s="405"/>
      <c r="B1464" s="408"/>
      <c r="C1464" s="411"/>
      <c r="D1464" s="413"/>
      <c r="E1464" s="420"/>
      <c r="F1464" s="431"/>
      <c r="G1464" s="429"/>
    </row>
    <row r="1465" spans="1:7" x14ac:dyDescent="0.2">
      <c r="A1465" s="405"/>
      <c r="B1465" s="408"/>
      <c r="C1465" s="412"/>
      <c r="D1465" s="413"/>
      <c r="E1465" s="417"/>
      <c r="F1465" s="833" t="s">
        <v>293</v>
      </c>
      <c r="G1465" s="834"/>
    </row>
    <row r="1466" spans="1:7" ht="16" thickBot="1" x14ac:dyDescent="0.25">
      <c r="A1466" s="405"/>
      <c r="B1466" s="316"/>
      <c r="C1466" s="234"/>
      <c r="D1466" s="413"/>
      <c r="E1466" s="316"/>
      <c r="F1466" s="835"/>
      <c r="G1466" s="836"/>
    </row>
    <row r="1467" spans="1:7" x14ac:dyDescent="0.2">
      <c r="A1467" s="405"/>
      <c r="B1467" s="408"/>
      <c r="C1467" s="412"/>
      <c r="D1467" s="413"/>
      <c r="E1467" s="417"/>
      <c r="F1467" s="424">
        <v>200</v>
      </c>
      <c r="G1467" s="421">
        <v>200</v>
      </c>
    </row>
    <row r="1468" spans="1:7" x14ac:dyDescent="0.2">
      <c r="A1468" s="405"/>
      <c r="B1468" s="408"/>
      <c r="C1468" s="411"/>
      <c r="D1468" s="413"/>
      <c r="E1468" s="417"/>
      <c r="F1468" s="425">
        <v>100</v>
      </c>
      <c r="G1468" s="422">
        <v>400</v>
      </c>
    </row>
    <row r="1469" spans="1:7" x14ac:dyDescent="0.2">
      <c r="A1469" s="405"/>
      <c r="B1469" s="408"/>
      <c r="C1469" s="411"/>
      <c r="D1469" s="413"/>
      <c r="E1469" s="417"/>
      <c r="F1469" s="425">
        <v>50</v>
      </c>
      <c r="G1469" s="422"/>
    </row>
    <row r="1470" spans="1:7" x14ac:dyDescent="0.2">
      <c r="A1470" s="405"/>
      <c r="B1470" s="408"/>
      <c r="C1470" s="411"/>
      <c r="D1470" s="413"/>
      <c r="E1470" s="417"/>
      <c r="F1470" s="425" t="s">
        <v>289</v>
      </c>
      <c r="G1470" s="422"/>
    </row>
    <row r="1471" spans="1:7" x14ac:dyDescent="0.2">
      <c r="A1471" s="405"/>
      <c r="B1471" s="408"/>
      <c r="C1471" s="411"/>
      <c r="D1471" s="413"/>
      <c r="E1471" s="417"/>
      <c r="F1471" s="425" t="s">
        <v>290</v>
      </c>
      <c r="G1471" s="422"/>
    </row>
    <row r="1472" spans="1:7" x14ac:dyDescent="0.2">
      <c r="A1472" s="405"/>
      <c r="B1472" s="408"/>
      <c r="C1472" s="411"/>
      <c r="D1472" s="413"/>
      <c r="E1472" s="417"/>
      <c r="F1472" s="426" t="s">
        <v>291</v>
      </c>
      <c r="G1472" s="422">
        <v>15.8</v>
      </c>
    </row>
    <row r="1473" spans="1:7" ht="16" thickBot="1" x14ac:dyDescent="0.25">
      <c r="A1473" s="405"/>
      <c r="B1473" s="408"/>
      <c r="C1473" s="411"/>
      <c r="D1473" s="413"/>
      <c r="E1473" s="417" t="s">
        <v>340</v>
      </c>
      <c r="F1473" s="427" t="s">
        <v>292</v>
      </c>
      <c r="G1473" s="423"/>
    </row>
    <row r="1474" spans="1:7" ht="16" thickBot="1" x14ac:dyDescent="0.25">
      <c r="A1474" s="405"/>
      <c r="B1474" s="408"/>
      <c r="C1474" s="411"/>
      <c r="D1474" s="415"/>
      <c r="E1474" s="417"/>
      <c r="F1474" s="837">
        <f>SUM(G1467:G1472)</f>
        <v>615.79999999999995</v>
      </c>
      <c r="G1474" s="838"/>
    </row>
    <row r="1475" spans="1:7" ht="16" thickBot="1" x14ac:dyDescent="0.25">
      <c r="A1475" s="406" t="s">
        <v>19</v>
      </c>
      <c r="B1475" s="185"/>
      <c r="C1475" s="407">
        <f>SUM(C1453:C1474)</f>
        <v>929.80000000000018</v>
      </c>
      <c r="D1475" s="186">
        <f>SUM(D1453:D1474)</f>
        <v>314</v>
      </c>
      <c r="E1475" s="186">
        <f>C1475-D1475</f>
        <v>615.80000000000018</v>
      </c>
      <c r="F1475" s="416"/>
      <c r="G1475" s="187"/>
    </row>
    <row r="1476" spans="1:7" ht="16" thickBot="1" x14ac:dyDescent="0.25"/>
    <row r="1477" spans="1:7" ht="33" thickBot="1" x14ac:dyDescent="0.25">
      <c r="A1477" s="686"/>
      <c r="B1477" s="183" t="s">
        <v>283</v>
      </c>
      <c r="C1477" s="236" t="s">
        <v>284</v>
      </c>
      <c r="D1477" s="184" t="s">
        <v>285</v>
      </c>
      <c r="E1477" s="184" t="s">
        <v>125</v>
      </c>
      <c r="F1477" s="827" t="s">
        <v>286</v>
      </c>
      <c r="G1477" s="828"/>
    </row>
    <row r="1478" spans="1:7" ht="16" thickBot="1" x14ac:dyDescent="0.25">
      <c r="A1478" s="433">
        <v>45728</v>
      </c>
      <c r="B1478" s="435" t="s">
        <v>287</v>
      </c>
      <c r="C1478" s="436">
        <f>E1475</f>
        <v>615.80000000000018</v>
      </c>
      <c r="D1478" s="28"/>
      <c r="E1478" s="438" t="s">
        <v>287</v>
      </c>
      <c r="F1478" s="829" t="s">
        <v>288</v>
      </c>
      <c r="G1478" s="830"/>
    </row>
    <row r="1479" spans="1:7" ht="16" thickBot="1" x14ac:dyDescent="0.25">
      <c r="A1479" s="432"/>
      <c r="B1479" s="434" t="s">
        <v>222</v>
      </c>
      <c r="C1479" s="410"/>
      <c r="D1479" s="439">
        <v>600</v>
      </c>
      <c r="E1479" s="437" t="s">
        <v>186</v>
      </c>
      <c r="F1479" s="829"/>
      <c r="G1479" s="830"/>
    </row>
    <row r="1480" spans="1:7" ht="16" x14ac:dyDescent="0.2">
      <c r="A1480" s="405"/>
      <c r="B1480" s="409" t="s">
        <v>70</v>
      </c>
      <c r="C1480" s="411">
        <v>1200</v>
      </c>
      <c r="D1480" s="413"/>
      <c r="E1480" s="418" t="s">
        <v>652</v>
      </c>
      <c r="F1480" s="424">
        <v>200</v>
      </c>
      <c r="G1480" s="421">
        <v>200</v>
      </c>
    </row>
    <row r="1481" spans="1:7" ht="16" x14ac:dyDescent="0.2">
      <c r="A1481" s="405"/>
      <c r="B1481" s="409" t="s">
        <v>294</v>
      </c>
      <c r="C1481" s="411">
        <v>300</v>
      </c>
      <c r="D1481" s="413"/>
      <c r="E1481" s="418" t="s">
        <v>295</v>
      </c>
      <c r="F1481" s="425">
        <v>100</v>
      </c>
      <c r="G1481" s="422">
        <v>400</v>
      </c>
    </row>
    <row r="1482" spans="1:7" x14ac:dyDescent="0.2">
      <c r="A1482" s="405"/>
      <c r="B1482" s="316"/>
      <c r="C1482" s="410"/>
      <c r="D1482" s="414"/>
      <c r="E1482" s="316"/>
      <c r="F1482" s="425">
        <v>50</v>
      </c>
      <c r="G1482" s="422"/>
    </row>
    <row r="1483" spans="1:7" x14ac:dyDescent="0.2">
      <c r="A1483" s="405"/>
      <c r="B1483" s="316"/>
      <c r="C1483" s="410"/>
      <c r="D1483" s="414"/>
      <c r="E1483" s="316"/>
      <c r="F1483" s="425" t="s">
        <v>289</v>
      </c>
      <c r="G1483" s="422"/>
    </row>
    <row r="1484" spans="1:7" x14ac:dyDescent="0.2">
      <c r="A1484" s="405"/>
      <c r="B1484" s="408"/>
      <c r="C1484" s="411"/>
      <c r="D1484" s="413"/>
      <c r="E1484" s="419"/>
      <c r="F1484" s="425" t="s">
        <v>290</v>
      </c>
      <c r="G1484" s="422"/>
    </row>
    <row r="1485" spans="1:7" x14ac:dyDescent="0.2">
      <c r="A1485" s="405"/>
      <c r="B1485" s="409"/>
      <c r="C1485" s="412"/>
      <c r="D1485" s="413"/>
      <c r="E1485" s="409"/>
      <c r="F1485" s="426" t="s">
        <v>291</v>
      </c>
      <c r="G1485" s="422">
        <v>15.8</v>
      </c>
    </row>
    <row r="1486" spans="1:7" ht="16" thickBot="1" x14ac:dyDescent="0.25">
      <c r="A1486" s="405"/>
      <c r="B1486" s="409"/>
      <c r="C1486" s="412"/>
      <c r="D1486" s="413"/>
      <c r="E1486" s="409"/>
      <c r="F1486" s="427" t="s">
        <v>292</v>
      </c>
      <c r="G1486" s="423"/>
    </row>
    <row r="1487" spans="1:7" ht="16" thickBot="1" x14ac:dyDescent="0.25">
      <c r="A1487" s="405"/>
      <c r="B1487" s="408"/>
      <c r="C1487" s="412"/>
      <c r="D1487" s="413"/>
      <c r="E1487" s="417"/>
      <c r="F1487" s="831">
        <f>SUM(G1480:G1485)</f>
        <v>615.79999999999995</v>
      </c>
      <c r="G1487" s="832"/>
    </row>
    <row r="1488" spans="1:7" x14ac:dyDescent="0.2">
      <c r="A1488" s="405"/>
      <c r="B1488" s="408"/>
      <c r="C1488" s="411"/>
      <c r="D1488" s="413"/>
      <c r="E1488" s="417"/>
      <c r="F1488" s="430"/>
      <c r="G1488" s="428"/>
    </row>
    <row r="1489" spans="1:8" ht="16" thickBot="1" x14ac:dyDescent="0.25">
      <c r="A1489" s="405"/>
      <c r="B1489" s="408"/>
      <c r="C1489" s="411"/>
      <c r="D1489" s="413"/>
      <c r="E1489" s="420"/>
      <c r="F1489" s="431"/>
      <c r="G1489" s="429"/>
    </row>
    <row r="1490" spans="1:8" x14ac:dyDescent="0.2">
      <c r="A1490" s="405"/>
      <c r="B1490" s="408"/>
      <c r="C1490" s="412"/>
      <c r="D1490" s="413"/>
      <c r="E1490" s="417"/>
      <c r="F1490" s="833" t="s">
        <v>293</v>
      </c>
      <c r="G1490" s="834"/>
    </row>
    <row r="1491" spans="1:8" ht="16" thickBot="1" x14ac:dyDescent="0.25">
      <c r="A1491" s="405"/>
      <c r="B1491" s="316"/>
      <c r="C1491" s="234"/>
      <c r="D1491" s="413"/>
      <c r="E1491" s="316"/>
      <c r="F1491" s="835"/>
      <c r="G1491" s="836"/>
    </row>
    <row r="1492" spans="1:8" x14ac:dyDescent="0.2">
      <c r="A1492" s="405"/>
      <c r="B1492" s="408"/>
      <c r="C1492" s="412"/>
      <c r="D1492" s="413"/>
      <c r="E1492" s="417"/>
      <c r="F1492" s="424">
        <v>200</v>
      </c>
      <c r="G1492" s="421">
        <v>800</v>
      </c>
    </row>
    <row r="1493" spans="1:8" x14ac:dyDescent="0.2">
      <c r="A1493" s="405"/>
      <c r="B1493" s="408"/>
      <c r="C1493" s="411"/>
      <c r="D1493" s="413"/>
      <c r="E1493" s="417"/>
      <c r="F1493" s="425">
        <v>100</v>
      </c>
      <c r="G1493" s="422">
        <v>600</v>
      </c>
    </row>
    <row r="1494" spans="1:8" x14ac:dyDescent="0.2">
      <c r="A1494" s="405"/>
      <c r="B1494" s="408"/>
      <c r="C1494" s="411"/>
      <c r="D1494" s="413"/>
      <c r="E1494" s="417"/>
      <c r="F1494" s="425">
        <v>50</v>
      </c>
      <c r="G1494" s="422">
        <v>100</v>
      </c>
    </row>
    <row r="1495" spans="1:8" x14ac:dyDescent="0.2">
      <c r="A1495" s="405"/>
      <c r="B1495" s="408"/>
      <c r="C1495" s="411"/>
      <c r="D1495" s="413"/>
      <c r="E1495" s="417"/>
      <c r="F1495" s="425" t="s">
        <v>289</v>
      </c>
      <c r="G1495" s="422"/>
    </row>
    <row r="1496" spans="1:8" x14ac:dyDescent="0.2">
      <c r="A1496" s="405"/>
      <c r="B1496" s="408"/>
      <c r="C1496" s="411"/>
      <c r="D1496" s="413"/>
      <c r="E1496" s="417"/>
      <c r="F1496" s="425" t="s">
        <v>290</v>
      </c>
      <c r="G1496" s="422"/>
    </row>
    <row r="1497" spans="1:8" x14ac:dyDescent="0.2">
      <c r="A1497" s="405"/>
      <c r="B1497" s="408"/>
      <c r="C1497" s="411"/>
      <c r="D1497" s="413"/>
      <c r="E1497" s="417"/>
      <c r="F1497" s="426" t="s">
        <v>291</v>
      </c>
      <c r="G1497" s="422">
        <f>4+1+4+4+2.8</f>
        <v>15.8</v>
      </c>
    </row>
    <row r="1498" spans="1:8" ht="16" thickBot="1" x14ac:dyDescent="0.25">
      <c r="A1498" s="405"/>
      <c r="B1498" s="408"/>
      <c r="C1498" s="411"/>
      <c r="D1498" s="413"/>
      <c r="E1498" s="417" t="s">
        <v>340</v>
      </c>
      <c r="F1498" s="427" t="s">
        <v>292</v>
      </c>
      <c r="G1498" s="423"/>
    </row>
    <row r="1499" spans="1:8" ht="16" thickBot="1" x14ac:dyDescent="0.25">
      <c r="A1499" s="405"/>
      <c r="B1499" s="408"/>
      <c r="C1499" s="411"/>
      <c r="D1499" s="415"/>
      <c r="E1499" s="417"/>
      <c r="F1499" s="837">
        <f>SUM(G1492:G1497)</f>
        <v>1515.8</v>
      </c>
      <c r="G1499" s="838"/>
    </row>
    <row r="1500" spans="1:8" ht="16" thickBot="1" x14ac:dyDescent="0.25">
      <c r="A1500" s="406" t="s">
        <v>19</v>
      </c>
      <c r="B1500" s="185"/>
      <c r="C1500" s="407">
        <f>SUM(C1478:C1499)</f>
        <v>2115.8000000000002</v>
      </c>
      <c r="D1500" s="186">
        <f>SUM(D1478:D1499)</f>
        <v>600</v>
      </c>
      <c r="E1500" s="186">
        <f>C1500-D1500</f>
        <v>1515.8000000000002</v>
      </c>
      <c r="F1500" s="416"/>
      <c r="G1500" s="187"/>
      <c r="H1500" s="696"/>
    </row>
    <row r="1501" spans="1:8" ht="16" thickBot="1" x14ac:dyDescent="0.25"/>
    <row r="1502" spans="1:8" ht="33" thickBot="1" x14ac:dyDescent="0.25">
      <c r="A1502" s="686"/>
      <c r="B1502" s="183" t="s">
        <v>283</v>
      </c>
      <c r="C1502" s="236" t="s">
        <v>284</v>
      </c>
      <c r="D1502" s="184" t="s">
        <v>285</v>
      </c>
      <c r="E1502" s="184" t="s">
        <v>125</v>
      </c>
      <c r="F1502" s="827" t="s">
        <v>286</v>
      </c>
      <c r="G1502" s="828"/>
    </row>
    <row r="1503" spans="1:8" ht="16" thickBot="1" x14ac:dyDescent="0.25">
      <c r="A1503" s="433">
        <v>45729</v>
      </c>
      <c r="B1503" s="435" t="s">
        <v>287</v>
      </c>
      <c r="C1503" s="436">
        <f>E1500</f>
        <v>1515.8000000000002</v>
      </c>
      <c r="D1503" s="28"/>
      <c r="E1503" s="438" t="s">
        <v>287</v>
      </c>
      <c r="F1503" s="829" t="s">
        <v>288</v>
      </c>
      <c r="G1503" s="830"/>
    </row>
    <row r="1504" spans="1:8" ht="16" thickBot="1" x14ac:dyDescent="0.25">
      <c r="A1504" s="432"/>
      <c r="B1504" s="434" t="s">
        <v>298</v>
      </c>
      <c r="C1504" s="410"/>
      <c r="D1504" s="439">
        <v>1550</v>
      </c>
      <c r="E1504" s="437" t="s">
        <v>298</v>
      </c>
      <c r="F1504" s="829"/>
      <c r="G1504" s="830"/>
    </row>
    <row r="1505" spans="1:7" ht="16" x14ac:dyDescent="0.2">
      <c r="A1505" s="405"/>
      <c r="B1505" s="409" t="s">
        <v>294</v>
      </c>
      <c r="C1505" s="411">
        <f>300+150</f>
        <v>450</v>
      </c>
      <c r="D1505" s="413"/>
      <c r="E1505" s="418" t="s">
        <v>295</v>
      </c>
      <c r="F1505" s="424">
        <v>200</v>
      </c>
      <c r="G1505" s="421">
        <v>800</v>
      </c>
    </row>
    <row r="1506" spans="1:7" x14ac:dyDescent="0.2">
      <c r="A1506" s="405"/>
      <c r="B1506" s="409"/>
      <c r="C1506" s="411"/>
      <c r="D1506" s="413"/>
      <c r="E1506" s="418"/>
      <c r="F1506" s="425">
        <v>100</v>
      </c>
      <c r="G1506" s="422">
        <v>600</v>
      </c>
    </row>
    <row r="1507" spans="1:7" x14ac:dyDescent="0.2">
      <c r="A1507" s="405"/>
      <c r="B1507" s="316"/>
      <c r="C1507" s="410"/>
      <c r="D1507" s="414"/>
      <c r="E1507" s="316"/>
      <c r="F1507" s="425">
        <v>50</v>
      </c>
      <c r="G1507" s="422">
        <v>100</v>
      </c>
    </row>
    <row r="1508" spans="1:7" x14ac:dyDescent="0.2">
      <c r="A1508" s="405"/>
      <c r="B1508" s="316"/>
      <c r="C1508" s="410"/>
      <c r="D1508" s="414"/>
      <c r="E1508" s="316"/>
      <c r="F1508" s="425" t="s">
        <v>289</v>
      </c>
      <c r="G1508" s="422"/>
    </row>
    <row r="1509" spans="1:7" x14ac:dyDescent="0.2">
      <c r="A1509" s="405"/>
      <c r="B1509" s="408"/>
      <c r="C1509" s="411"/>
      <c r="D1509" s="413"/>
      <c r="E1509" s="419"/>
      <c r="F1509" s="425" t="s">
        <v>290</v>
      </c>
      <c r="G1509" s="422"/>
    </row>
    <row r="1510" spans="1:7" x14ac:dyDescent="0.2">
      <c r="A1510" s="405"/>
      <c r="B1510" s="409"/>
      <c r="C1510" s="412"/>
      <c r="D1510" s="413"/>
      <c r="E1510" s="409"/>
      <c r="F1510" s="426" t="s">
        <v>291</v>
      </c>
      <c r="G1510" s="422">
        <f>4+1+4+4+2.8</f>
        <v>15.8</v>
      </c>
    </row>
    <row r="1511" spans="1:7" ht="16" thickBot="1" x14ac:dyDescent="0.25">
      <c r="A1511" s="405"/>
      <c r="B1511" s="409"/>
      <c r="C1511" s="412"/>
      <c r="D1511" s="413"/>
      <c r="E1511" s="409"/>
      <c r="F1511" s="427" t="s">
        <v>292</v>
      </c>
      <c r="G1511" s="423"/>
    </row>
    <row r="1512" spans="1:7" ht="16" thickBot="1" x14ac:dyDescent="0.25">
      <c r="A1512" s="405"/>
      <c r="B1512" s="408"/>
      <c r="C1512" s="412"/>
      <c r="D1512" s="413"/>
      <c r="E1512" s="417"/>
      <c r="F1512" s="831">
        <f>SUM(G1505:G1510)</f>
        <v>1515.8</v>
      </c>
      <c r="G1512" s="832"/>
    </row>
    <row r="1513" spans="1:7" x14ac:dyDescent="0.2">
      <c r="A1513" s="405"/>
      <c r="B1513" s="408"/>
      <c r="C1513" s="411"/>
      <c r="D1513" s="413"/>
      <c r="E1513" s="417"/>
      <c r="F1513" s="430"/>
      <c r="G1513" s="428"/>
    </row>
    <row r="1514" spans="1:7" ht="16" thickBot="1" x14ac:dyDescent="0.25">
      <c r="A1514" s="405"/>
      <c r="B1514" s="408"/>
      <c r="C1514" s="411"/>
      <c r="D1514" s="413"/>
      <c r="E1514" s="420"/>
      <c r="F1514" s="431"/>
      <c r="G1514" s="429"/>
    </row>
    <row r="1515" spans="1:7" x14ac:dyDescent="0.2">
      <c r="A1515" s="405"/>
      <c r="B1515" s="408"/>
      <c r="C1515" s="412"/>
      <c r="D1515" s="413"/>
      <c r="E1515" s="417"/>
      <c r="F1515" s="833" t="s">
        <v>293</v>
      </c>
      <c r="G1515" s="834"/>
    </row>
    <row r="1516" spans="1:7" ht="16" thickBot="1" x14ac:dyDescent="0.25">
      <c r="A1516" s="405"/>
      <c r="B1516" s="316"/>
      <c r="C1516" s="234"/>
      <c r="D1516" s="413"/>
      <c r="E1516" s="316"/>
      <c r="F1516" s="835"/>
      <c r="G1516" s="836"/>
    </row>
    <row r="1517" spans="1:7" x14ac:dyDescent="0.2">
      <c r="A1517" s="405"/>
      <c r="B1517" s="408"/>
      <c r="C1517" s="412"/>
      <c r="D1517" s="413"/>
      <c r="E1517" s="417"/>
      <c r="F1517" s="424">
        <v>200</v>
      </c>
      <c r="G1517" s="421">
        <v>200</v>
      </c>
    </row>
    <row r="1518" spans="1:7" x14ac:dyDescent="0.2">
      <c r="A1518" s="405"/>
      <c r="B1518" s="408"/>
      <c r="C1518" s="411"/>
      <c r="D1518" s="413"/>
      <c r="E1518" s="417"/>
      <c r="F1518" s="425">
        <v>100</v>
      </c>
      <c r="G1518" s="422">
        <v>100</v>
      </c>
    </row>
    <row r="1519" spans="1:7" x14ac:dyDescent="0.2">
      <c r="A1519" s="405"/>
      <c r="B1519" s="408"/>
      <c r="C1519" s="411"/>
      <c r="D1519" s="413"/>
      <c r="E1519" s="417"/>
      <c r="F1519" s="425">
        <v>50</v>
      </c>
      <c r="G1519" s="422">
        <v>100</v>
      </c>
    </row>
    <row r="1520" spans="1:7" x14ac:dyDescent="0.2">
      <c r="A1520" s="405"/>
      <c r="B1520" s="408"/>
      <c r="C1520" s="411"/>
      <c r="D1520" s="413"/>
      <c r="E1520" s="417"/>
      <c r="F1520" s="425" t="s">
        <v>289</v>
      </c>
      <c r="G1520" s="422"/>
    </row>
    <row r="1521" spans="1:7" x14ac:dyDescent="0.2">
      <c r="A1521" s="405"/>
      <c r="B1521" s="408"/>
      <c r="C1521" s="411"/>
      <c r="D1521" s="413"/>
      <c r="E1521" s="417"/>
      <c r="F1521" s="425" t="s">
        <v>290</v>
      </c>
      <c r="G1521" s="422"/>
    </row>
    <row r="1522" spans="1:7" x14ac:dyDescent="0.2">
      <c r="A1522" s="405"/>
      <c r="B1522" s="408"/>
      <c r="C1522" s="411"/>
      <c r="D1522" s="413"/>
      <c r="E1522" s="417"/>
      <c r="F1522" s="426" t="s">
        <v>291</v>
      </c>
      <c r="G1522" s="422">
        <f>4+1+4+4+2.8</f>
        <v>15.8</v>
      </c>
    </row>
    <row r="1523" spans="1:7" ht="16" thickBot="1" x14ac:dyDescent="0.25">
      <c r="A1523" s="405"/>
      <c r="B1523" s="408"/>
      <c r="C1523" s="411"/>
      <c r="D1523" s="413"/>
      <c r="E1523" s="417" t="s">
        <v>340</v>
      </c>
      <c r="F1523" s="427" t="s">
        <v>292</v>
      </c>
      <c r="G1523" s="423"/>
    </row>
    <row r="1524" spans="1:7" ht="16" thickBot="1" x14ac:dyDescent="0.25">
      <c r="A1524" s="405"/>
      <c r="B1524" s="408"/>
      <c r="C1524" s="411"/>
      <c r="D1524" s="415"/>
      <c r="E1524" s="417"/>
      <c r="F1524" s="837">
        <f>SUM(G1517:G1522)</f>
        <v>415.8</v>
      </c>
      <c r="G1524" s="838"/>
    </row>
    <row r="1525" spans="1:7" ht="16" thickBot="1" x14ac:dyDescent="0.25">
      <c r="A1525" s="406" t="s">
        <v>19</v>
      </c>
      <c r="B1525" s="185"/>
      <c r="C1525" s="407">
        <f>SUM(C1503:C1524)</f>
        <v>1965.8000000000002</v>
      </c>
      <c r="D1525" s="186">
        <f>SUM(D1503:D1524)</f>
        <v>1550</v>
      </c>
      <c r="E1525" s="186">
        <f>C1525-D1525</f>
        <v>415.80000000000018</v>
      </c>
      <c r="F1525" s="416"/>
      <c r="G1525" s="187"/>
    </row>
    <row r="1526" spans="1:7" ht="16" thickBot="1" x14ac:dyDescent="0.25"/>
    <row r="1527" spans="1:7" ht="33" thickBot="1" x14ac:dyDescent="0.25">
      <c r="A1527" s="686"/>
      <c r="B1527" s="183" t="s">
        <v>283</v>
      </c>
      <c r="C1527" s="236" t="s">
        <v>284</v>
      </c>
      <c r="D1527" s="184" t="s">
        <v>285</v>
      </c>
      <c r="E1527" s="184" t="s">
        <v>125</v>
      </c>
      <c r="F1527" s="827" t="s">
        <v>286</v>
      </c>
      <c r="G1527" s="828"/>
    </row>
    <row r="1528" spans="1:7" ht="16" thickBot="1" x14ac:dyDescent="0.25">
      <c r="A1528" s="433">
        <v>45730</v>
      </c>
      <c r="B1528" s="435" t="s">
        <v>287</v>
      </c>
      <c r="C1528" s="436">
        <f>E1525</f>
        <v>415.80000000000018</v>
      </c>
      <c r="D1528" s="28"/>
      <c r="E1528" s="438" t="s">
        <v>287</v>
      </c>
      <c r="F1528" s="829" t="s">
        <v>288</v>
      </c>
      <c r="G1528" s="830"/>
    </row>
    <row r="1529" spans="1:7" ht="16" thickBot="1" x14ac:dyDescent="0.25">
      <c r="A1529" s="432"/>
      <c r="B1529" s="434" t="s">
        <v>222</v>
      </c>
      <c r="C1529" s="410"/>
      <c r="D1529" s="439">
        <v>400</v>
      </c>
      <c r="E1529" s="437" t="s">
        <v>186</v>
      </c>
      <c r="F1529" s="829"/>
      <c r="G1529" s="830"/>
    </row>
    <row r="1530" spans="1:7" ht="16" x14ac:dyDescent="0.2">
      <c r="A1530" s="405"/>
      <c r="B1530" s="409" t="s">
        <v>294</v>
      </c>
      <c r="C1530" s="411">
        <f>300+150+300</f>
        <v>750</v>
      </c>
      <c r="D1530" s="413"/>
      <c r="E1530" s="418" t="s">
        <v>295</v>
      </c>
      <c r="F1530" s="424">
        <v>200</v>
      </c>
      <c r="G1530" s="421">
        <v>200</v>
      </c>
    </row>
    <row r="1531" spans="1:7" ht="16" x14ac:dyDescent="0.2">
      <c r="A1531" s="405"/>
      <c r="B1531" s="409" t="s">
        <v>194</v>
      </c>
      <c r="C1531" s="411"/>
      <c r="D1531" s="413">
        <v>30</v>
      </c>
      <c r="E1531" s="418" t="s">
        <v>224</v>
      </c>
      <c r="F1531" s="425">
        <v>100</v>
      </c>
      <c r="G1531" s="422">
        <v>100</v>
      </c>
    </row>
    <row r="1532" spans="1:7" x14ac:dyDescent="0.2">
      <c r="A1532" s="405"/>
      <c r="B1532" s="316" t="s">
        <v>298</v>
      </c>
      <c r="C1532" s="410"/>
      <c r="D1532" s="414">
        <v>720</v>
      </c>
      <c r="E1532" s="316" t="s">
        <v>298</v>
      </c>
      <c r="F1532" s="425">
        <v>50</v>
      </c>
      <c r="G1532" s="422">
        <v>100</v>
      </c>
    </row>
    <row r="1533" spans="1:7" x14ac:dyDescent="0.2">
      <c r="A1533" s="405"/>
      <c r="B1533" s="316" t="s">
        <v>854</v>
      </c>
      <c r="C1533" s="410"/>
      <c r="D1533" s="414">
        <v>15.8</v>
      </c>
      <c r="E1533" s="316" t="s">
        <v>854</v>
      </c>
      <c r="F1533" s="425" t="s">
        <v>289</v>
      </c>
      <c r="G1533" s="422"/>
    </row>
    <row r="1534" spans="1:7" x14ac:dyDescent="0.2">
      <c r="A1534" s="405"/>
      <c r="B1534" s="408"/>
      <c r="C1534" s="411"/>
      <c r="D1534" s="413"/>
      <c r="E1534" s="419"/>
      <c r="F1534" s="425" t="s">
        <v>290</v>
      </c>
      <c r="G1534" s="422"/>
    </row>
    <row r="1535" spans="1:7" x14ac:dyDescent="0.2">
      <c r="A1535" s="405"/>
      <c r="B1535" s="409"/>
      <c r="C1535" s="412"/>
      <c r="D1535" s="413"/>
      <c r="E1535" s="409"/>
      <c r="F1535" s="426" t="s">
        <v>291</v>
      </c>
      <c r="G1535" s="422">
        <f>4+1+4+4+2.8</f>
        <v>15.8</v>
      </c>
    </row>
    <row r="1536" spans="1:7" ht="16" thickBot="1" x14ac:dyDescent="0.25">
      <c r="A1536" s="405"/>
      <c r="B1536" s="409"/>
      <c r="C1536" s="412"/>
      <c r="D1536" s="413"/>
      <c r="E1536" s="409"/>
      <c r="F1536" s="427" t="s">
        <v>292</v>
      </c>
      <c r="G1536" s="423"/>
    </row>
    <row r="1537" spans="1:7" ht="16" thickBot="1" x14ac:dyDescent="0.25">
      <c r="A1537" s="405"/>
      <c r="B1537" s="408"/>
      <c r="C1537" s="412"/>
      <c r="D1537" s="413"/>
      <c r="E1537" s="417"/>
      <c r="F1537" s="831">
        <f>SUM(G1530:G1535)</f>
        <v>415.8</v>
      </c>
      <c r="G1537" s="832"/>
    </row>
    <row r="1538" spans="1:7" x14ac:dyDescent="0.2">
      <c r="A1538" s="405"/>
      <c r="B1538" s="408"/>
      <c r="C1538" s="411"/>
      <c r="D1538" s="413"/>
      <c r="E1538" s="417"/>
      <c r="F1538" s="430"/>
      <c r="G1538" s="428"/>
    </row>
    <row r="1539" spans="1:7" ht="16" thickBot="1" x14ac:dyDescent="0.25">
      <c r="A1539" s="405"/>
      <c r="B1539" s="408"/>
      <c r="C1539" s="411"/>
      <c r="D1539" s="413"/>
      <c r="E1539" s="420"/>
      <c r="F1539" s="431"/>
      <c r="G1539" s="429"/>
    </row>
    <row r="1540" spans="1:7" x14ac:dyDescent="0.2">
      <c r="A1540" s="405"/>
      <c r="B1540" s="408"/>
      <c r="C1540" s="412"/>
      <c r="D1540" s="413"/>
      <c r="E1540" s="417"/>
      <c r="F1540" s="833" t="s">
        <v>293</v>
      </c>
      <c r="G1540" s="834"/>
    </row>
    <row r="1541" spans="1:7" ht="16" thickBot="1" x14ac:dyDescent="0.25">
      <c r="A1541" s="405"/>
      <c r="B1541" s="316"/>
      <c r="C1541" s="234"/>
      <c r="D1541" s="413"/>
      <c r="E1541" s="316"/>
      <c r="F1541" s="835"/>
      <c r="G1541" s="836"/>
    </row>
    <row r="1542" spans="1:7" x14ac:dyDescent="0.2">
      <c r="A1542" s="405"/>
      <c r="B1542" s="408"/>
      <c r="C1542" s="412"/>
      <c r="D1542" s="413"/>
      <c r="E1542" s="417"/>
      <c r="F1542" s="424">
        <v>200</v>
      </c>
      <c r="G1542" s="421"/>
    </row>
    <row r="1543" spans="1:7" x14ac:dyDescent="0.2">
      <c r="A1543" s="405"/>
      <c r="B1543" s="408"/>
      <c r="C1543" s="411"/>
      <c r="D1543" s="413"/>
      <c r="E1543" s="417"/>
      <c r="F1543" s="425">
        <v>100</v>
      </c>
      <c r="G1543" s="422"/>
    </row>
    <row r="1544" spans="1:7" x14ac:dyDescent="0.2">
      <c r="A1544" s="405"/>
      <c r="B1544" s="408"/>
      <c r="C1544" s="411"/>
      <c r="D1544" s="413"/>
      <c r="E1544" s="417"/>
      <c r="F1544" s="425">
        <v>50</v>
      </c>
      <c r="G1544" s="422"/>
    </row>
    <row r="1545" spans="1:7" x14ac:dyDescent="0.2">
      <c r="A1545" s="405"/>
      <c r="B1545" s="408"/>
      <c r="C1545" s="411"/>
      <c r="D1545" s="413"/>
      <c r="E1545" s="417"/>
      <c r="F1545" s="425" t="s">
        <v>289</v>
      </c>
      <c r="G1545" s="422"/>
    </row>
    <row r="1546" spans="1:7" x14ac:dyDescent="0.2">
      <c r="A1546" s="405"/>
      <c r="B1546" s="408"/>
      <c r="C1546" s="411"/>
      <c r="D1546" s="413"/>
      <c r="E1546" s="417"/>
      <c r="F1546" s="425" t="s">
        <v>290</v>
      </c>
      <c r="G1546" s="422"/>
    </row>
    <row r="1547" spans="1:7" x14ac:dyDescent="0.2">
      <c r="A1547" s="405"/>
      <c r="B1547" s="408"/>
      <c r="C1547" s="411"/>
      <c r="D1547" s="413"/>
      <c r="E1547" s="417"/>
      <c r="F1547" s="426" t="s">
        <v>291</v>
      </c>
      <c r="G1547" s="422"/>
    </row>
    <row r="1548" spans="1:7" ht="16" thickBot="1" x14ac:dyDescent="0.25">
      <c r="A1548" s="405"/>
      <c r="B1548" s="408"/>
      <c r="C1548" s="411"/>
      <c r="D1548" s="413"/>
      <c r="E1548" s="417" t="s">
        <v>340</v>
      </c>
      <c r="F1548" s="427" t="s">
        <v>292</v>
      </c>
      <c r="G1548" s="423"/>
    </row>
    <row r="1549" spans="1:7" ht="16" thickBot="1" x14ac:dyDescent="0.25">
      <c r="A1549" s="405"/>
      <c r="B1549" s="408"/>
      <c r="C1549" s="411"/>
      <c r="D1549" s="415"/>
      <c r="E1549" s="417"/>
      <c r="F1549" s="837">
        <f>SUM(G1542:G1547)</f>
        <v>0</v>
      </c>
      <c r="G1549" s="838"/>
    </row>
    <row r="1550" spans="1:7" ht="16" thickBot="1" x14ac:dyDescent="0.25">
      <c r="A1550" s="406" t="s">
        <v>19</v>
      </c>
      <c r="B1550" s="185"/>
      <c r="C1550" s="407">
        <f>SUM(C1528:C1549)</f>
        <v>1165.8000000000002</v>
      </c>
      <c r="D1550" s="186">
        <f>SUM(D1528:D1549)</f>
        <v>1165.8</v>
      </c>
      <c r="E1550" s="186">
        <f>C1550-D1550</f>
        <v>0</v>
      </c>
      <c r="F1550" s="416"/>
      <c r="G1550" s="187"/>
    </row>
    <row r="1551" spans="1:7" ht="16" thickBot="1" x14ac:dyDescent="0.25"/>
    <row r="1552" spans="1:7" ht="33" thickBot="1" x14ac:dyDescent="0.25">
      <c r="A1552" s="686"/>
      <c r="B1552" s="183" t="s">
        <v>862</v>
      </c>
      <c r="C1552" s="236" t="s">
        <v>284</v>
      </c>
      <c r="D1552" s="184" t="s">
        <v>285</v>
      </c>
      <c r="E1552" s="184" t="s">
        <v>125</v>
      </c>
      <c r="F1552" s="827" t="s">
        <v>286</v>
      </c>
      <c r="G1552" s="828"/>
    </row>
    <row r="1553" spans="1:7" ht="16" thickBot="1" x14ac:dyDescent="0.25">
      <c r="A1553" s="433">
        <v>45733</v>
      </c>
      <c r="B1553" s="435" t="s">
        <v>287</v>
      </c>
      <c r="C1553" s="436">
        <f>E1550</f>
        <v>0</v>
      </c>
      <c r="D1553" s="28"/>
      <c r="E1553" s="438" t="s">
        <v>287</v>
      </c>
      <c r="F1553" s="829" t="s">
        <v>288</v>
      </c>
      <c r="G1553" s="830"/>
    </row>
    <row r="1554" spans="1:7" ht="16" thickBot="1" x14ac:dyDescent="0.25">
      <c r="A1554" s="432"/>
      <c r="B1554" s="434" t="s">
        <v>222</v>
      </c>
      <c r="C1554" s="410">
        <v>400</v>
      </c>
      <c r="D1554" s="439"/>
      <c r="E1554" s="437" t="s">
        <v>549</v>
      </c>
      <c r="F1554" s="829"/>
      <c r="G1554" s="830"/>
    </row>
    <row r="1555" spans="1:7" ht="16" x14ac:dyDescent="0.2">
      <c r="A1555" s="405"/>
      <c r="B1555" s="409" t="s">
        <v>294</v>
      </c>
      <c r="C1555" s="411">
        <f>300+300+150</f>
        <v>750</v>
      </c>
      <c r="D1555" s="413"/>
      <c r="E1555" s="418" t="s">
        <v>295</v>
      </c>
      <c r="F1555" s="424">
        <v>200</v>
      </c>
      <c r="G1555" s="421"/>
    </row>
    <row r="1556" spans="1:7" ht="16" x14ac:dyDescent="0.2">
      <c r="A1556" s="405"/>
      <c r="B1556" s="409" t="s">
        <v>187</v>
      </c>
      <c r="C1556" s="411"/>
      <c r="D1556" s="413">
        <v>450</v>
      </c>
      <c r="E1556" s="418" t="s">
        <v>187</v>
      </c>
      <c r="F1556" s="425">
        <v>100</v>
      </c>
      <c r="G1556" s="422"/>
    </row>
    <row r="1557" spans="1:7" x14ac:dyDescent="0.2">
      <c r="A1557" s="405"/>
      <c r="B1557" s="316" t="s">
        <v>298</v>
      </c>
      <c r="C1557" s="410"/>
      <c r="D1557" s="414">
        <v>100</v>
      </c>
      <c r="E1557" s="316" t="s">
        <v>298</v>
      </c>
      <c r="F1557" s="425">
        <v>50</v>
      </c>
      <c r="G1557" s="422"/>
    </row>
    <row r="1558" spans="1:7" x14ac:dyDescent="0.2">
      <c r="A1558" s="405"/>
      <c r="B1558" s="316" t="s">
        <v>860</v>
      </c>
      <c r="C1558" s="410"/>
      <c r="D1558" s="414">
        <v>200</v>
      </c>
      <c r="E1558" s="316" t="s">
        <v>861</v>
      </c>
      <c r="F1558" s="425" t="s">
        <v>289</v>
      </c>
      <c r="G1558" s="422"/>
    </row>
    <row r="1559" spans="1:7" x14ac:dyDescent="0.2">
      <c r="A1559" s="405"/>
      <c r="B1559" s="408"/>
      <c r="C1559" s="411"/>
      <c r="D1559" s="413"/>
      <c r="E1559" s="419"/>
      <c r="F1559" s="425" t="s">
        <v>290</v>
      </c>
      <c r="G1559" s="422"/>
    </row>
    <row r="1560" spans="1:7" x14ac:dyDescent="0.2">
      <c r="A1560" s="405"/>
      <c r="B1560" s="409"/>
      <c r="C1560" s="412"/>
      <c r="D1560" s="413"/>
      <c r="E1560" s="409"/>
      <c r="F1560" s="426" t="s">
        <v>291</v>
      </c>
      <c r="G1560" s="422"/>
    </row>
    <row r="1561" spans="1:7" ht="16" thickBot="1" x14ac:dyDescent="0.25">
      <c r="A1561" s="405"/>
      <c r="B1561" s="409"/>
      <c r="C1561" s="412"/>
      <c r="D1561" s="413"/>
      <c r="E1561" s="409"/>
      <c r="F1561" s="427" t="s">
        <v>292</v>
      </c>
      <c r="G1561" s="423"/>
    </row>
    <row r="1562" spans="1:7" ht="16" thickBot="1" x14ac:dyDescent="0.25">
      <c r="A1562" s="405"/>
      <c r="B1562" s="408"/>
      <c r="C1562" s="412"/>
      <c r="D1562" s="413"/>
      <c r="E1562" s="417"/>
      <c r="F1562" s="831">
        <f>SUM(G1555:G1560)</f>
        <v>0</v>
      </c>
      <c r="G1562" s="832"/>
    </row>
    <row r="1563" spans="1:7" x14ac:dyDescent="0.2">
      <c r="A1563" s="405"/>
      <c r="B1563" s="408"/>
      <c r="C1563" s="411"/>
      <c r="D1563" s="413"/>
      <c r="E1563" s="417"/>
      <c r="F1563" s="430"/>
      <c r="G1563" s="428"/>
    </row>
    <row r="1564" spans="1:7" ht="16" thickBot="1" x14ac:dyDescent="0.25">
      <c r="A1564" s="405"/>
      <c r="B1564" s="408"/>
      <c r="C1564" s="411"/>
      <c r="D1564" s="413"/>
      <c r="E1564" s="420"/>
      <c r="F1564" s="431"/>
      <c r="G1564" s="429"/>
    </row>
    <row r="1565" spans="1:7" x14ac:dyDescent="0.2">
      <c r="A1565" s="405"/>
      <c r="B1565" s="408"/>
      <c r="C1565" s="412"/>
      <c r="D1565" s="413"/>
      <c r="E1565" s="417"/>
      <c r="F1565" s="833" t="s">
        <v>293</v>
      </c>
      <c r="G1565" s="834"/>
    </row>
    <row r="1566" spans="1:7" ht="16" thickBot="1" x14ac:dyDescent="0.25">
      <c r="A1566" s="405"/>
      <c r="B1566" s="316"/>
      <c r="C1566" s="234"/>
      <c r="D1566" s="413"/>
      <c r="E1566" s="316"/>
      <c r="F1566" s="835"/>
      <c r="G1566" s="836"/>
    </row>
    <row r="1567" spans="1:7" x14ac:dyDescent="0.2">
      <c r="A1567" s="405"/>
      <c r="B1567" s="408"/>
      <c r="C1567" s="412"/>
      <c r="D1567" s="413"/>
      <c r="E1567" s="417"/>
      <c r="F1567" s="424">
        <v>200</v>
      </c>
      <c r="G1567" s="421">
        <v>200</v>
      </c>
    </row>
    <row r="1568" spans="1:7" x14ac:dyDescent="0.2">
      <c r="A1568" s="405"/>
      <c r="B1568" s="408"/>
      <c r="C1568" s="411"/>
      <c r="D1568" s="413"/>
      <c r="E1568" s="417"/>
      <c r="F1568" s="425">
        <v>100</v>
      </c>
      <c r="G1568" s="422">
        <v>100</v>
      </c>
    </row>
    <row r="1569" spans="1:7" x14ac:dyDescent="0.2">
      <c r="A1569" s="405"/>
      <c r="B1569" s="408"/>
      <c r="C1569" s="411"/>
      <c r="D1569" s="413"/>
      <c r="E1569" s="417"/>
      <c r="F1569" s="425">
        <v>50</v>
      </c>
      <c r="G1569" s="422">
        <v>100</v>
      </c>
    </row>
    <row r="1570" spans="1:7" x14ac:dyDescent="0.2">
      <c r="A1570" s="405"/>
      <c r="B1570" s="408"/>
      <c r="C1570" s="411"/>
      <c r="D1570" s="413"/>
      <c r="E1570" s="417"/>
      <c r="F1570" s="425" t="s">
        <v>289</v>
      </c>
      <c r="G1570" s="422"/>
    </row>
    <row r="1571" spans="1:7" x14ac:dyDescent="0.2">
      <c r="A1571" s="405"/>
      <c r="B1571" s="408"/>
      <c r="C1571" s="411"/>
      <c r="D1571" s="413"/>
      <c r="E1571" s="417"/>
      <c r="F1571" s="425" t="s">
        <v>290</v>
      </c>
      <c r="G1571" s="422"/>
    </row>
    <row r="1572" spans="1:7" x14ac:dyDescent="0.2">
      <c r="A1572" s="405"/>
      <c r="B1572" s="408"/>
      <c r="C1572" s="411"/>
      <c r="D1572" s="413" t="s">
        <v>398</v>
      </c>
      <c r="E1572" s="417"/>
      <c r="F1572" s="426" t="s">
        <v>291</v>
      </c>
      <c r="G1572" s="422"/>
    </row>
    <row r="1573" spans="1:7" ht="16" thickBot="1" x14ac:dyDescent="0.25">
      <c r="A1573" s="405"/>
      <c r="B1573" s="408"/>
      <c r="C1573" s="411"/>
      <c r="D1573" s="413"/>
      <c r="E1573" s="417" t="s">
        <v>340</v>
      </c>
      <c r="F1573" s="427" t="s">
        <v>292</v>
      </c>
      <c r="G1573" s="423"/>
    </row>
    <row r="1574" spans="1:7" ht="16" thickBot="1" x14ac:dyDescent="0.25">
      <c r="A1574" s="405"/>
      <c r="B1574" s="408"/>
      <c r="C1574" s="411"/>
      <c r="D1574" s="415"/>
      <c r="E1574" s="417"/>
      <c r="F1574" s="837">
        <f>SUM(G1567:G1572)</f>
        <v>400</v>
      </c>
      <c r="G1574" s="838"/>
    </row>
    <row r="1575" spans="1:7" ht="16" thickBot="1" x14ac:dyDescent="0.25">
      <c r="A1575" s="406" t="s">
        <v>19</v>
      </c>
      <c r="B1575" s="185"/>
      <c r="C1575" s="407">
        <f>SUM(C1553:C1574)</f>
        <v>1150</v>
      </c>
      <c r="D1575" s="186">
        <f>SUM(D1553:D1574)</f>
        <v>750</v>
      </c>
      <c r="E1575" s="186">
        <f>C1575-D1575</f>
        <v>400</v>
      </c>
      <c r="F1575" s="416"/>
      <c r="G1575" s="187"/>
    </row>
    <row r="1576" spans="1:7" ht="16" thickBot="1" x14ac:dyDescent="0.25"/>
    <row r="1577" spans="1:7" ht="33" thickBot="1" x14ac:dyDescent="0.25">
      <c r="A1577" s="686"/>
      <c r="B1577" s="183" t="s">
        <v>283</v>
      </c>
      <c r="C1577" s="236" t="s">
        <v>284</v>
      </c>
      <c r="D1577" s="184" t="s">
        <v>285</v>
      </c>
      <c r="E1577" s="184" t="s">
        <v>125</v>
      </c>
      <c r="F1577" s="827" t="s">
        <v>286</v>
      </c>
      <c r="G1577" s="828"/>
    </row>
    <row r="1578" spans="1:7" ht="16" thickBot="1" x14ac:dyDescent="0.25">
      <c r="A1578" s="433">
        <v>45734</v>
      </c>
      <c r="B1578" s="435" t="s">
        <v>287</v>
      </c>
      <c r="C1578" s="436">
        <f>E1575</f>
        <v>400</v>
      </c>
      <c r="D1578" s="28"/>
      <c r="E1578" s="438" t="s">
        <v>287</v>
      </c>
      <c r="F1578" s="829" t="s">
        <v>288</v>
      </c>
      <c r="G1578" s="830"/>
    </row>
    <row r="1579" spans="1:7" ht="16" thickBot="1" x14ac:dyDescent="0.25">
      <c r="A1579" s="432"/>
      <c r="B1579" s="434" t="s">
        <v>222</v>
      </c>
      <c r="C1579" s="410"/>
      <c r="D1579" s="439">
        <v>300</v>
      </c>
      <c r="E1579" s="437" t="s">
        <v>859</v>
      </c>
      <c r="F1579" s="829"/>
      <c r="G1579" s="830"/>
    </row>
    <row r="1580" spans="1:7" ht="16" x14ac:dyDescent="0.2">
      <c r="A1580" s="405"/>
      <c r="B1580" s="409" t="s">
        <v>294</v>
      </c>
      <c r="C1580" s="411">
        <f>300+450</f>
        <v>750</v>
      </c>
      <c r="D1580" s="413"/>
      <c r="E1580" s="418" t="s">
        <v>295</v>
      </c>
      <c r="F1580" s="424">
        <v>200</v>
      </c>
      <c r="G1580" s="421">
        <v>200</v>
      </c>
    </row>
    <row r="1581" spans="1:7" ht="16" x14ac:dyDescent="0.2">
      <c r="A1581" s="405"/>
      <c r="B1581" s="409" t="s">
        <v>194</v>
      </c>
      <c r="C1581" s="411"/>
      <c r="D1581" s="413">
        <v>100</v>
      </c>
      <c r="E1581" s="418" t="s">
        <v>224</v>
      </c>
      <c r="F1581" s="425">
        <v>100</v>
      </c>
      <c r="G1581" s="422">
        <v>100</v>
      </c>
    </row>
    <row r="1582" spans="1:7" x14ac:dyDescent="0.2">
      <c r="A1582" s="405"/>
      <c r="B1582" s="316" t="s">
        <v>187</v>
      </c>
      <c r="C1582" s="410"/>
      <c r="D1582" s="414">
        <v>200</v>
      </c>
      <c r="E1582" s="316" t="s">
        <v>187</v>
      </c>
      <c r="F1582" s="425">
        <v>50</v>
      </c>
      <c r="G1582" s="422">
        <v>100</v>
      </c>
    </row>
    <row r="1583" spans="1:7" x14ac:dyDescent="0.2">
      <c r="A1583" s="405"/>
      <c r="B1583" s="316" t="s">
        <v>298</v>
      </c>
      <c r="C1583" s="410"/>
      <c r="D1583" s="414">
        <v>550</v>
      </c>
      <c r="E1583" s="316" t="s">
        <v>298</v>
      </c>
      <c r="F1583" s="425" t="s">
        <v>289</v>
      </c>
      <c r="G1583" s="422"/>
    </row>
    <row r="1584" spans="1:7" x14ac:dyDescent="0.2">
      <c r="A1584" s="405"/>
      <c r="B1584" s="408"/>
      <c r="C1584" s="411"/>
      <c r="D1584" s="413"/>
      <c r="E1584" s="419"/>
      <c r="F1584" s="425" t="s">
        <v>290</v>
      </c>
      <c r="G1584" s="422"/>
    </row>
    <row r="1585" spans="1:7" x14ac:dyDescent="0.2">
      <c r="A1585" s="405"/>
      <c r="B1585" s="409"/>
      <c r="C1585" s="412"/>
      <c r="D1585" s="413"/>
      <c r="E1585" s="409"/>
      <c r="F1585" s="426" t="s">
        <v>291</v>
      </c>
      <c r="G1585" s="422"/>
    </row>
    <row r="1586" spans="1:7" ht="16" thickBot="1" x14ac:dyDescent="0.25">
      <c r="A1586" s="405"/>
      <c r="B1586" s="409"/>
      <c r="C1586" s="412"/>
      <c r="D1586" s="413"/>
      <c r="E1586" s="409"/>
      <c r="F1586" s="427" t="s">
        <v>292</v>
      </c>
      <c r="G1586" s="423"/>
    </row>
    <row r="1587" spans="1:7" ht="16" thickBot="1" x14ac:dyDescent="0.25">
      <c r="A1587" s="405"/>
      <c r="B1587" s="408"/>
      <c r="C1587" s="412"/>
      <c r="D1587" s="413"/>
      <c r="E1587" s="417"/>
      <c r="F1587" s="831">
        <f>SUM(G1580:G1585)</f>
        <v>400</v>
      </c>
      <c r="G1587" s="832"/>
    </row>
    <row r="1588" spans="1:7" x14ac:dyDescent="0.2">
      <c r="A1588" s="405"/>
      <c r="B1588" s="408"/>
      <c r="C1588" s="411"/>
      <c r="D1588" s="413"/>
      <c r="E1588" s="417"/>
      <c r="F1588" s="430"/>
      <c r="G1588" s="428"/>
    </row>
    <row r="1589" spans="1:7" ht="16" thickBot="1" x14ac:dyDescent="0.25">
      <c r="A1589" s="405"/>
      <c r="B1589" s="408"/>
      <c r="C1589" s="411"/>
      <c r="D1589" s="413"/>
      <c r="E1589" s="420"/>
      <c r="F1589" s="431"/>
      <c r="G1589" s="429"/>
    </row>
    <row r="1590" spans="1:7" x14ac:dyDescent="0.2">
      <c r="A1590" s="405"/>
      <c r="B1590" s="408"/>
      <c r="C1590" s="412"/>
      <c r="D1590" s="413"/>
      <c r="E1590" s="417"/>
      <c r="F1590" s="833" t="s">
        <v>293</v>
      </c>
      <c r="G1590" s="834"/>
    </row>
    <row r="1591" spans="1:7" ht="16" thickBot="1" x14ac:dyDescent="0.25">
      <c r="A1591" s="405"/>
      <c r="B1591" s="316"/>
      <c r="C1591" s="234"/>
      <c r="D1591" s="413"/>
      <c r="E1591" s="316"/>
      <c r="F1591" s="835"/>
      <c r="G1591" s="836"/>
    </row>
    <row r="1592" spans="1:7" x14ac:dyDescent="0.2">
      <c r="A1592" s="405"/>
      <c r="B1592" s="408"/>
      <c r="C1592" s="412"/>
      <c r="D1592" s="413"/>
      <c r="E1592" s="417"/>
      <c r="F1592" s="424">
        <v>200</v>
      </c>
      <c r="G1592" s="421"/>
    </row>
    <row r="1593" spans="1:7" x14ac:dyDescent="0.2">
      <c r="A1593" s="405"/>
      <c r="B1593" s="408"/>
      <c r="C1593" s="411"/>
      <c r="D1593" s="413"/>
      <c r="E1593" s="417"/>
      <c r="F1593" s="425">
        <v>100</v>
      </c>
      <c r="G1593" s="422"/>
    </row>
    <row r="1594" spans="1:7" x14ac:dyDescent="0.2">
      <c r="A1594" s="405"/>
      <c r="B1594" s="408"/>
      <c r="C1594" s="411"/>
      <c r="D1594" s="413"/>
      <c r="E1594" s="417"/>
      <c r="F1594" s="425">
        <v>50</v>
      </c>
      <c r="G1594" s="422"/>
    </row>
    <row r="1595" spans="1:7" x14ac:dyDescent="0.2">
      <c r="A1595" s="405"/>
      <c r="B1595" s="408"/>
      <c r="C1595" s="411"/>
      <c r="D1595" s="413"/>
      <c r="E1595" s="417"/>
      <c r="F1595" s="425" t="s">
        <v>289</v>
      </c>
      <c r="G1595" s="422"/>
    </row>
    <row r="1596" spans="1:7" x14ac:dyDescent="0.2">
      <c r="A1596" s="405"/>
      <c r="B1596" s="408"/>
      <c r="C1596" s="411"/>
      <c r="D1596" s="413"/>
      <c r="E1596" s="417"/>
      <c r="F1596" s="425" t="s">
        <v>290</v>
      </c>
      <c r="G1596" s="422"/>
    </row>
    <row r="1597" spans="1:7" x14ac:dyDescent="0.2">
      <c r="A1597" s="405"/>
      <c r="B1597" s="408"/>
      <c r="C1597" s="411"/>
      <c r="D1597" s="413"/>
      <c r="E1597" s="417"/>
      <c r="F1597" s="426" t="s">
        <v>291</v>
      </c>
      <c r="G1597" s="422"/>
    </row>
    <row r="1598" spans="1:7" ht="16" thickBot="1" x14ac:dyDescent="0.25">
      <c r="A1598" s="405"/>
      <c r="B1598" s="408"/>
      <c r="C1598" s="411"/>
      <c r="D1598" s="413"/>
      <c r="E1598" s="417" t="s">
        <v>340</v>
      </c>
      <c r="F1598" s="427" t="s">
        <v>292</v>
      </c>
      <c r="G1598" s="423"/>
    </row>
    <row r="1599" spans="1:7" ht="16" thickBot="1" x14ac:dyDescent="0.25">
      <c r="A1599" s="405"/>
      <c r="B1599" s="408"/>
      <c r="C1599" s="411"/>
      <c r="D1599" s="415"/>
      <c r="E1599" s="417"/>
      <c r="F1599" s="837">
        <f>SUM(G1592:G1597)</f>
        <v>0</v>
      </c>
      <c r="G1599" s="838"/>
    </row>
    <row r="1600" spans="1:7" ht="16" thickBot="1" x14ac:dyDescent="0.25">
      <c r="A1600" s="406" t="s">
        <v>19</v>
      </c>
      <c r="B1600" s="185"/>
      <c r="C1600" s="407">
        <f>SUM(C1578:C1599)</f>
        <v>1150</v>
      </c>
      <c r="D1600" s="186">
        <f>SUM(D1578:D1599)</f>
        <v>1150</v>
      </c>
      <c r="E1600" s="186">
        <f>C1600-D1600</f>
        <v>0</v>
      </c>
      <c r="F1600" s="416"/>
      <c r="G1600" s="187"/>
    </row>
    <row r="1601" spans="1:7" ht="16" thickBot="1" x14ac:dyDescent="0.25"/>
    <row r="1602" spans="1:7" ht="33" thickBot="1" x14ac:dyDescent="0.25">
      <c r="A1602" s="686"/>
      <c r="B1602" s="183" t="s">
        <v>283</v>
      </c>
      <c r="C1602" s="236" t="s">
        <v>284</v>
      </c>
      <c r="D1602" s="184" t="s">
        <v>285</v>
      </c>
      <c r="E1602" s="184" t="s">
        <v>125</v>
      </c>
      <c r="F1602" s="827" t="s">
        <v>286</v>
      </c>
      <c r="G1602" s="828"/>
    </row>
    <row r="1603" spans="1:7" ht="16" thickBot="1" x14ac:dyDescent="0.25">
      <c r="A1603" s="433">
        <v>45735</v>
      </c>
      <c r="B1603" s="435" t="s">
        <v>287</v>
      </c>
      <c r="C1603" s="436">
        <f>E1600</f>
        <v>0</v>
      </c>
      <c r="D1603" s="28"/>
      <c r="E1603" s="438" t="s">
        <v>287</v>
      </c>
      <c r="F1603" s="829" t="s">
        <v>288</v>
      </c>
      <c r="G1603" s="830"/>
    </row>
    <row r="1604" spans="1:7" ht="16" thickBot="1" x14ac:dyDescent="0.25">
      <c r="A1604" s="432"/>
      <c r="B1604" s="434" t="s">
        <v>222</v>
      </c>
      <c r="C1604" s="410">
        <v>200</v>
      </c>
      <c r="D1604" s="439"/>
      <c r="E1604" s="437" t="s">
        <v>549</v>
      </c>
      <c r="F1604" s="829"/>
      <c r="G1604" s="830"/>
    </row>
    <row r="1605" spans="1:7" x14ac:dyDescent="0.2">
      <c r="A1605" s="405"/>
      <c r="B1605" s="409"/>
      <c r="C1605" s="411"/>
      <c r="D1605" s="413"/>
      <c r="E1605" s="418"/>
      <c r="F1605" s="424">
        <v>200</v>
      </c>
      <c r="G1605" s="421"/>
    </row>
    <row r="1606" spans="1:7" x14ac:dyDescent="0.2">
      <c r="A1606" s="405"/>
      <c r="B1606" s="409"/>
      <c r="C1606" s="411"/>
      <c r="D1606" s="413"/>
      <c r="E1606" s="418"/>
      <c r="F1606" s="425">
        <v>100</v>
      </c>
      <c r="G1606" s="422"/>
    </row>
    <row r="1607" spans="1:7" x14ac:dyDescent="0.2">
      <c r="A1607" s="405"/>
      <c r="B1607" s="316"/>
      <c r="C1607" s="410"/>
      <c r="D1607" s="414"/>
      <c r="E1607" s="316"/>
      <c r="F1607" s="425">
        <v>50</v>
      </c>
      <c r="G1607" s="422"/>
    </row>
    <row r="1608" spans="1:7" x14ac:dyDescent="0.2">
      <c r="A1608" s="405"/>
      <c r="B1608" s="316"/>
      <c r="C1608" s="410"/>
      <c r="D1608" s="414"/>
      <c r="E1608" s="316"/>
      <c r="F1608" s="425" t="s">
        <v>289</v>
      </c>
      <c r="G1608" s="422"/>
    </row>
    <row r="1609" spans="1:7" x14ac:dyDescent="0.2">
      <c r="A1609" s="405"/>
      <c r="B1609" s="408"/>
      <c r="C1609" s="411"/>
      <c r="D1609" s="413"/>
      <c r="E1609" s="419"/>
      <c r="F1609" s="425" t="s">
        <v>290</v>
      </c>
      <c r="G1609" s="422"/>
    </row>
    <row r="1610" spans="1:7" x14ac:dyDescent="0.2">
      <c r="A1610" s="405"/>
      <c r="B1610" s="409"/>
      <c r="C1610" s="412"/>
      <c r="D1610" s="413"/>
      <c r="E1610" s="409"/>
      <c r="F1610" s="426" t="s">
        <v>291</v>
      </c>
      <c r="G1610" s="422"/>
    </row>
    <row r="1611" spans="1:7" ht="16" thickBot="1" x14ac:dyDescent="0.25">
      <c r="A1611" s="405"/>
      <c r="B1611" s="409"/>
      <c r="C1611" s="412"/>
      <c r="D1611" s="413"/>
      <c r="E1611" s="409"/>
      <c r="F1611" s="427" t="s">
        <v>292</v>
      </c>
      <c r="G1611" s="423"/>
    </row>
    <row r="1612" spans="1:7" ht="16" thickBot="1" x14ac:dyDescent="0.25">
      <c r="A1612" s="405"/>
      <c r="B1612" s="408"/>
      <c r="C1612" s="412"/>
      <c r="D1612" s="413"/>
      <c r="E1612" s="417"/>
      <c r="F1612" s="831">
        <f>SUM(G1605:G1610)</f>
        <v>0</v>
      </c>
      <c r="G1612" s="832"/>
    </row>
    <row r="1613" spans="1:7" x14ac:dyDescent="0.2">
      <c r="A1613" s="405"/>
      <c r="B1613" s="408"/>
      <c r="C1613" s="411"/>
      <c r="D1613" s="413"/>
      <c r="E1613" s="417"/>
      <c r="F1613" s="430"/>
      <c r="G1613" s="428"/>
    </row>
    <row r="1614" spans="1:7" ht="16" thickBot="1" x14ac:dyDescent="0.25">
      <c r="A1614" s="405"/>
      <c r="B1614" s="408"/>
      <c r="C1614" s="411"/>
      <c r="D1614" s="413"/>
      <c r="E1614" s="420"/>
      <c r="F1614" s="431"/>
      <c r="G1614" s="429"/>
    </row>
    <row r="1615" spans="1:7" x14ac:dyDescent="0.2">
      <c r="A1615" s="405"/>
      <c r="B1615" s="408"/>
      <c r="C1615" s="412"/>
      <c r="D1615" s="413"/>
      <c r="E1615" s="417"/>
      <c r="F1615" s="833" t="s">
        <v>293</v>
      </c>
      <c r="G1615" s="834"/>
    </row>
    <row r="1616" spans="1:7" ht="16" thickBot="1" x14ac:dyDescent="0.25">
      <c r="A1616" s="405"/>
      <c r="B1616" s="316"/>
      <c r="C1616" s="234"/>
      <c r="D1616" s="413"/>
      <c r="E1616" s="316"/>
      <c r="F1616" s="835"/>
      <c r="G1616" s="836"/>
    </row>
    <row r="1617" spans="1:7" x14ac:dyDescent="0.2">
      <c r="A1617" s="405"/>
      <c r="B1617" s="408"/>
      <c r="C1617" s="412"/>
      <c r="D1617" s="413"/>
      <c r="E1617" s="417"/>
      <c r="F1617" s="424">
        <v>200</v>
      </c>
      <c r="G1617" s="421"/>
    </row>
    <row r="1618" spans="1:7" x14ac:dyDescent="0.2">
      <c r="A1618" s="405"/>
      <c r="B1618" s="408"/>
      <c r="C1618" s="411"/>
      <c r="D1618" s="413"/>
      <c r="E1618" s="417"/>
      <c r="F1618" s="425">
        <v>100</v>
      </c>
      <c r="G1618" s="422">
        <v>100</v>
      </c>
    </row>
    <row r="1619" spans="1:7" x14ac:dyDescent="0.2">
      <c r="A1619" s="405"/>
      <c r="B1619" s="408"/>
      <c r="C1619" s="411"/>
      <c r="D1619" s="413"/>
      <c r="E1619" s="417"/>
      <c r="F1619" s="425">
        <v>50</v>
      </c>
      <c r="G1619" s="422">
        <v>50</v>
      </c>
    </row>
    <row r="1620" spans="1:7" x14ac:dyDescent="0.2">
      <c r="A1620" s="405"/>
      <c r="B1620" s="408"/>
      <c r="C1620" s="411"/>
      <c r="D1620" s="413"/>
      <c r="E1620" s="417"/>
      <c r="F1620" s="425" t="s">
        <v>289</v>
      </c>
      <c r="G1620" s="422">
        <v>20</v>
      </c>
    </row>
    <row r="1621" spans="1:7" x14ac:dyDescent="0.2">
      <c r="A1621" s="405"/>
      <c r="B1621" s="408"/>
      <c r="C1621" s="411"/>
      <c r="D1621" s="413"/>
      <c r="E1621" s="417"/>
      <c r="F1621" s="425" t="s">
        <v>290</v>
      </c>
      <c r="G1621" s="422">
        <v>30</v>
      </c>
    </row>
    <row r="1622" spans="1:7" x14ac:dyDescent="0.2">
      <c r="A1622" s="405"/>
      <c r="B1622" s="408"/>
      <c r="C1622" s="411"/>
      <c r="D1622" s="413"/>
      <c r="E1622" s="417"/>
      <c r="F1622" s="426" t="s">
        <v>291</v>
      </c>
      <c r="G1622" s="422"/>
    </row>
    <row r="1623" spans="1:7" ht="16" thickBot="1" x14ac:dyDescent="0.25">
      <c r="A1623" s="405"/>
      <c r="B1623" s="408"/>
      <c r="C1623" s="411"/>
      <c r="D1623" s="413"/>
      <c r="E1623" s="417" t="s">
        <v>340</v>
      </c>
      <c r="F1623" s="427" t="s">
        <v>292</v>
      </c>
      <c r="G1623" s="423"/>
    </row>
    <row r="1624" spans="1:7" ht="16" thickBot="1" x14ac:dyDescent="0.25">
      <c r="A1624" s="405"/>
      <c r="B1624" s="408"/>
      <c r="C1624" s="411"/>
      <c r="D1624" s="415"/>
      <c r="E1624" s="417"/>
      <c r="F1624" s="837">
        <f>SUM(G1617:G1622)</f>
        <v>200</v>
      </c>
      <c r="G1624" s="838"/>
    </row>
    <row r="1625" spans="1:7" ht="16" thickBot="1" x14ac:dyDescent="0.25">
      <c r="A1625" s="406" t="s">
        <v>19</v>
      </c>
      <c r="B1625" s="185"/>
      <c r="C1625" s="407">
        <f>SUM(C1603:C1624)</f>
        <v>200</v>
      </c>
      <c r="D1625" s="186">
        <f>SUM(D1603:D1624)</f>
        <v>0</v>
      </c>
      <c r="E1625" s="186">
        <f>C1625-D1625</f>
        <v>200</v>
      </c>
      <c r="F1625" s="416"/>
      <c r="G1625" s="187"/>
    </row>
    <row r="1626" spans="1:7" ht="16" thickBot="1" x14ac:dyDescent="0.25"/>
    <row r="1627" spans="1:7" ht="33" thickBot="1" x14ac:dyDescent="0.25">
      <c r="A1627" s="686"/>
      <c r="B1627" s="183" t="s">
        <v>283</v>
      </c>
      <c r="C1627" s="236" t="s">
        <v>284</v>
      </c>
      <c r="D1627" s="184" t="s">
        <v>285</v>
      </c>
      <c r="E1627" s="184" t="s">
        <v>125</v>
      </c>
      <c r="F1627" s="827" t="s">
        <v>286</v>
      </c>
      <c r="G1627" s="828"/>
    </row>
    <row r="1628" spans="1:7" ht="16" thickBot="1" x14ac:dyDescent="0.25">
      <c r="A1628" s="433">
        <v>45736</v>
      </c>
      <c r="B1628" s="435" t="s">
        <v>287</v>
      </c>
      <c r="C1628" s="436">
        <f>E1625</f>
        <v>200</v>
      </c>
      <c r="D1628" s="28"/>
      <c r="E1628" s="438" t="s">
        <v>287</v>
      </c>
      <c r="F1628" s="829" t="s">
        <v>288</v>
      </c>
      <c r="G1628" s="830"/>
    </row>
    <row r="1629" spans="1:7" ht="16" thickBot="1" x14ac:dyDescent="0.25">
      <c r="A1629" s="432"/>
      <c r="B1629" s="434" t="s">
        <v>222</v>
      </c>
      <c r="C1629" s="410"/>
      <c r="D1629" s="439">
        <v>150</v>
      </c>
      <c r="E1629" s="437" t="s">
        <v>597</v>
      </c>
      <c r="F1629" s="829"/>
      <c r="G1629" s="830"/>
    </row>
    <row r="1630" spans="1:7" ht="16" x14ac:dyDescent="0.2">
      <c r="A1630" s="405"/>
      <c r="B1630" s="409" t="s">
        <v>294</v>
      </c>
      <c r="C1630" s="411">
        <v>300</v>
      </c>
      <c r="D1630" s="413"/>
      <c r="E1630" s="418" t="s">
        <v>295</v>
      </c>
      <c r="F1630" s="424">
        <v>200</v>
      </c>
      <c r="G1630" s="421"/>
    </row>
    <row r="1631" spans="1:7" ht="16" x14ac:dyDescent="0.2">
      <c r="A1631" s="405"/>
      <c r="B1631" s="409" t="s">
        <v>298</v>
      </c>
      <c r="C1631" s="411"/>
      <c r="D1631" s="413">
        <v>200</v>
      </c>
      <c r="E1631" s="418" t="s">
        <v>298</v>
      </c>
      <c r="F1631" s="425">
        <v>100</v>
      </c>
      <c r="G1631" s="422"/>
    </row>
    <row r="1632" spans="1:7" x14ac:dyDescent="0.2">
      <c r="A1632" s="405"/>
      <c r="B1632" s="316" t="s">
        <v>509</v>
      </c>
      <c r="C1632" s="410"/>
      <c r="D1632" s="414">
        <v>150</v>
      </c>
      <c r="E1632" s="316" t="s">
        <v>567</v>
      </c>
      <c r="F1632" s="425">
        <v>50</v>
      </c>
      <c r="G1632" s="422"/>
    </row>
    <row r="1633" spans="1:7" x14ac:dyDescent="0.2">
      <c r="A1633" s="405"/>
      <c r="B1633" s="316"/>
      <c r="C1633" s="410"/>
      <c r="D1633" s="414"/>
      <c r="E1633" s="316"/>
      <c r="F1633" s="425" t="s">
        <v>289</v>
      </c>
      <c r="G1633" s="422"/>
    </row>
    <row r="1634" spans="1:7" x14ac:dyDescent="0.2">
      <c r="A1634" s="405"/>
      <c r="B1634" s="408"/>
      <c r="C1634" s="411"/>
      <c r="D1634" s="413"/>
      <c r="E1634" s="419"/>
      <c r="F1634" s="425" t="s">
        <v>290</v>
      </c>
      <c r="G1634" s="422"/>
    </row>
    <row r="1635" spans="1:7" x14ac:dyDescent="0.2">
      <c r="A1635" s="405"/>
      <c r="B1635" s="409"/>
      <c r="C1635" s="412"/>
      <c r="D1635" s="413"/>
      <c r="E1635" s="409"/>
      <c r="F1635" s="426" t="s">
        <v>291</v>
      </c>
      <c r="G1635" s="422"/>
    </row>
    <row r="1636" spans="1:7" ht="16" thickBot="1" x14ac:dyDescent="0.25">
      <c r="A1636" s="405"/>
      <c r="B1636" s="409"/>
      <c r="C1636" s="412"/>
      <c r="D1636" s="413"/>
      <c r="E1636" s="409"/>
      <c r="F1636" s="427" t="s">
        <v>292</v>
      </c>
      <c r="G1636" s="423"/>
    </row>
    <row r="1637" spans="1:7" ht="16" thickBot="1" x14ac:dyDescent="0.25">
      <c r="A1637" s="405"/>
      <c r="B1637" s="408"/>
      <c r="C1637" s="412"/>
      <c r="D1637" s="413"/>
      <c r="E1637" s="417"/>
      <c r="F1637" s="831">
        <f>SUM(G1630:G1635)</f>
        <v>0</v>
      </c>
      <c r="G1637" s="832"/>
    </row>
    <row r="1638" spans="1:7" x14ac:dyDescent="0.2">
      <c r="A1638" s="405"/>
      <c r="B1638" s="408"/>
      <c r="C1638" s="411"/>
      <c r="D1638" s="413"/>
      <c r="E1638" s="417"/>
      <c r="F1638" s="430"/>
      <c r="G1638" s="428"/>
    </row>
    <row r="1639" spans="1:7" ht="16" thickBot="1" x14ac:dyDescent="0.25">
      <c r="A1639" s="405"/>
      <c r="B1639" s="408"/>
      <c r="C1639" s="411"/>
      <c r="D1639" s="413"/>
      <c r="E1639" s="420"/>
      <c r="F1639" s="431"/>
      <c r="G1639" s="429"/>
    </row>
    <row r="1640" spans="1:7" x14ac:dyDescent="0.2">
      <c r="A1640" s="405"/>
      <c r="B1640" s="408"/>
      <c r="C1640" s="412"/>
      <c r="D1640" s="413"/>
      <c r="E1640" s="417"/>
      <c r="F1640" s="833" t="s">
        <v>293</v>
      </c>
      <c r="G1640" s="834"/>
    </row>
    <row r="1641" spans="1:7" ht="16" thickBot="1" x14ac:dyDescent="0.25">
      <c r="A1641" s="405"/>
      <c r="B1641" s="316"/>
      <c r="C1641" s="234"/>
      <c r="D1641" s="413"/>
      <c r="E1641" s="316"/>
      <c r="F1641" s="835"/>
      <c r="G1641" s="836"/>
    </row>
    <row r="1642" spans="1:7" x14ac:dyDescent="0.2">
      <c r="A1642" s="405"/>
      <c r="B1642" s="408"/>
      <c r="C1642" s="412"/>
      <c r="D1642" s="413"/>
      <c r="E1642" s="417"/>
      <c r="F1642" s="424">
        <v>200</v>
      </c>
      <c r="G1642" s="421"/>
    </row>
    <row r="1643" spans="1:7" x14ac:dyDescent="0.2">
      <c r="A1643" s="405"/>
      <c r="B1643" s="408"/>
      <c r="C1643" s="411"/>
      <c r="D1643" s="413"/>
      <c r="E1643" s="417"/>
      <c r="F1643" s="425">
        <v>100</v>
      </c>
      <c r="G1643" s="422"/>
    </row>
    <row r="1644" spans="1:7" x14ac:dyDescent="0.2">
      <c r="A1644" s="405"/>
      <c r="B1644" s="408"/>
      <c r="C1644" s="411"/>
      <c r="D1644" s="413"/>
      <c r="E1644" s="417"/>
      <c r="F1644" s="425">
        <v>50</v>
      </c>
      <c r="G1644" s="422"/>
    </row>
    <row r="1645" spans="1:7" x14ac:dyDescent="0.2">
      <c r="A1645" s="405"/>
      <c r="B1645" s="408"/>
      <c r="C1645" s="411"/>
      <c r="D1645" s="413"/>
      <c r="E1645" s="417"/>
      <c r="F1645" s="425" t="s">
        <v>289</v>
      </c>
      <c r="G1645" s="422"/>
    </row>
    <row r="1646" spans="1:7" x14ac:dyDescent="0.2">
      <c r="A1646" s="405"/>
      <c r="B1646" s="408"/>
      <c r="C1646" s="411"/>
      <c r="D1646" s="413"/>
      <c r="E1646" s="417"/>
      <c r="F1646" s="425" t="s">
        <v>290</v>
      </c>
      <c r="G1646" s="422"/>
    </row>
    <row r="1647" spans="1:7" x14ac:dyDescent="0.2">
      <c r="A1647" s="405"/>
      <c r="B1647" s="408"/>
      <c r="C1647" s="411"/>
      <c r="D1647" s="413"/>
      <c r="E1647" s="417"/>
      <c r="F1647" s="426" t="s">
        <v>291</v>
      </c>
      <c r="G1647" s="422"/>
    </row>
    <row r="1648" spans="1:7" ht="16" thickBot="1" x14ac:dyDescent="0.25">
      <c r="A1648" s="405"/>
      <c r="B1648" s="408"/>
      <c r="C1648" s="411"/>
      <c r="D1648" s="413"/>
      <c r="E1648" s="417" t="s">
        <v>340</v>
      </c>
      <c r="F1648" s="427" t="s">
        <v>292</v>
      </c>
      <c r="G1648" s="423"/>
    </row>
    <row r="1649" spans="1:7" ht="16" thickBot="1" x14ac:dyDescent="0.25">
      <c r="A1649" s="405"/>
      <c r="B1649" s="408"/>
      <c r="C1649" s="411"/>
      <c r="D1649" s="415"/>
      <c r="E1649" s="417"/>
      <c r="F1649" s="837">
        <f>SUM(G1642:G1647)</f>
        <v>0</v>
      </c>
      <c r="G1649" s="838"/>
    </row>
    <row r="1650" spans="1:7" ht="16" thickBot="1" x14ac:dyDescent="0.25">
      <c r="A1650" s="406" t="s">
        <v>19</v>
      </c>
      <c r="B1650" s="185"/>
      <c r="C1650" s="407">
        <f>SUM(C1628:C1649)</f>
        <v>500</v>
      </c>
      <c r="D1650" s="186">
        <f>SUM(D1628:D1649)</f>
        <v>500</v>
      </c>
      <c r="E1650" s="186">
        <f>C1650-D1650</f>
        <v>0</v>
      </c>
      <c r="F1650" s="416"/>
      <c r="G1650" s="187"/>
    </row>
    <row r="1651" spans="1:7" ht="16" thickBot="1" x14ac:dyDescent="0.25"/>
    <row r="1652" spans="1:7" ht="33" thickBot="1" x14ac:dyDescent="0.25">
      <c r="A1652" s="686"/>
      <c r="B1652" s="183" t="s">
        <v>283</v>
      </c>
      <c r="C1652" s="236" t="s">
        <v>284</v>
      </c>
      <c r="D1652" s="184" t="s">
        <v>285</v>
      </c>
      <c r="E1652" s="184" t="s">
        <v>125</v>
      </c>
      <c r="F1652" s="827" t="s">
        <v>286</v>
      </c>
      <c r="G1652" s="828"/>
    </row>
    <row r="1653" spans="1:7" ht="16" thickBot="1" x14ac:dyDescent="0.25">
      <c r="A1653" s="433">
        <v>45737</v>
      </c>
      <c r="B1653" s="435" t="s">
        <v>287</v>
      </c>
      <c r="C1653" s="436">
        <f>E1650</f>
        <v>0</v>
      </c>
      <c r="D1653" s="28"/>
      <c r="E1653" s="438" t="s">
        <v>287</v>
      </c>
      <c r="F1653" s="829" t="s">
        <v>288</v>
      </c>
      <c r="G1653" s="830"/>
    </row>
    <row r="1654" spans="1:7" ht="16" thickBot="1" x14ac:dyDescent="0.25">
      <c r="A1654" s="432"/>
      <c r="B1654" s="434" t="s">
        <v>294</v>
      </c>
      <c r="C1654" s="410">
        <v>200</v>
      </c>
      <c r="D1654" s="439"/>
      <c r="E1654" s="437" t="s">
        <v>295</v>
      </c>
      <c r="F1654" s="829"/>
      <c r="G1654" s="830"/>
    </row>
    <row r="1655" spans="1:7" x14ac:dyDescent="0.2">
      <c r="A1655" s="405"/>
      <c r="B1655" s="409"/>
      <c r="C1655" s="411"/>
      <c r="D1655" s="413"/>
      <c r="E1655" s="418"/>
      <c r="F1655" s="424">
        <v>200</v>
      </c>
      <c r="G1655" s="421"/>
    </row>
    <row r="1656" spans="1:7" x14ac:dyDescent="0.2">
      <c r="A1656" s="405"/>
      <c r="B1656" s="409"/>
      <c r="C1656" s="411"/>
      <c r="D1656" s="413"/>
      <c r="E1656" s="418"/>
      <c r="F1656" s="425">
        <v>100</v>
      </c>
      <c r="G1656" s="422"/>
    </row>
    <row r="1657" spans="1:7" x14ac:dyDescent="0.2">
      <c r="A1657" s="405"/>
      <c r="B1657" s="316"/>
      <c r="C1657" s="410"/>
      <c r="D1657" s="414"/>
      <c r="E1657" s="316"/>
      <c r="F1657" s="425">
        <v>50</v>
      </c>
      <c r="G1657" s="422"/>
    </row>
    <row r="1658" spans="1:7" x14ac:dyDescent="0.2">
      <c r="A1658" s="405"/>
      <c r="B1658" s="316"/>
      <c r="C1658" s="410"/>
      <c r="D1658" s="414"/>
      <c r="E1658" s="316"/>
      <c r="F1658" s="425" t="s">
        <v>289</v>
      </c>
      <c r="G1658" s="422"/>
    </row>
    <row r="1659" spans="1:7" x14ac:dyDescent="0.2">
      <c r="A1659" s="405"/>
      <c r="B1659" s="408"/>
      <c r="C1659" s="411"/>
      <c r="D1659" s="413"/>
      <c r="E1659" s="419"/>
      <c r="F1659" s="425" t="s">
        <v>290</v>
      </c>
      <c r="G1659" s="422"/>
    </row>
    <row r="1660" spans="1:7" x14ac:dyDescent="0.2">
      <c r="A1660" s="405"/>
      <c r="B1660" s="409"/>
      <c r="C1660" s="412"/>
      <c r="D1660" s="413"/>
      <c r="E1660" s="409"/>
      <c r="F1660" s="426" t="s">
        <v>291</v>
      </c>
      <c r="G1660" s="422"/>
    </row>
    <row r="1661" spans="1:7" ht="16" thickBot="1" x14ac:dyDescent="0.25">
      <c r="A1661" s="405"/>
      <c r="B1661" s="409"/>
      <c r="C1661" s="412"/>
      <c r="D1661" s="413"/>
      <c r="E1661" s="409"/>
      <c r="F1661" s="427" t="s">
        <v>292</v>
      </c>
      <c r="G1661" s="423"/>
    </row>
    <row r="1662" spans="1:7" ht="16" thickBot="1" x14ac:dyDescent="0.25">
      <c r="A1662" s="405"/>
      <c r="B1662" s="408"/>
      <c r="C1662" s="412"/>
      <c r="D1662" s="413"/>
      <c r="E1662" s="417"/>
      <c r="F1662" s="831">
        <f>SUM(G1655:G1660)</f>
        <v>0</v>
      </c>
      <c r="G1662" s="832"/>
    </row>
    <row r="1663" spans="1:7" x14ac:dyDescent="0.2">
      <c r="A1663" s="405"/>
      <c r="B1663" s="408"/>
      <c r="C1663" s="411"/>
      <c r="D1663" s="413"/>
      <c r="E1663" s="417"/>
      <c r="F1663" s="430"/>
      <c r="G1663" s="428"/>
    </row>
    <row r="1664" spans="1:7" ht="16" thickBot="1" x14ac:dyDescent="0.25">
      <c r="A1664" s="405"/>
      <c r="B1664" s="408"/>
      <c r="C1664" s="411"/>
      <c r="D1664" s="413"/>
      <c r="E1664" s="420"/>
      <c r="F1664" s="431"/>
      <c r="G1664" s="429"/>
    </row>
    <row r="1665" spans="1:7" x14ac:dyDescent="0.2">
      <c r="A1665" s="405"/>
      <c r="B1665" s="408"/>
      <c r="C1665" s="412"/>
      <c r="D1665" s="413"/>
      <c r="E1665" s="417"/>
      <c r="F1665" s="833" t="s">
        <v>293</v>
      </c>
      <c r="G1665" s="834"/>
    </row>
    <row r="1666" spans="1:7" ht="16" thickBot="1" x14ac:dyDescent="0.25">
      <c r="A1666" s="405"/>
      <c r="B1666" s="316"/>
      <c r="C1666" s="234"/>
      <c r="D1666" s="413"/>
      <c r="E1666" s="316"/>
      <c r="F1666" s="835"/>
      <c r="G1666" s="836"/>
    </row>
    <row r="1667" spans="1:7" x14ac:dyDescent="0.2">
      <c r="A1667" s="405"/>
      <c r="B1667" s="408"/>
      <c r="C1667" s="412"/>
      <c r="D1667" s="413"/>
      <c r="E1667" s="417"/>
      <c r="F1667" s="424">
        <v>200</v>
      </c>
      <c r="G1667" s="421"/>
    </row>
    <row r="1668" spans="1:7" x14ac:dyDescent="0.2">
      <c r="A1668" s="405"/>
      <c r="B1668" s="408"/>
      <c r="C1668" s="411"/>
      <c r="D1668" s="413"/>
      <c r="E1668" s="417"/>
      <c r="F1668" s="425">
        <v>100</v>
      </c>
      <c r="G1668" s="422">
        <v>100</v>
      </c>
    </row>
    <row r="1669" spans="1:7" x14ac:dyDescent="0.2">
      <c r="A1669" s="405"/>
      <c r="B1669" s="408"/>
      <c r="C1669" s="411"/>
      <c r="D1669" s="413"/>
      <c r="E1669" s="417"/>
      <c r="F1669" s="425">
        <v>50</v>
      </c>
      <c r="G1669" s="422">
        <v>100</v>
      </c>
    </row>
    <row r="1670" spans="1:7" x14ac:dyDescent="0.2">
      <c r="A1670" s="405"/>
      <c r="B1670" s="408"/>
      <c r="C1670" s="411"/>
      <c r="D1670" s="413"/>
      <c r="E1670" s="417"/>
      <c r="F1670" s="425" t="s">
        <v>289</v>
      </c>
      <c r="G1670" s="422"/>
    </row>
    <row r="1671" spans="1:7" x14ac:dyDescent="0.2">
      <c r="A1671" s="405"/>
      <c r="B1671" s="408"/>
      <c r="C1671" s="411"/>
      <c r="D1671" s="413"/>
      <c r="E1671" s="417"/>
      <c r="F1671" s="425" t="s">
        <v>290</v>
      </c>
      <c r="G1671" s="422"/>
    </row>
    <row r="1672" spans="1:7" x14ac:dyDescent="0.2">
      <c r="A1672" s="405"/>
      <c r="B1672" s="408"/>
      <c r="C1672" s="411"/>
      <c r="D1672" s="413"/>
      <c r="E1672" s="417"/>
      <c r="F1672" s="426" t="s">
        <v>291</v>
      </c>
      <c r="G1672" s="422"/>
    </row>
    <row r="1673" spans="1:7" ht="16" thickBot="1" x14ac:dyDescent="0.25">
      <c r="A1673" s="405"/>
      <c r="B1673" s="408"/>
      <c r="C1673" s="411"/>
      <c r="D1673" s="413"/>
      <c r="E1673" s="417" t="s">
        <v>340</v>
      </c>
      <c r="F1673" s="427" t="s">
        <v>292</v>
      </c>
      <c r="G1673" s="423"/>
    </row>
    <row r="1674" spans="1:7" ht="16" thickBot="1" x14ac:dyDescent="0.25">
      <c r="A1674" s="405"/>
      <c r="B1674" s="408"/>
      <c r="C1674" s="411"/>
      <c r="D1674" s="415"/>
      <c r="E1674" s="417"/>
      <c r="F1674" s="837">
        <f>SUM(G1667:G1672)</f>
        <v>200</v>
      </c>
      <c r="G1674" s="838"/>
    </row>
    <row r="1675" spans="1:7" ht="16" thickBot="1" x14ac:dyDescent="0.25">
      <c r="A1675" s="406" t="s">
        <v>19</v>
      </c>
      <c r="B1675" s="185"/>
      <c r="C1675" s="407">
        <f>SUM(C1653:C1674)</f>
        <v>200</v>
      </c>
      <c r="D1675" s="186">
        <f>SUM(D1653:D1674)</f>
        <v>0</v>
      </c>
      <c r="E1675" s="186">
        <f>C1675-D1675</f>
        <v>200</v>
      </c>
      <c r="F1675" s="416"/>
      <c r="G1675" s="187"/>
    </row>
    <row r="1676" spans="1:7" ht="16" thickBot="1" x14ac:dyDescent="0.25"/>
    <row r="1677" spans="1:7" ht="33" thickBot="1" x14ac:dyDescent="0.25">
      <c r="A1677" s="686"/>
      <c r="B1677" s="183" t="s">
        <v>283</v>
      </c>
      <c r="C1677" s="236" t="s">
        <v>284</v>
      </c>
      <c r="D1677" s="184" t="s">
        <v>285</v>
      </c>
      <c r="E1677" s="184" t="s">
        <v>125</v>
      </c>
      <c r="F1677" s="827" t="s">
        <v>286</v>
      </c>
      <c r="G1677" s="828"/>
    </row>
    <row r="1678" spans="1:7" ht="16" thickBot="1" x14ac:dyDescent="0.25">
      <c r="A1678" s="433">
        <v>45739</v>
      </c>
      <c r="B1678" s="435" t="s">
        <v>287</v>
      </c>
      <c r="C1678" s="436">
        <f>E1675</f>
        <v>200</v>
      </c>
      <c r="D1678" s="28"/>
      <c r="E1678" s="438" t="s">
        <v>287</v>
      </c>
      <c r="F1678" s="829" t="s">
        <v>288</v>
      </c>
      <c r="G1678" s="830"/>
    </row>
    <row r="1679" spans="1:7" ht="16" thickBot="1" x14ac:dyDescent="0.25">
      <c r="A1679" s="432"/>
      <c r="B1679" s="434" t="s">
        <v>294</v>
      </c>
      <c r="C1679" s="410">
        <v>655</v>
      </c>
      <c r="D1679" s="439"/>
      <c r="E1679" s="437" t="s">
        <v>295</v>
      </c>
      <c r="F1679" s="829"/>
      <c r="G1679" s="830"/>
    </row>
    <row r="1680" spans="1:7" ht="16" x14ac:dyDescent="0.2">
      <c r="A1680" s="405"/>
      <c r="B1680" s="409" t="s">
        <v>14</v>
      </c>
      <c r="C1680" s="411"/>
      <c r="D1680" s="413">
        <f>405+250</f>
        <v>655</v>
      </c>
      <c r="E1680" s="418" t="s">
        <v>889</v>
      </c>
      <c r="F1680" s="424">
        <v>200</v>
      </c>
      <c r="G1680" s="421"/>
    </row>
    <row r="1681" spans="1:7" x14ac:dyDescent="0.2">
      <c r="A1681" s="405"/>
      <c r="B1681" s="409"/>
      <c r="C1681" s="411"/>
      <c r="D1681" s="413"/>
      <c r="E1681" s="418"/>
      <c r="F1681" s="425">
        <v>100</v>
      </c>
      <c r="G1681" s="422">
        <v>100</v>
      </c>
    </row>
    <row r="1682" spans="1:7" x14ac:dyDescent="0.2">
      <c r="A1682" s="405"/>
      <c r="B1682" s="316"/>
      <c r="C1682" s="410"/>
      <c r="D1682" s="414"/>
      <c r="E1682" s="316"/>
      <c r="F1682" s="425">
        <v>50</v>
      </c>
      <c r="G1682" s="422">
        <v>100</v>
      </c>
    </row>
    <row r="1683" spans="1:7" x14ac:dyDescent="0.2">
      <c r="A1683" s="405"/>
      <c r="B1683" s="316"/>
      <c r="C1683" s="410"/>
      <c r="D1683" s="414"/>
      <c r="E1683" s="316"/>
      <c r="F1683" s="425" t="s">
        <v>289</v>
      </c>
      <c r="G1683" s="422"/>
    </row>
    <row r="1684" spans="1:7" x14ac:dyDescent="0.2">
      <c r="A1684" s="405"/>
      <c r="B1684" s="408"/>
      <c r="C1684" s="411"/>
      <c r="D1684" s="413"/>
      <c r="E1684" s="419"/>
      <c r="F1684" s="425" t="s">
        <v>290</v>
      </c>
      <c r="G1684" s="422"/>
    </row>
    <row r="1685" spans="1:7" x14ac:dyDescent="0.2">
      <c r="A1685" s="405"/>
      <c r="B1685" s="409"/>
      <c r="C1685" s="412"/>
      <c r="D1685" s="413"/>
      <c r="E1685" s="409"/>
      <c r="F1685" s="426" t="s">
        <v>291</v>
      </c>
      <c r="G1685" s="422"/>
    </row>
    <row r="1686" spans="1:7" ht="16" thickBot="1" x14ac:dyDescent="0.25">
      <c r="A1686" s="405"/>
      <c r="B1686" s="409"/>
      <c r="C1686" s="412"/>
      <c r="D1686" s="413"/>
      <c r="E1686" s="409"/>
      <c r="F1686" s="427" t="s">
        <v>292</v>
      </c>
      <c r="G1686" s="423"/>
    </row>
    <row r="1687" spans="1:7" ht="16" thickBot="1" x14ac:dyDescent="0.25">
      <c r="A1687" s="405"/>
      <c r="B1687" s="408"/>
      <c r="C1687" s="412"/>
      <c r="D1687" s="413"/>
      <c r="E1687" s="417"/>
      <c r="F1687" s="831">
        <f>SUM(G1680:G1685)</f>
        <v>200</v>
      </c>
      <c r="G1687" s="832"/>
    </row>
    <row r="1688" spans="1:7" x14ac:dyDescent="0.2">
      <c r="A1688" s="405"/>
      <c r="B1688" s="408"/>
      <c r="C1688" s="411"/>
      <c r="D1688" s="413"/>
      <c r="E1688" s="417"/>
      <c r="F1688" s="430"/>
      <c r="G1688" s="428"/>
    </row>
    <row r="1689" spans="1:7" ht="16" thickBot="1" x14ac:dyDescent="0.25">
      <c r="A1689" s="405"/>
      <c r="B1689" s="408"/>
      <c r="C1689" s="411"/>
      <c r="D1689" s="413"/>
      <c r="E1689" s="420"/>
      <c r="F1689" s="431"/>
      <c r="G1689" s="429"/>
    </row>
    <row r="1690" spans="1:7" x14ac:dyDescent="0.2">
      <c r="A1690" s="405"/>
      <c r="B1690" s="408"/>
      <c r="C1690" s="412"/>
      <c r="D1690" s="413"/>
      <c r="E1690" s="417"/>
      <c r="F1690" s="833" t="s">
        <v>293</v>
      </c>
      <c r="G1690" s="834"/>
    </row>
    <row r="1691" spans="1:7" ht="16" thickBot="1" x14ac:dyDescent="0.25">
      <c r="A1691" s="405"/>
      <c r="B1691" s="316"/>
      <c r="C1691" s="234"/>
      <c r="D1691" s="413"/>
      <c r="E1691" s="316"/>
      <c r="F1691" s="835"/>
      <c r="G1691" s="836"/>
    </row>
    <row r="1692" spans="1:7" x14ac:dyDescent="0.2">
      <c r="A1692" s="405"/>
      <c r="B1692" s="408"/>
      <c r="C1692" s="412"/>
      <c r="D1692" s="413"/>
      <c r="E1692" s="417"/>
      <c r="F1692" s="424">
        <v>200</v>
      </c>
      <c r="G1692" s="421"/>
    </row>
    <row r="1693" spans="1:7" x14ac:dyDescent="0.2">
      <c r="A1693" s="405"/>
      <c r="B1693" s="408"/>
      <c r="C1693" s="411"/>
      <c r="D1693" s="413"/>
      <c r="E1693" s="417"/>
      <c r="F1693" s="425">
        <v>100</v>
      </c>
      <c r="G1693" s="422">
        <v>100</v>
      </c>
    </row>
    <row r="1694" spans="1:7" x14ac:dyDescent="0.2">
      <c r="A1694" s="405"/>
      <c r="B1694" s="408"/>
      <c r="C1694" s="411"/>
      <c r="D1694" s="413"/>
      <c r="E1694" s="417"/>
      <c r="F1694" s="425">
        <v>50</v>
      </c>
      <c r="G1694" s="422">
        <v>100</v>
      </c>
    </row>
    <row r="1695" spans="1:7" x14ac:dyDescent="0.2">
      <c r="A1695" s="405"/>
      <c r="B1695" s="408"/>
      <c r="C1695" s="411"/>
      <c r="D1695" s="413"/>
      <c r="E1695" s="417"/>
      <c r="F1695" s="425" t="s">
        <v>289</v>
      </c>
      <c r="G1695" s="422"/>
    </row>
    <row r="1696" spans="1:7" x14ac:dyDescent="0.2">
      <c r="A1696" s="405"/>
      <c r="B1696" s="408"/>
      <c r="C1696" s="411"/>
      <c r="D1696" s="413"/>
      <c r="E1696" s="417"/>
      <c r="F1696" s="425" t="s">
        <v>290</v>
      </c>
      <c r="G1696" s="422"/>
    </row>
    <row r="1697" spans="1:7" x14ac:dyDescent="0.2">
      <c r="A1697" s="405"/>
      <c r="B1697" s="408"/>
      <c r="C1697" s="411"/>
      <c r="D1697" s="413"/>
      <c r="E1697" s="417"/>
      <c r="F1697" s="426" t="s">
        <v>291</v>
      </c>
      <c r="G1697" s="422"/>
    </row>
    <row r="1698" spans="1:7" ht="16" thickBot="1" x14ac:dyDescent="0.25">
      <c r="A1698" s="405"/>
      <c r="B1698" s="408"/>
      <c r="C1698" s="411"/>
      <c r="D1698" s="413"/>
      <c r="E1698" s="417" t="s">
        <v>340</v>
      </c>
      <c r="F1698" s="427" t="s">
        <v>292</v>
      </c>
      <c r="G1698" s="423"/>
    </row>
    <row r="1699" spans="1:7" ht="16" thickBot="1" x14ac:dyDescent="0.25">
      <c r="A1699" s="405"/>
      <c r="B1699" s="408"/>
      <c r="C1699" s="411"/>
      <c r="D1699" s="415"/>
      <c r="E1699" s="417"/>
      <c r="F1699" s="837">
        <f>SUM(G1692:G1697)</f>
        <v>200</v>
      </c>
      <c r="G1699" s="838"/>
    </row>
    <row r="1700" spans="1:7" ht="16" thickBot="1" x14ac:dyDescent="0.25">
      <c r="A1700" s="406" t="s">
        <v>19</v>
      </c>
      <c r="B1700" s="185"/>
      <c r="C1700" s="407">
        <f>SUM(C1678:C1699)</f>
        <v>855</v>
      </c>
      <c r="D1700" s="186">
        <f>SUM(D1678:D1699)</f>
        <v>655</v>
      </c>
      <c r="E1700" s="186">
        <f>C1700-D1700</f>
        <v>200</v>
      </c>
      <c r="F1700" s="416"/>
      <c r="G1700" s="187"/>
    </row>
    <row r="1701" spans="1:7" ht="16" thickBot="1" x14ac:dyDescent="0.25"/>
    <row r="1702" spans="1:7" ht="33" thickBot="1" x14ac:dyDescent="0.25">
      <c r="A1702" s="686"/>
      <c r="B1702" s="183" t="s">
        <v>283</v>
      </c>
      <c r="C1702" s="236" t="s">
        <v>284</v>
      </c>
      <c r="D1702" s="184" t="s">
        <v>285</v>
      </c>
      <c r="E1702" s="184" t="s">
        <v>125</v>
      </c>
      <c r="F1702" s="827" t="s">
        <v>286</v>
      </c>
      <c r="G1702" s="828"/>
    </row>
    <row r="1703" spans="1:7" ht="16" thickBot="1" x14ac:dyDescent="0.25">
      <c r="A1703" s="433">
        <v>45740</v>
      </c>
      <c r="B1703" s="435" t="s">
        <v>287</v>
      </c>
      <c r="C1703" s="436">
        <f>E1700</f>
        <v>200</v>
      </c>
      <c r="D1703" s="28"/>
      <c r="E1703" s="438" t="s">
        <v>287</v>
      </c>
      <c r="F1703" s="829" t="s">
        <v>288</v>
      </c>
      <c r="G1703" s="830"/>
    </row>
    <row r="1704" spans="1:7" ht="16" thickBot="1" x14ac:dyDescent="0.25">
      <c r="A1704" s="432"/>
      <c r="B1704" s="434" t="s">
        <v>294</v>
      </c>
      <c r="C1704" s="410">
        <v>700</v>
      </c>
      <c r="D1704" s="439"/>
      <c r="E1704" s="437" t="s">
        <v>295</v>
      </c>
      <c r="F1704" s="829"/>
      <c r="G1704" s="830"/>
    </row>
    <row r="1705" spans="1:7" ht="16" x14ac:dyDescent="0.2">
      <c r="A1705" s="405"/>
      <c r="B1705" s="409" t="s">
        <v>222</v>
      </c>
      <c r="C1705" s="411"/>
      <c r="D1705" s="413">
        <v>300</v>
      </c>
      <c r="E1705" s="418" t="s">
        <v>186</v>
      </c>
      <c r="F1705" s="424">
        <v>200</v>
      </c>
      <c r="G1705" s="421"/>
    </row>
    <row r="1706" spans="1:7" ht="16" x14ac:dyDescent="0.2">
      <c r="A1706" s="405"/>
      <c r="B1706" s="409" t="s">
        <v>298</v>
      </c>
      <c r="C1706" s="411"/>
      <c r="D1706" s="413">
        <v>400</v>
      </c>
      <c r="E1706" s="418" t="s">
        <v>298</v>
      </c>
      <c r="F1706" s="425">
        <v>100</v>
      </c>
      <c r="G1706" s="422">
        <v>100</v>
      </c>
    </row>
    <row r="1707" spans="1:7" x14ac:dyDescent="0.2">
      <c r="A1707" s="405"/>
      <c r="B1707" s="316" t="s">
        <v>194</v>
      </c>
      <c r="C1707" s="410"/>
      <c r="D1707" s="414">
        <v>200</v>
      </c>
      <c r="E1707" s="316" t="s">
        <v>224</v>
      </c>
      <c r="F1707" s="425">
        <v>50</v>
      </c>
      <c r="G1707" s="422">
        <v>100</v>
      </c>
    </row>
    <row r="1708" spans="1:7" x14ac:dyDescent="0.2">
      <c r="A1708" s="405"/>
      <c r="B1708" s="316"/>
      <c r="C1708" s="410"/>
      <c r="D1708" s="414"/>
      <c r="E1708" s="316"/>
      <c r="F1708" s="425" t="s">
        <v>289</v>
      </c>
      <c r="G1708" s="422"/>
    </row>
    <row r="1709" spans="1:7" x14ac:dyDescent="0.2">
      <c r="A1709" s="405"/>
      <c r="B1709" s="408"/>
      <c r="C1709" s="411"/>
      <c r="D1709" s="413"/>
      <c r="E1709" s="419"/>
      <c r="F1709" s="425" t="s">
        <v>290</v>
      </c>
      <c r="G1709" s="422"/>
    </row>
    <row r="1710" spans="1:7" x14ac:dyDescent="0.2">
      <c r="A1710" s="405"/>
      <c r="B1710" s="409"/>
      <c r="C1710" s="412"/>
      <c r="D1710" s="413"/>
      <c r="E1710" s="409"/>
      <c r="F1710" s="426" t="s">
        <v>291</v>
      </c>
      <c r="G1710" s="422"/>
    </row>
    <row r="1711" spans="1:7" ht="16" thickBot="1" x14ac:dyDescent="0.25">
      <c r="A1711" s="405"/>
      <c r="B1711" s="409"/>
      <c r="C1711" s="412"/>
      <c r="D1711" s="413"/>
      <c r="E1711" s="409"/>
      <c r="F1711" s="427" t="s">
        <v>292</v>
      </c>
      <c r="G1711" s="423"/>
    </row>
    <row r="1712" spans="1:7" ht="16" thickBot="1" x14ac:dyDescent="0.25">
      <c r="A1712" s="405"/>
      <c r="B1712" s="408"/>
      <c r="C1712" s="412"/>
      <c r="D1712" s="413"/>
      <c r="E1712" s="417"/>
      <c r="F1712" s="831">
        <f>SUM(G1705:G1710)</f>
        <v>200</v>
      </c>
      <c r="G1712" s="832"/>
    </row>
    <row r="1713" spans="1:7" x14ac:dyDescent="0.2">
      <c r="A1713" s="405"/>
      <c r="B1713" s="408"/>
      <c r="C1713" s="411"/>
      <c r="D1713" s="413"/>
      <c r="E1713" s="417"/>
      <c r="F1713" s="430"/>
      <c r="G1713" s="428"/>
    </row>
    <row r="1714" spans="1:7" ht="16" thickBot="1" x14ac:dyDescent="0.25">
      <c r="A1714" s="405"/>
      <c r="B1714" s="408"/>
      <c r="C1714" s="411"/>
      <c r="D1714" s="413"/>
      <c r="E1714" s="420"/>
      <c r="F1714" s="431"/>
      <c r="G1714" s="429"/>
    </row>
    <row r="1715" spans="1:7" x14ac:dyDescent="0.2">
      <c r="A1715" s="405"/>
      <c r="B1715" s="408"/>
      <c r="C1715" s="412"/>
      <c r="D1715" s="413"/>
      <c r="E1715" s="417"/>
      <c r="F1715" s="833" t="s">
        <v>293</v>
      </c>
      <c r="G1715" s="834"/>
    </row>
    <row r="1716" spans="1:7" ht="16" thickBot="1" x14ac:dyDescent="0.25">
      <c r="A1716" s="405"/>
      <c r="B1716" s="316"/>
      <c r="C1716" s="234"/>
      <c r="D1716" s="413"/>
      <c r="E1716" s="316"/>
      <c r="F1716" s="835"/>
      <c r="G1716" s="836"/>
    </row>
    <row r="1717" spans="1:7" x14ac:dyDescent="0.2">
      <c r="A1717" s="405"/>
      <c r="B1717" s="408"/>
      <c r="C1717" s="412"/>
      <c r="D1717" s="413"/>
      <c r="E1717" s="417"/>
      <c r="F1717" s="424">
        <v>200</v>
      </c>
      <c r="G1717" s="421"/>
    </row>
    <row r="1718" spans="1:7" x14ac:dyDescent="0.2">
      <c r="A1718" s="405"/>
      <c r="B1718" s="408"/>
      <c r="C1718" s="411"/>
      <c r="D1718" s="413"/>
      <c r="E1718" s="417"/>
      <c r="F1718" s="425">
        <v>100</v>
      </c>
      <c r="G1718" s="422"/>
    </row>
    <row r="1719" spans="1:7" x14ac:dyDescent="0.2">
      <c r="A1719" s="405"/>
      <c r="B1719" s="408"/>
      <c r="C1719" s="411"/>
      <c r="D1719" s="413"/>
      <c r="E1719" s="417"/>
      <c r="F1719" s="425">
        <v>50</v>
      </c>
      <c r="G1719" s="422"/>
    </row>
    <row r="1720" spans="1:7" x14ac:dyDescent="0.2">
      <c r="A1720" s="405"/>
      <c r="B1720" s="408"/>
      <c r="C1720" s="411"/>
      <c r="D1720" s="413"/>
      <c r="E1720" s="417"/>
      <c r="F1720" s="425" t="s">
        <v>289</v>
      </c>
      <c r="G1720" s="422"/>
    </row>
    <row r="1721" spans="1:7" x14ac:dyDescent="0.2">
      <c r="A1721" s="405"/>
      <c r="B1721" s="408"/>
      <c r="C1721" s="411"/>
      <c r="D1721" s="413"/>
      <c r="E1721" s="417"/>
      <c r="F1721" s="425" t="s">
        <v>290</v>
      </c>
      <c r="G1721" s="422"/>
    </row>
    <row r="1722" spans="1:7" x14ac:dyDescent="0.2">
      <c r="A1722" s="405"/>
      <c r="B1722" s="408"/>
      <c r="C1722" s="411"/>
      <c r="D1722" s="413"/>
      <c r="E1722" s="417"/>
      <c r="F1722" s="426" t="s">
        <v>291</v>
      </c>
      <c r="G1722" s="422"/>
    </row>
    <row r="1723" spans="1:7" ht="16" thickBot="1" x14ac:dyDescent="0.25">
      <c r="A1723" s="405"/>
      <c r="B1723" s="408"/>
      <c r="C1723" s="411"/>
      <c r="D1723" s="413"/>
      <c r="E1723" s="417" t="s">
        <v>340</v>
      </c>
      <c r="F1723" s="427" t="s">
        <v>292</v>
      </c>
      <c r="G1723" s="423"/>
    </row>
    <row r="1724" spans="1:7" ht="16" thickBot="1" x14ac:dyDescent="0.25">
      <c r="A1724" s="405"/>
      <c r="B1724" s="408"/>
      <c r="C1724" s="411"/>
      <c r="D1724" s="415"/>
      <c r="E1724" s="417"/>
      <c r="F1724" s="837">
        <f>SUM(G1717:G1722)</f>
        <v>0</v>
      </c>
      <c r="G1724" s="838"/>
    </row>
    <row r="1725" spans="1:7" ht="16" thickBot="1" x14ac:dyDescent="0.25">
      <c r="A1725" s="406" t="s">
        <v>19</v>
      </c>
      <c r="B1725" s="185"/>
      <c r="C1725" s="407">
        <f>SUM(C1703:C1724)</f>
        <v>900</v>
      </c>
      <c r="D1725" s="186">
        <f>SUM(D1703:D1724)</f>
        <v>900</v>
      </c>
      <c r="E1725" s="186">
        <f>C1725-D1725</f>
        <v>0</v>
      </c>
      <c r="F1725" s="416"/>
      <c r="G1725" s="187"/>
    </row>
    <row r="1726" spans="1:7" ht="16" thickBot="1" x14ac:dyDescent="0.25"/>
    <row r="1727" spans="1:7" ht="33" thickBot="1" x14ac:dyDescent="0.25">
      <c r="A1727" s="686"/>
      <c r="B1727" s="183" t="s">
        <v>283</v>
      </c>
      <c r="C1727" s="236" t="s">
        <v>284</v>
      </c>
      <c r="D1727" s="184" t="s">
        <v>285</v>
      </c>
      <c r="E1727" s="184" t="s">
        <v>125</v>
      </c>
      <c r="F1727" s="827" t="s">
        <v>286</v>
      </c>
      <c r="G1727" s="828"/>
    </row>
    <row r="1728" spans="1:7" ht="16" thickBot="1" x14ac:dyDescent="0.25">
      <c r="A1728" s="433">
        <v>45741</v>
      </c>
      <c r="B1728" s="435" t="s">
        <v>287</v>
      </c>
      <c r="C1728" s="436">
        <f>E1725</f>
        <v>0</v>
      </c>
      <c r="D1728" s="28"/>
      <c r="E1728" s="438" t="s">
        <v>287</v>
      </c>
      <c r="F1728" s="829" t="s">
        <v>288</v>
      </c>
      <c r="G1728" s="830"/>
    </row>
    <row r="1729" spans="1:7" ht="16" thickBot="1" x14ac:dyDescent="0.25">
      <c r="A1729" s="432"/>
      <c r="B1729" s="434" t="s">
        <v>294</v>
      </c>
      <c r="C1729" s="410">
        <v>750</v>
      </c>
      <c r="D1729" s="439"/>
      <c r="E1729" s="437" t="s">
        <v>295</v>
      </c>
      <c r="F1729" s="829"/>
      <c r="G1729" s="830"/>
    </row>
    <row r="1730" spans="1:7" ht="16" x14ac:dyDescent="0.2">
      <c r="A1730" s="405"/>
      <c r="B1730" s="409" t="s">
        <v>899</v>
      </c>
      <c r="C1730" s="411"/>
      <c r="D1730" s="413">
        <v>150</v>
      </c>
      <c r="E1730" s="418" t="s">
        <v>224</v>
      </c>
      <c r="F1730" s="424">
        <v>200</v>
      </c>
      <c r="G1730" s="421"/>
    </row>
    <row r="1731" spans="1:7" ht="16" x14ac:dyDescent="0.2">
      <c r="A1731" s="405"/>
      <c r="B1731" s="409" t="s">
        <v>298</v>
      </c>
      <c r="C1731" s="411"/>
      <c r="D1731" s="413">
        <v>600</v>
      </c>
      <c r="E1731" s="418" t="s">
        <v>298</v>
      </c>
      <c r="F1731" s="425">
        <v>100</v>
      </c>
      <c r="G1731" s="422"/>
    </row>
    <row r="1732" spans="1:7" x14ac:dyDescent="0.2">
      <c r="A1732" s="405"/>
      <c r="B1732" s="316"/>
      <c r="C1732" s="410"/>
      <c r="D1732" s="414"/>
      <c r="E1732" s="316"/>
      <c r="F1732" s="425">
        <v>50</v>
      </c>
      <c r="G1732" s="422"/>
    </row>
    <row r="1733" spans="1:7" x14ac:dyDescent="0.2">
      <c r="A1733" s="405"/>
      <c r="B1733" s="316"/>
      <c r="C1733" s="410"/>
      <c r="D1733" s="414"/>
      <c r="E1733" s="316"/>
      <c r="F1733" s="425" t="s">
        <v>289</v>
      </c>
      <c r="G1733" s="422"/>
    </row>
    <row r="1734" spans="1:7" x14ac:dyDescent="0.2">
      <c r="A1734" s="405"/>
      <c r="B1734" s="408"/>
      <c r="C1734" s="411"/>
      <c r="D1734" s="413"/>
      <c r="E1734" s="419"/>
      <c r="F1734" s="425" t="s">
        <v>290</v>
      </c>
      <c r="G1734" s="422"/>
    </row>
    <row r="1735" spans="1:7" x14ac:dyDescent="0.2">
      <c r="A1735" s="405"/>
      <c r="B1735" s="409"/>
      <c r="C1735" s="412"/>
      <c r="D1735" s="413"/>
      <c r="E1735" s="409"/>
      <c r="F1735" s="426" t="s">
        <v>291</v>
      </c>
      <c r="G1735" s="422"/>
    </row>
    <row r="1736" spans="1:7" ht="16" thickBot="1" x14ac:dyDescent="0.25">
      <c r="A1736" s="405"/>
      <c r="B1736" s="409"/>
      <c r="C1736" s="412"/>
      <c r="D1736" s="413"/>
      <c r="E1736" s="409"/>
      <c r="F1736" s="427" t="s">
        <v>292</v>
      </c>
      <c r="G1736" s="423"/>
    </row>
    <row r="1737" spans="1:7" ht="16" thickBot="1" x14ac:dyDescent="0.25">
      <c r="A1737" s="405"/>
      <c r="B1737" s="408"/>
      <c r="C1737" s="412"/>
      <c r="D1737" s="413"/>
      <c r="E1737" s="417"/>
      <c r="F1737" s="831">
        <f>SUM(G1730:G1735)</f>
        <v>0</v>
      </c>
      <c r="G1737" s="832"/>
    </row>
    <row r="1738" spans="1:7" x14ac:dyDescent="0.2">
      <c r="A1738" s="405"/>
      <c r="B1738" s="408"/>
      <c r="C1738" s="411"/>
      <c r="D1738" s="413"/>
      <c r="E1738" s="417"/>
      <c r="F1738" s="430"/>
      <c r="G1738" s="428"/>
    </row>
    <row r="1739" spans="1:7" ht="16" thickBot="1" x14ac:dyDescent="0.25">
      <c r="A1739" s="405"/>
      <c r="B1739" s="408"/>
      <c r="C1739" s="411"/>
      <c r="D1739" s="413"/>
      <c r="E1739" s="420"/>
      <c r="F1739" s="431"/>
      <c r="G1739" s="429"/>
    </row>
    <row r="1740" spans="1:7" x14ac:dyDescent="0.2">
      <c r="A1740" s="405"/>
      <c r="B1740" s="408"/>
      <c r="C1740" s="412"/>
      <c r="D1740" s="413"/>
      <c r="E1740" s="417"/>
      <c r="F1740" s="833" t="s">
        <v>293</v>
      </c>
      <c r="G1740" s="834"/>
    </row>
    <row r="1741" spans="1:7" ht="16" thickBot="1" x14ac:dyDescent="0.25">
      <c r="A1741" s="405"/>
      <c r="B1741" s="316"/>
      <c r="C1741" s="234"/>
      <c r="D1741" s="413"/>
      <c r="E1741" s="316"/>
      <c r="F1741" s="835"/>
      <c r="G1741" s="836"/>
    </row>
    <row r="1742" spans="1:7" x14ac:dyDescent="0.2">
      <c r="A1742" s="405"/>
      <c r="B1742" s="408"/>
      <c r="C1742" s="412"/>
      <c r="D1742" s="413"/>
      <c r="E1742" s="417"/>
      <c r="F1742" s="424">
        <v>200</v>
      </c>
      <c r="G1742" s="421"/>
    </row>
    <row r="1743" spans="1:7" x14ac:dyDescent="0.2">
      <c r="A1743" s="405"/>
      <c r="B1743" s="408"/>
      <c r="C1743" s="411"/>
      <c r="D1743" s="413"/>
      <c r="E1743" s="417"/>
      <c r="F1743" s="425">
        <v>100</v>
      </c>
      <c r="G1743" s="422"/>
    </row>
    <row r="1744" spans="1:7" x14ac:dyDescent="0.2">
      <c r="A1744" s="405"/>
      <c r="B1744" s="408"/>
      <c r="C1744" s="411"/>
      <c r="D1744" s="413"/>
      <c r="E1744" s="417"/>
      <c r="F1744" s="425">
        <v>50</v>
      </c>
      <c r="G1744" s="422"/>
    </row>
    <row r="1745" spans="1:7" x14ac:dyDescent="0.2">
      <c r="A1745" s="405"/>
      <c r="B1745" s="408"/>
      <c r="C1745" s="411"/>
      <c r="D1745" s="413"/>
      <c r="E1745" s="417"/>
      <c r="F1745" s="425" t="s">
        <v>289</v>
      </c>
      <c r="G1745" s="422"/>
    </row>
    <row r="1746" spans="1:7" x14ac:dyDescent="0.2">
      <c r="A1746" s="405"/>
      <c r="B1746" s="408"/>
      <c r="C1746" s="411"/>
      <c r="D1746" s="413"/>
      <c r="E1746" s="417"/>
      <c r="F1746" s="425" t="s">
        <v>290</v>
      </c>
      <c r="G1746" s="422"/>
    </row>
    <row r="1747" spans="1:7" x14ac:dyDescent="0.2">
      <c r="A1747" s="405"/>
      <c r="B1747" s="408"/>
      <c r="C1747" s="411"/>
      <c r="D1747" s="413"/>
      <c r="E1747" s="417"/>
      <c r="F1747" s="426" t="s">
        <v>291</v>
      </c>
      <c r="G1747" s="422"/>
    </row>
    <row r="1748" spans="1:7" ht="16" thickBot="1" x14ac:dyDescent="0.25">
      <c r="A1748" s="405"/>
      <c r="B1748" s="408"/>
      <c r="C1748" s="411"/>
      <c r="D1748" s="413"/>
      <c r="E1748" s="417" t="s">
        <v>340</v>
      </c>
      <c r="F1748" s="427" t="s">
        <v>292</v>
      </c>
      <c r="G1748" s="423"/>
    </row>
    <row r="1749" spans="1:7" ht="16" thickBot="1" x14ac:dyDescent="0.25">
      <c r="A1749" s="405"/>
      <c r="B1749" s="408"/>
      <c r="C1749" s="411"/>
      <c r="D1749" s="415"/>
      <c r="E1749" s="417"/>
      <c r="F1749" s="837">
        <f>SUM(G1742:G1747)</f>
        <v>0</v>
      </c>
      <c r="G1749" s="838"/>
    </row>
    <row r="1750" spans="1:7" ht="16" thickBot="1" x14ac:dyDescent="0.25">
      <c r="A1750" s="406" t="s">
        <v>19</v>
      </c>
      <c r="B1750" s="185"/>
      <c r="C1750" s="407">
        <f>SUM(C1728:C1749)</f>
        <v>750</v>
      </c>
      <c r="D1750" s="186">
        <f>SUM(D1728:D1749)</f>
        <v>750</v>
      </c>
      <c r="E1750" s="186">
        <f>C1750-D1750</f>
        <v>0</v>
      </c>
      <c r="F1750" s="416"/>
      <c r="G1750" s="187"/>
    </row>
    <row r="1751" spans="1:7" ht="16" thickBot="1" x14ac:dyDescent="0.25"/>
    <row r="1752" spans="1:7" ht="33" thickBot="1" x14ac:dyDescent="0.25">
      <c r="A1752" s="686"/>
      <c r="B1752" s="183" t="s">
        <v>283</v>
      </c>
      <c r="C1752" s="236" t="s">
        <v>284</v>
      </c>
      <c r="D1752" s="184" t="s">
        <v>285</v>
      </c>
      <c r="E1752" s="184" t="s">
        <v>125</v>
      </c>
      <c r="F1752" s="827" t="s">
        <v>286</v>
      </c>
      <c r="G1752" s="828"/>
    </row>
    <row r="1753" spans="1:7" ht="16" thickBot="1" x14ac:dyDescent="0.25">
      <c r="A1753" s="433">
        <v>45742</v>
      </c>
      <c r="B1753" s="435" t="s">
        <v>287</v>
      </c>
      <c r="C1753" s="436">
        <f>E1750</f>
        <v>0</v>
      </c>
      <c r="D1753" s="28"/>
      <c r="E1753" s="438" t="s">
        <v>287</v>
      </c>
      <c r="F1753" s="829" t="s">
        <v>288</v>
      </c>
      <c r="G1753" s="830"/>
    </row>
    <row r="1754" spans="1:7" ht="16" thickBot="1" x14ac:dyDescent="0.25">
      <c r="A1754" s="432"/>
      <c r="B1754" s="434" t="s">
        <v>70</v>
      </c>
      <c r="C1754" s="410">
        <v>1200</v>
      </c>
      <c r="D1754" s="439"/>
      <c r="E1754" s="437" t="s">
        <v>901</v>
      </c>
      <c r="F1754" s="829"/>
      <c r="G1754" s="830"/>
    </row>
    <row r="1755" spans="1:7" ht="16" x14ac:dyDescent="0.2">
      <c r="A1755" s="405"/>
      <c r="B1755" s="409" t="s">
        <v>222</v>
      </c>
      <c r="C1755" s="411">
        <v>200</v>
      </c>
      <c r="D1755" s="413"/>
      <c r="E1755" s="418" t="s">
        <v>549</v>
      </c>
      <c r="F1755" s="424">
        <v>200</v>
      </c>
      <c r="G1755" s="421"/>
    </row>
    <row r="1756" spans="1:7" ht="16" x14ac:dyDescent="0.2">
      <c r="A1756" s="405"/>
      <c r="B1756" s="409" t="s">
        <v>222</v>
      </c>
      <c r="C1756" s="411"/>
      <c r="D1756" s="413">
        <f>200-113</f>
        <v>87</v>
      </c>
      <c r="E1756" s="418" t="s">
        <v>490</v>
      </c>
      <c r="F1756" s="425">
        <v>100</v>
      </c>
      <c r="G1756" s="422"/>
    </row>
    <row r="1757" spans="1:7" x14ac:dyDescent="0.2">
      <c r="A1757" s="405"/>
      <c r="B1757" s="316"/>
      <c r="C1757" s="410"/>
      <c r="D1757" s="414"/>
      <c r="E1757" s="316"/>
      <c r="F1757" s="425">
        <v>50</v>
      </c>
      <c r="G1757" s="422"/>
    </row>
    <row r="1758" spans="1:7" x14ac:dyDescent="0.2">
      <c r="A1758" s="405"/>
      <c r="B1758" s="316"/>
      <c r="C1758" s="410"/>
      <c r="D1758" s="414"/>
      <c r="E1758" s="316"/>
      <c r="F1758" s="425" t="s">
        <v>289</v>
      </c>
      <c r="G1758" s="422"/>
    </row>
    <row r="1759" spans="1:7" x14ac:dyDescent="0.2">
      <c r="A1759" s="405"/>
      <c r="B1759" s="408"/>
      <c r="C1759" s="411"/>
      <c r="D1759" s="413"/>
      <c r="E1759" s="419"/>
      <c r="F1759" s="425" t="s">
        <v>290</v>
      </c>
      <c r="G1759" s="422"/>
    </row>
    <row r="1760" spans="1:7" x14ac:dyDescent="0.2">
      <c r="A1760" s="405"/>
      <c r="B1760" s="409"/>
      <c r="C1760" s="412"/>
      <c r="D1760" s="413"/>
      <c r="E1760" s="409"/>
      <c r="F1760" s="426" t="s">
        <v>291</v>
      </c>
      <c r="G1760" s="422"/>
    </row>
    <row r="1761" spans="1:7" ht="16" thickBot="1" x14ac:dyDescent="0.25">
      <c r="A1761" s="405"/>
      <c r="B1761" s="409"/>
      <c r="C1761" s="412"/>
      <c r="D1761" s="413"/>
      <c r="E1761" s="409"/>
      <c r="F1761" s="427" t="s">
        <v>292</v>
      </c>
      <c r="G1761" s="423"/>
    </row>
    <row r="1762" spans="1:7" ht="16" thickBot="1" x14ac:dyDescent="0.25">
      <c r="A1762" s="405"/>
      <c r="B1762" s="408"/>
      <c r="C1762" s="412"/>
      <c r="D1762" s="413"/>
      <c r="E1762" s="417"/>
      <c r="F1762" s="831">
        <f>SUM(G1755:G1760)</f>
        <v>0</v>
      </c>
      <c r="G1762" s="832"/>
    </row>
    <row r="1763" spans="1:7" x14ac:dyDescent="0.2">
      <c r="A1763" s="405"/>
      <c r="B1763" s="408"/>
      <c r="C1763" s="411"/>
      <c r="D1763" s="413"/>
      <c r="E1763" s="417"/>
      <c r="F1763" s="430"/>
      <c r="G1763" s="428"/>
    </row>
    <row r="1764" spans="1:7" ht="16" thickBot="1" x14ac:dyDescent="0.25">
      <c r="A1764" s="405"/>
      <c r="B1764" s="408"/>
      <c r="C1764" s="411"/>
      <c r="D1764" s="413"/>
      <c r="E1764" s="420"/>
      <c r="F1764" s="431"/>
      <c r="G1764" s="429"/>
    </row>
    <row r="1765" spans="1:7" x14ac:dyDescent="0.2">
      <c r="A1765" s="405"/>
      <c r="B1765" s="408"/>
      <c r="C1765" s="412"/>
      <c r="D1765" s="413"/>
      <c r="E1765" s="417"/>
      <c r="F1765" s="833" t="s">
        <v>293</v>
      </c>
      <c r="G1765" s="834"/>
    </row>
    <row r="1766" spans="1:7" ht="16" thickBot="1" x14ac:dyDescent="0.25">
      <c r="A1766" s="405"/>
      <c r="B1766" s="316"/>
      <c r="C1766" s="234"/>
      <c r="D1766" s="413"/>
      <c r="E1766" s="316"/>
      <c r="F1766" s="835"/>
      <c r="G1766" s="836"/>
    </row>
    <row r="1767" spans="1:7" x14ac:dyDescent="0.2">
      <c r="A1767" s="405"/>
      <c r="B1767" s="408"/>
      <c r="C1767" s="412"/>
      <c r="D1767" s="413"/>
      <c r="E1767" s="417"/>
      <c r="F1767" s="424">
        <v>200</v>
      </c>
      <c r="G1767" s="421">
        <v>400</v>
      </c>
    </row>
    <row r="1768" spans="1:7" x14ac:dyDescent="0.2">
      <c r="A1768" s="405"/>
      <c r="B1768" s="408"/>
      <c r="C1768" s="411"/>
      <c r="D1768" s="413"/>
      <c r="E1768" s="417"/>
      <c r="F1768" s="425">
        <v>100</v>
      </c>
      <c r="G1768" s="422">
        <v>900</v>
      </c>
    </row>
    <row r="1769" spans="1:7" x14ac:dyDescent="0.2">
      <c r="A1769" s="405"/>
      <c r="B1769" s="408"/>
      <c r="C1769" s="411"/>
      <c r="D1769" s="413"/>
      <c r="E1769" s="417"/>
      <c r="F1769" s="425">
        <v>50</v>
      </c>
      <c r="G1769" s="422"/>
    </row>
    <row r="1770" spans="1:7" x14ac:dyDescent="0.2">
      <c r="A1770" s="405"/>
      <c r="B1770" s="408"/>
      <c r="C1770" s="411"/>
      <c r="D1770" s="413"/>
      <c r="E1770" s="417"/>
      <c r="F1770" s="425" t="s">
        <v>289</v>
      </c>
      <c r="G1770" s="422"/>
    </row>
    <row r="1771" spans="1:7" x14ac:dyDescent="0.2">
      <c r="A1771" s="405"/>
      <c r="B1771" s="408"/>
      <c r="C1771" s="411"/>
      <c r="D1771" s="413"/>
      <c r="E1771" s="417"/>
      <c r="F1771" s="425" t="s">
        <v>290</v>
      </c>
      <c r="G1771" s="422"/>
    </row>
    <row r="1772" spans="1:7" x14ac:dyDescent="0.2">
      <c r="A1772" s="405"/>
      <c r="B1772" s="408"/>
      <c r="C1772" s="411"/>
      <c r="D1772" s="413"/>
      <c r="E1772" s="417"/>
      <c r="F1772" s="426" t="s">
        <v>291</v>
      </c>
      <c r="G1772" s="422">
        <v>13</v>
      </c>
    </row>
    <row r="1773" spans="1:7" ht="16" thickBot="1" x14ac:dyDescent="0.25">
      <c r="A1773" s="405"/>
      <c r="B1773" s="408"/>
      <c r="C1773" s="411"/>
      <c r="D1773" s="413"/>
      <c r="E1773" s="417" t="s">
        <v>340</v>
      </c>
      <c r="F1773" s="427" t="s">
        <v>292</v>
      </c>
      <c r="G1773" s="423"/>
    </row>
    <row r="1774" spans="1:7" ht="16" thickBot="1" x14ac:dyDescent="0.25">
      <c r="A1774" s="405"/>
      <c r="B1774" s="408"/>
      <c r="C1774" s="411"/>
      <c r="D1774" s="415"/>
      <c r="E1774" s="417"/>
      <c r="F1774" s="837">
        <f>SUM(G1767:G1772)</f>
        <v>1313</v>
      </c>
      <c r="G1774" s="838"/>
    </row>
    <row r="1775" spans="1:7" ht="16" thickBot="1" x14ac:dyDescent="0.25">
      <c r="A1775" s="406" t="s">
        <v>19</v>
      </c>
      <c r="B1775" s="185"/>
      <c r="C1775" s="407">
        <f>SUM(C1753:C1774)</f>
        <v>1400</v>
      </c>
      <c r="D1775" s="186">
        <f>SUM(D1753:D1774)</f>
        <v>87</v>
      </c>
      <c r="E1775" s="186">
        <f>C1775-D1775</f>
        <v>1313</v>
      </c>
      <c r="F1775" s="416"/>
      <c r="G1775" s="187"/>
    </row>
    <row r="1776" spans="1:7" ht="16" thickBot="1" x14ac:dyDescent="0.25"/>
    <row r="1777" spans="1:7" ht="33" thickBot="1" x14ac:dyDescent="0.25">
      <c r="A1777" s="686"/>
      <c r="B1777" s="183" t="s">
        <v>283</v>
      </c>
      <c r="C1777" s="236" t="s">
        <v>284</v>
      </c>
      <c r="D1777" s="184" t="s">
        <v>285</v>
      </c>
      <c r="E1777" s="184" t="s">
        <v>125</v>
      </c>
      <c r="F1777" s="827" t="s">
        <v>286</v>
      </c>
      <c r="G1777" s="828"/>
    </row>
    <row r="1778" spans="1:7" ht="16" thickBot="1" x14ac:dyDescent="0.25">
      <c r="A1778" s="433">
        <v>45743</v>
      </c>
      <c r="B1778" s="435" t="s">
        <v>287</v>
      </c>
      <c r="C1778" s="436">
        <f>E1775</f>
        <v>1313</v>
      </c>
      <c r="D1778" s="28"/>
      <c r="E1778" s="438" t="s">
        <v>287</v>
      </c>
      <c r="F1778" s="829" t="s">
        <v>288</v>
      </c>
      <c r="G1778" s="830"/>
    </row>
    <row r="1779" spans="1:7" ht="16" thickBot="1" x14ac:dyDescent="0.25">
      <c r="A1779" s="432"/>
      <c r="B1779" s="316" t="s">
        <v>294</v>
      </c>
      <c r="C1779" s="410">
        <f>150+250+300</f>
        <v>700</v>
      </c>
      <c r="D1779" s="414"/>
      <c r="E1779" s="316" t="s">
        <v>295</v>
      </c>
      <c r="F1779" s="829"/>
      <c r="G1779" s="830"/>
    </row>
    <row r="1780" spans="1:7" x14ac:dyDescent="0.2">
      <c r="A1780" s="405"/>
      <c r="B1780" s="316" t="s">
        <v>907</v>
      </c>
      <c r="C1780" s="410"/>
      <c r="D1780" s="414">
        <v>150</v>
      </c>
      <c r="E1780" s="316" t="s">
        <v>490</v>
      </c>
      <c r="F1780" s="424">
        <v>200</v>
      </c>
      <c r="G1780" s="421">
        <v>400</v>
      </c>
    </row>
    <row r="1781" spans="1:7" ht="16" x14ac:dyDescent="0.2">
      <c r="A1781" s="405"/>
      <c r="B1781" s="408" t="s">
        <v>194</v>
      </c>
      <c r="C1781" s="411"/>
      <c r="D1781" s="413">
        <v>100</v>
      </c>
      <c r="E1781" s="419" t="s">
        <v>224</v>
      </c>
      <c r="F1781" s="425">
        <v>100</v>
      </c>
      <c r="G1781" s="422">
        <v>900</v>
      </c>
    </row>
    <row r="1782" spans="1:7" x14ac:dyDescent="0.2">
      <c r="A1782" s="405"/>
      <c r="B1782" s="409" t="s">
        <v>196</v>
      </c>
      <c r="C1782" s="412"/>
      <c r="D1782" s="413">
        <v>400</v>
      </c>
      <c r="E1782" s="409" t="s">
        <v>224</v>
      </c>
      <c r="F1782" s="425">
        <v>50</v>
      </c>
      <c r="G1782" s="422"/>
    </row>
    <row r="1783" spans="1:7" x14ac:dyDescent="0.2">
      <c r="A1783" s="405"/>
      <c r="B1783" s="316" t="s">
        <v>298</v>
      </c>
      <c r="C1783" s="410"/>
      <c r="D1783" s="414">
        <f>1367.9-117.9</f>
        <v>1250</v>
      </c>
      <c r="E1783" s="316"/>
      <c r="F1783" s="425" t="s">
        <v>289</v>
      </c>
      <c r="G1783" s="422"/>
    </row>
    <row r="1784" spans="1:7" x14ac:dyDescent="0.2">
      <c r="A1784" s="405"/>
      <c r="B1784" s="408"/>
      <c r="C1784" s="411"/>
      <c r="D1784" s="413"/>
      <c r="E1784" s="419"/>
      <c r="F1784" s="425" t="s">
        <v>290</v>
      </c>
      <c r="G1784" s="422"/>
    </row>
    <row r="1785" spans="1:7" x14ac:dyDescent="0.2">
      <c r="A1785" s="405"/>
      <c r="B1785" s="409"/>
      <c r="C1785" s="412"/>
      <c r="D1785" s="413"/>
      <c r="E1785" s="409"/>
      <c r="F1785" s="426" t="s">
        <v>291</v>
      </c>
      <c r="G1785" s="422">
        <v>13</v>
      </c>
    </row>
    <row r="1786" spans="1:7" ht="16" thickBot="1" x14ac:dyDescent="0.25">
      <c r="A1786" s="405"/>
      <c r="B1786" s="409"/>
      <c r="C1786" s="412"/>
      <c r="D1786" s="413"/>
      <c r="E1786" s="409"/>
      <c r="F1786" s="427" t="s">
        <v>292</v>
      </c>
      <c r="G1786" s="423"/>
    </row>
    <row r="1787" spans="1:7" ht="16" thickBot="1" x14ac:dyDescent="0.25">
      <c r="A1787" s="405"/>
      <c r="B1787" s="408"/>
      <c r="C1787" s="412"/>
      <c r="D1787" s="413"/>
      <c r="E1787" s="417"/>
      <c r="F1787" s="831">
        <f>SUM(G1780:G1785)</f>
        <v>1313</v>
      </c>
      <c r="G1787" s="832"/>
    </row>
    <row r="1788" spans="1:7" x14ac:dyDescent="0.2">
      <c r="A1788" s="405"/>
      <c r="B1788" s="408"/>
      <c r="C1788" s="411"/>
      <c r="D1788" s="413"/>
      <c r="E1788" s="417"/>
      <c r="F1788" s="430"/>
      <c r="G1788" s="428"/>
    </row>
    <row r="1789" spans="1:7" ht="16" thickBot="1" x14ac:dyDescent="0.25">
      <c r="A1789" s="405"/>
      <c r="B1789" s="408"/>
      <c r="C1789" s="411"/>
      <c r="D1789" s="413"/>
      <c r="E1789" s="420"/>
      <c r="F1789" s="431"/>
      <c r="G1789" s="429"/>
    </row>
    <row r="1790" spans="1:7" x14ac:dyDescent="0.2">
      <c r="A1790" s="405"/>
      <c r="B1790" s="408"/>
      <c r="C1790" s="412"/>
      <c r="D1790" s="413"/>
      <c r="E1790" s="417"/>
      <c r="F1790" s="833" t="s">
        <v>293</v>
      </c>
      <c r="G1790" s="834"/>
    </row>
    <row r="1791" spans="1:7" ht="16" thickBot="1" x14ac:dyDescent="0.25">
      <c r="A1791" s="405"/>
      <c r="B1791" s="316"/>
      <c r="C1791" s="234"/>
      <c r="D1791" s="413"/>
      <c r="E1791" s="316"/>
      <c r="F1791" s="835"/>
      <c r="G1791" s="836"/>
    </row>
    <row r="1792" spans="1:7" x14ac:dyDescent="0.2">
      <c r="A1792" s="405"/>
      <c r="B1792" s="408"/>
      <c r="C1792" s="412"/>
      <c r="D1792" s="413"/>
      <c r="E1792" s="417"/>
      <c r="F1792" s="424">
        <v>200</v>
      </c>
      <c r="G1792" s="421"/>
    </row>
    <row r="1793" spans="1:7" x14ac:dyDescent="0.2">
      <c r="A1793" s="405"/>
      <c r="B1793" s="408"/>
      <c r="C1793" s="411"/>
      <c r="D1793" s="413"/>
      <c r="E1793" s="417"/>
      <c r="F1793" s="425">
        <v>100</v>
      </c>
      <c r="G1793" s="422">
        <v>100</v>
      </c>
    </row>
    <row r="1794" spans="1:7" x14ac:dyDescent="0.2">
      <c r="A1794" s="405"/>
      <c r="B1794" s="408"/>
      <c r="C1794" s="411"/>
      <c r="D1794" s="413"/>
      <c r="E1794" s="417"/>
      <c r="F1794" s="425">
        <v>50</v>
      </c>
      <c r="G1794" s="422"/>
    </row>
    <row r="1795" spans="1:7" x14ac:dyDescent="0.2">
      <c r="A1795" s="405"/>
      <c r="B1795" s="408"/>
      <c r="C1795" s="411"/>
      <c r="D1795" s="413"/>
      <c r="E1795" s="417"/>
      <c r="F1795" s="425" t="s">
        <v>289</v>
      </c>
      <c r="G1795" s="422"/>
    </row>
    <row r="1796" spans="1:7" x14ac:dyDescent="0.2">
      <c r="A1796" s="405"/>
      <c r="B1796" s="408"/>
      <c r="C1796" s="411"/>
      <c r="D1796" s="413"/>
      <c r="E1796" s="417"/>
      <c r="F1796" s="425" t="s">
        <v>290</v>
      </c>
      <c r="G1796" s="422"/>
    </row>
    <row r="1797" spans="1:7" x14ac:dyDescent="0.2">
      <c r="A1797" s="405"/>
      <c r="B1797" s="408"/>
      <c r="C1797" s="411"/>
      <c r="D1797" s="413"/>
      <c r="E1797" s="417"/>
      <c r="F1797" s="426" t="s">
        <v>291</v>
      </c>
      <c r="G1797" s="422">
        <v>13</v>
      </c>
    </row>
    <row r="1798" spans="1:7" ht="16" thickBot="1" x14ac:dyDescent="0.25">
      <c r="A1798" s="405"/>
      <c r="B1798" s="408"/>
      <c r="C1798" s="411"/>
      <c r="D1798" s="413"/>
      <c r="E1798" s="417" t="s">
        <v>340</v>
      </c>
      <c r="F1798" s="427" t="s">
        <v>292</v>
      </c>
      <c r="G1798" s="423"/>
    </row>
    <row r="1799" spans="1:7" ht="16" thickBot="1" x14ac:dyDescent="0.25">
      <c r="A1799" s="405"/>
      <c r="B1799" s="408"/>
      <c r="C1799" s="411"/>
      <c r="D1799" s="415"/>
      <c r="E1799" s="417"/>
      <c r="F1799" s="837">
        <f>SUM(G1792:G1797)</f>
        <v>113</v>
      </c>
      <c r="G1799" s="838"/>
    </row>
    <row r="1800" spans="1:7" ht="16" thickBot="1" x14ac:dyDescent="0.25">
      <c r="A1800" s="406" t="s">
        <v>19</v>
      </c>
      <c r="B1800" s="185"/>
      <c r="C1800" s="407">
        <f>SUM(C1778:C1799)</f>
        <v>2013</v>
      </c>
      <c r="D1800" s="186">
        <f>SUM(D1778:D1799)</f>
        <v>1900</v>
      </c>
      <c r="E1800" s="186">
        <f>C1800-D1800</f>
        <v>113</v>
      </c>
      <c r="F1800" s="416"/>
      <c r="G1800" s="187"/>
    </row>
    <row r="1801" spans="1:7" ht="16" thickBot="1" x14ac:dyDescent="0.25"/>
    <row r="1802" spans="1:7" ht="33" thickBot="1" x14ac:dyDescent="0.25">
      <c r="A1802" s="686"/>
      <c r="B1802" s="183" t="s">
        <v>283</v>
      </c>
      <c r="C1802" s="236" t="s">
        <v>284</v>
      </c>
      <c r="D1802" s="184" t="s">
        <v>285</v>
      </c>
      <c r="E1802" s="184" t="s">
        <v>125</v>
      </c>
      <c r="F1802" s="827" t="s">
        <v>286</v>
      </c>
      <c r="G1802" s="828"/>
    </row>
    <row r="1803" spans="1:7" ht="16" thickBot="1" x14ac:dyDescent="0.25">
      <c r="A1803" s="433">
        <v>45744</v>
      </c>
      <c r="B1803" s="435" t="s">
        <v>287</v>
      </c>
      <c r="C1803" s="436">
        <f>E1800</f>
        <v>113</v>
      </c>
      <c r="D1803" s="28"/>
      <c r="E1803" s="438" t="s">
        <v>287</v>
      </c>
      <c r="F1803" s="829" t="s">
        <v>288</v>
      </c>
      <c r="G1803" s="830"/>
    </row>
    <row r="1804" spans="1:7" ht="16" thickBot="1" x14ac:dyDescent="0.25">
      <c r="A1804" s="432"/>
      <c r="B1804" s="316" t="s">
        <v>294</v>
      </c>
      <c r="C1804" s="410">
        <v>254.9</v>
      </c>
      <c r="D1804" s="414"/>
      <c r="E1804" s="316" t="s">
        <v>295</v>
      </c>
      <c r="F1804" s="829"/>
      <c r="G1804" s="830"/>
    </row>
    <row r="1805" spans="1:7" x14ac:dyDescent="0.2">
      <c r="A1805" s="405"/>
      <c r="B1805" s="316" t="s">
        <v>298</v>
      </c>
      <c r="C1805" s="410"/>
      <c r="D1805" s="414">
        <v>250</v>
      </c>
      <c r="E1805" s="316" t="s">
        <v>298</v>
      </c>
      <c r="F1805" s="424">
        <v>200</v>
      </c>
      <c r="G1805" s="421"/>
    </row>
    <row r="1806" spans="1:7" ht="16" x14ac:dyDescent="0.2">
      <c r="A1806" s="405"/>
      <c r="B1806" s="408" t="s">
        <v>196</v>
      </c>
      <c r="C1806" s="411"/>
      <c r="D1806" s="413">
        <v>117.9</v>
      </c>
      <c r="E1806" s="419" t="s">
        <v>916</v>
      </c>
      <c r="F1806" s="425">
        <v>100</v>
      </c>
      <c r="G1806" s="422"/>
    </row>
    <row r="1807" spans="1:7" x14ac:dyDescent="0.2">
      <c r="A1807" s="405"/>
      <c r="B1807" s="409"/>
      <c r="C1807" s="412"/>
      <c r="D1807" s="413"/>
      <c r="E1807" s="409"/>
      <c r="F1807" s="425">
        <v>50</v>
      </c>
      <c r="G1807" s="422"/>
    </row>
    <row r="1808" spans="1:7" x14ac:dyDescent="0.2">
      <c r="A1808" s="405"/>
      <c r="B1808" s="316"/>
      <c r="C1808" s="410"/>
      <c r="D1808" s="414"/>
      <c r="E1808" s="316"/>
      <c r="F1808" s="425" t="s">
        <v>289</v>
      </c>
      <c r="G1808" s="422"/>
    </row>
    <row r="1809" spans="1:7" x14ac:dyDescent="0.2">
      <c r="A1809" s="405"/>
      <c r="B1809" s="408"/>
      <c r="C1809" s="411"/>
      <c r="D1809" s="413"/>
      <c r="E1809" s="419"/>
      <c r="F1809" s="425" t="s">
        <v>290</v>
      </c>
      <c r="G1809" s="422"/>
    </row>
    <row r="1810" spans="1:7" x14ac:dyDescent="0.2">
      <c r="A1810" s="405"/>
      <c r="B1810" s="409"/>
      <c r="C1810" s="412"/>
      <c r="D1810" s="413"/>
      <c r="E1810" s="409"/>
      <c r="F1810" s="426" t="s">
        <v>291</v>
      </c>
      <c r="G1810" s="422"/>
    </row>
    <row r="1811" spans="1:7" ht="16" thickBot="1" x14ac:dyDescent="0.25">
      <c r="A1811" s="405"/>
      <c r="B1811" s="409"/>
      <c r="C1811" s="412"/>
      <c r="D1811" s="413"/>
      <c r="E1811" s="409"/>
      <c r="F1811" s="427" t="s">
        <v>292</v>
      </c>
      <c r="G1811" s="423"/>
    </row>
    <row r="1812" spans="1:7" ht="16" thickBot="1" x14ac:dyDescent="0.25">
      <c r="A1812" s="405"/>
      <c r="B1812" s="408"/>
      <c r="C1812" s="412"/>
      <c r="D1812" s="413"/>
      <c r="E1812" s="417"/>
      <c r="F1812" s="831">
        <f>SUM(G1805:G1810)</f>
        <v>0</v>
      </c>
      <c r="G1812" s="832"/>
    </row>
    <row r="1813" spans="1:7" x14ac:dyDescent="0.2">
      <c r="A1813" s="405"/>
      <c r="B1813" s="408"/>
      <c r="C1813" s="411"/>
      <c r="D1813" s="413"/>
      <c r="E1813" s="417"/>
      <c r="F1813" s="430"/>
      <c r="G1813" s="428"/>
    </row>
    <row r="1814" spans="1:7" ht="16" thickBot="1" x14ac:dyDescent="0.25">
      <c r="A1814" s="405"/>
      <c r="B1814" s="408"/>
      <c r="C1814" s="411"/>
      <c r="D1814" s="413"/>
      <c r="E1814" s="420"/>
      <c r="F1814" s="431"/>
      <c r="G1814" s="429"/>
    </row>
    <row r="1815" spans="1:7" x14ac:dyDescent="0.2">
      <c r="A1815" s="405"/>
      <c r="B1815" s="408"/>
      <c r="C1815" s="412"/>
      <c r="D1815" s="413"/>
      <c r="E1815" s="417"/>
      <c r="F1815" s="833" t="s">
        <v>293</v>
      </c>
      <c r="G1815" s="834"/>
    </row>
    <row r="1816" spans="1:7" ht="16" thickBot="1" x14ac:dyDescent="0.25">
      <c r="A1816" s="405"/>
      <c r="B1816" s="316"/>
      <c r="C1816" s="234"/>
      <c r="D1816" s="413"/>
      <c r="E1816" s="316"/>
      <c r="F1816" s="835"/>
      <c r="G1816" s="836"/>
    </row>
    <row r="1817" spans="1:7" x14ac:dyDescent="0.2">
      <c r="A1817" s="405"/>
      <c r="B1817" s="408"/>
      <c r="C1817" s="412"/>
      <c r="D1817" s="413"/>
      <c r="E1817" s="417"/>
      <c r="F1817" s="424">
        <v>200</v>
      </c>
      <c r="G1817" s="421"/>
    </row>
    <row r="1818" spans="1:7" x14ac:dyDescent="0.2">
      <c r="A1818" s="405"/>
      <c r="B1818" s="408"/>
      <c r="C1818" s="411"/>
      <c r="D1818" s="413"/>
      <c r="E1818" s="417"/>
      <c r="F1818" s="425">
        <v>100</v>
      </c>
      <c r="G1818" s="422"/>
    </row>
    <row r="1819" spans="1:7" x14ac:dyDescent="0.2">
      <c r="A1819" s="405"/>
      <c r="B1819" s="408"/>
      <c r="C1819" s="411"/>
      <c r="D1819" s="413"/>
      <c r="E1819" s="417"/>
      <c r="F1819" s="425">
        <v>50</v>
      </c>
      <c r="G1819" s="422"/>
    </row>
    <row r="1820" spans="1:7" x14ac:dyDescent="0.2">
      <c r="A1820" s="405"/>
      <c r="B1820" s="408"/>
      <c r="C1820" s="411"/>
      <c r="D1820" s="413"/>
      <c r="E1820" s="417"/>
      <c r="F1820" s="425" t="s">
        <v>289</v>
      </c>
      <c r="G1820" s="422"/>
    </row>
    <row r="1821" spans="1:7" x14ac:dyDescent="0.2">
      <c r="A1821" s="405"/>
      <c r="B1821" s="408"/>
      <c r="C1821" s="411"/>
      <c r="D1821" s="413"/>
      <c r="E1821" s="417"/>
      <c r="F1821" s="425" t="s">
        <v>290</v>
      </c>
      <c r="G1821" s="422"/>
    </row>
    <row r="1822" spans="1:7" x14ac:dyDescent="0.2">
      <c r="A1822" s="405"/>
      <c r="B1822" s="408"/>
      <c r="C1822" s="411"/>
      <c r="D1822" s="413"/>
      <c r="E1822" s="417"/>
      <c r="F1822" s="426" t="s">
        <v>291</v>
      </c>
      <c r="G1822" s="422"/>
    </row>
    <row r="1823" spans="1:7" ht="16" thickBot="1" x14ac:dyDescent="0.25">
      <c r="A1823" s="405"/>
      <c r="B1823" s="408"/>
      <c r="C1823" s="411"/>
      <c r="D1823" s="413"/>
      <c r="E1823" s="417" t="s">
        <v>340</v>
      </c>
      <c r="F1823" s="427" t="s">
        <v>292</v>
      </c>
      <c r="G1823" s="423"/>
    </row>
    <row r="1824" spans="1:7" ht="16" thickBot="1" x14ac:dyDescent="0.25">
      <c r="A1824" s="405"/>
      <c r="B1824" s="408"/>
      <c r="C1824" s="411"/>
      <c r="D1824" s="415"/>
      <c r="E1824" s="417"/>
      <c r="F1824" s="837">
        <f>SUM(G1817:G1822)</f>
        <v>0</v>
      </c>
      <c r="G1824" s="838"/>
    </row>
    <row r="1825" spans="1:7" ht="16" thickBot="1" x14ac:dyDescent="0.25">
      <c r="A1825" s="406" t="s">
        <v>19</v>
      </c>
      <c r="B1825" s="185"/>
      <c r="C1825" s="407">
        <f>SUM(C1803:C1824)</f>
        <v>367.9</v>
      </c>
      <c r="D1825" s="186">
        <f>SUM(D1803:D1824)</f>
        <v>367.9</v>
      </c>
      <c r="E1825" s="186">
        <f>C1825-D1825</f>
        <v>0</v>
      </c>
      <c r="F1825" s="416"/>
      <c r="G1825" s="187"/>
    </row>
    <row r="1826" spans="1:7" ht="16" thickBot="1" x14ac:dyDescent="0.25"/>
    <row r="1827" spans="1:7" ht="33" thickBot="1" x14ac:dyDescent="0.25">
      <c r="A1827" s="686"/>
      <c r="B1827" s="183" t="s">
        <v>283</v>
      </c>
      <c r="C1827" s="236" t="s">
        <v>284</v>
      </c>
      <c r="D1827" s="184" t="s">
        <v>285</v>
      </c>
      <c r="E1827" s="184" t="s">
        <v>125</v>
      </c>
      <c r="F1827" s="827" t="s">
        <v>286</v>
      </c>
      <c r="G1827" s="828"/>
    </row>
    <row r="1828" spans="1:7" ht="16" thickBot="1" x14ac:dyDescent="0.25">
      <c r="A1828" s="433">
        <v>45745</v>
      </c>
      <c r="B1828" s="435" t="s">
        <v>287</v>
      </c>
      <c r="C1828" s="436">
        <f>E1825</f>
        <v>0</v>
      </c>
      <c r="D1828" s="28"/>
      <c r="E1828" s="438" t="s">
        <v>287</v>
      </c>
      <c r="F1828" s="829" t="s">
        <v>288</v>
      </c>
      <c r="G1828" s="830"/>
    </row>
    <row r="1829" spans="1:7" ht="16" thickBot="1" x14ac:dyDescent="0.25">
      <c r="A1829" s="432"/>
      <c r="B1829" s="316" t="s">
        <v>294</v>
      </c>
      <c r="C1829" s="410">
        <v>650</v>
      </c>
      <c r="D1829" s="414"/>
      <c r="E1829" s="316" t="s">
        <v>295</v>
      </c>
      <c r="F1829" s="829"/>
      <c r="G1829" s="830"/>
    </row>
    <row r="1830" spans="1:7" x14ac:dyDescent="0.2">
      <c r="A1830" s="405"/>
      <c r="B1830" s="316" t="s">
        <v>566</v>
      </c>
      <c r="C1830" s="410"/>
      <c r="D1830" s="414">
        <v>40</v>
      </c>
      <c r="E1830" s="316" t="s">
        <v>510</v>
      </c>
      <c r="F1830" s="424">
        <v>200</v>
      </c>
      <c r="G1830" s="421"/>
    </row>
    <row r="1831" spans="1:7" x14ac:dyDescent="0.2">
      <c r="A1831" s="405"/>
      <c r="B1831" s="408"/>
      <c r="C1831" s="411"/>
      <c r="D1831" s="413"/>
      <c r="E1831" s="419"/>
      <c r="F1831" s="425">
        <v>100</v>
      </c>
      <c r="G1831" s="422"/>
    </row>
    <row r="1832" spans="1:7" x14ac:dyDescent="0.2">
      <c r="A1832" s="405"/>
      <c r="B1832" s="409"/>
      <c r="C1832" s="412"/>
      <c r="D1832" s="413"/>
      <c r="E1832" s="409"/>
      <c r="F1832" s="425">
        <v>50</v>
      </c>
      <c r="G1832" s="422"/>
    </row>
    <row r="1833" spans="1:7" x14ac:dyDescent="0.2">
      <c r="A1833" s="405"/>
      <c r="B1833" s="316"/>
      <c r="C1833" s="410"/>
      <c r="D1833" s="414"/>
      <c r="E1833" s="316"/>
      <c r="F1833" s="425" t="s">
        <v>289</v>
      </c>
      <c r="G1833" s="422"/>
    </row>
    <row r="1834" spans="1:7" x14ac:dyDescent="0.2">
      <c r="A1834" s="405"/>
      <c r="B1834" s="408"/>
      <c r="C1834" s="411"/>
      <c r="D1834" s="413"/>
      <c r="E1834" s="419"/>
      <c r="F1834" s="425" t="s">
        <v>290</v>
      </c>
      <c r="G1834" s="422"/>
    </row>
    <row r="1835" spans="1:7" x14ac:dyDescent="0.2">
      <c r="A1835" s="405"/>
      <c r="B1835" s="409"/>
      <c r="C1835" s="412"/>
      <c r="D1835" s="413"/>
      <c r="E1835" s="409"/>
      <c r="F1835" s="426" t="s">
        <v>291</v>
      </c>
      <c r="G1835" s="422"/>
    </row>
    <row r="1836" spans="1:7" ht="16" thickBot="1" x14ac:dyDescent="0.25">
      <c r="A1836" s="405"/>
      <c r="B1836" s="409"/>
      <c r="C1836" s="412"/>
      <c r="D1836" s="413"/>
      <c r="E1836" s="409"/>
      <c r="F1836" s="427" t="s">
        <v>292</v>
      </c>
      <c r="G1836" s="423"/>
    </row>
    <row r="1837" spans="1:7" ht="16" thickBot="1" x14ac:dyDescent="0.25">
      <c r="A1837" s="405"/>
      <c r="B1837" s="408"/>
      <c r="C1837" s="412"/>
      <c r="D1837" s="413"/>
      <c r="E1837" s="417"/>
      <c r="F1837" s="831">
        <f>SUM(G1830:G1835)</f>
        <v>0</v>
      </c>
      <c r="G1837" s="832"/>
    </row>
    <row r="1838" spans="1:7" x14ac:dyDescent="0.2">
      <c r="A1838" s="405"/>
      <c r="B1838" s="408"/>
      <c r="C1838" s="411"/>
      <c r="D1838" s="413"/>
      <c r="E1838" s="417"/>
      <c r="F1838" s="430"/>
      <c r="G1838" s="428"/>
    </row>
    <row r="1839" spans="1:7" ht="16" thickBot="1" x14ac:dyDescent="0.25">
      <c r="A1839" s="405"/>
      <c r="B1839" s="408"/>
      <c r="C1839" s="411"/>
      <c r="D1839" s="413"/>
      <c r="E1839" s="420"/>
      <c r="F1839" s="431"/>
      <c r="G1839" s="429"/>
    </row>
    <row r="1840" spans="1:7" x14ac:dyDescent="0.2">
      <c r="A1840" s="405"/>
      <c r="B1840" s="408"/>
      <c r="C1840" s="412"/>
      <c r="D1840" s="413"/>
      <c r="E1840" s="417"/>
      <c r="F1840" s="833" t="s">
        <v>293</v>
      </c>
      <c r="G1840" s="834"/>
    </row>
    <row r="1841" spans="1:7" ht="16" thickBot="1" x14ac:dyDescent="0.25">
      <c r="A1841" s="405"/>
      <c r="B1841" s="316"/>
      <c r="C1841" s="234"/>
      <c r="D1841" s="413"/>
      <c r="E1841" s="316"/>
      <c r="F1841" s="835"/>
      <c r="G1841" s="836"/>
    </row>
    <row r="1842" spans="1:7" x14ac:dyDescent="0.2">
      <c r="A1842" s="405"/>
      <c r="B1842" s="408"/>
      <c r="C1842" s="412"/>
      <c r="D1842" s="413"/>
      <c r="E1842" s="417"/>
      <c r="F1842" s="424">
        <v>200</v>
      </c>
      <c r="G1842" s="421">
        <v>200</v>
      </c>
    </row>
    <row r="1843" spans="1:7" x14ac:dyDescent="0.2">
      <c r="A1843" s="405"/>
      <c r="B1843" s="408"/>
      <c r="C1843" s="411"/>
      <c r="D1843" s="413"/>
      <c r="E1843" s="417"/>
      <c r="F1843" s="425">
        <v>100</v>
      </c>
      <c r="G1843" s="422">
        <v>400</v>
      </c>
    </row>
    <row r="1844" spans="1:7" x14ac:dyDescent="0.2">
      <c r="A1844" s="405"/>
      <c r="B1844" s="408"/>
      <c r="C1844" s="411"/>
      <c r="D1844" s="413"/>
      <c r="E1844" s="417"/>
      <c r="F1844" s="425">
        <v>50</v>
      </c>
      <c r="G1844" s="422"/>
    </row>
    <row r="1845" spans="1:7" x14ac:dyDescent="0.2">
      <c r="A1845" s="405"/>
      <c r="B1845" s="408"/>
      <c r="C1845" s="411"/>
      <c r="D1845" s="413"/>
      <c r="E1845" s="417"/>
      <c r="F1845" s="425" t="s">
        <v>289</v>
      </c>
      <c r="G1845" s="422"/>
    </row>
    <row r="1846" spans="1:7" x14ac:dyDescent="0.2">
      <c r="A1846" s="405"/>
      <c r="B1846" s="408"/>
      <c r="C1846" s="411"/>
      <c r="D1846" s="413"/>
      <c r="E1846" s="417"/>
      <c r="F1846" s="425" t="s">
        <v>290</v>
      </c>
      <c r="G1846" s="422">
        <v>10</v>
      </c>
    </row>
    <row r="1847" spans="1:7" x14ac:dyDescent="0.2">
      <c r="A1847" s="405"/>
      <c r="B1847" s="408"/>
      <c r="C1847" s="411"/>
      <c r="D1847" s="413"/>
      <c r="E1847" s="417"/>
      <c r="F1847" s="426" t="s">
        <v>291</v>
      </c>
      <c r="G1847" s="422"/>
    </row>
    <row r="1848" spans="1:7" ht="16" thickBot="1" x14ac:dyDescent="0.25">
      <c r="A1848" s="405"/>
      <c r="B1848" s="408"/>
      <c r="C1848" s="411"/>
      <c r="D1848" s="413"/>
      <c r="E1848" s="417" t="s">
        <v>340</v>
      </c>
      <c r="F1848" s="427" t="s">
        <v>292</v>
      </c>
      <c r="G1848" s="423"/>
    </row>
    <row r="1849" spans="1:7" ht="16" thickBot="1" x14ac:dyDescent="0.25">
      <c r="A1849" s="405"/>
      <c r="B1849" s="408"/>
      <c r="C1849" s="411"/>
      <c r="D1849" s="415"/>
      <c r="E1849" s="417"/>
      <c r="F1849" s="837">
        <f>SUM(G1842:G1847)</f>
        <v>610</v>
      </c>
      <c r="G1849" s="838"/>
    </row>
    <row r="1850" spans="1:7" ht="16" thickBot="1" x14ac:dyDescent="0.25">
      <c r="A1850" s="406" t="s">
        <v>19</v>
      </c>
      <c r="B1850" s="185"/>
      <c r="C1850" s="407">
        <f>SUM(C1828:C1849)</f>
        <v>650</v>
      </c>
      <c r="D1850" s="186">
        <f>SUM(D1828:D1849)</f>
        <v>40</v>
      </c>
      <c r="E1850" s="186">
        <f>C1850-D1850</f>
        <v>610</v>
      </c>
      <c r="F1850" s="416"/>
      <c r="G1850" s="187"/>
    </row>
    <row r="1851" spans="1:7" ht="16" thickBot="1" x14ac:dyDescent="0.25"/>
    <row r="1852" spans="1:7" ht="33" thickBot="1" x14ac:dyDescent="0.25">
      <c r="A1852" s="686"/>
      <c r="B1852" s="183" t="s">
        <v>283</v>
      </c>
      <c r="C1852" s="236" t="s">
        <v>284</v>
      </c>
      <c r="D1852" s="184" t="s">
        <v>285</v>
      </c>
      <c r="E1852" s="184" t="s">
        <v>125</v>
      </c>
      <c r="F1852" s="827" t="s">
        <v>286</v>
      </c>
      <c r="G1852" s="828"/>
    </row>
    <row r="1853" spans="1:7" ht="16" thickBot="1" x14ac:dyDescent="0.25">
      <c r="A1853" s="433">
        <v>45746</v>
      </c>
      <c r="B1853" s="435" t="s">
        <v>287</v>
      </c>
      <c r="C1853" s="436">
        <f>E1850</f>
        <v>610</v>
      </c>
      <c r="D1853" s="28"/>
      <c r="E1853" s="438" t="s">
        <v>287</v>
      </c>
      <c r="F1853" s="829" t="s">
        <v>288</v>
      </c>
      <c r="G1853" s="830"/>
    </row>
    <row r="1854" spans="1:7" ht="16" thickBot="1" x14ac:dyDescent="0.25">
      <c r="A1854" s="432"/>
      <c r="B1854" s="316" t="s">
        <v>9</v>
      </c>
      <c r="C1854" s="410"/>
      <c r="D1854" s="414">
        <v>185</v>
      </c>
      <c r="E1854" s="316" t="s">
        <v>917</v>
      </c>
      <c r="F1854" s="829"/>
      <c r="G1854" s="830"/>
    </row>
    <row r="1855" spans="1:7" x14ac:dyDescent="0.2">
      <c r="A1855" s="405"/>
      <c r="B1855" s="316" t="s">
        <v>196</v>
      </c>
      <c r="C1855" s="410"/>
      <c r="D1855" s="414">
        <v>100</v>
      </c>
      <c r="E1855" s="316" t="s">
        <v>918</v>
      </c>
      <c r="F1855" s="424">
        <v>200</v>
      </c>
      <c r="G1855" s="421">
        <v>200</v>
      </c>
    </row>
    <row r="1856" spans="1:7" ht="16" x14ac:dyDescent="0.2">
      <c r="A1856" s="405"/>
      <c r="B1856" s="408" t="s">
        <v>222</v>
      </c>
      <c r="C1856" s="411"/>
      <c r="D1856" s="413">
        <v>60</v>
      </c>
      <c r="E1856" s="419" t="s">
        <v>222</v>
      </c>
      <c r="F1856" s="425">
        <v>100</v>
      </c>
      <c r="G1856" s="422">
        <v>400</v>
      </c>
    </row>
    <row r="1857" spans="1:7" x14ac:dyDescent="0.2">
      <c r="A1857" s="405"/>
      <c r="B1857" s="409"/>
      <c r="C1857" s="412"/>
      <c r="D1857" s="413"/>
      <c r="E1857" s="409"/>
      <c r="F1857" s="425">
        <v>50</v>
      </c>
      <c r="G1857" s="422"/>
    </row>
    <row r="1858" spans="1:7" x14ac:dyDescent="0.2">
      <c r="A1858" s="405"/>
      <c r="B1858" s="316"/>
      <c r="C1858" s="410"/>
      <c r="D1858" s="414"/>
      <c r="E1858" s="316"/>
      <c r="F1858" s="425" t="s">
        <v>289</v>
      </c>
      <c r="G1858" s="422"/>
    </row>
    <row r="1859" spans="1:7" x14ac:dyDescent="0.2">
      <c r="A1859" s="405"/>
      <c r="B1859" s="408"/>
      <c r="C1859" s="411"/>
      <c r="D1859" s="413"/>
      <c r="E1859" s="419"/>
      <c r="F1859" s="425" t="s">
        <v>290</v>
      </c>
      <c r="G1859" s="422">
        <v>10</v>
      </c>
    </row>
    <row r="1860" spans="1:7" x14ac:dyDescent="0.2">
      <c r="A1860" s="405"/>
      <c r="B1860" s="409"/>
      <c r="C1860" s="412"/>
      <c r="D1860" s="413"/>
      <c r="E1860" s="409"/>
      <c r="F1860" s="426" t="s">
        <v>291</v>
      </c>
      <c r="G1860" s="422"/>
    </row>
    <row r="1861" spans="1:7" ht="16" thickBot="1" x14ac:dyDescent="0.25">
      <c r="A1861" s="405"/>
      <c r="B1861" s="409"/>
      <c r="C1861" s="412"/>
      <c r="D1861" s="413"/>
      <c r="E1861" s="409"/>
      <c r="F1861" s="427" t="s">
        <v>292</v>
      </c>
      <c r="G1861" s="423"/>
    </row>
    <row r="1862" spans="1:7" ht="16" thickBot="1" x14ac:dyDescent="0.25">
      <c r="A1862" s="405"/>
      <c r="B1862" s="408"/>
      <c r="C1862" s="412"/>
      <c r="D1862" s="413"/>
      <c r="E1862" s="417"/>
      <c r="F1862" s="831">
        <f>SUM(G1855:G1860)</f>
        <v>610</v>
      </c>
      <c r="G1862" s="832"/>
    </row>
    <row r="1863" spans="1:7" x14ac:dyDescent="0.2">
      <c r="A1863" s="405"/>
      <c r="B1863" s="408"/>
      <c r="C1863" s="411"/>
      <c r="D1863" s="413"/>
      <c r="E1863" s="417"/>
      <c r="F1863" s="430"/>
      <c r="G1863" s="428"/>
    </row>
    <row r="1864" spans="1:7" ht="16" thickBot="1" x14ac:dyDescent="0.25">
      <c r="A1864" s="405"/>
      <c r="B1864" s="408"/>
      <c r="C1864" s="411"/>
      <c r="D1864" s="413"/>
      <c r="E1864" s="420"/>
      <c r="F1864" s="431"/>
      <c r="G1864" s="429"/>
    </row>
    <row r="1865" spans="1:7" x14ac:dyDescent="0.2">
      <c r="A1865" s="405"/>
      <c r="B1865" s="408"/>
      <c r="C1865" s="412"/>
      <c r="D1865" s="413"/>
      <c r="E1865" s="417"/>
      <c r="F1865" s="833" t="s">
        <v>293</v>
      </c>
      <c r="G1865" s="834"/>
    </row>
    <row r="1866" spans="1:7" ht="16" thickBot="1" x14ac:dyDescent="0.25">
      <c r="A1866" s="405"/>
      <c r="B1866" s="316"/>
      <c r="C1866" s="234"/>
      <c r="D1866" s="413"/>
      <c r="E1866" s="316"/>
      <c r="F1866" s="835"/>
      <c r="G1866" s="836"/>
    </row>
    <row r="1867" spans="1:7" x14ac:dyDescent="0.2">
      <c r="A1867" s="405"/>
      <c r="B1867" s="408"/>
      <c r="C1867" s="412"/>
      <c r="D1867" s="413"/>
      <c r="E1867" s="417"/>
      <c r="F1867" s="424">
        <v>200</v>
      </c>
      <c r="G1867" s="421">
        <v>200</v>
      </c>
    </row>
    <row r="1868" spans="1:7" x14ac:dyDescent="0.2">
      <c r="A1868" s="405"/>
      <c r="B1868" s="408"/>
      <c r="C1868" s="411"/>
      <c r="D1868" s="413"/>
      <c r="E1868" s="417"/>
      <c r="F1868" s="425">
        <v>100</v>
      </c>
      <c r="G1868" s="422"/>
    </row>
    <row r="1869" spans="1:7" x14ac:dyDescent="0.2">
      <c r="A1869" s="405"/>
      <c r="B1869" s="408"/>
      <c r="C1869" s="411"/>
      <c r="D1869" s="413"/>
      <c r="E1869" s="417"/>
      <c r="F1869" s="425">
        <v>50</v>
      </c>
      <c r="G1869" s="422">
        <v>50</v>
      </c>
    </row>
    <row r="1870" spans="1:7" x14ac:dyDescent="0.2">
      <c r="A1870" s="405"/>
      <c r="B1870" s="408"/>
      <c r="C1870" s="411"/>
      <c r="D1870" s="413"/>
      <c r="E1870" s="417"/>
      <c r="F1870" s="425" t="s">
        <v>289</v>
      </c>
      <c r="G1870" s="422"/>
    </row>
    <row r="1871" spans="1:7" x14ac:dyDescent="0.2">
      <c r="A1871" s="405"/>
      <c r="B1871" s="408"/>
      <c r="C1871" s="411"/>
      <c r="D1871" s="413"/>
      <c r="E1871" s="417"/>
      <c r="F1871" s="425" t="s">
        <v>290</v>
      </c>
      <c r="G1871" s="422">
        <v>15</v>
      </c>
    </row>
    <row r="1872" spans="1:7" x14ac:dyDescent="0.2">
      <c r="A1872" s="405"/>
      <c r="B1872" s="408"/>
      <c r="C1872" s="411"/>
      <c r="D1872" s="413"/>
      <c r="E1872" s="417"/>
      <c r="F1872" s="426" t="s">
        <v>291</v>
      </c>
      <c r="G1872" s="422"/>
    </row>
    <row r="1873" spans="1:7" ht="16" thickBot="1" x14ac:dyDescent="0.25">
      <c r="A1873" s="405"/>
      <c r="B1873" s="408"/>
      <c r="C1873" s="411"/>
      <c r="D1873" s="413"/>
      <c r="E1873" s="417" t="s">
        <v>340</v>
      </c>
      <c r="F1873" s="427" t="s">
        <v>292</v>
      </c>
      <c r="G1873" s="423"/>
    </row>
    <row r="1874" spans="1:7" ht="16" thickBot="1" x14ac:dyDescent="0.25">
      <c r="A1874" s="405"/>
      <c r="B1874" s="408"/>
      <c r="C1874" s="411"/>
      <c r="D1874" s="415"/>
      <c r="E1874" s="417"/>
      <c r="F1874" s="837">
        <f>SUM(G1867:G1872)</f>
        <v>265</v>
      </c>
      <c r="G1874" s="838"/>
    </row>
    <row r="1875" spans="1:7" ht="16" thickBot="1" x14ac:dyDescent="0.25">
      <c r="A1875" s="406" t="s">
        <v>19</v>
      </c>
      <c r="B1875" s="185"/>
      <c r="C1875" s="407">
        <f>SUM(C1853:C1874)</f>
        <v>610</v>
      </c>
      <c r="D1875" s="186">
        <f>SUM(D1853:D1874)</f>
        <v>345</v>
      </c>
      <c r="E1875" s="186">
        <f>C1875-D1875</f>
        <v>265</v>
      </c>
      <c r="F1875" s="416"/>
      <c r="G1875" s="187"/>
    </row>
    <row r="1876" spans="1:7" ht="16" thickBot="1" x14ac:dyDescent="0.25"/>
    <row r="1877" spans="1:7" ht="33" thickBot="1" x14ac:dyDescent="0.25">
      <c r="A1877" s="686"/>
      <c r="B1877" s="183" t="s">
        <v>283</v>
      </c>
      <c r="C1877" s="236" t="s">
        <v>284</v>
      </c>
      <c r="D1877" s="184" t="s">
        <v>285</v>
      </c>
      <c r="E1877" s="184" t="s">
        <v>125</v>
      </c>
      <c r="F1877" s="827" t="s">
        <v>286</v>
      </c>
      <c r="G1877" s="828"/>
    </row>
    <row r="1878" spans="1:7" ht="16" thickBot="1" x14ac:dyDescent="0.25">
      <c r="A1878" s="433">
        <v>45747</v>
      </c>
      <c r="B1878" s="435" t="s">
        <v>287</v>
      </c>
      <c r="C1878" s="436">
        <f>E1875</f>
        <v>265</v>
      </c>
      <c r="D1878" s="28"/>
      <c r="E1878" s="438" t="s">
        <v>287</v>
      </c>
      <c r="F1878" s="829" t="s">
        <v>288</v>
      </c>
      <c r="G1878" s="830"/>
    </row>
    <row r="1879" spans="1:7" ht="16" thickBot="1" x14ac:dyDescent="0.25">
      <c r="A1879" s="432"/>
      <c r="B1879" s="316" t="s">
        <v>298</v>
      </c>
      <c r="C1879" s="410"/>
      <c r="D1879" s="414">
        <v>180</v>
      </c>
      <c r="E1879" s="316" t="s">
        <v>298</v>
      </c>
      <c r="F1879" s="829"/>
      <c r="G1879" s="830"/>
    </row>
    <row r="1880" spans="1:7" x14ac:dyDescent="0.2">
      <c r="A1880" s="405"/>
      <c r="B1880" s="316" t="s">
        <v>494</v>
      </c>
      <c r="C1880" s="410"/>
      <c r="D1880" s="414">
        <v>85</v>
      </c>
      <c r="E1880" s="316" t="s">
        <v>919</v>
      </c>
      <c r="F1880" s="424">
        <v>200</v>
      </c>
      <c r="G1880" s="421">
        <v>200</v>
      </c>
    </row>
    <row r="1881" spans="1:7" ht="16" x14ac:dyDescent="0.2">
      <c r="A1881" s="405"/>
      <c r="B1881" s="408" t="s">
        <v>294</v>
      </c>
      <c r="C1881" s="411">
        <f>150+150+120+150+300+150</f>
        <v>1020</v>
      </c>
      <c r="D1881" s="413"/>
      <c r="E1881" s="419" t="s">
        <v>295</v>
      </c>
      <c r="F1881" s="425">
        <v>100</v>
      </c>
      <c r="G1881" s="422"/>
    </row>
    <row r="1882" spans="1:7" x14ac:dyDescent="0.2">
      <c r="A1882" s="405"/>
      <c r="B1882" s="409" t="s">
        <v>922</v>
      </c>
      <c r="C1882" s="412"/>
      <c r="D1882" s="413">
        <v>50</v>
      </c>
      <c r="E1882" s="409" t="s">
        <v>928</v>
      </c>
      <c r="F1882" s="425">
        <v>50</v>
      </c>
      <c r="G1882" s="422">
        <v>50</v>
      </c>
    </row>
    <row r="1883" spans="1:7" x14ac:dyDescent="0.2">
      <c r="A1883" s="405"/>
      <c r="B1883" s="316" t="s">
        <v>187</v>
      </c>
      <c r="C1883" s="410"/>
      <c r="D1883" s="414">
        <v>220</v>
      </c>
      <c r="E1883" s="316" t="s">
        <v>187</v>
      </c>
      <c r="F1883" s="425" t="s">
        <v>289</v>
      </c>
      <c r="G1883" s="422"/>
    </row>
    <row r="1884" spans="1:7" ht="16" x14ac:dyDescent="0.2">
      <c r="A1884" s="405"/>
      <c r="B1884" s="408" t="s">
        <v>70</v>
      </c>
      <c r="C1884" s="411">
        <v>1440</v>
      </c>
      <c r="D1884" s="413"/>
      <c r="E1884" s="419" t="s">
        <v>732</v>
      </c>
      <c r="F1884" s="425" t="s">
        <v>290</v>
      </c>
      <c r="G1884" s="422">
        <v>15</v>
      </c>
    </row>
    <row r="1885" spans="1:7" x14ac:dyDescent="0.2">
      <c r="A1885" s="405"/>
      <c r="B1885" s="409" t="s">
        <v>298</v>
      </c>
      <c r="C1885" s="412"/>
      <c r="D1885" s="413">
        <v>750</v>
      </c>
      <c r="E1885" s="409" t="s">
        <v>298</v>
      </c>
      <c r="F1885" s="426" t="s">
        <v>291</v>
      </c>
      <c r="G1885" s="422"/>
    </row>
    <row r="1886" spans="1:7" ht="16" thickBot="1" x14ac:dyDescent="0.25">
      <c r="A1886" s="405"/>
      <c r="B1886" s="409" t="s">
        <v>194</v>
      </c>
      <c r="C1886" s="412"/>
      <c r="D1886" s="413">
        <v>100</v>
      </c>
      <c r="E1886" s="409" t="s">
        <v>224</v>
      </c>
      <c r="F1886" s="427" t="s">
        <v>292</v>
      </c>
      <c r="G1886" s="423"/>
    </row>
    <row r="1887" spans="1:7" ht="16" thickBot="1" x14ac:dyDescent="0.25">
      <c r="A1887" s="405"/>
      <c r="B1887" s="408"/>
      <c r="C1887" s="412"/>
      <c r="D1887" s="413"/>
      <c r="E1887" s="417"/>
      <c r="F1887" s="831">
        <f>SUM(G1880:G1885)</f>
        <v>265</v>
      </c>
      <c r="G1887" s="832"/>
    </row>
    <row r="1888" spans="1:7" x14ac:dyDescent="0.2">
      <c r="A1888" s="405"/>
      <c r="B1888" s="408"/>
      <c r="C1888" s="411"/>
      <c r="D1888" s="413"/>
      <c r="E1888" s="417"/>
      <c r="F1888" s="430"/>
      <c r="G1888" s="428"/>
    </row>
    <row r="1889" spans="1:7" ht="16" thickBot="1" x14ac:dyDescent="0.25">
      <c r="A1889" s="405"/>
      <c r="B1889" s="408"/>
      <c r="C1889" s="411"/>
      <c r="D1889" s="413"/>
      <c r="E1889" s="420"/>
      <c r="F1889" s="431"/>
      <c r="G1889" s="429"/>
    </row>
    <row r="1890" spans="1:7" x14ac:dyDescent="0.2">
      <c r="A1890" s="405"/>
      <c r="B1890" s="408"/>
      <c r="C1890" s="412"/>
      <c r="D1890" s="413"/>
      <c r="E1890" s="417"/>
      <c r="F1890" s="833" t="s">
        <v>293</v>
      </c>
      <c r="G1890" s="834"/>
    </row>
    <row r="1891" spans="1:7" ht="16" thickBot="1" x14ac:dyDescent="0.25">
      <c r="A1891" s="405"/>
      <c r="B1891" s="316"/>
      <c r="C1891" s="234"/>
      <c r="D1891" s="413"/>
      <c r="E1891" s="316"/>
      <c r="F1891" s="835"/>
      <c r="G1891" s="836"/>
    </row>
    <row r="1892" spans="1:7" x14ac:dyDescent="0.2">
      <c r="A1892" s="405"/>
      <c r="B1892" s="408"/>
      <c r="C1892" s="412"/>
      <c r="D1892" s="413"/>
      <c r="E1892" s="417"/>
      <c r="F1892" s="424">
        <v>200</v>
      </c>
      <c r="G1892" s="421">
        <v>800</v>
      </c>
    </row>
    <row r="1893" spans="1:7" x14ac:dyDescent="0.2">
      <c r="A1893" s="405"/>
      <c r="B1893" s="408"/>
      <c r="C1893" s="411"/>
      <c r="D1893" s="413"/>
      <c r="E1893" s="417"/>
      <c r="F1893" s="425">
        <v>100</v>
      </c>
      <c r="G1893" s="422">
        <v>500</v>
      </c>
    </row>
    <row r="1894" spans="1:7" x14ac:dyDescent="0.2">
      <c r="A1894" s="405"/>
      <c r="B1894" s="408"/>
      <c r="C1894" s="411"/>
      <c r="D1894" s="413"/>
      <c r="E1894" s="417"/>
      <c r="F1894" s="425">
        <v>50</v>
      </c>
      <c r="G1894" s="422"/>
    </row>
    <row r="1895" spans="1:7" x14ac:dyDescent="0.2">
      <c r="A1895" s="405"/>
      <c r="B1895" s="408"/>
      <c r="C1895" s="411"/>
      <c r="D1895" s="413"/>
      <c r="E1895" s="417"/>
      <c r="F1895" s="425" t="s">
        <v>289</v>
      </c>
      <c r="G1895" s="422">
        <v>40</v>
      </c>
    </row>
    <row r="1896" spans="1:7" x14ac:dyDescent="0.2">
      <c r="A1896" s="405"/>
      <c r="B1896" s="408"/>
      <c r="C1896" s="411"/>
      <c r="D1896" s="413"/>
      <c r="E1896" s="417"/>
      <c r="F1896" s="425" t="s">
        <v>290</v>
      </c>
      <c r="G1896" s="422"/>
    </row>
    <row r="1897" spans="1:7" x14ac:dyDescent="0.2">
      <c r="A1897" s="405"/>
      <c r="B1897" s="408"/>
      <c r="C1897" s="411"/>
      <c r="D1897" s="413"/>
      <c r="E1897" s="417"/>
      <c r="F1897" s="426" t="s">
        <v>291</v>
      </c>
      <c r="G1897" s="422"/>
    </row>
    <row r="1898" spans="1:7" ht="16" thickBot="1" x14ac:dyDescent="0.25">
      <c r="A1898" s="405"/>
      <c r="B1898" s="408"/>
      <c r="C1898" s="411"/>
      <c r="D1898" s="413"/>
      <c r="E1898" s="417" t="s">
        <v>340</v>
      </c>
      <c r="F1898" s="427" t="s">
        <v>292</v>
      </c>
      <c r="G1898" s="423"/>
    </row>
    <row r="1899" spans="1:7" ht="16" thickBot="1" x14ac:dyDescent="0.25">
      <c r="A1899" s="405"/>
      <c r="B1899" s="408"/>
      <c r="C1899" s="411"/>
      <c r="D1899" s="415"/>
      <c r="E1899" s="417"/>
      <c r="F1899" s="837">
        <f>SUM(G1892:G1897)</f>
        <v>1340</v>
      </c>
      <c r="G1899" s="838"/>
    </row>
    <row r="1900" spans="1:7" ht="16" thickBot="1" x14ac:dyDescent="0.25">
      <c r="A1900" s="406" t="s">
        <v>19</v>
      </c>
      <c r="B1900" s="185"/>
      <c r="C1900" s="407">
        <f>SUM(C1878:C1899)</f>
        <v>2725</v>
      </c>
      <c r="D1900" s="186">
        <f>SUM(D1878:D1899)</f>
        <v>1385</v>
      </c>
      <c r="E1900" s="186">
        <f>C1900-D1900</f>
        <v>1340</v>
      </c>
      <c r="F1900" s="416"/>
      <c r="G1900" s="187"/>
    </row>
    <row r="1901" spans="1:7" ht="16" thickBot="1" x14ac:dyDescent="0.25"/>
    <row r="1902" spans="1:7" ht="33" thickBot="1" x14ac:dyDescent="0.25">
      <c r="A1902" s="686"/>
      <c r="B1902" s="183" t="s">
        <v>283</v>
      </c>
      <c r="C1902" s="236" t="s">
        <v>284</v>
      </c>
      <c r="D1902" s="184" t="s">
        <v>285</v>
      </c>
      <c r="E1902" s="184" t="s">
        <v>125</v>
      </c>
      <c r="F1902" s="827" t="s">
        <v>286</v>
      </c>
      <c r="G1902" s="828"/>
    </row>
    <row r="1903" spans="1:7" ht="16" thickBot="1" x14ac:dyDescent="0.25">
      <c r="A1903" s="433">
        <v>45748</v>
      </c>
      <c r="B1903" s="435" t="s">
        <v>287</v>
      </c>
      <c r="C1903" s="436">
        <f>E1900</f>
        <v>1340</v>
      </c>
      <c r="D1903" s="28"/>
      <c r="E1903" s="438" t="s">
        <v>287</v>
      </c>
      <c r="F1903" s="829" t="s">
        <v>288</v>
      </c>
      <c r="G1903" s="830"/>
    </row>
    <row r="1904" spans="1:7" ht="16" thickBot="1" x14ac:dyDescent="0.25">
      <c r="A1904" s="432"/>
      <c r="B1904" s="316" t="s">
        <v>222</v>
      </c>
      <c r="C1904" s="410"/>
      <c r="D1904" s="414">
        <v>300</v>
      </c>
      <c r="E1904" s="316" t="s">
        <v>929</v>
      </c>
      <c r="F1904" s="829"/>
      <c r="G1904" s="830"/>
    </row>
    <row r="1905" spans="1:7" x14ac:dyDescent="0.2">
      <c r="A1905" s="405"/>
      <c r="B1905" s="316" t="s">
        <v>334</v>
      </c>
      <c r="C1905" s="410"/>
      <c r="D1905" s="414">
        <f>46-15</f>
        <v>31</v>
      </c>
      <c r="E1905" s="316" t="s">
        <v>568</v>
      </c>
      <c r="F1905" s="424">
        <v>200</v>
      </c>
      <c r="G1905" s="421">
        <v>800</v>
      </c>
    </row>
    <row r="1906" spans="1:7" ht="16" x14ac:dyDescent="0.2">
      <c r="A1906" s="405"/>
      <c r="B1906" s="408" t="s">
        <v>279</v>
      </c>
      <c r="C1906" s="411"/>
      <c r="D1906" s="413">
        <v>32.9</v>
      </c>
      <c r="E1906" s="419" t="s">
        <v>457</v>
      </c>
      <c r="F1906" s="425">
        <v>100</v>
      </c>
      <c r="G1906" s="422">
        <v>500</v>
      </c>
    </row>
    <row r="1907" spans="1:7" x14ac:dyDescent="0.2">
      <c r="A1907" s="405"/>
      <c r="B1907" s="409" t="s">
        <v>294</v>
      </c>
      <c r="C1907" s="412">
        <f>300+300+300</f>
        <v>900</v>
      </c>
      <c r="D1907" s="413"/>
      <c r="E1907" s="409" t="s">
        <v>295</v>
      </c>
      <c r="F1907" s="425">
        <v>50</v>
      </c>
      <c r="G1907" s="422"/>
    </row>
    <row r="1908" spans="1:7" x14ac:dyDescent="0.2">
      <c r="A1908" s="405"/>
      <c r="B1908" s="316" t="s">
        <v>334</v>
      </c>
      <c r="C1908" s="410"/>
      <c r="D1908" s="414">
        <v>16</v>
      </c>
      <c r="E1908" s="316" t="s">
        <v>935</v>
      </c>
      <c r="F1908" s="425" t="s">
        <v>289</v>
      </c>
      <c r="G1908" s="422">
        <v>40</v>
      </c>
    </row>
    <row r="1909" spans="1:7" ht="16" x14ac:dyDescent="0.2">
      <c r="A1909" s="405"/>
      <c r="B1909" s="408" t="s">
        <v>298</v>
      </c>
      <c r="C1909" s="411"/>
      <c r="D1909" s="413">
        <v>1210</v>
      </c>
      <c r="E1909" s="419" t="s">
        <v>298</v>
      </c>
      <c r="F1909" s="425" t="s">
        <v>290</v>
      </c>
      <c r="G1909" s="422"/>
    </row>
    <row r="1910" spans="1:7" x14ac:dyDescent="0.2">
      <c r="A1910" s="405"/>
      <c r="B1910" s="409" t="s">
        <v>518</v>
      </c>
      <c r="C1910" s="412">
        <v>100</v>
      </c>
      <c r="D1910" s="413"/>
      <c r="E1910" s="409" t="s">
        <v>518</v>
      </c>
      <c r="F1910" s="426" t="s">
        <v>291</v>
      </c>
      <c r="G1910" s="422"/>
    </row>
    <row r="1911" spans="1:7" ht="16" thickBot="1" x14ac:dyDescent="0.25">
      <c r="A1911" s="405"/>
      <c r="B1911" s="409"/>
      <c r="C1911" s="412"/>
      <c r="D1911" s="413"/>
      <c r="E1911" s="409"/>
      <c r="F1911" s="427" t="s">
        <v>292</v>
      </c>
      <c r="G1911" s="423"/>
    </row>
    <row r="1912" spans="1:7" ht="16" thickBot="1" x14ac:dyDescent="0.25">
      <c r="A1912" s="405"/>
      <c r="B1912" s="408"/>
      <c r="C1912" s="412"/>
      <c r="D1912" s="413"/>
      <c r="E1912" s="417"/>
      <c r="F1912" s="831">
        <f>SUM(G1905:G1910)</f>
        <v>1340</v>
      </c>
      <c r="G1912" s="832"/>
    </row>
    <row r="1913" spans="1:7" x14ac:dyDescent="0.2">
      <c r="A1913" s="405"/>
      <c r="B1913" s="408"/>
      <c r="C1913" s="411"/>
      <c r="D1913" s="413"/>
      <c r="E1913" s="417"/>
      <c r="F1913" s="430"/>
      <c r="G1913" s="428"/>
    </row>
    <row r="1914" spans="1:7" ht="16" thickBot="1" x14ac:dyDescent="0.25">
      <c r="A1914" s="405"/>
      <c r="B1914" s="408"/>
      <c r="C1914" s="411"/>
      <c r="D1914" s="413"/>
      <c r="E1914" s="420"/>
      <c r="F1914" s="431"/>
      <c r="G1914" s="429"/>
    </row>
    <row r="1915" spans="1:7" x14ac:dyDescent="0.2">
      <c r="A1915" s="405"/>
      <c r="B1915" s="408"/>
      <c r="C1915" s="412"/>
      <c r="D1915" s="413"/>
      <c r="E1915" s="417"/>
      <c r="F1915" s="833" t="s">
        <v>293</v>
      </c>
      <c r="G1915" s="834"/>
    </row>
    <row r="1916" spans="1:7" ht="16" thickBot="1" x14ac:dyDescent="0.25">
      <c r="A1916" s="405"/>
      <c r="B1916" s="316"/>
      <c r="C1916" s="234"/>
      <c r="D1916" s="413"/>
      <c r="E1916" s="316"/>
      <c r="F1916" s="835"/>
      <c r="G1916" s="836"/>
    </row>
    <row r="1917" spans="1:7" x14ac:dyDescent="0.2">
      <c r="A1917" s="405"/>
      <c r="B1917" s="408"/>
      <c r="C1917" s="412"/>
      <c r="D1917" s="413"/>
      <c r="E1917" s="417"/>
      <c r="F1917" s="424">
        <v>200</v>
      </c>
      <c r="G1917" s="421"/>
    </row>
    <row r="1918" spans="1:7" x14ac:dyDescent="0.2">
      <c r="A1918" s="405"/>
      <c r="B1918" s="408"/>
      <c r="C1918" s="411"/>
      <c r="D1918" s="413"/>
      <c r="E1918" s="417"/>
      <c r="F1918" s="425">
        <v>100</v>
      </c>
      <c r="G1918" s="422">
        <v>700</v>
      </c>
    </row>
    <row r="1919" spans="1:7" x14ac:dyDescent="0.2">
      <c r="A1919" s="405"/>
      <c r="B1919" s="408"/>
      <c r="C1919" s="411"/>
      <c r="D1919" s="413"/>
      <c r="E1919" s="417"/>
      <c r="F1919" s="425">
        <v>50</v>
      </c>
      <c r="G1919" s="422">
        <v>50</v>
      </c>
    </row>
    <row r="1920" spans="1:7" x14ac:dyDescent="0.2">
      <c r="A1920" s="405"/>
      <c r="B1920" s="408"/>
      <c r="C1920" s="411"/>
      <c r="D1920" s="413"/>
      <c r="E1920" s="417"/>
      <c r="F1920" s="425" t="s">
        <v>289</v>
      </c>
      <c r="G1920" s="422"/>
    </row>
    <row r="1921" spans="1:7" x14ac:dyDescent="0.2">
      <c r="A1921" s="405"/>
      <c r="B1921" s="408"/>
      <c r="C1921" s="411"/>
      <c r="D1921" s="413"/>
      <c r="E1921" s="417"/>
      <c r="F1921" s="425" t="s">
        <v>290</v>
      </c>
      <c r="G1921" s="422"/>
    </row>
    <row r="1922" spans="1:7" x14ac:dyDescent="0.2">
      <c r="A1922" s="405"/>
      <c r="B1922" s="408"/>
      <c r="C1922" s="411"/>
      <c r="D1922" s="413"/>
      <c r="E1922" s="417"/>
      <c r="F1922" s="426" t="s">
        <v>291</v>
      </c>
      <c r="G1922" s="422">
        <v>0.1</v>
      </c>
    </row>
    <row r="1923" spans="1:7" ht="16" thickBot="1" x14ac:dyDescent="0.25">
      <c r="A1923" s="405"/>
      <c r="B1923" s="408"/>
      <c r="C1923" s="411"/>
      <c r="D1923" s="413"/>
      <c r="E1923" s="417" t="s">
        <v>340</v>
      </c>
      <c r="F1923" s="427" t="s">
        <v>292</v>
      </c>
      <c r="G1923" s="423"/>
    </row>
    <row r="1924" spans="1:7" ht="16" thickBot="1" x14ac:dyDescent="0.25">
      <c r="A1924" s="405"/>
      <c r="B1924" s="408"/>
      <c r="C1924" s="411"/>
      <c r="D1924" s="415"/>
      <c r="E1924" s="417"/>
      <c r="F1924" s="837">
        <f>SUM(G1917:G1922)</f>
        <v>750.1</v>
      </c>
      <c r="G1924" s="838"/>
    </row>
    <row r="1925" spans="1:7" ht="16" thickBot="1" x14ac:dyDescent="0.25">
      <c r="A1925" s="406" t="s">
        <v>19</v>
      </c>
      <c r="B1925" s="185"/>
      <c r="C1925" s="407">
        <f>SUM(C1903:C1924)</f>
        <v>2340</v>
      </c>
      <c r="D1925" s="186">
        <f>SUM(D1903:D1924)</f>
        <v>1589.9</v>
      </c>
      <c r="E1925" s="186">
        <f>C1925-D1925</f>
        <v>750.09999999999991</v>
      </c>
      <c r="F1925" s="416"/>
      <c r="G1925" s="187"/>
    </row>
    <row r="1926" spans="1:7" ht="16" thickBot="1" x14ac:dyDescent="0.25"/>
    <row r="1927" spans="1:7" ht="33" thickBot="1" x14ac:dyDescent="0.25">
      <c r="A1927" s="686"/>
      <c r="B1927" s="183" t="s">
        <v>283</v>
      </c>
      <c r="C1927" s="236" t="s">
        <v>284</v>
      </c>
      <c r="D1927" s="184" t="s">
        <v>285</v>
      </c>
      <c r="E1927" s="184" t="s">
        <v>125</v>
      </c>
      <c r="F1927" s="827" t="s">
        <v>286</v>
      </c>
      <c r="G1927" s="828"/>
    </row>
    <row r="1928" spans="1:7" ht="16" thickBot="1" x14ac:dyDescent="0.25">
      <c r="A1928" s="433">
        <v>45749</v>
      </c>
      <c r="B1928" s="435" t="s">
        <v>287</v>
      </c>
      <c r="C1928" s="436">
        <f>E1925</f>
        <v>750.09999999999991</v>
      </c>
      <c r="D1928" s="28"/>
      <c r="E1928" s="438" t="s">
        <v>287</v>
      </c>
      <c r="F1928" s="829" t="s">
        <v>288</v>
      </c>
      <c r="G1928" s="830"/>
    </row>
    <row r="1929" spans="1:7" ht="16" thickBot="1" x14ac:dyDescent="0.25">
      <c r="A1929" s="432"/>
      <c r="B1929" s="316" t="s">
        <v>222</v>
      </c>
      <c r="C1929" s="410">
        <v>350</v>
      </c>
      <c r="D1929" s="414"/>
      <c r="E1929" s="316" t="s">
        <v>549</v>
      </c>
      <c r="F1929" s="829"/>
      <c r="G1929" s="830"/>
    </row>
    <row r="1930" spans="1:7" x14ac:dyDescent="0.2">
      <c r="A1930" s="405"/>
      <c r="B1930" s="316" t="s">
        <v>187</v>
      </c>
      <c r="C1930" s="410"/>
      <c r="D1930" s="414">
        <v>100</v>
      </c>
      <c r="E1930" s="316" t="s">
        <v>187</v>
      </c>
      <c r="F1930" s="424">
        <v>200</v>
      </c>
      <c r="G1930" s="421"/>
    </row>
    <row r="1931" spans="1:7" ht="16" x14ac:dyDescent="0.2">
      <c r="A1931" s="405"/>
      <c r="B1931" s="408" t="s">
        <v>194</v>
      </c>
      <c r="C1931" s="411"/>
      <c r="D1931" s="413">
        <v>300</v>
      </c>
      <c r="E1931" s="419" t="s">
        <v>224</v>
      </c>
      <c r="F1931" s="425">
        <v>100</v>
      </c>
      <c r="G1931" s="422">
        <v>700</v>
      </c>
    </row>
    <row r="1932" spans="1:7" x14ac:dyDescent="0.2">
      <c r="A1932" s="405"/>
      <c r="B1932" s="409"/>
      <c r="C1932" s="412"/>
      <c r="D1932" s="413"/>
      <c r="E1932" s="409"/>
      <c r="F1932" s="425">
        <v>50</v>
      </c>
      <c r="G1932" s="422">
        <v>50</v>
      </c>
    </row>
    <row r="1933" spans="1:7" x14ac:dyDescent="0.2">
      <c r="A1933" s="405"/>
      <c r="B1933" s="316"/>
      <c r="C1933" s="410"/>
      <c r="D1933" s="414"/>
      <c r="E1933" s="316"/>
      <c r="F1933" s="425" t="s">
        <v>289</v>
      </c>
      <c r="G1933" s="422"/>
    </row>
    <row r="1934" spans="1:7" x14ac:dyDescent="0.2">
      <c r="A1934" s="405"/>
      <c r="B1934" s="408"/>
      <c r="C1934" s="411"/>
      <c r="D1934" s="413"/>
      <c r="E1934" s="419"/>
      <c r="F1934" s="425" t="s">
        <v>290</v>
      </c>
      <c r="G1934" s="422"/>
    </row>
    <row r="1935" spans="1:7" x14ac:dyDescent="0.2">
      <c r="A1935" s="405"/>
      <c r="B1935" s="409"/>
      <c r="C1935" s="412"/>
      <c r="D1935" s="413"/>
      <c r="E1935" s="409"/>
      <c r="F1935" s="426" t="s">
        <v>291</v>
      </c>
      <c r="G1935" s="422">
        <v>0.1</v>
      </c>
    </row>
    <row r="1936" spans="1:7" ht="16" thickBot="1" x14ac:dyDescent="0.25">
      <c r="A1936" s="405"/>
      <c r="B1936" s="409"/>
      <c r="C1936" s="412"/>
      <c r="D1936" s="413"/>
      <c r="E1936" s="409"/>
      <c r="F1936" s="427" t="s">
        <v>292</v>
      </c>
      <c r="G1936" s="423"/>
    </row>
    <row r="1937" spans="1:7" ht="16" thickBot="1" x14ac:dyDescent="0.25">
      <c r="A1937" s="405"/>
      <c r="B1937" s="408"/>
      <c r="C1937" s="412"/>
      <c r="D1937" s="413"/>
      <c r="E1937" s="417"/>
      <c r="F1937" s="831">
        <f>SUM(G1930:G1935)</f>
        <v>750.1</v>
      </c>
      <c r="G1937" s="832"/>
    </row>
    <row r="1938" spans="1:7" x14ac:dyDescent="0.2">
      <c r="A1938" s="405"/>
      <c r="B1938" s="408"/>
      <c r="C1938" s="411"/>
      <c r="D1938" s="413"/>
      <c r="E1938" s="417"/>
      <c r="F1938" s="430"/>
      <c r="G1938" s="428"/>
    </row>
    <row r="1939" spans="1:7" ht="16" thickBot="1" x14ac:dyDescent="0.25">
      <c r="A1939" s="405"/>
      <c r="B1939" s="408"/>
      <c r="C1939" s="411"/>
      <c r="D1939" s="413"/>
      <c r="E1939" s="420"/>
      <c r="F1939" s="431"/>
      <c r="G1939" s="429"/>
    </row>
    <row r="1940" spans="1:7" x14ac:dyDescent="0.2">
      <c r="A1940" s="405"/>
      <c r="B1940" s="408"/>
      <c r="C1940" s="412"/>
      <c r="D1940" s="413"/>
      <c r="E1940" s="417"/>
      <c r="F1940" s="833" t="s">
        <v>293</v>
      </c>
      <c r="G1940" s="834"/>
    </row>
    <row r="1941" spans="1:7" ht="16" thickBot="1" x14ac:dyDescent="0.25">
      <c r="A1941" s="405"/>
      <c r="B1941" s="316"/>
      <c r="C1941" s="234"/>
      <c r="D1941" s="413"/>
      <c r="E1941" s="316"/>
      <c r="F1941" s="835"/>
      <c r="G1941" s="836"/>
    </row>
    <row r="1942" spans="1:7" x14ac:dyDescent="0.2">
      <c r="A1942" s="405"/>
      <c r="B1942" s="408"/>
      <c r="C1942" s="412"/>
      <c r="D1942" s="413"/>
      <c r="E1942" s="417"/>
      <c r="F1942" s="424">
        <v>200</v>
      </c>
      <c r="G1942" s="421">
        <v>200</v>
      </c>
    </row>
    <row r="1943" spans="1:7" x14ac:dyDescent="0.2">
      <c r="A1943" s="405"/>
      <c r="B1943" s="408"/>
      <c r="C1943" s="411"/>
      <c r="D1943" s="413"/>
      <c r="E1943" s="417"/>
      <c r="F1943" s="425">
        <v>100</v>
      </c>
      <c r="G1943" s="422">
        <v>200</v>
      </c>
    </row>
    <row r="1944" spans="1:7" x14ac:dyDescent="0.2">
      <c r="A1944" s="405"/>
      <c r="B1944" s="408"/>
      <c r="C1944" s="411"/>
      <c r="D1944" s="413"/>
      <c r="E1944" s="417"/>
      <c r="F1944" s="425">
        <v>50</v>
      </c>
      <c r="G1944" s="422">
        <v>150</v>
      </c>
    </row>
    <row r="1945" spans="1:7" x14ac:dyDescent="0.2">
      <c r="A1945" s="405"/>
      <c r="B1945" s="408"/>
      <c r="C1945" s="411"/>
      <c r="D1945" s="413"/>
      <c r="E1945" s="417"/>
      <c r="F1945" s="425" t="s">
        <v>289</v>
      </c>
      <c r="G1945" s="422">
        <v>120</v>
      </c>
    </row>
    <row r="1946" spans="1:7" x14ac:dyDescent="0.2">
      <c r="A1946" s="405"/>
      <c r="B1946" s="408"/>
      <c r="C1946" s="411"/>
      <c r="D1946" s="413"/>
      <c r="E1946" s="417"/>
      <c r="F1946" s="425" t="s">
        <v>290</v>
      </c>
      <c r="G1946" s="422">
        <v>30</v>
      </c>
    </row>
    <row r="1947" spans="1:7" x14ac:dyDescent="0.2">
      <c r="A1947" s="405"/>
      <c r="B1947" s="408"/>
      <c r="C1947" s="411"/>
      <c r="D1947" s="413"/>
      <c r="E1947" s="417"/>
      <c r="F1947" s="426" t="s">
        <v>291</v>
      </c>
      <c r="G1947" s="422">
        <v>0.1</v>
      </c>
    </row>
    <row r="1948" spans="1:7" ht="16" thickBot="1" x14ac:dyDescent="0.25">
      <c r="A1948" s="405"/>
      <c r="B1948" s="408"/>
      <c r="C1948" s="411"/>
      <c r="D1948" s="413"/>
      <c r="E1948" s="417" t="s">
        <v>340</v>
      </c>
      <c r="F1948" s="427" t="s">
        <v>292</v>
      </c>
      <c r="G1948" s="423"/>
    </row>
    <row r="1949" spans="1:7" ht="16" thickBot="1" x14ac:dyDescent="0.25">
      <c r="A1949" s="405"/>
      <c r="B1949" s="408"/>
      <c r="C1949" s="411"/>
      <c r="D1949" s="415"/>
      <c r="E1949" s="417"/>
      <c r="F1949" s="837">
        <f>SUM(G1942:G1947)</f>
        <v>700.1</v>
      </c>
      <c r="G1949" s="838"/>
    </row>
    <row r="1950" spans="1:7" ht="16" thickBot="1" x14ac:dyDescent="0.25">
      <c r="A1950" s="406" t="s">
        <v>19</v>
      </c>
      <c r="B1950" s="185"/>
      <c r="C1950" s="407">
        <f>SUM(C1928:C1949)</f>
        <v>1100.0999999999999</v>
      </c>
      <c r="D1950" s="186">
        <f>SUM(D1928:D1949)</f>
        <v>400</v>
      </c>
      <c r="E1950" s="186">
        <f>C1950-D1950</f>
        <v>700.09999999999991</v>
      </c>
      <c r="F1950" s="416"/>
      <c r="G1950" s="187"/>
    </row>
    <row r="1951" spans="1:7" ht="16" thickBot="1" x14ac:dyDescent="0.25"/>
    <row r="1952" spans="1:7" ht="33" thickBot="1" x14ac:dyDescent="0.25">
      <c r="A1952" s="686"/>
      <c r="B1952" s="183" t="s">
        <v>283</v>
      </c>
      <c r="C1952" s="236" t="s">
        <v>284</v>
      </c>
      <c r="D1952" s="184" t="s">
        <v>285</v>
      </c>
      <c r="E1952" s="184" t="s">
        <v>125</v>
      </c>
      <c r="F1952" s="827" t="s">
        <v>286</v>
      </c>
      <c r="G1952" s="828"/>
    </row>
    <row r="1953" spans="1:7" ht="16" thickBot="1" x14ac:dyDescent="0.25">
      <c r="A1953" s="433">
        <v>45750</v>
      </c>
      <c r="B1953" s="435" t="s">
        <v>287</v>
      </c>
      <c r="C1953" s="436">
        <f>E1950</f>
        <v>700.09999999999991</v>
      </c>
      <c r="D1953" s="28"/>
      <c r="E1953" s="438" t="s">
        <v>287</v>
      </c>
      <c r="F1953" s="829" t="s">
        <v>288</v>
      </c>
      <c r="G1953" s="830"/>
    </row>
    <row r="1954" spans="1:7" ht="16" thickBot="1" x14ac:dyDescent="0.25">
      <c r="A1954" s="432"/>
      <c r="B1954" s="316" t="s">
        <v>222</v>
      </c>
      <c r="C1954" s="410"/>
      <c r="D1954" s="414">
        <v>180</v>
      </c>
      <c r="E1954" s="316" t="s">
        <v>597</v>
      </c>
      <c r="F1954" s="829"/>
      <c r="G1954" s="830"/>
    </row>
    <row r="1955" spans="1:7" x14ac:dyDescent="0.2">
      <c r="A1955" s="405"/>
      <c r="B1955" s="316" t="s">
        <v>294</v>
      </c>
      <c r="C1955" s="410">
        <f>300+300+300</f>
        <v>900</v>
      </c>
      <c r="D1955" s="414"/>
      <c r="E1955" s="316" t="s">
        <v>295</v>
      </c>
      <c r="F1955" s="424">
        <v>200</v>
      </c>
      <c r="G1955" s="421">
        <v>200</v>
      </c>
    </row>
    <row r="1956" spans="1:7" ht="16" x14ac:dyDescent="0.2">
      <c r="A1956" s="405"/>
      <c r="B1956" s="408" t="s">
        <v>279</v>
      </c>
      <c r="C1956" s="411"/>
      <c r="D1956" s="413">
        <f>91.9+82.2</f>
        <v>174.10000000000002</v>
      </c>
      <c r="E1956" s="419" t="s">
        <v>945</v>
      </c>
      <c r="F1956" s="425">
        <v>100</v>
      </c>
      <c r="G1956" s="422">
        <v>200</v>
      </c>
    </row>
    <row r="1957" spans="1:7" x14ac:dyDescent="0.2">
      <c r="A1957" s="405"/>
      <c r="B1957" s="409" t="s">
        <v>303</v>
      </c>
      <c r="C1957" s="412"/>
      <c r="D1957" s="413">
        <v>500</v>
      </c>
      <c r="E1957" s="409" t="s">
        <v>224</v>
      </c>
      <c r="F1957" s="425">
        <v>50</v>
      </c>
      <c r="G1957" s="422">
        <v>150</v>
      </c>
    </row>
    <row r="1958" spans="1:7" x14ac:dyDescent="0.2">
      <c r="A1958" s="405"/>
      <c r="B1958" s="316" t="s">
        <v>298</v>
      </c>
      <c r="C1958" s="410"/>
      <c r="D1958" s="414">
        <f>330+400</f>
        <v>730</v>
      </c>
      <c r="E1958" s="316" t="s">
        <v>298</v>
      </c>
      <c r="F1958" s="425" t="s">
        <v>289</v>
      </c>
      <c r="G1958" s="422">
        <v>120</v>
      </c>
    </row>
    <row r="1959" spans="1:7" ht="16" x14ac:dyDescent="0.2">
      <c r="A1959" s="405"/>
      <c r="B1959" s="408" t="s">
        <v>509</v>
      </c>
      <c r="C1959" s="411"/>
      <c r="D1959" s="413">
        <v>150</v>
      </c>
      <c r="E1959" s="419" t="s">
        <v>490</v>
      </c>
      <c r="F1959" s="425" t="s">
        <v>290</v>
      </c>
      <c r="G1959" s="422">
        <v>30</v>
      </c>
    </row>
    <row r="1960" spans="1:7" x14ac:dyDescent="0.2">
      <c r="A1960" s="405"/>
      <c r="B1960" s="409" t="s">
        <v>518</v>
      </c>
      <c r="C1960" s="412">
        <v>137</v>
      </c>
      <c r="D1960" s="413"/>
      <c r="E1960" s="409" t="s">
        <v>518</v>
      </c>
      <c r="F1960" s="426" t="s">
        <v>291</v>
      </c>
      <c r="G1960" s="422">
        <v>0.1</v>
      </c>
    </row>
    <row r="1961" spans="1:7" ht="16" thickBot="1" x14ac:dyDescent="0.25">
      <c r="A1961" s="405"/>
      <c r="B1961" s="409"/>
      <c r="C1961" s="412"/>
      <c r="D1961" s="413"/>
      <c r="E1961" s="409"/>
      <c r="F1961" s="427" t="s">
        <v>292</v>
      </c>
      <c r="G1961" s="423"/>
    </row>
    <row r="1962" spans="1:7" ht="16" thickBot="1" x14ac:dyDescent="0.25">
      <c r="A1962" s="405"/>
      <c r="B1962" s="408"/>
      <c r="C1962" s="412"/>
      <c r="D1962" s="413"/>
      <c r="E1962" s="417"/>
      <c r="F1962" s="831">
        <f>SUM(G1955:G1960)</f>
        <v>700.1</v>
      </c>
      <c r="G1962" s="832"/>
    </row>
    <row r="1963" spans="1:7" x14ac:dyDescent="0.2">
      <c r="A1963" s="405"/>
      <c r="B1963" s="408"/>
      <c r="C1963" s="411"/>
      <c r="D1963" s="413"/>
      <c r="E1963" s="417"/>
      <c r="F1963" s="430"/>
      <c r="G1963" s="428"/>
    </row>
    <row r="1964" spans="1:7" ht="16" thickBot="1" x14ac:dyDescent="0.25">
      <c r="A1964" s="405"/>
      <c r="B1964" s="408"/>
      <c r="C1964" s="411"/>
      <c r="D1964" s="413"/>
      <c r="E1964" s="420"/>
      <c r="F1964" s="431"/>
      <c r="G1964" s="429"/>
    </row>
    <row r="1965" spans="1:7" x14ac:dyDescent="0.2">
      <c r="A1965" s="405"/>
      <c r="B1965" s="408"/>
      <c r="C1965" s="412"/>
      <c r="D1965" s="413"/>
      <c r="E1965" s="417"/>
      <c r="F1965" s="833" t="s">
        <v>293</v>
      </c>
      <c r="G1965" s="834"/>
    </row>
    <row r="1966" spans="1:7" ht="16" thickBot="1" x14ac:dyDescent="0.25">
      <c r="A1966" s="405"/>
      <c r="B1966" s="316"/>
      <c r="C1966" s="234"/>
      <c r="D1966" s="413"/>
      <c r="E1966" s="316"/>
      <c r="F1966" s="835"/>
      <c r="G1966" s="836"/>
    </row>
    <row r="1967" spans="1:7" x14ac:dyDescent="0.2">
      <c r="A1967" s="405"/>
      <c r="B1967" s="408"/>
      <c r="C1967" s="412"/>
      <c r="D1967" s="413"/>
      <c r="E1967" s="417"/>
      <c r="F1967" s="424">
        <v>200</v>
      </c>
      <c r="G1967" s="421"/>
    </row>
    <row r="1968" spans="1:7" x14ac:dyDescent="0.2">
      <c r="A1968" s="405"/>
      <c r="B1968" s="408"/>
      <c r="C1968" s="411"/>
      <c r="D1968" s="413"/>
      <c r="E1968" s="417"/>
      <c r="F1968" s="425">
        <v>100</v>
      </c>
      <c r="G1968" s="422"/>
    </row>
    <row r="1969" spans="1:7" x14ac:dyDescent="0.2">
      <c r="A1969" s="405"/>
      <c r="B1969" s="408"/>
      <c r="C1969" s="411"/>
      <c r="D1969" s="413"/>
      <c r="E1969" s="417"/>
      <c r="F1969" s="425">
        <v>50</v>
      </c>
      <c r="G1969" s="422"/>
    </row>
    <row r="1970" spans="1:7" x14ac:dyDescent="0.2">
      <c r="A1970" s="405"/>
      <c r="B1970" s="408"/>
      <c r="C1970" s="411"/>
      <c r="D1970" s="413"/>
      <c r="E1970" s="417"/>
      <c r="F1970" s="425" t="s">
        <v>289</v>
      </c>
      <c r="G1970" s="422"/>
    </row>
    <row r="1971" spans="1:7" x14ac:dyDescent="0.2">
      <c r="A1971" s="405"/>
      <c r="B1971" s="408"/>
      <c r="C1971" s="411"/>
      <c r="D1971" s="413"/>
      <c r="E1971" s="417"/>
      <c r="F1971" s="425" t="s">
        <v>290</v>
      </c>
      <c r="G1971" s="422"/>
    </row>
    <row r="1972" spans="1:7" x14ac:dyDescent="0.2">
      <c r="A1972" s="405"/>
      <c r="B1972" s="408"/>
      <c r="C1972" s="411"/>
      <c r="D1972" s="413"/>
      <c r="E1972" s="417"/>
      <c r="F1972" s="426" t="s">
        <v>291</v>
      </c>
      <c r="G1972" s="422">
        <v>3</v>
      </c>
    </row>
    <row r="1973" spans="1:7" ht="16" thickBot="1" x14ac:dyDescent="0.25">
      <c r="A1973" s="405"/>
      <c r="B1973" s="408"/>
      <c r="C1973" s="411"/>
      <c r="D1973" s="413"/>
      <c r="E1973" s="417" t="s">
        <v>340</v>
      </c>
      <c r="F1973" s="427" t="s">
        <v>292</v>
      </c>
      <c r="G1973" s="423"/>
    </row>
    <row r="1974" spans="1:7" ht="16" thickBot="1" x14ac:dyDescent="0.25">
      <c r="A1974" s="405"/>
      <c r="B1974" s="408"/>
      <c r="C1974" s="411"/>
      <c r="D1974" s="415"/>
      <c r="E1974" s="417"/>
      <c r="F1974" s="837">
        <f>SUM(G1967:G1972)</f>
        <v>3</v>
      </c>
      <c r="G1974" s="838"/>
    </row>
    <row r="1975" spans="1:7" ht="16" thickBot="1" x14ac:dyDescent="0.25">
      <c r="A1975" s="406" t="s">
        <v>19</v>
      </c>
      <c r="B1975" s="185"/>
      <c r="C1975" s="407">
        <f>SUM(C1953:C1974)</f>
        <v>1737.1</v>
      </c>
      <c r="D1975" s="186">
        <f>SUM(D1953:D1974)</f>
        <v>1734.1</v>
      </c>
      <c r="E1975" s="186">
        <f>C1975-D1975</f>
        <v>3</v>
      </c>
      <c r="F1975" s="416"/>
      <c r="G1975" s="187"/>
    </row>
    <row r="1976" spans="1:7" ht="16" thickBot="1" x14ac:dyDescent="0.25"/>
    <row r="1977" spans="1:7" ht="33" thickBot="1" x14ac:dyDescent="0.25">
      <c r="A1977" s="686"/>
      <c r="B1977" s="183" t="s">
        <v>283</v>
      </c>
      <c r="C1977" s="236" t="s">
        <v>284</v>
      </c>
      <c r="D1977" s="184" t="s">
        <v>285</v>
      </c>
      <c r="E1977" s="184" t="s">
        <v>125</v>
      </c>
      <c r="F1977" s="827" t="s">
        <v>286</v>
      </c>
      <c r="G1977" s="828"/>
    </row>
    <row r="1978" spans="1:7" ht="16" thickBot="1" x14ac:dyDescent="0.25">
      <c r="A1978" s="433">
        <v>45751</v>
      </c>
      <c r="B1978" s="435" t="s">
        <v>287</v>
      </c>
      <c r="C1978" s="436">
        <f>E1975</f>
        <v>3</v>
      </c>
      <c r="D1978" s="28"/>
      <c r="E1978" s="438" t="s">
        <v>287</v>
      </c>
      <c r="F1978" s="829" t="s">
        <v>288</v>
      </c>
      <c r="G1978" s="830"/>
    </row>
    <row r="1979" spans="1:7" ht="16" thickBot="1" x14ac:dyDescent="0.25">
      <c r="A1979" s="432"/>
      <c r="B1979" s="316" t="s">
        <v>294</v>
      </c>
      <c r="C1979" s="410">
        <v>100</v>
      </c>
      <c r="D1979" s="414"/>
      <c r="E1979" s="316" t="s">
        <v>295</v>
      </c>
      <c r="F1979" s="829"/>
      <c r="G1979" s="830"/>
    </row>
    <row r="1980" spans="1:7" x14ac:dyDescent="0.2">
      <c r="A1980" s="405"/>
      <c r="B1980" s="316" t="s">
        <v>194</v>
      </c>
      <c r="C1980" s="410"/>
      <c r="D1980" s="414">
        <v>100</v>
      </c>
      <c r="E1980" s="316" t="s">
        <v>224</v>
      </c>
      <c r="F1980" s="424">
        <v>200</v>
      </c>
      <c r="G1980" s="421"/>
    </row>
    <row r="1981" spans="1:7" x14ac:dyDescent="0.2">
      <c r="A1981" s="405"/>
      <c r="B1981" s="408"/>
      <c r="C1981" s="411"/>
      <c r="D1981" s="413"/>
      <c r="E1981" s="419"/>
      <c r="F1981" s="425">
        <v>100</v>
      </c>
      <c r="G1981" s="422"/>
    </row>
    <row r="1982" spans="1:7" x14ac:dyDescent="0.2">
      <c r="A1982" s="405"/>
      <c r="B1982" s="409"/>
      <c r="C1982" s="412"/>
      <c r="D1982" s="413"/>
      <c r="E1982" s="409"/>
      <c r="F1982" s="425">
        <v>50</v>
      </c>
      <c r="G1982" s="422"/>
    </row>
    <row r="1983" spans="1:7" x14ac:dyDescent="0.2">
      <c r="A1983" s="405"/>
      <c r="B1983" s="316"/>
      <c r="C1983" s="410"/>
      <c r="D1983" s="414"/>
      <c r="E1983" s="316"/>
      <c r="F1983" s="425" t="s">
        <v>289</v>
      </c>
      <c r="G1983" s="422"/>
    </row>
    <row r="1984" spans="1:7" x14ac:dyDescent="0.2">
      <c r="A1984" s="405"/>
      <c r="B1984" s="408"/>
      <c r="C1984" s="411"/>
      <c r="D1984" s="413"/>
      <c r="E1984" s="419"/>
      <c r="F1984" s="425" t="s">
        <v>290</v>
      </c>
      <c r="G1984" s="422"/>
    </row>
    <row r="1985" spans="1:7" x14ac:dyDescent="0.2">
      <c r="A1985" s="405"/>
      <c r="B1985" s="409"/>
      <c r="C1985" s="412"/>
      <c r="D1985" s="413"/>
      <c r="E1985" s="409"/>
      <c r="F1985" s="426" t="s">
        <v>291</v>
      </c>
      <c r="G1985" s="422">
        <v>3</v>
      </c>
    </row>
    <row r="1986" spans="1:7" ht="16" thickBot="1" x14ac:dyDescent="0.25">
      <c r="A1986" s="405"/>
      <c r="B1986" s="409"/>
      <c r="C1986" s="412"/>
      <c r="D1986" s="413"/>
      <c r="E1986" s="409"/>
      <c r="F1986" s="427" t="s">
        <v>292</v>
      </c>
      <c r="G1986" s="423"/>
    </row>
    <row r="1987" spans="1:7" ht="16" thickBot="1" x14ac:dyDescent="0.25">
      <c r="A1987" s="405"/>
      <c r="B1987" s="408"/>
      <c r="C1987" s="412"/>
      <c r="D1987" s="413"/>
      <c r="E1987" s="417"/>
      <c r="F1987" s="831">
        <f>SUM(G1980:G1985)</f>
        <v>3</v>
      </c>
      <c r="G1987" s="832"/>
    </row>
    <row r="1988" spans="1:7" x14ac:dyDescent="0.2">
      <c r="A1988" s="405"/>
      <c r="B1988" s="408"/>
      <c r="C1988" s="411"/>
      <c r="D1988" s="413"/>
      <c r="E1988" s="417"/>
      <c r="F1988" s="430"/>
      <c r="G1988" s="428"/>
    </row>
    <row r="1989" spans="1:7" ht="16" thickBot="1" x14ac:dyDescent="0.25">
      <c r="A1989" s="405"/>
      <c r="B1989" s="408"/>
      <c r="C1989" s="411"/>
      <c r="D1989" s="413"/>
      <c r="E1989" s="420"/>
      <c r="F1989" s="431"/>
      <c r="G1989" s="429"/>
    </row>
    <row r="1990" spans="1:7" x14ac:dyDescent="0.2">
      <c r="A1990" s="405"/>
      <c r="B1990" s="408"/>
      <c r="C1990" s="412"/>
      <c r="D1990" s="413"/>
      <c r="E1990" s="417"/>
      <c r="F1990" s="833" t="s">
        <v>293</v>
      </c>
      <c r="G1990" s="834"/>
    </row>
    <row r="1991" spans="1:7" ht="16" thickBot="1" x14ac:dyDescent="0.25">
      <c r="A1991" s="405"/>
      <c r="B1991" s="316"/>
      <c r="C1991" s="234"/>
      <c r="D1991" s="413"/>
      <c r="E1991" s="316"/>
      <c r="F1991" s="835"/>
      <c r="G1991" s="836"/>
    </row>
    <row r="1992" spans="1:7" x14ac:dyDescent="0.2">
      <c r="A1992" s="405"/>
      <c r="B1992" s="408"/>
      <c r="C1992" s="412"/>
      <c r="D1992" s="413"/>
      <c r="E1992" s="417"/>
      <c r="F1992" s="424">
        <v>200</v>
      </c>
      <c r="G1992" s="421"/>
    </row>
    <row r="1993" spans="1:7" x14ac:dyDescent="0.2">
      <c r="A1993" s="405"/>
      <c r="B1993" s="408"/>
      <c r="C1993" s="411"/>
      <c r="D1993" s="413"/>
      <c r="E1993" s="417"/>
      <c r="F1993" s="425">
        <v>100</v>
      </c>
      <c r="G1993" s="422"/>
    </row>
    <row r="1994" spans="1:7" x14ac:dyDescent="0.2">
      <c r="A1994" s="405"/>
      <c r="B1994" s="408"/>
      <c r="C1994" s="411"/>
      <c r="D1994" s="413"/>
      <c r="E1994" s="417"/>
      <c r="F1994" s="425">
        <v>50</v>
      </c>
      <c r="G1994" s="422"/>
    </row>
    <row r="1995" spans="1:7" x14ac:dyDescent="0.2">
      <c r="A1995" s="405"/>
      <c r="B1995" s="408"/>
      <c r="C1995" s="411"/>
      <c r="D1995" s="413"/>
      <c r="E1995" s="417"/>
      <c r="F1995" s="425" t="s">
        <v>289</v>
      </c>
      <c r="G1995" s="422"/>
    </row>
    <row r="1996" spans="1:7" x14ac:dyDescent="0.2">
      <c r="A1996" s="405"/>
      <c r="B1996" s="408"/>
      <c r="C1996" s="411"/>
      <c r="D1996" s="413"/>
      <c r="E1996" s="417"/>
      <c r="F1996" s="425" t="s">
        <v>290</v>
      </c>
      <c r="G1996" s="422"/>
    </row>
    <row r="1997" spans="1:7" x14ac:dyDescent="0.2">
      <c r="A1997" s="405"/>
      <c r="B1997" s="408"/>
      <c r="C1997" s="411"/>
      <c r="D1997" s="413"/>
      <c r="E1997" s="417"/>
      <c r="F1997" s="426" t="s">
        <v>291</v>
      </c>
      <c r="G1997" s="422">
        <v>3</v>
      </c>
    </row>
    <row r="1998" spans="1:7" ht="16" thickBot="1" x14ac:dyDescent="0.25">
      <c r="A1998" s="405"/>
      <c r="B1998" s="408"/>
      <c r="C1998" s="411"/>
      <c r="D1998" s="413"/>
      <c r="E1998" s="417" t="s">
        <v>340</v>
      </c>
      <c r="F1998" s="427" t="s">
        <v>292</v>
      </c>
      <c r="G1998" s="423"/>
    </row>
    <row r="1999" spans="1:7" ht="16" thickBot="1" x14ac:dyDescent="0.25">
      <c r="A1999" s="405"/>
      <c r="B1999" s="408"/>
      <c r="C1999" s="411"/>
      <c r="D1999" s="415"/>
      <c r="E1999" s="417"/>
      <c r="F1999" s="837">
        <f>SUM(G1992:G1997)</f>
        <v>3</v>
      </c>
      <c r="G1999" s="838"/>
    </row>
    <row r="2000" spans="1:7" ht="16" thickBot="1" x14ac:dyDescent="0.25">
      <c r="A2000" s="406" t="s">
        <v>19</v>
      </c>
      <c r="B2000" s="185"/>
      <c r="C2000" s="407">
        <f>SUM(C1978:C1999)</f>
        <v>103</v>
      </c>
      <c r="D2000" s="186">
        <f>SUM(D1978:D1999)</f>
        <v>100</v>
      </c>
      <c r="E2000" s="186">
        <f>C2000-D2000</f>
        <v>3</v>
      </c>
      <c r="F2000" s="416"/>
      <c r="G2000" s="187"/>
    </row>
    <row r="2001" spans="1:7" ht="16" thickBot="1" x14ac:dyDescent="0.25"/>
    <row r="2002" spans="1:7" ht="33" thickBot="1" x14ac:dyDescent="0.25">
      <c r="A2002" s="686"/>
      <c r="B2002" s="183" t="s">
        <v>283</v>
      </c>
      <c r="C2002" s="236" t="s">
        <v>284</v>
      </c>
      <c r="D2002" s="184" t="s">
        <v>285</v>
      </c>
      <c r="E2002" s="184" t="s">
        <v>125</v>
      </c>
      <c r="F2002" s="827" t="s">
        <v>286</v>
      </c>
      <c r="G2002" s="828"/>
    </row>
    <row r="2003" spans="1:7" ht="16" thickBot="1" x14ac:dyDescent="0.25">
      <c r="A2003" s="433">
        <v>45752</v>
      </c>
      <c r="B2003" s="435" t="s">
        <v>287</v>
      </c>
      <c r="C2003" s="436">
        <f>E2000</f>
        <v>3</v>
      </c>
      <c r="D2003" s="28"/>
      <c r="E2003" s="438" t="s">
        <v>287</v>
      </c>
      <c r="F2003" s="829" t="s">
        <v>288</v>
      </c>
      <c r="G2003" s="830"/>
    </row>
    <row r="2004" spans="1:7" ht="16" thickBot="1" x14ac:dyDescent="0.25">
      <c r="A2004" s="432"/>
      <c r="B2004" s="316" t="s">
        <v>294</v>
      </c>
      <c r="C2004" s="410">
        <v>150</v>
      </c>
      <c r="D2004" s="414"/>
      <c r="E2004" s="316" t="s">
        <v>295</v>
      </c>
      <c r="F2004" s="829"/>
      <c r="G2004" s="830"/>
    </row>
    <row r="2005" spans="1:7" x14ac:dyDescent="0.2">
      <c r="A2005" s="405"/>
      <c r="B2005" s="316" t="s">
        <v>298</v>
      </c>
      <c r="C2005" s="410"/>
      <c r="D2005" s="414">
        <v>150</v>
      </c>
      <c r="E2005" s="316" t="s">
        <v>298</v>
      </c>
      <c r="F2005" s="424">
        <v>200</v>
      </c>
      <c r="G2005" s="421"/>
    </row>
    <row r="2006" spans="1:7" x14ac:dyDescent="0.2">
      <c r="A2006" s="405"/>
      <c r="B2006" s="408"/>
      <c r="C2006" s="411"/>
      <c r="D2006" s="413"/>
      <c r="E2006" s="419"/>
      <c r="F2006" s="425">
        <v>100</v>
      </c>
      <c r="G2006" s="422"/>
    </row>
    <row r="2007" spans="1:7" x14ac:dyDescent="0.2">
      <c r="A2007" s="405"/>
      <c r="B2007" s="409"/>
      <c r="C2007" s="412"/>
      <c r="D2007" s="413"/>
      <c r="E2007" s="409"/>
      <c r="F2007" s="425">
        <v>50</v>
      </c>
      <c r="G2007" s="422"/>
    </row>
    <row r="2008" spans="1:7" x14ac:dyDescent="0.2">
      <c r="A2008" s="405"/>
      <c r="B2008" s="316"/>
      <c r="C2008" s="410"/>
      <c r="D2008" s="414"/>
      <c r="E2008" s="316"/>
      <c r="F2008" s="425" t="s">
        <v>289</v>
      </c>
      <c r="G2008" s="422"/>
    </row>
    <row r="2009" spans="1:7" x14ac:dyDescent="0.2">
      <c r="A2009" s="405"/>
      <c r="B2009" s="408"/>
      <c r="C2009" s="411"/>
      <c r="D2009" s="413"/>
      <c r="E2009" s="419"/>
      <c r="F2009" s="425" t="s">
        <v>290</v>
      </c>
      <c r="G2009" s="422"/>
    </row>
    <row r="2010" spans="1:7" x14ac:dyDescent="0.2">
      <c r="A2010" s="405"/>
      <c r="B2010" s="409"/>
      <c r="C2010" s="412"/>
      <c r="D2010" s="413"/>
      <c r="E2010" s="409"/>
      <c r="F2010" s="426" t="s">
        <v>291</v>
      </c>
      <c r="G2010" s="422">
        <v>3</v>
      </c>
    </row>
    <row r="2011" spans="1:7" ht="16" thickBot="1" x14ac:dyDescent="0.25">
      <c r="A2011" s="405"/>
      <c r="B2011" s="409"/>
      <c r="C2011" s="412"/>
      <c r="D2011" s="413"/>
      <c r="E2011" s="409"/>
      <c r="F2011" s="427" t="s">
        <v>292</v>
      </c>
      <c r="G2011" s="423"/>
    </row>
    <row r="2012" spans="1:7" ht="16" thickBot="1" x14ac:dyDescent="0.25">
      <c r="A2012" s="405"/>
      <c r="B2012" s="408"/>
      <c r="C2012" s="412"/>
      <c r="D2012" s="413"/>
      <c r="E2012" s="417"/>
      <c r="F2012" s="831">
        <f>SUM(G2005:G2010)</f>
        <v>3</v>
      </c>
      <c r="G2012" s="832"/>
    </row>
    <row r="2013" spans="1:7" x14ac:dyDescent="0.2">
      <c r="A2013" s="405"/>
      <c r="B2013" s="408"/>
      <c r="C2013" s="411"/>
      <c r="D2013" s="413"/>
      <c r="E2013" s="417"/>
      <c r="F2013" s="430"/>
      <c r="G2013" s="428"/>
    </row>
    <row r="2014" spans="1:7" ht="16" thickBot="1" x14ac:dyDescent="0.25">
      <c r="A2014" s="405"/>
      <c r="B2014" s="408"/>
      <c r="C2014" s="411"/>
      <c r="D2014" s="413"/>
      <c r="E2014" s="420"/>
      <c r="F2014" s="431"/>
      <c r="G2014" s="429"/>
    </row>
    <row r="2015" spans="1:7" x14ac:dyDescent="0.2">
      <c r="A2015" s="405"/>
      <c r="B2015" s="408"/>
      <c r="C2015" s="412"/>
      <c r="D2015" s="413"/>
      <c r="E2015" s="417"/>
      <c r="F2015" s="833" t="s">
        <v>293</v>
      </c>
      <c r="G2015" s="834"/>
    </row>
    <row r="2016" spans="1:7" ht="16" thickBot="1" x14ac:dyDescent="0.25">
      <c r="A2016" s="405"/>
      <c r="B2016" s="316"/>
      <c r="C2016" s="234"/>
      <c r="D2016" s="413"/>
      <c r="E2016" s="316"/>
      <c r="F2016" s="835"/>
      <c r="G2016" s="836"/>
    </row>
    <row r="2017" spans="1:7" x14ac:dyDescent="0.2">
      <c r="A2017" s="405"/>
      <c r="B2017" s="408"/>
      <c r="C2017" s="412"/>
      <c r="D2017" s="413"/>
      <c r="E2017" s="417"/>
      <c r="F2017" s="424">
        <v>200</v>
      </c>
      <c r="G2017" s="421"/>
    </row>
    <row r="2018" spans="1:7" x14ac:dyDescent="0.2">
      <c r="A2018" s="405"/>
      <c r="B2018" s="408"/>
      <c r="C2018" s="411"/>
      <c r="D2018" s="413"/>
      <c r="E2018" s="417"/>
      <c r="F2018" s="425">
        <v>100</v>
      </c>
      <c r="G2018" s="422"/>
    </row>
    <row r="2019" spans="1:7" x14ac:dyDescent="0.2">
      <c r="A2019" s="405"/>
      <c r="B2019" s="408"/>
      <c r="C2019" s="411"/>
      <c r="D2019" s="413"/>
      <c r="E2019" s="417"/>
      <c r="F2019" s="425">
        <v>50</v>
      </c>
      <c r="G2019" s="422"/>
    </row>
    <row r="2020" spans="1:7" x14ac:dyDescent="0.2">
      <c r="A2020" s="405"/>
      <c r="B2020" s="408"/>
      <c r="C2020" s="411"/>
      <c r="D2020" s="413"/>
      <c r="E2020" s="417"/>
      <c r="F2020" s="425" t="s">
        <v>289</v>
      </c>
      <c r="G2020" s="422"/>
    </row>
    <row r="2021" spans="1:7" x14ac:dyDescent="0.2">
      <c r="A2021" s="405"/>
      <c r="B2021" s="408"/>
      <c r="C2021" s="411"/>
      <c r="D2021" s="413"/>
      <c r="E2021" s="417"/>
      <c r="F2021" s="425" t="s">
        <v>290</v>
      </c>
      <c r="G2021" s="422"/>
    </row>
    <row r="2022" spans="1:7" x14ac:dyDescent="0.2">
      <c r="A2022" s="405"/>
      <c r="B2022" s="408"/>
      <c r="C2022" s="411"/>
      <c r="D2022" s="413"/>
      <c r="E2022" s="417"/>
      <c r="F2022" s="426" t="s">
        <v>291</v>
      </c>
      <c r="G2022" s="422">
        <v>3</v>
      </c>
    </row>
    <row r="2023" spans="1:7" ht="16" thickBot="1" x14ac:dyDescent="0.25">
      <c r="A2023" s="405"/>
      <c r="B2023" s="408"/>
      <c r="C2023" s="411"/>
      <c r="D2023" s="413"/>
      <c r="E2023" s="417" t="s">
        <v>340</v>
      </c>
      <c r="F2023" s="427" t="s">
        <v>292</v>
      </c>
      <c r="G2023" s="423"/>
    </row>
    <row r="2024" spans="1:7" ht="16" thickBot="1" x14ac:dyDescent="0.25">
      <c r="A2024" s="405"/>
      <c r="B2024" s="408"/>
      <c r="C2024" s="411"/>
      <c r="D2024" s="415"/>
      <c r="E2024" s="417"/>
      <c r="F2024" s="837">
        <f>SUM(G2017:G2022)</f>
        <v>3</v>
      </c>
      <c r="G2024" s="838"/>
    </row>
    <row r="2025" spans="1:7" ht="16" thickBot="1" x14ac:dyDescent="0.25">
      <c r="A2025" s="406" t="s">
        <v>19</v>
      </c>
      <c r="B2025" s="185"/>
      <c r="C2025" s="407">
        <f>SUM(C2003:C2024)</f>
        <v>153</v>
      </c>
      <c r="D2025" s="186">
        <f>SUM(D2003:D2024)</f>
        <v>150</v>
      </c>
      <c r="E2025" s="186">
        <f>C2025-D2025</f>
        <v>3</v>
      </c>
      <c r="F2025" s="416"/>
      <c r="G2025" s="187"/>
    </row>
    <row r="2026" spans="1:7" ht="16" thickBot="1" x14ac:dyDescent="0.25"/>
    <row r="2027" spans="1:7" ht="33" thickBot="1" x14ac:dyDescent="0.25">
      <c r="A2027" s="686"/>
      <c r="B2027" s="183" t="s">
        <v>283</v>
      </c>
      <c r="C2027" s="236" t="s">
        <v>284</v>
      </c>
      <c r="D2027" s="184" t="s">
        <v>285</v>
      </c>
      <c r="E2027" s="184" t="s">
        <v>125</v>
      </c>
      <c r="F2027" s="827" t="s">
        <v>286</v>
      </c>
      <c r="G2027" s="828"/>
    </row>
    <row r="2028" spans="1:7" ht="16" thickBot="1" x14ac:dyDescent="0.25">
      <c r="A2028" s="433">
        <v>45753</v>
      </c>
      <c r="B2028" s="435" t="s">
        <v>287</v>
      </c>
      <c r="C2028" s="436">
        <f>E2025</f>
        <v>3</v>
      </c>
      <c r="D2028" s="28"/>
      <c r="E2028" s="438" t="s">
        <v>287</v>
      </c>
      <c r="F2028" s="829" t="s">
        <v>288</v>
      </c>
      <c r="G2028" s="830"/>
    </row>
    <row r="2029" spans="1:7" ht="16" thickBot="1" x14ac:dyDescent="0.25">
      <c r="A2029" s="432"/>
      <c r="B2029" s="316" t="s">
        <v>294</v>
      </c>
      <c r="C2029" s="410">
        <v>400</v>
      </c>
      <c r="D2029" s="414"/>
      <c r="E2029" s="316" t="s">
        <v>295</v>
      </c>
      <c r="F2029" s="829"/>
      <c r="G2029" s="830"/>
    </row>
    <row r="2030" spans="1:7" x14ac:dyDescent="0.2">
      <c r="A2030" s="405"/>
      <c r="B2030" s="316" t="s">
        <v>298</v>
      </c>
      <c r="C2030" s="410"/>
      <c r="D2030" s="414">
        <v>400</v>
      </c>
      <c r="E2030" s="316" t="s">
        <v>298</v>
      </c>
      <c r="F2030" s="424">
        <v>200</v>
      </c>
      <c r="G2030" s="421"/>
    </row>
    <row r="2031" spans="1:7" x14ac:dyDescent="0.2">
      <c r="A2031" s="405"/>
      <c r="B2031" s="408"/>
      <c r="C2031" s="411"/>
      <c r="D2031" s="413"/>
      <c r="E2031" s="419"/>
      <c r="F2031" s="425">
        <v>100</v>
      </c>
      <c r="G2031" s="422"/>
    </row>
    <row r="2032" spans="1:7" x14ac:dyDescent="0.2">
      <c r="A2032" s="405"/>
      <c r="B2032" s="409"/>
      <c r="C2032" s="412"/>
      <c r="D2032" s="413"/>
      <c r="E2032" s="409"/>
      <c r="F2032" s="425">
        <v>50</v>
      </c>
      <c r="G2032" s="422"/>
    </row>
    <row r="2033" spans="1:7" x14ac:dyDescent="0.2">
      <c r="A2033" s="405"/>
      <c r="B2033" s="316"/>
      <c r="C2033" s="410"/>
      <c r="D2033" s="414"/>
      <c r="E2033" s="316"/>
      <c r="F2033" s="425" t="s">
        <v>289</v>
      </c>
      <c r="G2033" s="422"/>
    </row>
    <row r="2034" spans="1:7" x14ac:dyDescent="0.2">
      <c r="A2034" s="405"/>
      <c r="B2034" s="408"/>
      <c r="C2034" s="411"/>
      <c r="D2034" s="413"/>
      <c r="E2034" s="419"/>
      <c r="F2034" s="425" t="s">
        <v>290</v>
      </c>
      <c r="G2034" s="422"/>
    </row>
    <row r="2035" spans="1:7" x14ac:dyDescent="0.2">
      <c r="A2035" s="405"/>
      <c r="B2035" s="409"/>
      <c r="C2035" s="412"/>
      <c r="D2035" s="413"/>
      <c r="E2035" s="409"/>
      <c r="F2035" s="426" t="s">
        <v>291</v>
      </c>
      <c r="G2035" s="422">
        <v>3</v>
      </c>
    </row>
    <row r="2036" spans="1:7" ht="16" thickBot="1" x14ac:dyDescent="0.25">
      <c r="A2036" s="405"/>
      <c r="B2036" s="409"/>
      <c r="C2036" s="412"/>
      <c r="D2036" s="413"/>
      <c r="E2036" s="409"/>
      <c r="F2036" s="427" t="s">
        <v>292</v>
      </c>
      <c r="G2036" s="423"/>
    </row>
    <row r="2037" spans="1:7" ht="16" thickBot="1" x14ac:dyDescent="0.25">
      <c r="A2037" s="405"/>
      <c r="B2037" s="408"/>
      <c r="C2037" s="412"/>
      <c r="D2037" s="413"/>
      <c r="E2037" s="417"/>
      <c r="F2037" s="831">
        <f>SUM(G2030:G2035)</f>
        <v>3</v>
      </c>
      <c r="G2037" s="832"/>
    </row>
    <row r="2038" spans="1:7" x14ac:dyDescent="0.2">
      <c r="A2038" s="405"/>
      <c r="B2038" s="408"/>
      <c r="C2038" s="411"/>
      <c r="D2038" s="413"/>
      <c r="E2038" s="417"/>
      <c r="F2038" s="430"/>
      <c r="G2038" s="428"/>
    </row>
    <row r="2039" spans="1:7" ht="16" thickBot="1" x14ac:dyDescent="0.25">
      <c r="A2039" s="405"/>
      <c r="B2039" s="408"/>
      <c r="C2039" s="411"/>
      <c r="D2039" s="413"/>
      <c r="E2039" s="420"/>
      <c r="F2039" s="431"/>
      <c r="G2039" s="429"/>
    </row>
    <row r="2040" spans="1:7" x14ac:dyDescent="0.2">
      <c r="A2040" s="405"/>
      <c r="B2040" s="408"/>
      <c r="C2040" s="412"/>
      <c r="D2040" s="413"/>
      <c r="E2040" s="417"/>
      <c r="F2040" s="833" t="s">
        <v>293</v>
      </c>
      <c r="G2040" s="834"/>
    </row>
    <row r="2041" spans="1:7" ht="16" thickBot="1" x14ac:dyDescent="0.25">
      <c r="A2041" s="405"/>
      <c r="B2041" s="316"/>
      <c r="C2041" s="234"/>
      <c r="D2041" s="413"/>
      <c r="E2041" s="316"/>
      <c r="F2041" s="835"/>
      <c r="G2041" s="836"/>
    </row>
    <row r="2042" spans="1:7" x14ac:dyDescent="0.2">
      <c r="A2042" s="405"/>
      <c r="B2042" s="408"/>
      <c r="C2042" s="412"/>
      <c r="D2042" s="413"/>
      <c r="E2042" s="417"/>
      <c r="F2042" s="424">
        <v>200</v>
      </c>
      <c r="G2042" s="421"/>
    </row>
    <row r="2043" spans="1:7" x14ac:dyDescent="0.2">
      <c r="A2043" s="405"/>
      <c r="B2043" s="408"/>
      <c r="C2043" s="411"/>
      <c r="D2043" s="413"/>
      <c r="E2043" s="417"/>
      <c r="F2043" s="425">
        <v>100</v>
      </c>
      <c r="G2043" s="422"/>
    </row>
    <row r="2044" spans="1:7" x14ac:dyDescent="0.2">
      <c r="A2044" s="405"/>
      <c r="B2044" s="408"/>
      <c r="C2044" s="411"/>
      <c r="D2044" s="413"/>
      <c r="E2044" s="417"/>
      <c r="F2044" s="425">
        <v>50</v>
      </c>
      <c r="G2044" s="422"/>
    </row>
    <row r="2045" spans="1:7" x14ac:dyDescent="0.2">
      <c r="A2045" s="405"/>
      <c r="B2045" s="408"/>
      <c r="C2045" s="411"/>
      <c r="D2045" s="413"/>
      <c r="E2045" s="417"/>
      <c r="F2045" s="425" t="s">
        <v>289</v>
      </c>
      <c r="G2045" s="422"/>
    </row>
    <row r="2046" spans="1:7" x14ac:dyDescent="0.2">
      <c r="A2046" s="405"/>
      <c r="B2046" s="408"/>
      <c r="C2046" s="411"/>
      <c r="D2046" s="413"/>
      <c r="E2046" s="417"/>
      <c r="F2046" s="425" t="s">
        <v>290</v>
      </c>
      <c r="G2046" s="422"/>
    </row>
    <row r="2047" spans="1:7" x14ac:dyDescent="0.2">
      <c r="A2047" s="405"/>
      <c r="B2047" s="408"/>
      <c r="C2047" s="411"/>
      <c r="D2047" s="413"/>
      <c r="E2047" s="417"/>
      <c r="F2047" s="426" t="s">
        <v>291</v>
      </c>
      <c r="G2047" s="422">
        <v>3</v>
      </c>
    </row>
    <row r="2048" spans="1:7" ht="16" thickBot="1" x14ac:dyDescent="0.25">
      <c r="A2048" s="405"/>
      <c r="B2048" s="408"/>
      <c r="C2048" s="411"/>
      <c r="D2048" s="413"/>
      <c r="E2048" s="417" t="s">
        <v>340</v>
      </c>
      <c r="F2048" s="427" t="s">
        <v>292</v>
      </c>
      <c r="G2048" s="423"/>
    </row>
    <row r="2049" spans="1:7" ht="16" thickBot="1" x14ac:dyDescent="0.25">
      <c r="A2049" s="405"/>
      <c r="B2049" s="408"/>
      <c r="C2049" s="411"/>
      <c r="D2049" s="415"/>
      <c r="E2049" s="417"/>
      <c r="F2049" s="837">
        <f>SUM(G2042:G2047)</f>
        <v>3</v>
      </c>
      <c r="G2049" s="838"/>
    </row>
    <row r="2050" spans="1:7" ht="16" thickBot="1" x14ac:dyDescent="0.25">
      <c r="A2050" s="406" t="s">
        <v>19</v>
      </c>
      <c r="B2050" s="185"/>
      <c r="C2050" s="407">
        <f>SUM(C2028:C2049)</f>
        <v>403</v>
      </c>
      <c r="D2050" s="186">
        <f>SUM(D2028:D2049)</f>
        <v>400</v>
      </c>
      <c r="E2050" s="186">
        <f>C2050-D2050</f>
        <v>3</v>
      </c>
      <c r="F2050" s="416"/>
      <c r="G2050" s="187"/>
    </row>
    <row r="2051" spans="1:7" ht="16" thickBot="1" x14ac:dyDescent="0.25"/>
    <row r="2052" spans="1:7" ht="33" thickBot="1" x14ac:dyDescent="0.25">
      <c r="A2052" s="686"/>
      <c r="B2052" s="183" t="s">
        <v>283</v>
      </c>
      <c r="C2052" s="236" t="s">
        <v>284</v>
      </c>
      <c r="D2052" s="184" t="s">
        <v>285</v>
      </c>
      <c r="E2052" s="184" t="s">
        <v>125</v>
      </c>
      <c r="F2052" s="827" t="s">
        <v>286</v>
      </c>
      <c r="G2052" s="828"/>
    </row>
    <row r="2053" spans="1:7" ht="16" thickBot="1" x14ac:dyDescent="0.25">
      <c r="A2053" s="433">
        <v>45754</v>
      </c>
      <c r="B2053" s="435" t="s">
        <v>287</v>
      </c>
      <c r="C2053" s="436">
        <f>E2050</f>
        <v>3</v>
      </c>
      <c r="D2053" s="28"/>
      <c r="E2053" s="438" t="s">
        <v>287</v>
      </c>
      <c r="F2053" s="829" t="s">
        <v>288</v>
      </c>
      <c r="G2053" s="830"/>
    </row>
    <row r="2054" spans="1:7" ht="16" thickBot="1" x14ac:dyDescent="0.25">
      <c r="A2054" s="432"/>
      <c r="B2054" s="316" t="s">
        <v>294</v>
      </c>
      <c r="C2054" s="410">
        <f>300+600+150</f>
        <v>1050</v>
      </c>
      <c r="D2054" s="414"/>
      <c r="E2054" s="316" t="s">
        <v>295</v>
      </c>
      <c r="F2054" s="829"/>
      <c r="G2054" s="830"/>
    </row>
    <row r="2055" spans="1:7" x14ac:dyDescent="0.2">
      <c r="A2055" s="405"/>
      <c r="B2055" s="316" t="s">
        <v>298</v>
      </c>
      <c r="C2055" s="410"/>
      <c r="D2055" s="414">
        <v>600</v>
      </c>
      <c r="E2055" s="316" t="s">
        <v>298</v>
      </c>
      <c r="F2055" s="424">
        <v>200</v>
      </c>
      <c r="G2055" s="421"/>
    </row>
    <row r="2056" spans="1:7" ht="16" x14ac:dyDescent="0.2">
      <c r="A2056" s="405"/>
      <c r="B2056" s="408" t="s">
        <v>397</v>
      </c>
      <c r="C2056" s="411"/>
      <c r="D2056" s="413">
        <v>200</v>
      </c>
      <c r="E2056" s="419" t="s">
        <v>224</v>
      </c>
      <c r="F2056" s="425">
        <v>100</v>
      </c>
      <c r="G2056" s="422"/>
    </row>
    <row r="2057" spans="1:7" x14ac:dyDescent="0.2">
      <c r="A2057" s="405"/>
      <c r="B2057" s="409" t="s">
        <v>344</v>
      </c>
      <c r="C2057" s="412"/>
      <c r="D2057" s="413">
        <v>200</v>
      </c>
      <c r="E2057" s="409" t="s">
        <v>224</v>
      </c>
      <c r="F2057" s="425">
        <v>50</v>
      </c>
      <c r="G2057" s="422"/>
    </row>
    <row r="2058" spans="1:7" x14ac:dyDescent="0.2">
      <c r="A2058" s="405"/>
      <c r="B2058" s="316" t="s">
        <v>303</v>
      </c>
      <c r="C2058" s="410"/>
      <c r="D2058" s="414">
        <v>50</v>
      </c>
      <c r="E2058" s="316" t="s">
        <v>224</v>
      </c>
      <c r="F2058" s="425" t="s">
        <v>289</v>
      </c>
      <c r="G2058" s="422"/>
    </row>
    <row r="2059" spans="1:7" x14ac:dyDescent="0.2">
      <c r="A2059" s="405"/>
      <c r="B2059" s="408"/>
      <c r="C2059" s="411"/>
      <c r="D2059" s="413"/>
      <c r="E2059" s="419"/>
      <c r="F2059" s="425" t="s">
        <v>290</v>
      </c>
      <c r="G2059" s="422"/>
    </row>
    <row r="2060" spans="1:7" x14ac:dyDescent="0.2">
      <c r="A2060" s="405"/>
      <c r="B2060" s="409"/>
      <c r="C2060" s="412"/>
      <c r="D2060" s="413"/>
      <c r="E2060" s="409"/>
      <c r="F2060" s="426" t="s">
        <v>291</v>
      </c>
      <c r="G2060" s="422">
        <v>3</v>
      </c>
    </row>
    <row r="2061" spans="1:7" ht="16" thickBot="1" x14ac:dyDescent="0.25">
      <c r="A2061" s="405"/>
      <c r="B2061" s="409"/>
      <c r="C2061" s="412"/>
      <c r="D2061" s="413"/>
      <c r="E2061" s="409"/>
      <c r="F2061" s="427" t="s">
        <v>292</v>
      </c>
      <c r="G2061" s="423"/>
    </row>
    <row r="2062" spans="1:7" ht="16" thickBot="1" x14ac:dyDescent="0.25">
      <c r="A2062" s="405"/>
      <c r="B2062" s="408"/>
      <c r="C2062" s="412"/>
      <c r="D2062" s="413"/>
      <c r="E2062" s="417"/>
      <c r="F2062" s="831">
        <f>SUM(G2055:G2060)</f>
        <v>3</v>
      </c>
      <c r="G2062" s="832"/>
    </row>
    <row r="2063" spans="1:7" x14ac:dyDescent="0.2">
      <c r="A2063" s="405"/>
      <c r="B2063" s="408"/>
      <c r="C2063" s="411"/>
      <c r="D2063" s="413"/>
      <c r="E2063" s="417"/>
      <c r="F2063" s="430"/>
      <c r="G2063" s="428"/>
    </row>
    <row r="2064" spans="1:7" ht="16" thickBot="1" x14ac:dyDescent="0.25">
      <c r="A2064" s="405"/>
      <c r="B2064" s="408"/>
      <c r="C2064" s="411"/>
      <c r="D2064" s="413"/>
      <c r="E2064" s="420"/>
      <c r="F2064" s="431"/>
      <c r="G2064" s="429"/>
    </row>
    <row r="2065" spans="1:7" x14ac:dyDescent="0.2">
      <c r="A2065" s="405"/>
      <c r="B2065" s="408"/>
      <c r="C2065" s="412"/>
      <c r="D2065" s="413"/>
      <c r="E2065" s="417"/>
      <c r="F2065" s="833" t="s">
        <v>293</v>
      </c>
      <c r="G2065" s="834"/>
    </row>
    <row r="2066" spans="1:7" ht="16" thickBot="1" x14ac:dyDescent="0.25">
      <c r="A2066" s="405"/>
      <c r="B2066" s="316"/>
      <c r="C2066" s="234"/>
      <c r="D2066" s="413"/>
      <c r="E2066" s="316"/>
      <c r="F2066" s="835"/>
      <c r="G2066" s="836"/>
    </row>
    <row r="2067" spans="1:7" x14ac:dyDescent="0.2">
      <c r="A2067" s="405"/>
      <c r="B2067" s="408"/>
      <c r="C2067" s="412"/>
      <c r="D2067" s="413"/>
      <c r="E2067" s="417"/>
      <c r="F2067" s="424">
        <v>200</v>
      </c>
      <c r="G2067" s="421"/>
    </row>
    <row r="2068" spans="1:7" x14ac:dyDescent="0.2">
      <c r="A2068" s="405"/>
      <c r="B2068" s="408"/>
      <c r="C2068" s="411"/>
      <c r="D2068" s="413"/>
      <c r="E2068" s="417"/>
      <c r="F2068" s="425">
        <v>100</v>
      </c>
      <c r="G2068" s="422"/>
    </row>
    <row r="2069" spans="1:7" x14ac:dyDescent="0.2">
      <c r="A2069" s="405"/>
      <c r="B2069" s="408"/>
      <c r="C2069" s="411"/>
      <c r="D2069" s="413"/>
      <c r="E2069" s="417"/>
      <c r="F2069" s="425">
        <v>50</v>
      </c>
      <c r="G2069" s="422"/>
    </row>
    <row r="2070" spans="1:7" x14ac:dyDescent="0.2">
      <c r="A2070" s="405"/>
      <c r="B2070" s="408"/>
      <c r="C2070" s="411"/>
      <c r="D2070" s="413"/>
      <c r="E2070" s="417"/>
      <c r="F2070" s="425" t="s">
        <v>289</v>
      </c>
      <c r="G2070" s="422"/>
    </row>
    <row r="2071" spans="1:7" x14ac:dyDescent="0.2">
      <c r="A2071" s="405"/>
      <c r="B2071" s="408"/>
      <c r="C2071" s="411"/>
      <c r="D2071" s="413"/>
      <c r="E2071" s="417"/>
      <c r="F2071" s="425" t="s">
        <v>290</v>
      </c>
      <c r="G2071" s="422"/>
    </row>
    <row r="2072" spans="1:7" x14ac:dyDescent="0.2">
      <c r="A2072" s="405"/>
      <c r="B2072" s="408"/>
      <c r="C2072" s="411"/>
      <c r="D2072" s="413"/>
      <c r="E2072" s="417"/>
      <c r="F2072" s="426" t="s">
        <v>291</v>
      </c>
      <c r="G2072" s="422">
        <v>3</v>
      </c>
    </row>
    <row r="2073" spans="1:7" ht="16" thickBot="1" x14ac:dyDescent="0.25">
      <c r="A2073" s="405"/>
      <c r="B2073" s="408"/>
      <c r="C2073" s="411"/>
      <c r="D2073" s="413"/>
      <c r="E2073" s="417" t="s">
        <v>340</v>
      </c>
      <c r="F2073" s="427" t="s">
        <v>292</v>
      </c>
      <c r="G2073" s="423"/>
    </row>
    <row r="2074" spans="1:7" ht="16" thickBot="1" x14ac:dyDescent="0.25">
      <c r="A2074" s="405"/>
      <c r="B2074" s="408"/>
      <c r="C2074" s="411"/>
      <c r="D2074" s="415"/>
      <c r="E2074" s="417"/>
      <c r="F2074" s="837">
        <f>SUM(G2067:G2072)</f>
        <v>3</v>
      </c>
      <c r="G2074" s="838"/>
    </row>
    <row r="2075" spans="1:7" ht="16" thickBot="1" x14ac:dyDescent="0.25">
      <c r="A2075" s="406" t="s">
        <v>19</v>
      </c>
      <c r="B2075" s="185"/>
      <c r="C2075" s="407">
        <f>SUM(C2053:C2074)</f>
        <v>1053</v>
      </c>
      <c r="D2075" s="186">
        <f>SUM(D2053:D2074)</f>
        <v>1050</v>
      </c>
      <c r="E2075" s="186">
        <f>C2075-D2075</f>
        <v>3</v>
      </c>
      <c r="F2075" s="416"/>
      <c r="G2075" s="187"/>
    </row>
    <row r="2076" spans="1:7" ht="16" thickBot="1" x14ac:dyDescent="0.25"/>
    <row r="2077" spans="1:7" ht="33" thickBot="1" x14ac:dyDescent="0.25">
      <c r="A2077" s="686"/>
      <c r="B2077" s="183" t="s">
        <v>283</v>
      </c>
      <c r="C2077" s="236" t="s">
        <v>284</v>
      </c>
      <c r="D2077" s="184" t="s">
        <v>285</v>
      </c>
      <c r="E2077" s="184" t="s">
        <v>125</v>
      </c>
      <c r="F2077" s="827" t="s">
        <v>286</v>
      </c>
      <c r="G2077" s="828"/>
    </row>
    <row r="2078" spans="1:7" ht="16" thickBot="1" x14ac:dyDescent="0.25">
      <c r="A2078" s="433">
        <v>45755</v>
      </c>
      <c r="B2078" s="435" t="s">
        <v>287</v>
      </c>
      <c r="C2078" s="436">
        <f>E2075</f>
        <v>3</v>
      </c>
      <c r="D2078" s="28"/>
      <c r="E2078" s="438" t="s">
        <v>287</v>
      </c>
      <c r="F2078" s="829" t="s">
        <v>288</v>
      </c>
      <c r="G2078" s="830"/>
    </row>
    <row r="2079" spans="1:7" ht="16" thickBot="1" x14ac:dyDescent="0.25">
      <c r="A2079" s="432"/>
      <c r="B2079" s="316" t="s">
        <v>294</v>
      </c>
      <c r="C2079" s="410">
        <f>80+300+300</f>
        <v>680</v>
      </c>
      <c r="D2079" s="414"/>
      <c r="E2079" s="316" t="s">
        <v>295</v>
      </c>
      <c r="F2079" s="829"/>
      <c r="G2079" s="830"/>
    </row>
    <row r="2080" spans="1:7" x14ac:dyDescent="0.2">
      <c r="A2080" s="405"/>
      <c r="B2080" s="316" t="s">
        <v>334</v>
      </c>
      <c r="C2080" s="410"/>
      <c r="D2080" s="414">
        <v>165</v>
      </c>
      <c r="E2080" s="316" t="s">
        <v>967</v>
      </c>
      <c r="F2080" s="424">
        <v>200</v>
      </c>
      <c r="G2080" s="421"/>
    </row>
    <row r="2081" spans="1:7" ht="16" x14ac:dyDescent="0.2">
      <c r="A2081" s="405"/>
      <c r="B2081" s="408" t="s">
        <v>297</v>
      </c>
      <c r="C2081" s="411"/>
      <c r="D2081" s="413">
        <v>77</v>
      </c>
      <c r="E2081" s="419" t="s">
        <v>577</v>
      </c>
      <c r="F2081" s="425">
        <v>100</v>
      </c>
      <c r="G2081" s="422"/>
    </row>
    <row r="2082" spans="1:7" x14ac:dyDescent="0.2">
      <c r="A2082" s="405"/>
      <c r="B2082" s="409" t="s">
        <v>420</v>
      </c>
      <c r="C2082" s="412"/>
      <c r="D2082" s="413">
        <v>130</v>
      </c>
      <c r="E2082" s="409" t="s">
        <v>548</v>
      </c>
      <c r="F2082" s="425">
        <v>50</v>
      </c>
      <c r="G2082" s="422"/>
    </row>
    <row r="2083" spans="1:7" x14ac:dyDescent="0.2">
      <c r="A2083" s="405"/>
      <c r="B2083" s="316" t="s">
        <v>546</v>
      </c>
      <c r="C2083" s="410"/>
      <c r="D2083" s="414">
        <v>150</v>
      </c>
      <c r="E2083" s="316" t="s">
        <v>490</v>
      </c>
      <c r="F2083" s="425" t="s">
        <v>289</v>
      </c>
      <c r="G2083" s="422"/>
    </row>
    <row r="2084" spans="1:7" ht="16" x14ac:dyDescent="0.2">
      <c r="A2084" s="405"/>
      <c r="B2084" s="408" t="s">
        <v>298</v>
      </c>
      <c r="C2084" s="411"/>
      <c r="D2084" s="413">
        <v>161</v>
      </c>
      <c r="E2084" s="419" t="s">
        <v>298</v>
      </c>
      <c r="F2084" s="425" t="s">
        <v>290</v>
      </c>
      <c r="G2084" s="422"/>
    </row>
    <row r="2085" spans="1:7" x14ac:dyDescent="0.2">
      <c r="A2085" s="405"/>
      <c r="B2085" s="409"/>
      <c r="C2085" s="412"/>
      <c r="D2085" s="413"/>
      <c r="E2085" s="409"/>
      <c r="F2085" s="426" t="s">
        <v>291</v>
      </c>
      <c r="G2085" s="422">
        <v>3</v>
      </c>
    </row>
    <row r="2086" spans="1:7" ht="16" thickBot="1" x14ac:dyDescent="0.25">
      <c r="A2086" s="405"/>
      <c r="B2086" s="409"/>
      <c r="C2086" s="412"/>
      <c r="D2086" s="413"/>
      <c r="E2086" s="409"/>
      <c r="F2086" s="427" t="s">
        <v>292</v>
      </c>
      <c r="G2086" s="423"/>
    </row>
    <row r="2087" spans="1:7" ht="16" thickBot="1" x14ac:dyDescent="0.25">
      <c r="A2087" s="405"/>
      <c r="B2087" s="408"/>
      <c r="C2087" s="412"/>
      <c r="D2087" s="413"/>
      <c r="E2087" s="417"/>
      <c r="F2087" s="831">
        <f>SUM(G2080:G2085)</f>
        <v>3</v>
      </c>
      <c r="G2087" s="832"/>
    </row>
    <row r="2088" spans="1:7" x14ac:dyDescent="0.2">
      <c r="A2088" s="405"/>
      <c r="B2088" s="408"/>
      <c r="C2088" s="411"/>
      <c r="D2088" s="413"/>
      <c r="E2088" s="417"/>
      <c r="F2088" s="430"/>
      <c r="G2088" s="428"/>
    </row>
    <row r="2089" spans="1:7" ht="16" thickBot="1" x14ac:dyDescent="0.25">
      <c r="A2089" s="405"/>
      <c r="B2089" s="408"/>
      <c r="C2089" s="411"/>
      <c r="D2089" s="413"/>
      <c r="E2089" s="420"/>
      <c r="F2089" s="431"/>
      <c r="G2089" s="429"/>
    </row>
    <row r="2090" spans="1:7" x14ac:dyDescent="0.2">
      <c r="A2090" s="405"/>
      <c r="B2090" s="408"/>
      <c r="C2090" s="412"/>
      <c r="D2090" s="413"/>
      <c r="E2090" s="417"/>
      <c r="F2090" s="833" t="s">
        <v>293</v>
      </c>
      <c r="G2090" s="834"/>
    </row>
    <row r="2091" spans="1:7" ht="16" thickBot="1" x14ac:dyDescent="0.25">
      <c r="A2091" s="405"/>
      <c r="B2091" s="316"/>
      <c r="C2091" s="234"/>
      <c r="D2091" s="413"/>
      <c r="E2091" s="316"/>
      <c r="F2091" s="835"/>
      <c r="G2091" s="836"/>
    </row>
    <row r="2092" spans="1:7" x14ac:dyDescent="0.2">
      <c r="A2092" s="405"/>
      <c r="B2092" s="408"/>
      <c r="C2092" s="412"/>
      <c r="D2092" s="413"/>
      <c r="E2092" s="417"/>
      <c r="F2092" s="424">
        <v>200</v>
      </c>
      <c r="G2092" s="421"/>
    </row>
    <row r="2093" spans="1:7" x14ac:dyDescent="0.2">
      <c r="A2093" s="405"/>
      <c r="B2093" s="408"/>
      <c r="C2093" s="411"/>
      <c r="D2093" s="413"/>
      <c r="E2093" s="417"/>
      <c r="F2093" s="425">
        <v>100</v>
      </c>
      <c r="G2093" s="422"/>
    </row>
    <row r="2094" spans="1:7" x14ac:dyDescent="0.2">
      <c r="A2094" s="405"/>
      <c r="B2094" s="408"/>
      <c r="C2094" s="411"/>
      <c r="D2094" s="413"/>
      <c r="E2094" s="417"/>
      <c r="F2094" s="425">
        <v>50</v>
      </c>
      <c r="G2094" s="422"/>
    </row>
    <row r="2095" spans="1:7" x14ac:dyDescent="0.2">
      <c r="A2095" s="405"/>
      <c r="B2095" s="408"/>
      <c r="C2095" s="411"/>
      <c r="D2095" s="413"/>
      <c r="E2095" s="417"/>
      <c r="F2095" s="425" t="s">
        <v>289</v>
      </c>
      <c r="G2095" s="422"/>
    </row>
    <row r="2096" spans="1:7" x14ac:dyDescent="0.2">
      <c r="A2096" s="405"/>
      <c r="B2096" s="408"/>
      <c r="C2096" s="411"/>
      <c r="D2096" s="413"/>
      <c r="E2096" s="417"/>
      <c r="F2096" s="425" t="s">
        <v>290</v>
      </c>
      <c r="G2096" s="422"/>
    </row>
    <row r="2097" spans="1:7" x14ac:dyDescent="0.2">
      <c r="A2097" s="405"/>
      <c r="B2097" s="408"/>
      <c r="C2097" s="411"/>
      <c r="D2097" s="413"/>
      <c r="E2097" s="417"/>
      <c r="F2097" s="426" t="s">
        <v>291</v>
      </c>
      <c r="G2097" s="422"/>
    </row>
    <row r="2098" spans="1:7" ht="16" thickBot="1" x14ac:dyDescent="0.25">
      <c r="A2098" s="405"/>
      <c r="B2098" s="408"/>
      <c r="C2098" s="411"/>
      <c r="D2098" s="413"/>
      <c r="E2098" s="417" t="s">
        <v>340</v>
      </c>
      <c r="F2098" s="427" t="s">
        <v>292</v>
      </c>
      <c r="G2098" s="423"/>
    </row>
    <row r="2099" spans="1:7" ht="16" thickBot="1" x14ac:dyDescent="0.25">
      <c r="A2099" s="405"/>
      <c r="B2099" s="408"/>
      <c r="C2099" s="411"/>
      <c r="D2099" s="415"/>
      <c r="E2099" s="417"/>
      <c r="F2099" s="837">
        <f>SUM(G2092:G2097)</f>
        <v>0</v>
      </c>
      <c r="G2099" s="838"/>
    </row>
    <row r="2100" spans="1:7" ht="16" thickBot="1" x14ac:dyDescent="0.25">
      <c r="A2100" s="406" t="s">
        <v>19</v>
      </c>
      <c r="B2100" s="185"/>
      <c r="C2100" s="407">
        <f>SUM(C2078:C2099)</f>
        <v>683</v>
      </c>
      <c r="D2100" s="186">
        <f>SUM(D2078:D2099)</f>
        <v>683</v>
      </c>
      <c r="E2100" s="186">
        <f>C2100-D2100</f>
        <v>0</v>
      </c>
      <c r="F2100" s="416"/>
      <c r="G2100" s="187"/>
    </row>
    <row r="2101" spans="1:7" ht="16" thickBot="1" x14ac:dyDescent="0.25"/>
    <row r="2102" spans="1:7" ht="33" thickBot="1" x14ac:dyDescent="0.25">
      <c r="A2102" s="686"/>
      <c r="B2102" s="183" t="s">
        <v>283</v>
      </c>
      <c r="C2102" s="236" t="s">
        <v>284</v>
      </c>
      <c r="D2102" s="184" t="s">
        <v>285</v>
      </c>
      <c r="E2102" s="184" t="s">
        <v>125</v>
      </c>
      <c r="F2102" s="827" t="s">
        <v>286</v>
      </c>
      <c r="G2102" s="828"/>
    </row>
    <row r="2103" spans="1:7" ht="16" thickBot="1" x14ac:dyDescent="0.25">
      <c r="A2103" s="433">
        <v>45756</v>
      </c>
      <c r="B2103" s="435" t="s">
        <v>287</v>
      </c>
      <c r="C2103" s="436">
        <f>E2100</f>
        <v>0</v>
      </c>
      <c r="D2103" s="28"/>
      <c r="E2103" s="438" t="s">
        <v>287</v>
      </c>
      <c r="F2103" s="829" t="s">
        <v>288</v>
      </c>
      <c r="G2103" s="830"/>
    </row>
    <row r="2104" spans="1:7" ht="16" thickBot="1" x14ac:dyDescent="0.25">
      <c r="A2104" s="432"/>
      <c r="B2104" s="316" t="s">
        <v>294</v>
      </c>
      <c r="C2104" s="410">
        <v>300</v>
      </c>
      <c r="D2104" s="414"/>
      <c r="E2104" s="316" t="s">
        <v>295</v>
      </c>
      <c r="F2104" s="829"/>
      <c r="G2104" s="830"/>
    </row>
    <row r="2105" spans="1:7" x14ac:dyDescent="0.2">
      <c r="A2105" s="405"/>
      <c r="B2105" s="316" t="s">
        <v>194</v>
      </c>
      <c r="C2105" s="410"/>
      <c r="D2105" s="414">
        <v>150</v>
      </c>
      <c r="E2105" s="316" t="s">
        <v>224</v>
      </c>
      <c r="F2105" s="424">
        <v>200</v>
      </c>
      <c r="G2105" s="421"/>
    </row>
    <row r="2106" spans="1:7" ht="16" x14ac:dyDescent="0.2">
      <c r="A2106" s="405"/>
      <c r="B2106" s="408" t="s">
        <v>187</v>
      </c>
      <c r="C2106" s="411"/>
      <c r="D2106" s="413">
        <v>150</v>
      </c>
      <c r="E2106" s="419" t="s">
        <v>187</v>
      </c>
      <c r="F2106" s="425">
        <v>100</v>
      </c>
      <c r="G2106" s="422"/>
    </row>
    <row r="2107" spans="1:7" x14ac:dyDescent="0.2">
      <c r="A2107" s="405"/>
      <c r="B2107" s="409" t="s">
        <v>70</v>
      </c>
      <c r="C2107" s="412">
        <v>1200</v>
      </c>
      <c r="D2107" s="413"/>
      <c r="E2107" s="409" t="s">
        <v>961</v>
      </c>
      <c r="F2107" s="425">
        <v>50</v>
      </c>
      <c r="G2107" s="422"/>
    </row>
    <row r="2108" spans="1:7" x14ac:dyDescent="0.2">
      <c r="A2108" s="405"/>
      <c r="B2108" s="316"/>
      <c r="C2108" s="410"/>
      <c r="D2108" s="414"/>
      <c r="E2108" s="316"/>
      <c r="F2108" s="425" t="s">
        <v>289</v>
      </c>
      <c r="G2108" s="422"/>
    </row>
    <row r="2109" spans="1:7" x14ac:dyDescent="0.2">
      <c r="A2109" s="405"/>
      <c r="B2109" s="408"/>
      <c r="C2109" s="411"/>
      <c r="D2109" s="413"/>
      <c r="E2109" s="419"/>
      <c r="F2109" s="425" t="s">
        <v>290</v>
      </c>
      <c r="G2109" s="422"/>
    </row>
    <row r="2110" spans="1:7" x14ac:dyDescent="0.2">
      <c r="A2110" s="405"/>
      <c r="B2110" s="409"/>
      <c r="C2110" s="412"/>
      <c r="D2110" s="413"/>
      <c r="E2110" s="409"/>
      <c r="F2110" s="426" t="s">
        <v>291</v>
      </c>
      <c r="G2110" s="422"/>
    </row>
    <row r="2111" spans="1:7" ht="16" thickBot="1" x14ac:dyDescent="0.25">
      <c r="A2111" s="405"/>
      <c r="B2111" s="409"/>
      <c r="C2111" s="412"/>
      <c r="D2111" s="413"/>
      <c r="E2111" s="409"/>
      <c r="F2111" s="427" t="s">
        <v>292</v>
      </c>
      <c r="G2111" s="423"/>
    </row>
    <row r="2112" spans="1:7" ht="16" thickBot="1" x14ac:dyDescent="0.25">
      <c r="A2112" s="405"/>
      <c r="B2112" s="408"/>
      <c r="C2112" s="412"/>
      <c r="D2112" s="413"/>
      <c r="E2112" s="417"/>
      <c r="F2112" s="831">
        <f>SUM(G2105:G2110)</f>
        <v>0</v>
      </c>
      <c r="G2112" s="832"/>
    </row>
    <row r="2113" spans="1:7" x14ac:dyDescent="0.2">
      <c r="A2113" s="405"/>
      <c r="B2113" s="408"/>
      <c r="C2113" s="411"/>
      <c r="D2113" s="413"/>
      <c r="E2113" s="417"/>
      <c r="F2113" s="430"/>
      <c r="G2113" s="428"/>
    </row>
    <row r="2114" spans="1:7" ht="16" thickBot="1" x14ac:dyDescent="0.25">
      <c r="A2114" s="405"/>
      <c r="B2114" s="408"/>
      <c r="C2114" s="411"/>
      <c r="D2114" s="413"/>
      <c r="E2114" s="420"/>
      <c r="F2114" s="431"/>
      <c r="G2114" s="429"/>
    </row>
    <row r="2115" spans="1:7" x14ac:dyDescent="0.2">
      <c r="A2115" s="405"/>
      <c r="B2115" s="408"/>
      <c r="C2115" s="412"/>
      <c r="D2115" s="413"/>
      <c r="E2115" s="417"/>
      <c r="F2115" s="833" t="s">
        <v>293</v>
      </c>
      <c r="G2115" s="834"/>
    </row>
    <row r="2116" spans="1:7" ht="16" thickBot="1" x14ac:dyDescent="0.25">
      <c r="A2116" s="405"/>
      <c r="B2116" s="316"/>
      <c r="C2116" s="234"/>
      <c r="D2116" s="413"/>
      <c r="E2116" s="316"/>
      <c r="F2116" s="835"/>
      <c r="G2116" s="836"/>
    </row>
    <row r="2117" spans="1:7" x14ac:dyDescent="0.2">
      <c r="A2117" s="405"/>
      <c r="B2117" s="408"/>
      <c r="C2117" s="412"/>
      <c r="D2117" s="413"/>
      <c r="E2117" s="417"/>
      <c r="F2117" s="424">
        <v>200</v>
      </c>
      <c r="G2117" s="421">
        <v>200</v>
      </c>
    </row>
    <row r="2118" spans="1:7" x14ac:dyDescent="0.2">
      <c r="A2118" s="405"/>
      <c r="B2118" s="408"/>
      <c r="C2118" s="411"/>
      <c r="D2118" s="413"/>
      <c r="E2118" s="417"/>
      <c r="F2118" s="425">
        <v>100</v>
      </c>
      <c r="G2118" s="422">
        <v>1000</v>
      </c>
    </row>
    <row r="2119" spans="1:7" x14ac:dyDescent="0.2">
      <c r="A2119" s="405"/>
      <c r="B2119" s="408"/>
      <c r="C2119" s="411"/>
      <c r="D2119" s="413"/>
      <c r="E2119" s="417"/>
      <c r="F2119" s="425">
        <v>50</v>
      </c>
      <c r="G2119" s="422"/>
    </row>
    <row r="2120" spans="1:7" x14ac:dyDescent="0.2">
      <c r="A2120" s="405"/>
      <c r="B2120" s="408"/>
      <c r="C2120" s="411"/>
      <c r="D2120" s="413"/>
      <c r="E2120" s="417"/>
      <c r="F2120" s="425" t="s">
        <v>289</v>
      </c>
      <c r="G2120" s="422"/>
    </row>
    <row r="2121" spans="1:7" x14ac:dyDescent="0.2">
      <c r="A2121" s="405"/>
      <c r="B2121" s="408"/>
      <c r="C2121" s="411"/>
      <c r="D2121" s="413"/>
      <c r="E2121" s="417"/>
      <c r="F2121" s="425" t="s">
        <v>290</v>
      </c>
      <c r="G2121" s="422"/>
    </row>
    <row r="2122" spans="1:7" x14ac:dyDescent="0.2">
      <c r="A2122" s="405"/>
      <c r="B2122" s="408"/>
      <c r="C2122" s="411"/>
      <c r="D2122" s="413"/>
      <c r="E2122" s="417"/>
      <c r="F2122" s="426" t="s">
        <v>291</v>
      </c>
      <c r="G2122" s="422"/>
    </row>
    <row r="2123" spans="1:7" ht="16" thickBot="1" x14ac:dyDescent="0.25">
      <c r="A2123" s="405"/>
      <c r="B2123" s="408"/>
      <c r="C2123" s="411"/>
      <c r="D2123" s="413"/>
      <c r="E2123" s="417" t="s">
        <v>340</v>
      </c>
      <c r="F2123" s="427" t="s">
        <v>292</v>
      </c>
      <c r="G2123" s="423"/>
    </row>
    <row r="2124" spans="1:7" ht="16" thickBot="1" x14ac:dyDescent="0.25">
      <c r="A2124" s="405"/>
      <c r="B2124" s="408"/>
      <c r="C2124" s="411"/>
      <c r="D2124" s="415"/>
      <c r="E2124" s="417"/>
      <c r="F2124" s="837">
        <f>SUM(G2117:G2122)</f>
        <v>1200</v>
      </c>
      <c r="G2124" s="838"/>
    </row>
    <row r="2125" spans="1:7" ht="16" thickBot="1" x14ac:dyDescent="0.25">
      <c r="A2125" s="406" t="s">
        <v>19</v>
      </c>
      <c r="B2125" s="185"/>
      <c r="C2125" s="407">
        <f>SUM(C2103:C2124)</f>
        <v>1500</v>
      </c>
      <c r="D2125" s="186">
        <f>SUM(D2103:D2124)</f>
        <v>300</v>
      </c>
      <c r="E2125" s="186">
        <f>C2125-D2125</f>
        <v>1200</v>
      </c>
      <c r="F2125" s="416"/>
      <c r="G2125" s="187"/>
    </row>
    <row r="2126" spans="1:7" ht="16" thickBot="1" x14ac:dyDescent="0.25"/>
    <row r="2127" spans="1:7" ht="33" thickBot="1" x14ac:dyDescent="0.25">
      <c r="A2127" s="686"/>
      <c r="B2127" s="183" t="s">
        <v>283</v>
      </c>
      <c r="C2127" s="236" t="s">
        <v>284</v>
      </c>
      <c r="D2127" s="184" t="s">
        <v>285</v>
      </c>
      <c r="E2127" s="184" t="s">
        <v>125</v>
      </c>
      <c r="F2127" s="827" t="s">
        <v>286</v>
      </c>
      <c r="G2127" s="828"/>
    </row>
    <row r="2128" spans="1:7" ht="16" thickBot="1" x14ac:dyDescent="0.25">
      <c r="A2128" s="433">
        <v>45757</v>
      </c>
      <c r="B2128" s="435" t="s">
        <v>287</v>
      </c>
      <c r="C2128" s="436">
        <f>E2125</f>
        <v>1200</v>
      </c>
      <c r="D2128" s="28"/>
      <c r="E2128" s="438" t="s">
        <v>287</v>
      </c>
      <c r="F2128" s="829" t="s">
        <v>288</v>
      </c>
      <c r="G2128" s="830"/>
    </row>
    <row r="2129" spans="1:7" ht="16" thickBot="1" x14ac:dyDescent="0.25">
      <c r="A2129" s="432"/>
      <c r="B2129" s="316" t="s">
        <v>294</v>
      </c>
      <c r="C2129" s="410">
        <f>150+300+300</f>
        <v>750</v>
      </c>
      <c r="D2129" s="414"/>
      <c r="E2129" s="316" t="s">
        <v>295</v>
      </c>
      <c r="F2129" s="829"/>
      <c r="G2129" s="830"/>
    </row>
    <row r="2130" spans="1:7" x14ac:dyDescent="0.2">
      <c r="A2130" s="405"/>
      <c r="B2130" s="316" t="s">
        <v>222</v>
      </c>
      <c r="C2130" s="410"/>
      <c r="D2130" s="414">
        <v>300</v>
      </c>
      <c r="E2130" s="316" t="s">
        <v>969</v>
      </c>
      <c r="F2130" s="424">
        <v>200</v>
      </c>
      <c r="G2130" s="421"/>
    </row>
    <row r="2131" spans="1:7" ht="16" x14ac:dyDescent="0.2">
      <c r="A2131" s="405"/>
      <c r="B2131" s="408" t="s">
        <v>222</v>
      </c>
      <c r="C2131" s="411"/>
      <c r="D2131" s="413">
        <v>200</v>
      </c>
      <c r="E2131" s="419" t="s">
        <v>817</v>
      </c>
      <c r="F2131" s="425">
        <v>100</v>
      </c>
      <c r="G2131" s="422"/>
    </row>
    <row r="2132" spans="1:7" x14ac:dyDescent="0.2">
      <c r="A2132" s="405"/>
      <c r="B2132" s="409" t="s">
        <v>298</v>
      </c>
      <c r="C2132" s="412"/>
      <c r="D2132" s="413">
        <v>300</v>
      </c>
      <c r="E2132" s="409" t="s">
        <v>298</v>
      </c>
      <c r="F2132" s="425">
        <v>50</v>
      </c>
      <c r="G2132" s="422"/>
    </row>
    <row r="2133" spans="1:7" x14ac:dyDescent="0.2">
      <c r="A2133" s="405"/>
      <c r="B2133" s="316" t="s">
        <v>187</v>
      </c>
      <c r="C2133" s="410"/>
      <c r="D2133" s="414">
        <v>600</v>
      </c>
      <c r="E2133" s="316" t="s">
        <v>187</v>
      </c>
      <c r="F2133" s="425" t="s">
        <v>289</v>
      </c>
      <c r="G2133" s="422"/>
    </row>
    <row r="2134" spans="1:7" ht="16" x14ac:dyDescent="0.2">
      <c r="A2134" s="405"/>
      <c r="B2134" s="408" t="s">
        <v>194</v>
      </c>
      <c r="C2134" s="411"/>
      <c r="D2134" s="413">
        <v>52</v>
      </c>
      <c r="E2134" s="419" t="s">
        <v>224</v>
      </c>
      <c r="F2134" s="425" t="s">
        <v>290</v>
      </c>
      <c r="G2134" s="422"/>
    </row>
    <row r="2135" spans="1:7" x14ac:dyDescent="0.2">
      <c r="A2135" s="405"/>
      <c r="B2135" s="409" t="s">
        <v>334</v>
      </c>
      <c r="C2135" s="412"/>
      <c r="D2135" s="413">
        <v>15</v>
      </c>
      <c r="E2135" s="409" t="s">
        <v>979</v>
      </c>
      <c r="F2135" s="426" t="s">
        <v>291</v>
      </c>
      <c r="G2135" s="422"/>
    </row>
    <row r="2136" spans="1:7" ht="16" thickBot="1" x14ac:dyDescent="0.25">
      <c r="A2136" s="405"/>
      <c r="B2136" s="409" t="s">
        <v>298</v>
      </c>
      <c r="C2136" s="412"/>
      <c r="D2136" s="413">
        <v>483</v>
      </c>
      <c r="E2136" s="409" t="s">
        <v>298</v>
      </c>
      <c r="F2136" s="427" t="s">
        <v>292</v>
      </c>
      <c r="G2136" s="423"/>
    </row>
    <row r="2137" spans="1:7" ht="16" thickBot="1" x14ac:dyDescent="0.25">
      <c r="A2137" s="405"/>
      <c r="B2137" s="408"/>
      <c r="C2137" s="412"/>
      <c r="D2137" s="413"/>
      <c r="E2137" s="417"/>
      <c r="F2137" s="831">
        <f>SUM(G2130:G2135)</f>
        <v>0</v>
      </c>
      <c r="G2137" s="832"/>
    </row>
    <row r="2138" spans="1:7" x14ac:dyDescent="0.2">
      <c r="A2138" s="405"/>
      <c r="B2138" s="408"/>
      <c r="C2138" s="411"/>
      <c r="D2138" s="413"/>
      <c r="E2138" s="417"/>
      <c r="F2138" s="430"/>
      <c r="G2138" s="428"/>
    </row>
    <row r="2139" spans="1:7" ht="16" thickBot="1" x14ac:dyDescent="0.25">
      <c r="A2139" s="405"/>
      <c r="B2139" s="408"/>
      <c r="C2139" s="411"/>
      <c r="D2139" s="413"/>
      <c r="E2139" s="420"/>
      <c r="F2139" s="431"/>
      <c r="G2139" s="429"/>
    </row>
    <row r="2140" spans="1:7" x14ac:dyDescent="0.2">
      <c r="A2140" s="405"/>
      <c r="B2140" s="408"/>
      <c r="C2140" s="412"/>
      <c r="D2140" s="413"/>
      <c r="E2140" s="417"/>
      <c r="F2140" s="833" t="s">
        <v>293</v>
      </c>
      <c r="G2140" s="834"/>
    </row>
    <row r="2141" spans="1:7" ht="16" thickBot="1" x14ac:dyDescent="0.25">
      <c r="A2141" s="405"/>
      <c r="B2141" s="316"/>
      <c r="C2141" s="234"/>
      <c r="D2141" s="413"/>
      <c r="E2141" s="316"/>
      <c r="F2141" s="835"/>
      <c r="G2141" s="836"/>
    </row>
    <row r="2142" spans="1:7" x14ac:dyDescent="0.2">
      <c r="A2142" s="405"/>
      <c r="B2142" s="408"/>
      <c r="C2142" s="412"/>
      <c r="D2142" s="413"/>
      <c r="E2142" s="417"/>
      <c r="F2142" s="424">
        <v>200</v>
      </c>
      <c r="G2142" s="421"/>
    </row>
    <row r="2143" spans="1:7" x14ac:dyDescent="0.2">
      <c r="A2143" s="405"/>
      <c r="B2143" s="408"/>
      <c r="C2143" s="411"/>
      <c r="D2143" s="413"/>
      <c r="E2143" s="417"/>
      <c r="F2143" s="425">
        <v>100</v>
      </c>
      <c r="G2143" s="422"/>
    </row>
    <row r="2144" spans="1:7" x14ac:dyDescent="0.2">
      <c r="A2144" s="405"/>
      <c r="B2144" s="408"/>
      <c r="C2144" s="411"/>
      <c r="D2144" s="413"/>
      <c r="E2144" s="417"/>
      <c r="F2144" s="425">
        <v>50</v>
      </c>
      <c r="G2144" s="422"/>
    </row>
    <row r="2145" spans="1:7" x14ac:dyDescent="0.2">
      <c r="A2145" s="405"/>
      <c r="B2145" s="408"/>
      <c r="C2145" s="411"/>
      <c r="D2145" s="413"/>
      <c r="E2145" s="417"/>
      <c r="F2145" s="425" t="s">
        <v>289</v>
      </c>
      <c r="G2145" s="422"/>
    </row>
    <row r="2146" spans="1:7" x14ac:dyDescent="0.2">
      <c r="A2146" s="405"/>
      <c r="B2146" s="408"/>
      <c r="C2146" s="411"/>
      <c r="D2146" s="413"/>
      <c r="E2146" s="417"/>
      <c r="F2146" s="425" t="s">
        <v>290</v>
      </c>
      <c r="G2146" s="422"/>
    </row>
    <row r="2147" spans="1:7" x14ac:dyDescent="0.2">
      <c r="A2147" s="405"/>
      <c r="B2147" s="408"/>
      <c r="C2147" s="411"/>
      <c r="D2147" s="413"/>
      <c r="E2147" s="417"/>
      <c r="F2147" s="426" t="s">
        <v>291</v>
      </c>
      <c r="G2147" s="422"/>
    </row>
    <row r="2148" spans="1:7" ht="16" thickBot="1" x14ac:dyDescent="0.25">
      <c r="A2148" s="405"/>
      <c r="B2148" s="408"/>
      <c r="C2148" s="411"/>
      <c r="D2148" s="413"/>
      <c r="E2148" s="417" t="s">
        <v>340</v>
      </c>
      <c r="F2148" s="427" t="s">
        <v>292</v>
      </c>
      <c r="G2148" s="423"/>
    </row>
    <row r="2149" spans="1:7" ht="16" thickBot="1" x14ac:dyDescent="0.25">
      <c r="A2149" s="405"/>
      <c r="B2149" s="408"/>
      <c r="C2149" s="411"/>
      <c r="D2149" s="415"/>
      <c r="E2149" s="417"/>
      <c r="F2149" s="837">
        <f>SUM(G2142:G2147)</f>
        <v>0</v>
      </c>
      <c r="G2149" s="838"/>
    </row>
    <row r="2150" spans="1:7" ht="16" thickBot="1" x14ac:dyDescent="0.25">
      <c r="A2150" s="406" t="s">
        <v>19</v>
      </c>
      <c r="B2150" s="185"/>
      <c r="C2150" s="407">
        <f>SUM(C2128:C2149)</f>
        <v>1950</v>
      </c>
      <c r="D2150" s="186">
        <f>SUM(D2128:D2149)</f>
        <v>1950</v>
      </c>
      <c r="E2150" s="186">
        <f>C2150-D2150</f>
        <v>0</v>
      </c>
      <c r="F2150" s="416"/>
      <c r="G2150" s="187"/>
    </row>
    <row r="2151" spans="1:7" ht="16" thickBot="1" x14ac:dyDescent="0.25"/>
    <row r="2152" spans="1:7" ht="33" thickBot="1" x14ac:dyDescent="0.25">
      <c r="A2152" s="686"/>
      <c r="B2152" s="183" t="s">
        <v>283</v>
      </c>
      <c r="C2152" s="236" t="s">
        <v>284</v>
      </c>
      <c r="D2152" s="184" t="s">
        <v>285</v>
      </c>
      <c r="E2152" s="184" t="s">
        <v>125</v>
      </c>
      <c r="F2152" s="827" t="s">
        <v>286</v>
      </c>
      <c r="G2152" s="828"/>
    </row>
    <row r="2153" spans="1:7" ht="16" thickBot="1" x14ac:dyDescent="0.25">
      <c r="A2153" s="433">
        <v>45758</v>
      </c>
      <c r="B2153" s="435" t="s">
        <v>287</v>
      </c>
      <c r="C2153" s="436">
        <f>E2150</f>
        <v>0</v>
      </c>
      <c r="D2153" s="28"/>
      <c r="E2153" s="438" t="s">
        <v>287</v>
      </c>
      <c r="F2153" s="829" t="s">
        <v>288</v>
      </c>
      <c r="G2153" s="830"/>
    </row>
    <row r="2154" spans="1:7" ht="16" thickBot="1" x14ac:dyDescent="0.25">
      <c r="A2154" s="432"/>
      <c r="B2154" s="316" t="s">
        <v>294</v>
      </c>
      <c r="C2154" s="410">
        <v>150</v>
      </c>
      <c r="D2154" s="414"/>
      <c r="E2154" s="316" t="s">
        <v>295</v>
      </c>
      <c r="F2154" s="829"/>
      <c r="G2154" s="830"/>
    </row>
    <row r="2155" spans="1:7" x14ac:dyDescent="0.2">
      <c r="A2155" s="405"/>
      <c r="B2155" s="316" t="s">
        <v>194</v>
      </c>
      <c r="C2155" s="410"/>
      <c r="D2155" s="414">
        <v>150</v>
      </c>
      <c r="E2155" s="316" t="s">
        <v>224</v>
      </c>
      <c r="F2155" s="424">
        <v>200</v>
      </c>
      <c r="G2155" s="421"/>
    </row>
    <row r="2156" spans="1:7" ht="16" x14ac:dyDescent="0.2">
      <c r="A2156" s="405"/>
      <c r="B2156" s="408" t="s">
        <v>70</v>
      </c>
      <c r="C2156" s="411">
        <v>1200</v>
      </c>
      <c r="D2156" s="413"/>
      <c r="E2156" s="419" t="s">
        <v>502</v>
      </c>
      <c r="F2156" s="425">
        <v>100</v>
      </c>
      <c r="G2156" s="422"/>
    </row>
    <row r="2157" spans="1:7" x14ac:dyDescent="0.2">
      <c r="A2157" s="405"/>
      <c r="B2157" s="409"/>
      <c r="C2157" s="412"/>
      <c r="D2157" s="413"/>
      <c r="E2157" s="409"/>
      <c r="F2157" s="425">
        <v>50</v>
      </c>
      <c r="G2157" s="422"/>
    </row>
    <row r="2158" spans="1:7" x14ac:dyDescent="0.2">
      <c r="A2158" s="405"/>
      <c r="B2158" s="316"/>
      <c r="C2158" s="410"/>
      <c r="D2158" s="414"/>
      <c r="E2158" s="316"/>
      <c r="F2158" s="425" t="s">
        <v>289</v>
      </c>
      <c r="G2158" s="422"/>
    </row>
    <row r="2159" spans="1:7" x14ac:dyDescent="0.2">
      <c r="A2159" s="405"/>
      <c r="B2159" s="408"/>
      <c r="C2159" s="411"/>
      <c r="D2159" s="413"/>
      <c r="E2159" s="419"/>
      <c r="F2159" s="425" t="s">
        <v>290</v>
      </c>
      <c r="G2159" s="422"/>
    </row>
    <row r="2160" spans="1:7" x14ac:dyDescent="0.2">
      <c r="A2160" s="405"/>
      <c r="B2160" s="409"/>
      <c r="C2160" s="412"/>
      <c r="D2160" s="413"/>
      <c r="E2160" s="409"/>
      <c r="F2160" s="426" t="s">
        <v>291</v>
      </c>
      <c r="G2160" s="422"/>
    </row>
    <row r="2161" spans="1:7" ht="16" thickBot="1" x14ac:dyDescent="0.25">
      <c r="A2161" s="405"/>
      <c r="B2161" s="409"/>
      <c r="C2161" s="412"/>
      <c r="D2161" s="413"/>
      <c r="E2161" s="409"/>
      <c r="F2161" s="427" t="s">
        <v>292</v>
      </c>
      <c r="G2161" s="423"/>
    </row>
    <row r="2162" spans="1:7" ht="16" thickBot="1" x14ac:dyDescent="0.25">
      <c r="A2162" s="405"/>
      <c r="B2162" s="408"/>
      <c r="C2162" s="412"/>
      <c r="D2162" s="413"/>
      <c r="E2162" s="417"/>
      <c r="F2162" s="831">
        <f>SUM(G2155:G2160)</f>
        <v>0</v>
      </c>
      <c r="G2162" s="832"/>
    </row>
    <row r="2163" spans="1:7" x14ac:dyDescent="0.2">
      <c r="A2163" s="405"/>
      <c r="B2163" s="408"/>
      <c r="C2163" s="411"/>
      <c r="D2163" s="413"/>
      <c r="E2163" s="417"/>
      <c r="F2163" s="430"/>
      <c r="G2163" s="428"/>
    </row>
    <row r="2164" spans="1:7" ht="16" thickBot="1" x14ac:dyDescent="0.25">
      <c r="A2164" s="405"/>
      <c r="B2164" s="408"/>
      <c r="C2164" s="411"/>
      <c r="D2164" s="413"/>
      <c r="E2164" s="420"/>
      <c r="F2164" s="431"/>
      <c r="G2164" s="429"/>
    </row>
    <row r="2165" spans="1:7" x14ac:dyDescent="0.2">
      <c r="A2165" s="405"/>
      <c r="B2165" s="408"/>
      <c r="C2165" s="412"/>
      <c r="D2165" s="413"/>
      <c r="E2165" s="417"/>
      <c r="F2165" s="833" t="s">
        <v>293</v>
      </c>
      <c r="G2165" s="834"/>
    </row>
    <row r="2166" spans="1:7" ht="16" thickBot="1" x14ac:dyDescent="0.25">
      <c r="A2166" s="405"/>
      <c r="B2166" s="316"/>
      <c r="C2166" s="234"/>
      <c r="D2166" s="413"/>
      <c r="E2166" s="316"/>
      <c r="F2166" s="835"/>
      <c r="G2166" s="836"/>
    </row>
    <row r="2167" spans="1:7" x14ac:dyDescent="0.2">
      <c r="A2167" s="405"/>
      <c r="B2167" s="408"/>
      <c r="C2167" s="412"/>
      <c r="D2167" s="413"/>
      <c r="E2167" s="417"/>
      <c r="F2167" s="424">
        <v>200</v>
      </c>
      <c r="G2167" s="421"/>
    </row>
    <row r="2168" spans="1:7" x14ac:dyDescent="0.2">
      <c r="A2168" s="405"/>
      <c r="B2168" s="408"/>
      <c r="C2168" s="411"/>
      <c r="D2168" s="413"/>
      <c r="E2168" s="417"/>
      <c r="F2168" s="425">
        <v>100</v>
      </c>
      <c r="G2168" s="422"/>
    </row>
    <row r="2169" spans="1:7" x14ac:dyDescent="0.2">
      <c r="A2169" s="405"/>
      <c r="B2169" s="408"/>
      <c r="C2169" s="411"/>
      <c r="D2169" s="413"/>
      <c r="E2169" s="417"/>
      <c r="F2169" s="425">
        <v>50</v>
      </c>
      <c r="G2169" s="422"/>
    </row>
    <row r="2170" spans="1:7" x14ac:dyDescent="0.2">
      <c r="A2170" s="405"/>
      <c r="B2170" s="408"/>
      <c r="C2170" s="411"/>
      <c r="D2170" s="413"/>
      <c r="E2170" s="417"/>
      <c r="F2170" s="425" t="s">
        <v>289</v>
      </c>
      <c r="G2170" s="422"/>
    </row>
    <row r="2171" spans="1:7" x14ac:dyDescent="0.2">
      <c r="A2171" s="405"/>
      <c r="B2171" s="408"/>
      <c r="C2171" s="411"/>
      <c r="D2171" s="413"/>
      <c r="E2171" s="417"/>
      <c r="F2171" s="425" t="s">
        <v>290</v>
      </c>
      <c r="G2171" s="422"/>
    </row>
    <row r="2172" spans="1:7" x14ac:dyDescent="0.2">
      <c r="A2172" s="405"/>
      <c r="B2172" s="408"/>
      <c r="C2172" s="411"/>
      <c r="D2172" s="413"/>
      <c r="E2172" s="417"/>
      <c r="F2172" s="426" t="s">
        <v>291</v>
      </c>
      <c r="G2172" s="422"/>
    </row>
    <row r="2173" spans="1:7" ht="16" thickBot="1" x14ac:dyDescent="0.25">
      <c r="A2173" s="405"/>
      <c r="B2173" s="408"/>
      <c r="C2173" s="411"/>
      <c r="D2173" s="413"/>
      <c r="E2173" s="417" t="s">
        <v>340</v>
      </c>
      <c r="F2173" s="427" t="s">
        <v>292</v>
      </c>
      <c r="G2173" s="423"/>
    </row>
    <row r="2174" spans="1:7" ht="16" thickBot="1" x14ac:dyDescent="0.25">
      <c r="A2174" s="405"/>
      <c r="B2174" s="408"/>
      <c r="C2174" s="411"/>
      <c r="D2174" s="415"/>
      <c r="E2174" s="417"/>
      <c r="F2174" s="837">
        <f>SUM(G2167:G2172)</f>
        <v>0</v>
      </c>
      <c r="G2174" s="838"/>
    </row>
    <row r="2175" spans="1:7" ht="16" thickBot="1" x14ac:dyDescent="0.25">
      <c r="A2175" s="406" t="s">
        <v>19</v>
      </c>
      <c r="B2175" s="185"/>
      <c r="C2175" s="407">
        <f>SUM(C2153:C2174)</f>
        <v>1350</v>
      </c>
      <c r="D2175" s="186">
        <f>SUM(D2153:D2174)</f>
        <v>150</v>
      </c>
      <c r="E2175" s="186">
        <f>C2175-D2175</f>
        <v>1200</v>
      </c>
      <c r="F2175" s="416"/>
      <c r="G2175" s="187"/>
    </row>
    <row r="2176" spans="1:7" ht="16" thickBot="1" x14ac:dyDescent="0.25"/>
    <row r="2177" spans="1:7" ht="33" thickBot="1" x14ac:dyDescent="0.25">
      <c r="A2177" s="686"/>
      <c r="B2177" s="183" t="s">
        <v>283</v>
      </c>
      <c r="C2177" s="236" t="s">
        <v>284</v>
      </c>
      <c r="D2177" s="184" t="s">
        <v>285</v>
      </c>
      <c r="E2177" s="184" t="s">
        <v>125</v>
      </c>
      <c r="F2177" s="827" t="s">
        <v>286</v>
      </c>
      <c r="G2177" s="828"/>
    </row>
    <row r="2178" spans="1:7" ht="16" thickBot="1" x14ac:dyDescent="0.25">
      <c r="A2178" s="433">
        <v>45760</v>
      </c>
      <c r="B2178" s="435" t="s">
        <v>287</v>
      </c>
      <c r="C2178" s="436">
        <f>E2175</f>
        <v>1200</v>
      </c>
      <c r="D2178" s="28"/>
      <c r="E2178" s="438" t="s">
        <v>287</v>
      </c>
      <c r="F2178" s="829" t="s">
        <v>288</v>
      </c>
      <c r="G2178" s="830"/>
    </row>
    <row r="2179" spans="1:7" ht="16" thickBot="1" x14ac:dyDescent="0.25">
      <c r="A2179" s="432"/>
      <c r="B2179" s="316" t="s">
        <v>294</v>
      </c>
      <c r="C2179" s="410">
        <f>150+150+50</f>
        <v>350</v>
      </c>
      <c r="D2179" s="414"/>
      <c r="E2179" s="316" t="s">
        <v>295</v>
      </c>
      <c r="F2179" s="829"/>
      <c r="G2179" s="830"/>
    </row>
    <row r="2180" spans="1:7" x14ac:dyDescent="0.2">
      <c r="A2180" s="405"/>
      <c r="B2180" s="316" t="s">
        <v>334</v>
      </c>
      <c r="C2180" s="410"/>
      <c r="D2180" s="414">
        <v>181</v>
      </c>
      <c r="E2180" s="316" t="s">
        <v>989</v>
      </c>
      <c r="F2180" s="424">
        <v>200</v>
      </c>
      <c r="G2180" s="421"/>
    </row>
    <row r="2181" spans="1:7" ht="16" x14ac:dyDescent="0.2">
      <c r="A2181" s="405"/>
      <c r="B2181" s="408" t="s">
        <v>298</v>
      </c>
      <c r="C2181" s="411"/>
      <c r="D2181" s="413">
        <v>1200</v>
      </c>
      <c r="E2181" s="419" t="s">
        <v>298</v>
      </c>
      <c r="F2181" s="425">
        <v>100</v>
      </c>
      <c r="G2181" s="422"/>
    </row>
    <row r="2182" spans="1:7" x14ac:dyDescent="0.2">
      <c r="A2182" s="405"/>
      <c r="B2182" s="409" t="s">
        <v>194</v>
      </c>
      <c r="C2182" s="412"/>
      <c r="D2182" s="413">
        <v>169</v>
      </c>
      <c r="E2182" s="409" t="s">
        <v>224</v>
      </c>
      <c r="F2182" s="425">
        <v>50</v>
      </c>
      <c r="G2182" s="422"/>
    </row>
    <row r="2183" spans="1:7" x14ac:dyDescent="0.2">
      <c r="A2183" s="405"/>
      <c r="B2183" s="316"/>
      <c r="C2183" s="410"/>
      <c r="D2183" s="414"/>
      <c r="E2183" s="316"/>
      <c r="F2183" s="425" t="s">
        <v>289</v>
      </c>
      <c r="G2183" s="422"/>
    </row>
    <row r="2184" spans="1:7" x14ac:dyDescent="0.2">
      <c r="A2184" s="405"/>
      <c r="B2184" s="408"/>
      <c r="C2184" s="411"/>
      <c r="D2184" s="413"/>
      <c r="E2184" s="419"/>
      <c r="F2184" s="425" t="s">
        <v>290</v>
      </c>
      <c r="G2184" s="422"/>
    </row>
    <row r="2185" spans="1:7" x14ac:dyDescent="0.2">
      <c r="A2185" s="405"/>
      <c r="B2185" s="409"/>
      <c r="C2185" s="412"/>
      <c r="D2185" s="413"/>
      <c r="E2185" s="409"/>
      <c r="F2185" s="426" t="s">
        <v>291</v>
      </c>
      <c r="G2185" s="422"/>
    </row>
    <row r="2186" spans="1:7" ht="16" thickBot="1" x14ac:dyDescent="0.25">
      <c r="A2186" s="405"/>
      <c r="B2186" s="409"/>
      <c r="C2186" s="412"/>
      <c r="D2186" s="413"/>
      <c r="E2186" s="409"/>
      <c r="F2186" s="427" t="s">
        <v>292</v>
      </c>
      <c r="G2186" s="423"/>
    </row>
    <row r="2187" spans="1:7" ht="16" thickBot="1" x14ac:dyDescent="0.25">
      <c r="A2187" s="405"/>
      <c r="B2187" s="408"/>
      <c r="C2187" s="412"/>
      <c r="D2187" s="413"/>
      <c r="E2187" s="417"/>
      <c r="F2187" s="831">
        <f>SUM(G2180:G2185)</f>
        <v>0</v>
      </c>
      <c r="G2187" s="832"/>
    </row>
    <row r="2188" spans="1:7" x14ac:dyDescent="0.2">
      <c r="A2188" s="405"/>
      <c r="B2188" s="408"/>
      <c r="C2188" s="411"/>
      <c r="D2188" s="413"/>
      <c r="E2188" s="417"/>
      <c r="F2188" s="430"/>
      <c r="G2188" s="428"/>
    </row>
    <row r="2189" spans="1:7" ht="16" thickBot="1" x14ac:dyDescent="0.25">
      <c r="A2189" s="405"/>
      <c r="B2189" s="408"/>
      <c r="C2189" s="411"/>
      <c r="D2189" s="413"/>
      <c r="E2189" s="420"/>
      <c r="F2189" s="431"/>
      <c r="G2189" s="429"/>
    </row>
    <row r="2190" spans="1:7" x14ac:dyDescent="0.2">
      <c r="A2190" s="405"/>
      <c r="B2190" s="408"/>
      <c r="C2190" s="412"/>
      <c r="D2190" s="413"/>
      <c r="E2190" s="417"/>
      <c r="F2190" s="833" t="s">
        <v>293</v>
      </c>
      <c r="G2190" s="834"/>
    </row>
    <row r="2191" spans="1:7" ht="16" thickBot="1" x14ac:dyDescent="0.25">
      <c r="A2191" s="405"/>
      <c r="B2191" s="316"/>
      <c r="C2191" s="234"/>
      <c r="D2191" s="413"/>
      <c r="E2191" s="316"/>
      <c r="F2191" s="835"/>
      <c r="G2191" s="836"/>
    </row>
    <row r="2192" spans="1:7" x14ac:dyDescent="0.2">
      <c r="A2192" s="405"/>
      <c r="B2192" s="408"/>
      <c r="C2192" s="412"/>
      <c r="D2192" s="413"/>
      <c r="E2192" s="417"/>
      <c r="F2192" s="424">
        <v>200</v>
      </c>
      <c r="G2192" s="421"/>
    </row>
    <row r="2193" spans="1:7" x14ac:dyDescent="0.2">
      <c r="A2193" s="405"/>
      <c r="B2193" s="408"/>
      <c r="C2193" s="411"/>
      <c r="D2193" s="413"/>
      <c r="E2193" s="417"/>
      <c r="F2193" s="425">
        <v>100</v>
      </c>
      <c r="G2193" s="422"/>
    </row>
    <row r="2194" spans="1:7" x14ac:dyDescent="0.2">
      <c r="A2194" s="405"/>
      <c r="B2194" s="408"/>
      <c r="C2194" s="411"/>
      <c r="D2194" s="413"/>
      <c r="E2194" s="417"/>
      <c r="F2194" s="425">
        <v>50</v>
      </c>
      <c r="G2194" s="422"/>
    </row>
    <row r="2195" spans="1:7" x14ac:dyDescent="0.2">
      <c r="A2195" s="405"/>
      <c r="B2195" s="408"/>
      <c r="C2195" s="411"/>
      <c r="D2195" s="413"/>
      <c r="E2195" s="417"/>
      <c r="F2195" s="425" t="s">
        <v>289</v>
      </c>
      <c r="G2195" s="422"/>
    </row>
    <row r="2196" spans="1:7" x14ac:dyDescent="0.2">
      <c r="A2196" s="405"/>
      <c r="B2196" s="408"/>
      <c r="C2196" s="411"/>
      <c r="D2196" s="413"/>
      <c r="E2196" s="417"/>
      <c r="F2196" s="425" t="s">
        <v>290</v>
      </c>
      <c r="G2196" s="422"/>
    </row>
    <row r="2197" spans="1:7" x14ac:dyDescent="0.2">
      <c r="A2197" s="405"/>
      <c r="B2197" s="408"/>
      <c r="C2197" s="411"/>
      <c r="D2197" s="413"/>
      <c r="E2197" s="417"/>
      <c r="F2197" s="426" t="s">
        <v>291</v>
      </c>
      <c r="G2197" s="422"/>
    </row>
    <row r="2198" spans="1:7" ht="16" thickBot="1" x14ac:dyDescent="0.25">
      <c r="A2198" s="405"/>
      <c r="B2198" s="408"/>
      <c r="C2198" s="411"/>
      <c r="D2198" s="413"/>
      <c r="E2198" s="417" t="s">
        <v>340</v>
      </c>
      <c r="F2198" s="427" t="s">
        <v>292</v>
      </c>
      <c r="G2198" s="423"/>
    </row>
    <row r="2199" spans="1:7" ht="16" thickBot="1" x14ac:dyDescent="0.25">
      <c r="A2199" s="405"/>
      <c r="B2199" s="408"/>
      <c r="C2199" s="411"/>
      <c r="D2199" s="415"/>
      <c r="E2199" s="417"/>
      <c r="F2199" s="837">
        <f>SUM(G2192:G2197)</f>
        <v>0</v>
      </c>
      <c r="G2199" s="838"/>
    </row>
    <row r="2200" spans="1:7" ht="16" thickBot="1" x14ac:dyDescent="0.25">
      <c r="A2200" s="406" t="s">
        <v>19</v>
      </c>
      <c r="B2200" s="185"/>
      <c r="C2200" s="407">
        <f>SUM(C2178:C2199)</f>
        <v>1550</v>
      </c>
      <c r="D2200" s="186">
        <f>SUM(D2178:D2199)</f>
        <v>1550</v>
      </c>
      <c r="E2200" s="186">
        <f>C2200-D2200</f>
        <v>0</v>
      </c>
      <c r="F2200" s="416"/>
      <c r="G2200" s="187"/>
    </row>
    <row r="2201" spans="1:7" ht="16" thickBot="1" x14ac:dyDescent="0.25"/>
    <row r="2202" spans="1:7" ht="33" thickBot="1" x14ac:dyDescent="0.25">
      <c r="A2202" s="686"/>
      <c r="B2202" s="183" t="s">
        <v>283</v>
      </c>
      <c r="C2202" s="236" t="s">
        <v>284</v>
      </c>
      <c r="D2202" s="184" t="s">
        <v>285</v>
      </c>
      <c r="E2202" s="184" t="s">
        <v>125</v>
      </c>
      <c r="F2202" s="827" t="s">
        <v>286</v>
      </c>
      <c r="G2202" s="828"/>
    </row>
    <row r="2203" spans="1:7" ht="16" thickBot="1" x14ac:dyDescent="0.25">
      <c r="A2203" s="433">
        <v>45761</v>
      </c>
      <c r="B2203" s="435" t="s">
        <v>287</v>
      </c>
      <c r="C2203" s="436">
        <f>E2200</f>
        <v>0</v>
      </c>
      <c r="D2203" s="28"/>
      <c r="E2203" s="438" t="s">
        <v>287</v>
      </c>
      <c r="F2203" s="829" t="s">
        <v>288</v>
      </c>
      <c r="G2203" s="830"/>
    </row>
    <row r="2204" spans="1:7" ht="16" thickBot="1" x14ac:dyDescent="0.25">
      <c r="A2204" s="432"/>
      <c r="B2204" s="316" t="s">
        <v>294</v>
      </c>
      <c r="C2204" s="410">
        <f>150+300+450+90</f>
        <v>990</v>
      </c>
      <c r="D2204" s="414"/>
      <c r="E2204" s="316" t="s">
        <v>295</v>
      </c>
      <c r="F2204" s="829"/>
      <c r="G2204" s="830"/>
    </row>
    <row r="2205" spans="1:7" x14ac:dyDescent="0.2">
      <c r="A2205" s="405"/>
      <c r="B2205" s="316" t="s">
        <v>334</v>
      </c>
      <c r="C2205" s="410"/>
      <c r="D2205" s="414">
        <f>90+165</f>
        <v>255</v>
      </c>
      <c r="E2205" s="316" t="s">
        <v>577</v>
      </c>
      <c r="F2205" s="424">
        <v>200</v>
      </c>
      <c r="G2205" s="421"/>
    </row>
    <row r="2206" spans="1:7" ht="16" x14ac:dyDescent="0.2">
      <c r="A2206" s="405"/>
      <c r="B2206" s="408" t="s">
        <v>70</v>
      </c>
      <c r="C2206" s="411">
        <v>1200</v>
      </c>
      <c r="D2206" s="413"/>
      <c r="E2206" s="419" t="s">
        <v>502</v>
      </c>
      <c r="F2206" s="425">
        <v>100</v>
      </c>
      <c r="G2206" s="422"/>
    </row>
    <row r="2207" spans="1:7" x14ac:dyDescent="0.2">
      <c r="A2207" s="405"/>
      <c r="B2207" s="409" t="s">
        <v>298</v>
      </c>
      <c r="C2207" s="412"/>
      <c r="D2207" s="413">
        <f>900-185</f>
        <v>715</v>
      </c>
      <c r="E2207" s="409" t="s">
        <v>298</v>
      </c>
      <c r="F2207" s="425">
        <v>50</v>
      </c>
      <c r="G2207" s="422"/>
    </row>
    <row r="2208" spans="1:7" x14ac:dyDescent="0.2">
      <c r="A2208" s="405"/>
      <c r="B2208" s="316" t="s">
        <v>194</v>
      </c>
      <c r="C2208" s="410"/>
      <c r="D2208" s="414">
        <v>20</v>
      </c>
      <c r="E2208" s="316" t="s">
        <v>194</v>
      </c>
      <c r="F2208" s="425" t="s">
        <v>289</v>
      </c>
      <c r="G2208" s="422"/>
    </row>
    <row r="2209" spans="1:7" ht="16" x14ac:dyDescent="0.2">
      <c r="A2209" s="405"/>
      <c r="B2209" s="408" t="s">
        <v>222</v>
      </c>
      <c r="C2209" s="411">
        <v>267</v>
      </c>
      <c r="D2209" s="413"/>
      <c r="E2209" s="419" t="s">
        <v>549</v>
      </c>
      <c r="F2209" s="425" t="s">
        <v>290</v>
      </c>
      <c r="G2209" s="422"/>
    </row>
    <row r="2210" spans="1:7" x14ac:dyDescent="0.2">
      <c r="A2210" s="405"/>
      <c r="B2210" s="409"/>
      <c r="C2210" s="412"/>
      <c r="D2210" s="413"/>
      <c r="E2210" s="409"/>
      <c r="F2210" s="426" t="s">
        <v>291</v>
      </c>
      <c r="G2210" s="422"/>
    </row>
    <row r="2211" spans="1:7" ht="16" thickBot="1" x14ac:dyDescent="0.25">
      <c r="A2211" s="405"/>
      <c r="B2211" s="409"/>
      <c r="C2211" s="412"/>
      <c r="D2211" s="413"/>
      <c r="E2211" s="409"/>
      <c r="F2211" s="427" t="s">
        <v>292</v>
      </c>
      <c r="G2211" s="423"/>
    </row>
    <row r="2212" spans="1:7" ht="16" thickBot="1" x14ac:dyDescent="0.25">
      <c r="A2212" s="405"/>
      <c r="B2212" s="408"/>
      <c r="C2212" s="412"/>
      <c r="D2212" s="413"/>
      <c r="E2212" s="417"/>
      <c r="F2212" s="831">
        <f>SUM(G2205:G2210)</f>
        <v>0</v>
      </c>
      <c r="G2212" s="832"/>
    </row>
    <row r="2213" spans="1:7" x14ac:dyDescent="0.2">
      <c r="A2213" s="405"/>
      <c r="B2213" s="408"/>
      <c r="C2213" s="411"/>
      <c r="D2213" s="413"/>
      <c r="E2213" s="417"/>
      <c r="F2213" s="430"/>
      <c r="G2213" s="428"/>
    </row>
    <row r="2214" spans="1:7" ht="16" thickBot="1" x14ac:dyDescent="0.25">
      <c r="A2214" s="405"/>
      <c r="B2214" s="408"/>
      <c r="C2214" s="411"/>
      <c r="D2214" s="413"/>
      <c r="E2214" s="420"/>
      <c r="F2214" s="431"/>
      <c r="G2214" s="429"/>
    </row>
    <row r="2215" spans="1:7" x14ac:dyDescent="0.2">
      <c r="A2215" s="405"/>
      <c r="B2215" s="408"/>
      <c r="C2215" s="412"/>
      <c r="D2215" s="413"/>
      <c r="E2215" s="417"/>
      <c r="F2215" s="833" t="s">
        <v>293</v>
      </c>
      <c r="G2215" s="834"/>
    </row>
    <row r="2216" spans="1:7" ht="16" thickBot="1" x14ac:dyDescent="0.25">
      <c r="A2216" s="405"/>
      <c r="B2216" s="316"/>
      <c r="C2216" s="234"/>
      <c r="D2216" s="413"/>
      <c r="E2216" s="316"/>
      <c r="F2216" s="835"/>
      <c r="G2216" s="836"/>
    </row>
    <row r="2217" spans="1:7" x14ac:dyDescent="0.2">
      <c r="A2217" s="405"/>
      <c r="B2217" s="408"/>
      <c r="C2217" s="412"/>
      <c r="D2217" s="413"/>
      <c r="E2217" s="417"/>
      <c r="F2217" s="424">
        <v>200</v>
      </c>
      <c r="G2217" s="421"/>
    </row>
    <row r="2218" spans="1:7" x14ac:dyDescent="0.2">
      <c r="A2218" s="405"/>
      <c r="B2218" s="408"/>
      <c r="C2218" s="411"/>
      <c r="D2218" s="413"/>
      <c r="E2218" s="417"/>
      <c r="F2218" s="425">
        <v>100</v>
      </c>
      <c r="G2218" s="422">
        <v>1000</v>
      </c>
    </row>
    <row r="2219" spans="1:7" x14ac:dyDescent="0.2">
      <c r="A2219" s="405"/>
      <c r="B2219" s="408"/>
      <c r="C2219" s="411"/>
      <c r="D2219" s="413"/>
      <c r="E2219" s="417"/>
      <c r="F2219" s="425">
        <v>50</v>
      </c>
      <c r="G2219" s="422">
        <v>450</v>
      </c>
    </row>
    <row r="2220" spans="1:7" x14ac:dyDescent="0.2">
      <c r="A2220" s="405"/>
      <c r="B2220" s="408"/>
      <c r="C2220" s="411"/>
      <c r="D2220" s="413"/>
      <c r="E2220" s="417"/>
      <c r="F2220" s="425" t="s">
        <v>289</v>
      </c>
      <c r="G2220" s="422"/>
    </row>
    <row r="2221" spans="1:7" x14ac:dyDescent="0.2">
      <c r="A2221" s="405"/>
      <c r="B2221" s="408"/>
      <c r="C2221" s="411"/>
      <c r="D2221" s="413"/>
      <c r="E2221" s="417"/>
      <c r="F2221" s="425" t="s">
        <v>290</v>
      </c>
      <c r="G2221" s="422">
        <v>10</v>
      </c>
    </row>
    <row r="2222" spans="1:7" x14ac:dyDescent="0.2">
      <c r="A2222" s="405"/>
      <c r="B2222" s="408"/>
      <c r="C2222" s="411"/>
      <c r="D2222" s="413"/>
      <c r="E2222" s="417"/>
      <c r="F2222" s="426" t="s">
        <v>291</v>
      </c>
      <c r="G2222" s="422">
        <v>7</v>
      </c>
    </row>
    <row r="2223" spans="1:7" ht="16" thickBot="1" x14ac:dyDescent="0.25">
      <c r="A2223" s="405"/>
      <c r="B2223" s="408"/>
      <c r="C2223" s="411"/>
      <c r="D2223" s="413"/>
      <c r="E2223" s="417" t="s">
        <v>340</v>
      </c>
      <c r="F2223" s="427" t="s">
        <v>292</v>
      </c>
      <c r="G2223" s="423"/>
    </row>
    <row r="2224" spans="1:7" ht="16" thickBot="1" x14ac:dyDescent="0.25">
      <c r="A2224" s="405"/>
      <c r="B2224" s="408"/>
      <c r="C2224" s="411"/>
      <c r="D2224" s="415"/>
      <c r="E2224" s="417"/>
      <c r="F2224" s="837">
        <f>SUM(G2217:G2222)</f>
        <v>1467</v>
      </c>
      <c r="G2224" s="838"/>
    </row>
    <row r="2225" spans="1:7" ht="16" thickBot="1" x14ac:dyDescent="0.25">
      <c r="A2225" s="406" t="s">
        <v>19</v>
      </c>
      <c r="B2225" s="185"/>
      <c r="C2225" s="407">
        <f>SUM(C2203:C2224)</f>
        <v>2457</v>
      </c>
      <c r="D2225" s="186">
        <f>SUM(D2203:D2224)</f>
        <v>990</v>
      </c>
      <c r="E2225" s="186">
        <f>C2225-D2225</f>
        <v>1467</v>
      </c>
      <c r="F2225" s="416"/>
      <c r="G2225" s="187"/>
    </row>
    <row r="2226" spans="1:7" ht="16" thickBot="1" x14ac:dyDescent="0.25"/>
    <row r="2227" spans="1:7" ht="33" thickBot="1" x14ac:dyDescent="0.25">
      <c r="A2227" s="686"/>
      <c r="B2227" s="183" t="s">
        <v>283</v>
      </c>
      <c r="C2227" s="236" t="s">
        <v>284</v>
      </c>
      <c r="D2227" s="184" t="s">
        <v>285</v>
      </c>
      <c r="E2227" s="184" t="s">
        <v>125</v>
      </c>
      <c r="F2227" s="827" t="s">
        <v>286</v>
      </c>
      <c r="G2227" s="828"/>
    </row>
    <row r="2228" spans="1:7" ht="16" thickBot="1" x14ac:dyDescent="0.25">
      <c r="A2228" s="433">
        <v>45762</v>
      </c>
      <c r="B2228" s="435" t="s">
        <v>287</v>
      </c>
      <c r="C2228" s="436">
        <f>E2225</f>
        <v>1467</v>
      </c>
      <c r="D2228" s="28"/>
      <c r="E2228" s="438" t="s">
        <v>287</v>
      </c>
      <c r="F2228" s="829" t="s">
        <v>288</v>
      </c>
      <c r="G2228" s="830"/>
    </row>
    <row r="2229" spans="1:7" ht="16" thickBot="1" x14ac:dyDescent="0.25">
      <c r="A2229" s="432"/>
      <c r="B2229" s="316" t="s">
        <v>222</v>
      </c>
      <c r="C2229" s="410"/>
      <c r="D2229" s="414">
        <f>800+200+150</f>
        <v>1150</v>
      </c>
      <c r="E2229" s="316" t="s">
        <v>996</v>
      </c>
      <c r="F2229" s="829"/>
      <c r="G2229" s="830"/>
    </row>
    <row r="2230" spans="1:7" x14ac:dyDescent="0.2">
      <c r="A2230" s="405"/>
      <c r="B2230" s="316" t="s">
        <v>496</v>
      </c>
      <c r="C2230" s="410"/>
      <c r="D2230" s="414">
        <v>226</v>
      </c>
      <c r="E2230" s="316" t="s">
        <v>497</v>
      </c>
      <c r="F2230" s="424">
        <v>200</v>
      </c>
      <c r="G2230" s="421"/>
    </row>
    <row r="2231" spans="1:7" ht="16" x14ac:dyDescent="0.2">
      <c r="A2231" s="405"/>
      <c r="B2231" s="408" t="s">
        <v>334</v>
      </c>
      <c r="C2231" s="411"/>
      <c r="D2231" s="413">
        <f>74+17</f>
        <v>91</v>
      </c>
      <c r="E2231" s="419" t="s">
        <v>997</v>
      </c>
      <c r="F2231" s="425">
        <v>100</v>
      </c>
      <c r="G2231" s="422">
        <v>1000</v>
      </c>
    </row>
    <row r="2232" spans="1:7" x14ac:dyDescent="0.2">
      <c r="A2232" s="405"/>
      <c r="B2232" s="409" t="s">
        <v>294</v>
      </c>
      <c r="C2232" s="412">
        <f>150+150+150+150</f>
        <v>600</v>
      </c>
      <c r="D2232" s="413"/>
      <c r="E2232" s="409" t="s">
        <v>295</v>
      </c>
      <c r="F2232" s="425">
        <v>50</v>
      </c>
      <c r="G2232" s="422">
        <v>450</v>
      </c>
    </row>
    <row r="2233" spans="1:7" x14ac:dyDescent="0.2">
      <c r="A2233" s="405"/>
      <c r="B2233" s="316" t="s">
        <v>187</v>
      </c>
      <c r="C2233" s="410"/>
      <c r="D2233" s="414">
        <v>150</v>
      </c>
      <c r="E2233" s="316" t="s">
        <v>187</v>
      </c>
      <c r="F2233" s="425" t="s">
        <v>289</v>
      </c>
      <c r="G2233" s="422"/>
    </row>
    <row r="2234" spans="1:7" ht="16" x14ac:dyDescent="0.2">
      <c r="A2234" s="405"/>
      <c r="B2234" s="408" t="s">
        <v>194</v>
      </c>
      <c r="C2234" s="411"/>
      <c r="D2234" s="413">
        <v>100</v>
      </c>
      <c r="E2234" s="419" t="s">
        <v>224</v>
      </c>
      <c r="F2234" s="425" t="s">
        <v>290</v>
      </c>
      <c r="G2234" s="422">
        <v>10</v>
      </c>
    </row>
    <row r="2235" spans="1:7" x14ac:dyDescent="0.2">
      <c r="A2235" s="405"/>
      <c r="B2235" s="409" t="s">
        <v>546</v>
      </c>
      <c r="C2235" s="412"/>
      <c r="D2235" s="413">
        <v>120</v>
      </c>
      <c r="E2235" s="409" t="s">
        <v>485</v>
      </c>
      <c r="F2235" s="426" t="s">
        <v>291</v>
      </c>
      <c r="G2235" s="422">
        <v>7</v>
      </c>
    </row>
    <row r="2236" spans="1:7" ht="16" thickBot="1" x14ac:dyDescent="0.25">
      <c r="A2236" s="405"/>
      <c r="B2236" s="409" t="s">
        <v>298</v>
      </c>
      <c r="C2236" s="412"/>
      <c r="D2236" s="413">
        <v>230</v>
      </c>
      <c r="E2236" s="409" t="s">
        <v>298</v>
      </c>
      <c r="F2236" s="427" t="s">
        <v>292</v>
      </c>
      <c r="G2236" s="423"/>
    </row>
    <row r="2237" spans="1:7" ht="16" thickBot="1" x14ac:dyDescent="0.25">
      <c r="A2237" s="405"/>
      <c r="B2237" s="408"/>
      <c r="C2237" s="412"/>
      <c r="D2237" s="413"/>
      <c r="E2237" s="417"/>
      <c r="F2237" s="831">
        <f>SUM(G2230:G2235)</f>
        <v>1467</v>
      </c>
      <c r="G2237" s="832"/>
    </row>
    <row r="2238" spans="1:7" x14ac:dyDescent="0.2">
      <c r="A2238" s="405"/>
      <c r="B2238" s="408"/>
      <c r="C2238" s="411"/>
      <c r="D2238" s="413"/>
      <c r="E2238" s="417"/>
      <c r="F2238" s="430"/>
      <c r="G2238" s="428"/>
    </row>
    <row r="2239" spans="1:7" ht="16" thickBot="1" x14ac:dyDescent="0.25">
      <c r="A2239" s="405"/>
      <c r="B2239" s="408"/>
      <c r="C2239" s="411"/>
      <c r="D2239" s="413"/>
      <c r="E2239" s="420"/>
      <c r="F2239" s="431"/>
      <c r="G2239" s="429"/>
    </row>
    <row r="2240" spans="1:7" x14ac:dyDescent="0.2">
      <c r="A2240" s="405"/>
      <c r="B2240" s="408"/>
      <c r="C2240" s="412"/>
      <c r="D2240" s="413"/>
      <c r="E2240" s="417"/>
      <c r="F2240" s="833" t="s">
        <v>293</v>
      </c>
      <c r="G2240" s="834"/>
    </row>
    <row r="2241" spans="1:7" ht="16" thickBot="1" x14ac:dyDescent="0.25">
      <c r="A2241" s="405"/>
      <c r="B2241" s="316"/>
      <c r="C2241" s="234"/>
      <c r="D2241" s="413"/>
      <c r="E2241" s="316"/>
      <c r="F2241" s="835"/>
      <c r="G2241" s="836"/>
    </row>
    <row r="2242" spans="1:7" x14ac:dyDescent="0.2">
      <c r="A2242" s="405"/>
      <c r="B2242" s="408"/>
      <c r="C2242" s="412"/>
      <c r="D2242" s="413"/>
      <c r="E2242" s="417"/>
      <c r="F2242" s="424">
        <v>200</v>
      </c>
      <c r="G2242" s="421"/>
    </row>
    <row r="2243" spans="1:7" x14ac:dyDescent="0.2">
      <c r="A2243" s="405"/>
      <c r="B2243" s="408"/>
      <c r="C2243" s="411"/>
      <c r="D2243" s="413"/>
      <c r="E2243" s="417"/>
      <c r="F2243" s="425">
        <v>100</v>
      </c>
      <c r="G2243" s="422"/>
    </row>
    <row r="2244" spans="1:7" x14ac:dyDescent="0.2">
      <c r="A2244" s="405"/>
      <c r="B2244" s="408"/>
      <c r="C2244" s="411"/>
      <c r="D2244" s="413"/>
      <c r="E2244" s="417"/>
      <c r="F2244" s="425">
        <v>50</v>
      </c>
      <c r="G2244" s="422"/>
    </row>
    <row r="2245" spans="1:7" x14ac:dyDescent="0.2">
      <c r="A2245" s="405"/>
      <c r="B2245" s="408"/>
      <c r="C2245" s="411"/>
      <c r="D2245" s="413"/>
      <c r="E2245" s="417"/>
      <c r="F2245" s="425" t="s">
        <v>289</v>
      </c>
      <c r="G2245" s="422"/>
    </row>
    <row r="2246" spans="1:7" x14ac:dyDescent="0.2">
      <c r="A2246" s="405"/>
      <c r="B2246" s="408"/>
      <c r="C2246" s="411"/>
      <c r="D2246" s="413"/>
      <c r="E2246" s="417"/>
      <c r="F2246" s="425" t="s">
        <v>290</v>
      </c>
      <c r="G2246" s="422"/>
    </row>
    <row r="2247" spans="1:7" x14ac:dyDescent="0.2">
      <c r="A2247" s="405"/>
      <c r="B2247" s="408"/>
      <c r="C2247" s="411"/>
      <c r="D2247" s="413"/>
      <c r="E2247" s="417"/>
      <c r="F2247" s="426" t="s">
        <v>291</v>
      </c>
      <c r="G2247" s="422"/>
    </row>
    <row r="2248" spans="1:7" ht="16" thickBot="1" x14ac:dyDescent="0.25">
      <c r="A2248" s="405"/>
      <c r="B2248" s="408"/>
      <c r="C2248" s="411"/>
      <c r="D2248" s="413"/>
      <c r="E2248" s="417" t="s">
        <v>340</v>
      </c>
      <c r="F2248" s="427" t="s">
        <v>292</v>
      </c>
      <c r="G2248" s="423"/>
    </row>
    <row r="2249" spans="1:7" ht="16" thickBot="1" x14ac:dyDescent="0.25">
      <c r="A2249" s="405"/>
      <c r="B2249" s="408"/>
      <c r="C2249" s="411"/>
      <c r="D2249" s="415"/>
      <c r="E2249" s="417"/>
      <c r="F2249" s="837">
        <f>SUM(G2242:G2247)</f>
        <v>0</v>
      </c>
      <c r="G2249" s="838"/>
    </row>
    <row r="2250" spans="1:7" ht="16" thickBot="1" x14ac:dyDescent="0.25">
      <c r="A2250" s="406" t="s">
        <v>19</v>
      </c>
      <c r="B2250" s="185"/>
      <c r="C2250" s="407">
        <f>SUM(C2228:C2249)</f>
        <v>2067</v>
      </c>
      <c r="D2250" s="186">
        <f>SUM(D2228:D2249)</f>
        <v>2067</v>
      </c>
      <c r="E2250" s="186">
        <f>C2250-D2250</f>
        <v>0</v>
      </c>
      <c r="F2250" s="416"/>
      <c r="G2250" s="187"/>
    </row>
    <row r="2251" spans="1:7" ht="16" thickBot="1" x14ac:dyDescent="0.25"/>
    <row r="2252" spans="1:7" ht="33" thickBot="1" x14ac:dyDescent="0.25">
      <c r="A2252" s="686"/>
      <c r="B2252" s="183" t="s">
        <v>283</v>
      </c>
      <c r="C2252" s="236" t="s">
        <v>284</v>
      </c>
      <c r="D2252" s="184" t="s">
        <v>285</v>
      </c>
      <c r="E2252" s="184" t="s">
        <v>125</v>
      </c>
      <c r="F2252" s="827" t="s">
        <v>286</v>
      </c>
      <c r="G2252" s="828"/>
    </row>
    <row r="2253" spans="1:7" ht="16" thickBot="1" x14ac:dyDescent="0.25">
      <c r="A2253" s="433">
        <v>45763</v>
      </c>
      <c r="B2253" s="435" t="s">
        <v>287</v>
      </c>
      <c r="C2253" s="436">
        <f>E2250</f>
        <v>0</v>
      </c>
      <c r="D2253" s="28"/>
      <c r="E2253" s="438" t="s">
        <v>287</v>
      </c>
      <c r="F2253" s="829" t="s">
        <v>288</v>
      </c>
      <c r="G2253" s="830"/>
    </row>
    <row r="2254" spans="1:7" ht="16" thickBot="1" x14ac:dyDescent="0.25">
      <c r="A2254" s="432"/>
      <c r="B2254" s="316" t="s">
        <v>294</v>
      </c>
      <c r="C2254" s="410">
        <v>600</v>
      </c>
      <c r="D2254" s="414"/>
      <c r="E2254" s="316" t="s">
        <v>295</v>
      </c>
      <c r="F2254" s="829"/>
      <c r="G2254" s="830"/>
    </row>
    <row r="2255" spans="1:7" x14ac:dyDescent="0.2">
      <c r="A2255" s="405"/>
      <c r="B2255" s="316" t="s">
        <v>187</v>
      </c>
      <c r="C2255" s="410"/>
      <c r="D2255" s="414">
        <v>150</v>
      </c>
      <c r="E2255" s="316" t="s">
        <v>187</v>
      </c>
      <c r="F2255" s="424">
        <v>200</v>
      </c>
      <c r="G2255" s="421"/>
    </row>
    <row r="2256" spans="1:7" ht="16" x14ac:dyDescent="0.2">
      <c r="A2256" s="405"/>
      <c r="B2256" s="408" t="s">
        <v>222</v>
      </c>
      <c r="C2256" s="411">
        <v>500</v>
      </c>
      <c r="D2256" s="413"/>
      <c r="E2256" s="419" t="s">
        <v>89</v>
      </c>
      <c r="F2256" s="425">
        <v>100</v>
      </c>
      <c r="G2256" s="422">
        <v>1000</v>
      </c>
    </row>
    <row r="2257" spans="1:7" x14ac:dyDescent="0.2">
      <c r="A2257" s="405"/>
      <c r="B2257" s="409"/>
      <c r="C2257" s="412"/>
      <c r="D2257" s="413"/>
      <c r="E2257" s="409"/>
      <c r="F2257" s="425">
        <v>50</v>
      </c>
      <c r="G2257" s="422">
        <v>450</v>
      </c>
    </row>
    <row r="2258" spans="1:7" x14ac:dyDescent="0.2">
      <c r="A2258" s="405"/>
      <c r="B2258" s="316"/>
      <c r="C2258" s="410"/>
      <c r="D2258" s="414"/>
      <c r="E2258" s="316"/>
      <c r="F2258" s="425" t="s">
        <v>289</v>
      </c>
      <c r="G2258" s="422"/>
    </row>
    <row r="2259" spans="1:7" x14ac:dyDescent="0.2">
      <c r="A2259" s="405"/>
      <c r="B2259" s="408"/>
      <c r="C2259" s="411"/>
      <c r="D2259" s="413"/>
      <c r="E2259" s="419"/>
      <c r="F2259" s="425" t="s">
        <v>290</v>
      </c>
      <c r="G2259" s="422">
        <v>10</v>
      </c>
    </row>
    <row r="2260" spans="1:7" x14ac:dyDescent="0.2">
      <c r="A2260" s="405"/>
      <c r="B2260" s="409"/>
      <c r="C2260" s="412"/>
      <c r="D2260" s="413"/>
      <c r="E2260" s="409"/>
      <c r="F2260" s="426" t="s">
        <v>291</v>
      </c>
      <c r="G2260" s="422">
        <v>7</v>
      </c>
    </row>
    <row r="2261" spans="1:7" ht="16" thickBot="1" x14ac:dyDescent="0.25">
      <c r="A2261" s="405"/>
      <c r="B2261" s="409"/>
      <c r="C2261" s="412"/>
      <c r="D2261" s="413"/>
      <c r="E2261" s="409"/>
      <c r="F2261" s="427" t="s">
        <v>292</v>
      </c>
      <c r="G2261" s="423"/>
    </row>
    <row r="2262" spans="1:7" ht="16" thickBot="1" x14ac:dyDescent="0.25">
      <c r="A2262" s="405"/>
      <c r="B2262" s="408"/>
      <c r="C2262" s="412"/>
      <c r="D2262" s="413"/>
      <c r="E2262" s="417"/>
      <c r="F2262" s="831">
        <f>SUM(G2255:G2260)</f>
        <v>1467</v>
      </c>
      <c r="G2262" s="832"/>
    </row>
    <row r="2263" spans="1:7" x14ac:dyDescent="0.2">
      <c r="A2263" s="405"/>
      <c r="B2263" s="408"/>
      <c r="C2263" s="411"/>
      <c r="D2263" s="413"/>
      <c r="E2263" s="417"/>
      <c r="F2263" s="430"/>
      <c r="G2263" s="428"/>
    </row>
    <row r="2264" spans="1:7" ht="16" thickBot="1" x14ac:dyDescent="0.25">
      <c r="A2264" s="405"/>
      <c r="B2264" s="408"/>
      <c r="C2264" s="411"/>
      <c r="D2264" s="413"/>
      <c r="E2264" s="420"/>
      <c r="F2264" s="431"/>
      <c r="G2264" s="429"/>
    </row>
    <row r="2265" spans="1:7" x14ac:dyDescent="0.2">
      <c r="A2265" s="405"/>
      <c r="B2265" s="408"/>
      <c r="C2265" s="412"/>
      <c r="D2265" s="413"/>
      <c r="E2265" s="417"/>
      <c r="F2265" s="833" t="s">
        <v>293</v>
      </c>
      <c r="G2265" s="834"/>
    </row>
    <row r="2266" spans="1:7" ht="16" thickBot="1" x14ac:dyDescent="0.25">
      <c r="A2266" s="405"/>
      <c r="B2266" s="316"/>
      <c r="C2266" s="234"/>
      <c r="D2266" s="413"/>
      <c r="E2266" s="316"/>
      <c r="F2266" s="835"/>
      <c r="G2266" s="836"/>
    </row>
    <row r="2267" spans="1:7" x14ac:dyDescent="0.2">
      <c r="A2267" s="405"/>
      <c r="B2267" s="408"/>
      <c r="C2267" s="412"/>
      <c r="D2267" s="413"/>
      <c r="E2267" s="417"/>
      <c r="F2267" s="424">
        <v>200</v>
      </c>
      <c r="G2267" s="421">
        <v>200</v>
      </c>
    </row>
    <row r="2268" spans="1:7" x14ac:dyDescent="0.2">
      <c r="A2268" s="405"/>
      <c r="B2268" s="408"/>
      <c r="C2268" s="411"/>
      <c r="D2268" s="413"/>
      <c r="E2268" s="417"/>
      <c r="F2268" s="425">
        <v>100</v>
      </c>
      <c r="G2268" s="422">
        <v>700</v>
      </c>
    </row>
    <row r="2269" spans="1:7" x14ac:dyDescent="0.2">
      <c r="A2269" s="405"/>
      <c r="B2269" s="408"/>
      <c r="C2269" s="411"/>
      <c r="D2269" s="413"/>
      <c r="E2269" s="417"/>
      <c r="F2269" s="425">
        <v>50</v>
      </c>
      <c r="G2269" s="422">
        <v>50</v>
      </c>
    </row>
    <row r="2270" spans="1:7" x14ac:dyDescent="0.2">
      <c r="A2270" s="405"/>
      <c r="B2270" s="408"/>
      <c r="C2270" s="411"/>
      <c r="D2270" s="413"/>
      <c r="E2270" s="417"/>
      <c r="F2270" s="425" t="s">
        <v>289</v>
      </c>
      <c r="G2270" s="422"/>
    </row>
    <row r="2271" spans="1:7" x14ac:dyDescent="0.2">
      <c r="A2271" s="405"/>
      <c r="B2271" s="408"/>
      <c r="C2271" s="411"/>
      <c r="D2271" s="413"/>
      <c r="E2271" s="417"/>
      <c r="F2271" s="425" t="s">
        <v>290</v>
      </c>
      <c r="G2271" s="422"/>
    </row>
    <row r="2272" spans="1:7" x14ac:dyDescent="0.2">
      <c r="A2272" s="405"/>
      <c r="B2272" s="408"/>
      <c r="C2272" s="411"/>
      <c r="D2272" s="413"/>
      <c r="E2272" s="417"/>
      <c r="F2272" s="426" t="s">
        <v>291</v>
      </c>
      <c r="G2272" s="422"/>
    </row>
    <row r="2273" spans="1:7" ht="16" thickBot="1" x14ac:dyDescent="0.25">
      <c r="A2273" s="405"/>
      <c r="B2273" s="408"/>
      <c r="C2273" s="411"/>
      <c r="D2273" s="413"/>
      <c r="E2273" s="417" t="s">
        <v>340</v>
      </c>
      <c r="F2273" s="427" t="s">
        <v>292</v>
      </c>
      <c r="G2273" s="423"/>
    </row>
    <row r="2274" spans="1:7" ht="16" thickBot="1" x14ac:dyDescent="0.25">
      <c r="A2274" s="405"/>
      <c r="B2274" s="408"/>
      <c r="C2274" s="411"/>
      <c r="D2274" s="415"/>
      <c r="E2274" s="417"/>
      <c r="F2274" s="837">
        <f>SUM(G2267:G2272)</f>
        <v>950</v>
      </c>
      <c r="G2274" s="838"/>
    </row>
    <row r="2275" spans="1:7" ht="16" thickBot="1" x14ac:dyDescent="0.25">
      <c r="A2275" s="406" t="s">
        <v>19</v>
      </c>
      <c r="B2275" s="185"/>
      <c r="C2275" s="407">
        <f>SUM(C2253:C2274)</f>
        <v>1100</v>
      </c>
      <c r="D2275" s="186">
        <f>SUM(D2253:D2274)</f>
        <v>150</v>
      </c>
      <c r="E2275" s="186">
        <f>C2275-D2275</f>
        <v>950</v>
      </c>
      <c r="F2275" s="416"/>
      <c r="G2275" s="187"/>
    </row>
    <row r="2276" spans="1:7" ht="16" thickBot="1" x14ac:dyDescent="0.25"/>
    <row r="2277" spans="1:7" ht="33" thickBot="1" x14ac:dyDescent="0.25">
      <c r="A2277" s="686"/>
      <c r="B2277" s="183" t="s">
        <v>283</v>
      </c>
      <c r="C2277" s="236" t="s">
        <v>284</v>
      </c>
      <c r="D2277" s="184" t="s">
        <v>285</v>
      </c>
      <c r="E2277" s="184" t="s">
        <v>125</v>
      </c>
      <c r="F2277" s="827" t="s">
        <v>286</v>
      </c>
      <c r="G2277" s="828"/>
    </row>
    <row r="2278" spans="1:7" ht="16" thickBot="1" x14ac:dyDescent="0.25">
      <c r="A2278" s="433">
        <v>45764</v>
      </c>
      <c r="B2278" s="435" t="s">
        <v>287</v>
      </c>
      <c r="C2278" s="436">
        <f>E2275</f>
        <v>950</v>
      </c>
      <c r="D2278" s="28"/>
      <c r="E2278" s="438" t="s">
        <v>287</v>
      </c>
      <c r="F2278" s="829" t="s">
        <v>288</v>
      </c>
      <c r="G2278" s="830"/>
    </row>
    <row r="2279" spans="1:7" ht="16" thickBot="1" x14ac:dyDescent="0.25">
      <c r="A2279" s="432"/>
      <c r="B2279" s="316" t="s">
        <v>222</v>
      </c>
      <c r="C2279" s="410"/>
      <c r="D2279" s="414">
        <v>250</v>
      </c>
      <c r="E2279" s="316" t="s">
        <v>704</v>
      </c>
      <c r="F2279" s="829"/>
      <c r="G2279" s="830"/>
    </row>
    <row r="2280" spans="1:7" x14ac:dyDescent="0.2">
      <c r="A2280" s="405"/>
      <c r="B2280" s="316" t="s">
        <v>410</v>
      </c>
      <c r="C2280" s="410"/>
      <c r="D2280" s="414">
        <v>50</v>
      </c>
      <c r="E2280" s="316" t="s">
        <v>490</v>
      </c>
      <c r="F2280" s="424">
        <v>200</v>
      </c>
      <c r="G2280" s="421">
        <v>200</v>
      </c>
    </row>
    <row r="2281" spans="1:7" ht="16" x14ac:dyDescent="0.2">
      <c r="A2281" s="405"/>
      <c r="B2281" s="408" t="s">
        <v>298</v>
      </c>
      <c r="C2281" s="411"/>
      <c r="D2281" s="413">
        <v>600</v>
      </c>
      <c r="E2281" s="419" t="s">
        <v>298</v>
      </c>
      <c r="F2281" s="425">
        <v>100</v>
      </c>
      <c r="G2281" s="422">
        <v>700</v>
      </c>
    </row>
    <row r="2282" spans="1:7" x14ac:dyDescent="0.2">
      <c r="A2282" s="405"/>
      <c r="B2282" s="409" t="s">
        <v>9</v>
      </c>
      <c r="C2282" s="412"/>
      <c r="D2282" s="413">
        <v>45</v>
      </c>
      <c r="E2282" s="409" t="s">
        <v>517</v>
      </c>
      <c r="F2282" s="425">
        <v>50</v>
      </c>
      <c r="G2282" s="422">
        <v>50</v>
      </c>
    </row>
    <row r="2283" spans="1:7" x14ac:dyDescent="0.2">
      <c r="A2283" s="405"/>
      <c r="B2283" s="316" t="s">
        <v>294</v>
      </c>
      <c r="C2283" s="410">
        <v>750</v>
      </c>
      <c r="D2283" s="414"/>
      <c r="E2283" s="316" t="s">
        <v>295</v>
      </c>
      <c r="F2283" s="425" t="s">
        <v>289</v>
      </c>
      <c r="G2283" s="422"/>
    </row>
    <row r="2284" spans="1:7" ht="16" x14ac:dyDescent="0.2">
      <c r="A2284" s="405"/>
      <c r="B2284" s="408" t="s">
        <v>1016</v>
      </c>
      <c r="C2284" s="411"/>
      <c r="D2284" s="413">
        <v>150</v>
      </c>
      <c r="E2284" s="419" t="s">
        <v>497</v>
      </c>
      <c r="F2284" s="425" t="s">
        <v>290</v>
      </c>
      <c r="G2284" s="422"/>
    </row>
    <row r="2285" spans="1:7" x14ac:dyDescent="0.2">
      <c r="A2285" s="405"/>
      <c r="B2285" s="409" t="s">
        <v>334</v>
      </c>
      <c r="C2285" s="412"/>
      <c r="D2285" s="413">
        <v>80</v>
      </c>
      <c r="E2285" s="409" t="s">
        <v>1017</v>
      </c>
      <c r="F2285" s="426" t="s">
        <v>291</v>
      </c>
      <c r="G2285" s="422"/>
    </row>
    <row r="2286" spans="1:7" ht="16" thickBot="1" x14ac:dyDescent="0.25">
      <c r="A2286" s="405"/>
      <c r="B2286" s="409" t="s">
        <v>1018</v>
      </c>
      <c r="C2286" s="412"/>
      <c r="D2286" s="413">
        <v>290</v>
      </c>
      <c r="E2286" s="409" t="s">
        <v>224</v>
      </c>
      <c r="F2286" s="427" t="s">
        <v>292</v>
      </c>
      <c r="G2286" s="423"/>
    </row>
    <row r="2287" spans="1:7" ht="16" thickBot="1" x14ac:dyDescent="0.25">
      <c r="A2287" s="405"/>
      <c r="B2287" s="408"/>
      <c r="C2287" s="412"/>
      <c r="D2287" s="413"/>
      <c r="E2287" s="417"/>
      <c r="F2287" s="831">
        <f>SUM(G2280:G2285)</f>
        <v>950</v>
      </c>
      <c r="G2287" s="832"/>
    </row>
    <row r="2288" spans="1:7" x14ac:dyDescent="0.2">
      <c r="A2288" s="405"/>
      <c r="B2288" s="408"/>
      <c r="C2288" s="411"/>
      <c r="D2288" s="413"/>
      <c r="E2288" s="417"/>
      <c r="F2288" s="430"/>
      <c r="G2288" s="428"/>
    </row>
    <row r="2289" spans="1:7" ht="16" thickBot="1" x14ac:dyDescent="0.25">
      <c r="A2289" s="405"/>
      <c r="B2289" s="408"/>
      <c r="C2289" s="411"/>
      <c r="D2289" s="413"/>
      <c r="E2289" s="420"/>
      <c r="F2289" s="431"/>
      <c r="G2289" s="429"/>
    </row>
    <row r="2290" spans="1:7" x14ac:dyDescent="0.2">
      <c r="A2290" s="405"/>
      <c r="B2290" s="408"/>
      <c r="C2290" s="412"/>
      <c r="D2290" s="413"/>
      <c r="E2290" s="417"/>
      <c r="F2290" s="833" t="s">
        <v>293</v>
      </c>
      <c r="G2290" s="834"/>
    </row>
    <row r="2291" spans="1:7" ht="16" thickBot="1" x14ac:dyDescent="0.25">
      <c r="A2291" s="405"/>
      <c r="B2291" s="316"/>
      <c r="C2291" s="234"/>
      <c r="D2291" s="413"/>
      <c r="E2291" s="316"/>
      <c r="F2291" s="835"/>
      <c r="G2291" s="836"/>
    </row>
    <row r="2292" spans="1:7" x14ac:dyDescent="0.2">
      <c r="A2292" s="405"/>
      <c r="B2292" s="408"/>
      <c r="C2292" s="412"/>
      <c r="D2292" s="413"/>
      <c r="E2292" s="417"/>
      <c r="F2292" s="424">
        <v>200</v>
      </c>
      <c r="G2292" s="421"/>
    </row>
    <row r="2293" spans="1:7" x14ac:dyDescent="0.2">
      <c r="A2293" s="405"/>
      <c r="B2293" s="408"/>
      <c r="C2293" s="411"/>
      <c r="D2293" s="413"/>
      <c r="E2293" s="417"/>
      <c r="F2293" s="425">
        <v>100</v>
      </c>
      <c r="G2293" s="422"/>
    </row>
    <row r="2294" spans="1:7" x14ac:dyDescent="0.2">
      <c r="A2294" s="405"/>
      <c r="B2294" s="408"/>
      <c r="C2294" s="411"/>
      <c r="D2294" s="413"/>
      <c r="E2294" s="417"/>
      <c r="F2294" s="425">
        <v>50</v>
      </c>
      <c r="G2294" s="422"/>
    </row>
    <row r="2295" spans="1:7" x14ac:dyDescent="0.2">
      <c r="A2295" s="405"/>
      <c r="B2295" s="408"/>
      <c r="C2295" s="411"/>
      <c r="D2295" s="413"/>
      <c r="E2295" s="417"/>
      <c r="F2295" s="425" t="s">
        <v>289</v>
      </c>
      <c r="G2295" s="422"/>
    </row>
    <row r="2296" spans="1:7" x14ac:dyDescent="0.2">
      <c r="A2296" s="405"/>
      <c r="B2296" s="408"/>
      <c r="C2296" s="411"/>
      <c r="D2296" s="413"/>
      <c r="E2296" s="417"/>
      <c r="F2296" s="425" t="s">
        <v>290</v>
      </c>
      <c r="G2296" s="422"/>
    </row>
    <row r="2297" spans="1:7" x14ac:dyDescent="0.2">
      <c r="A2297" s="405"/>
      <c r="B2297" s="408"/>
      <c r="C2297" s="411"/>
      <c r="D2297" s="413"/>
      <c r="E2297" s="417"/>
      <c r="F2297" s="426" t="s">
        <v>291</v>
      </c>
      <c r="G2297" s="422"/>
    </row>
    <row r="2298" spans="1:7" ht="16" thickBot="1" x14ac:dyDescent="0.25">
      <c r="A2298" s="405"/>
      <c r="B2298" s="408"/>
      <c r="C2298" s="411"/>
      <c r="D2298" s="413"/>
      <c r="E2298" s="417" t="s">
        <v>340</v>
      </c>
      <c r="F2298" s="427" t="s">
        <v>292</v>
      </c>
      <c r="G2298" s="423"/>
    </row>
    <row r="2299" spans="1:7" ht="16" thickBot="1" x14ac:dyDescent="0.25">
      <c r="A2299" s="405"/>
      <c r="B2299" s="408"/>
      <c r="C2299" s="411"/>
      <c r="D2299" s="415"/>
      <c r="E2299" s="417"/>
      <c r="F2299" s="837">
        <f>SUM(G2292:G2297)</f>
        <v>0</v>
      </c>
      <c r="G2299" s="838"/>
    </row>
    <row r="2300" spans="1:7" ht="16" thickBot="1" x14ac:dyDescent="0.25">
      <c r="A2300" s="406" t="s">
        <v>19</v>
      </c>
      <c r="B2300" s="185"/>
      <c r="C2300" s="407">
        <f>SUM(C2278:C2299)</f>
        <v>1700</v>
      </c>
      <c r="D2300" s="186">
        <f>SUM(D2278:D2299)</f>
        <v>1465</v>
      </c>
      <c r="E2300" s="186">
        <f>C2300-D2300</f>
        <v>235</v>
      </c>
      <c r="F2300" s="416"/>
      <c r="G2300" s="187"/>
    </row>
    <row r="2301" spans="1:7" ht="16" thickBot="1" x14ac:dyDescent="0.25"/>
    <row r="2302" spans="1:7" ht="33" thickBot="1" x14ac:dyDescent="0.25">
      <c r="A2302" s="686"/>
      <c r="B2302" s="183" t="s">
        <v>283</v>
      </c>
      <c r="C2302" s="236" t="s">
        <v>284</v>
      </c>
      <c r="D2302" s="184" t="s">
        <v>285</v>
      </c>
      <c r="E2302" s="184" t="s">
        <v>125</v>
      </c>
      <c r="F2302" s="827" t="s">
        <v>286</v>
      </c>
      <c r="G2302" s="828"/>
    </row>
    <row r="2303" spans="1:7" ht="16" thickBot="1" x14ac:dyDescent="0.25">
      <c r="A2303" s="433">
        <v>45765</v>
      </c>
      <c r="B2303" s="435" t="s">
        <v>287</v>
      </c>
      <c r="C2303" s="436">
        <f>E2300</f>
        <v>235</v>
      </c>
      <c r="D2303" s="28"/>
      <c r="E2303" s="438" t="s">
        <v>287</v>
      </c>
      <c r="F2303" s="829" t="s">
        <v>288</v>
      </c>
      <c r="G2303" s="830"/>
    </row>
    <row r="2304" spans="1:7" ht="16" thickBot="1" x14ac:dyDescent="0.25">
      <c r="A2304" s="432"/>
      <c r="B2304" s="316" t="s">
        <v>294</v>
      </c>
      <c r="C2304" s="410">
        <v>450</v>
      </c>
      <c r="D2304" s="414"/>
      <c r="E2304" s="316" t="s">
        <v>295</v>
      </c>
      <c r="F2304" s="829"/>
      <c r="G2304" s="830"/>
    </row>
    <row r="2305" spans="1:7" x14ac:dyDescent="0.2">
      <c r="A2305" s="405"/>
      <c r="B2305" s="316" t="s">
        <v>509</v>
      </c>
      <c r="C2305" s="410"/>
      <c r="D2305" s="414">
        <v>150</v>
      </c>
      <c r="E2305" s="316" t="s">
        <v>567</v>
      </c>
      <c r="F2305" s="424">
        <v>200</v>
      </c>
      <c r="G2305" s="421"/>
    </row>
    <row r="2306" spans="1:7" ht="16" x14ac:dyDescent="0.2">
      <c r="A2306" s="405"/>
      <c r="B2306" s="408" t="s">
        <v>298</v>
      </c>
      <c r="C2306" s="411"/>
      <c r="D2306" s="413">
        <v>535</v>
      </c>
      <c r="E2306" s="419" t="s">
        <v>298</v>
      </c>
      <c r="F2306" s="425">
        <v>100</v>
      </c>
      <c r="G2306" s="422">
        <v>100</v>
      </c>
    </row>
    <row r="2307" spans="1:7" x14ac:dyDescent="0.2">
      <c r="A2307" s="405"/>
      <c r="B2307" s="409"/>
      <c r="C2307" s="412"/>
      <c r="D2307" s="413"/>
      <c r="E2307" s="409"/>
      <c r="F2307" s="425">
        <v>50</v>
      </c>
      <c r="G2307" s="422"/>
    </row>
    <row r="2308" spans="1:7" x14ac:dyDescent="0.2">
      <c r="A2308" s="405"/>
      <c r="B2308" s="316"/>
      <c r="C2308" s="410"/>
      <c r="D2308" s="414"/>
      <c r="E2308" s="316"/>
      <c r="F2308" s="425" t="s">
        <v>289</v>
      </c>
      <c r="G2308" s="422">
        <v>100</v>
      </c>
    </row>
    <row r="2309" spans="1:7" x14ac:dyDescent="0.2">
      <c r="A2309" s="405"/>
      <c r="B2309" s="408"/>
      <c r="C2309" s="411"/>
      <c r="D2309" s="413"/>
      <c r="E2309" s="419"/>
      <c r="F2309" s="425" t="s">
        <v>290</v>
      </c>
      <c r="G2309" s="422">
        <v>30</v>
      </c>
    </row>
    <row r="2310" spans="1:7" x14ac:dyDescent="0.2">
      <c r="A2310" s="405"/>
      <c r="B2310" s="409"/>
      <c r="C2310" s="412"/>
      <c r="D2310" s="413"/>
      <c r="E2310" s="409"/>
      <c r="F2310" s="426" t="s">
        <v>291</v>
      </c>
      <c r="G2310" s="422">
        <v>5</v>
      </c>
    </row>
    <row r="2311" spans="1:7" ht="16" thickBot="1" x14ac:dyDescent="0.25">
      <c r="A2311" s="405"/>
      <c r="B2311" s="409"/>
      <c r="C2311" s="412"/>
      <c r="D2311" s="413"/>
      <c r="E2311" s="409"/>
      <c r="F2311" s="427" t="s">
        <v>292</v>
      </c>
      <c r="G2311" s="423"/>
    </row>
    <row r="2312" spans="1:7" ht="16" thickBot="1" x14ac:dyDescent="0.25">
      <c r="A2312" s="405"/>
      <c r="B2312" s="408"/>
      <c r="C2312" s="412"/>
      <c r="D2312" s="413"/>
      <c r="E2312" s="417"/>
      <c r="F2312" s="831">
        <f>SUM(G2305:G2310)</f>
        <v>235</v>
      </c>
      <c r="G2312" s="832"/>
    </row>
    <row r="2313" spans="1:7" x14ac:dyDescent="0.2">
      <c r="A2313" s="405"/>
      <c r="B2313" s="408"/>
      <c r="C2313" s="411"/>
      <c r="D2313" s="413"/>
      <c r="E2313" s="417"/>
      <c r="F2313" s="430"/>
      <c r="G2313" s="428"/>
    </row>
    <row r="2314" spans="1:7" ht="16" thickBot="1" x14ac:dyDescent="0.25">
      <c r="A2314" s="405"/>
      <c r="B2314" s="408"/>
      <c r="C2314" s="411"/>
      <c r="D2314" s="413"/>
      <c r="E2314" s="420"/>
      <c r="F2314" s="431"/>
      <c r="G2314" s="429"/>
    </row>
    <row r="2315" spans="1:7" x14ac:dyDescent="0.2">
      <c r="A2315" s="405"/>
      <c r="B2315" s="408"/>
      <c r="C2315" s="412"/>
      <c r="D2315" s="413"/>
      <c r="E2315" s="417"/>
      <c r="F2315" s="833" t="s">
        <v>293</v>
      </c>
      <c r="G2315" s="834"/>
    </row>
    <row r="2316" spans="1:7" ht="16" thickBot="1" x14ac:dyDescent="0.25">
      <c r="A2316" s="405"/>
      <c r="B2316" s="316"/>
      <c r="C2316" s="234"/>
      <c r="D2316" s="413"/>
      <c r="E2316" s="316"/>
      <c r="F2316" s="835"/>
      <c r="G2316" s="836"/>
    </row>
    <row r="2317" spans="1:7" x14ac:dyDescent="0.2">
      <c r="A2317" s="405"/>
      <c r="B2317" s="408"/>
      <c r="C2317" s="412"/>
      <c r="D2317" s="413"/>
      <c r="E2317" s="417"/>
      <c r="F2317" s="424">
        <v>200</v>
      </c>
      <c r="G2317" s="421"/>
    </row>
    <row r="2318" spans="1:7" x14ac:dyDescent="0.2">
      <c r="A2318" s="405"/>
      <c r="B2318" s="408"/>
      <c r="C2318" s="411"/>
      <c r="D2318" s="413"/>
      <c r="E2318" s="417"/>
      <c r="F2318" s="425">
        <v>100</v>
      </c>
      <c r="G2318" s="422"/>
    </row>
    <row r="2319" spans="1:7" x14ac:dyDescent="0.2">
      <c r="A2319" s="405"/>
      <c r="B2319" s="408"/>
      <c r="C2319" s="411"/>
      <c r="D2319" s="413"/>
      <c r="E2319" s="417"/>
      <c r="F2319" s="425">
        <v>50</v>
      </c>
      <c r="G2319" s="422"/>
    </row>
    <row r="2320" spans="1:7" x14ac:dyDescent="0.2">
      <c r="A2320" s="405"/>
      <c r="B2320" s="408"/>
      <c r="C2320" s="411"/>
      <c r="D2320" s="413"/>
      <c r="E2320" s="417"/>
      <c r="F2320" s="425" t="s">
        <v>289</v>
      </c>
      <c r="G2320" s="422"/>
    </row>
    <row r="2321" spans="1:7" x14ac:dyDescent="0.2">
      <c r="A2321" s="405"/>
      <c r="B2321" s="408"/>
      <c r="C2321" s="411"/>
      <c r="D2321" s="413"/>
      <c r="E2321" s="417"/>
      <c r="F2321" s="425" t="s">
        <v>290</v>
      </c>
      <c r="G2321" s="422"/>
    </row>
    <row r="2322" spans="1:7" x14ac:dyDescent="0.2">
      <c r="A2322" s="405"/>
      <c r="B2322" s="408"/>
      <c r="C2322" s="411"/>
      <c r="D2322" s="413"/>
      <c r="E2322" s="417"/>
      <c r="F2322" s="426" t="s">
        <v>291</v>
      </c>
      <c r="G2322" s="422"/>
    </row>
    <row r="2323" spans="1:7" ht="16" thickBot="1" x14ac:dyDescent="0.25">
      <c r="A2323" s="405"/>
      <c r="B2323" s="408"/>
      <c r="C2323" s="411"/>
      <c r="D2323" s="413"/>
      <c r="E2323" s="417" t="s">
        <v>340</v>
      </c>
      <c r="F2323" s="427" t="s">
        <v>292</v>
      </c>
      <c r="G2323" s="423"/>
    </row>
    <row r="2324" spans="1:7" ht="16" thickBot="1" x14ac:dyDescent="0.25">
      <c r="A2324" s="405"/>
      <c r="B2324" s="408"/>
      <c r="C2324" s="411"/>
      <c r="D2324" s="415"/>
      <c r="E2324" s="417"/>
      <c r="F2324" s="837">
        <f>SUM(G2317:G2322)</f>
        <v>0</v>
      </c>
      <c r="G2324" s="838"/>
    </row>
    <row r="2325" spans="1:7" ht="16" thickBot="1" x14ac:dyDescent="0.25">
      <c r="A2325" s="406" t="s">
        <v>19</v>
      </c>
      <c r="B2325" s="185"/>
      <c r="C2325" s="407">
        <f>SUM(C2303:C2324)</f>
        <v>685</v>
      </c>
      <c r="D2325" s="186">
        <f>SUM(D2303:D2324)</f>
        <v>685</v>
      </c>
      <c r="E2325" s="186">
        <f>C2325-D2325</f>
        <v>0</v>
      </c>
      <c r="F2325" s="416"/>
      <c r="G2325" s="187"/>
    </row>
    <row r="2326" spans="1:7" ht="16" thickBot="1" x14ac:dyDescent="0.25"/>
    <row r="2327" spans="1:7" ht="33" thickBot="1" x14ac:dyDescent="0.25">
      <c r="A2327" s="686"/>
      <c r="B2327" s="183" t="s">
        <v>283</v>
      </c>
      <c r="C2327" s="236" t="s">
        <v>284</v>
      </c>
      <c r="D2327" s="184" t="s">
        <v>285</v>
      </c>
      <c r="E2327" s="184" t="s">
        <v>125</v>
      </c>
      <c r="F2327" s="827" t="s">
        <v>286</v>
      </c>
      <c r="G2327" s="828"/>
    </row>
    <row r="2328" spans="1:7" ht="16" thickBot="1" x14ac:dyDescent="0.25">
      <c r="A2328" s="433">
        <v>45768</v>
      </c>
      <c r="B2328" s="435" t="s">
        <v>287</v>
      </c>
      <c r="C2328" s="436">
        <f>E2325</f>
        <v>0</v>
      </c>
      <c r="D2328" s="28"/>
      <c r="E2328" s="438" t="s">
        <v>287</v>
      </c>
      <c r="F2328" s="829" t="s">
        <v>288</v>
      </c>
      <c r="G2328" s="830"/>
    </row>
    <row r="2329" spans="1:7" ht="16" thickBot="1" x14ac:dyDescent="0.25">
      <c r="A2329" s="432"/>
      <c r="B2329" s="316" t="s">
        <v>294</v>
      </c>
      <c r="C2329" s="410">
        <v>150</v>
      </c>
      <c r="D2329" s="414"/>
      <c r="E2329" s="316" t="s">
        <v>295</v>
      </c>
      <c r="F2329" s="829"/>
      <c r="G2329" s="830"/>
    </row>
    <row r="2330" spans="1:7" x14ac:dyDescent="0.2">
      <c r="A2330" s="405"/>
      <c r="B2330" s="316" t="s">
        <v>547</v>
      </c>
      <c r="C2330" s="410"/>
      <c r="D2330" s="414">
        <v>150</v>
      </c>
      <c r="E2330" s="316" t="s">
        <v>224</v>
      </c>
      <c r="F2330" s="424">
        <v>200</v>
      </c>
      <c r="G2330" s="421"/>
    </row>
    <row r="2331" spans="1:7" x14ac:dyDescent="0.2">
      <c r="A2331" s="405"/>
      <c r="B2331" s="408"/>
      <c r="C2331" s="411"/>
      <c r="D2331" s="413"/>
      <c r="E2331" s="419"/>
      <c r="F2331" s="425">
        <v>100</v>
      </c>
      <c r="G2331" s="422"/>
    </row>
    <row r="2332" spans="1:7" x14ac:dyDescent="0.2">
      <c r="A2332" s="405"/>
      <c r="B2332" s="409"/>
      <c r="C2332" s="412"/>
      <c r="D2332" s="413"/>
      <c r="E2332" s="409"/>
      <c r="F2332" s="425">
        <v>50</v>
      </c>
      <c r="G2332" s="422"/>
    </row>
    <row r="2333" spans="1:7" x14ac:dyDescent="0.2">
      <c r="A2333" s="405"/>
      <c r="B2333" s="316"/>
      <c r="C2333" s="410"/>
      <c r="D2333" s="414"/>
      <c r="E2333" s="316"/>
      <c r="F2333" s="425" t="s">
        <v>289</v>
      </c>
      <c r="G2333" s="422"/>
    </row>
    <row r="2334" spans="1:7" x14ac:dyDescent="0.2">
      <c r="A2334" s="405"/>
      <c r="B2334" s="408"/>
      <c r="C2334" s="411"/>
      <c r="D2334" s="413"/>
      <c r="E2334" s="419"/>
      <c r="F2334" s="425" t="s">
        <v>290</v>
      </c>
      <c r="G2334" s="422"/>
    </row>
    <row r="2335" spans="1:7" x14ac:dyDescent="0.2">
      <c r="A2335" s="405"/>
      <c r="B2335" s="409"/>
      <c r="C2335" s="412"/>
      <c r="D2335" s="413"/>
      <c r="E2335" s="409"/>
      <c r="F2335" s="426" t="s">
        <v>291</v>
      </c>
      <c r="G2335" s="422"/>
    </row>
    <row r="2336" spans="1:7" ht="16" thickBot="1" x14ac:dyDescent="0.25">
      <c r="A2336" s="405"/>
      <c r="B2336" s="409"/>
      <c r="C2336" s="412"/>
      <c r="D2336" s="413"/>
      <c r="E2336" s="409"/>
      <c r="F2336" s="427" t="s">
        <v>292</v>
      </c>
      <c r="G2336" s="423"/>
    </row>
    <row r="2337" spans="1:7" ht="16" thickBot="1" x14ac:dyDescent="0.25">
      <c r="A2337" s="405"/>
      <c r="B2337" s="408"/>
      <c r="C2337" s="412"/>
      <c r="D2337" s="413"/>
      <c r="E2337" s="417"/>
      <c r="F2337" s="831">
        <f>SUM(G2330:G2335)</f>
        <v>0</v>
      </c>
      <c r="G2337" s="832"/>
    </row>
    <row r="2338" spans="1:7" x14ac:dyDescent="0.2">
      <c r="A2338" s="405"/>
      <c r="B2338" s="408"/>
      <c r="C2338" s="411"/>
      <c r="D2338" s="413"/>
      <c r="E2338" s="417"/>
      <c r="F2338" s="430"/>
      <c r="G2338" s="428"/>
    </row>
    <row r="2339" spans="1:7" ht="16" thickBot="1" x14ac:dyDescent="0.25">
      <c r="A2339" s="405"/>
      <c r="B2339" s="408"/>
      <c r="C2339" s="411"/>
      <c r="D2339" s="413"/>
      <c r="E2339" s="420"/>
      <c r="F2339" s="431"/>
      <c r="G2339" s="429"/>
    </row>
    <row r="2340" spans="1:7" x14ac:dyDescent="0.2">
      <c r="A2340" s="405"/>
      <c r="B2340" s="408"/>
      <c r="C2340" s="412"/>
      <c r="D2340" s="413"/>
      <c r="E2340" s="417"/>
      <c r="F2340" s="833" t="s">
        <v>293</v>
      </c>
      <c r="G2340" s="834"/>
    </row>
    <row r="2341" spans="1:7" ht="16" thickBot="1" x14ac:dyDescent="0.25">
      <c r="A2341" s="405"/>
      <c r="B2341" s="316"/>
      <c r="C2341" s="234"/>
      <c r="D2341" s="413"/>
      <c r="E2341" s="316"/>
      <c r="F2341" s="835"/>
      <c r="G2341" s="836"/>
    </row>
    <row r="2342" spans="1:7" x14ac:dyDescent="0.2">
      <c r="A2342" s="405"/>
      <c r="B2342" s="408"/>
      <c r="C2342" s="412"/>
      <c r="D2342" s="413"/>
      <c r="E2342" s="417"/>
      <c r="F2342" s="424">
        <v>200</v>
      </c>
      <c r="G2342" s="421"/>
    </row>
    <row r="2343" spans="1:7" x14ac:dyDescent="0.2">
      <c r="A2343" s="405"/>
      <c r="B2343" s="408"/>
      <c r="C2343" s="411"/>
      <c r="D2343" s="413"/>
      <c r="E2343" s="417"/>
      <c r="F2343" s="425">
        <v>100</v>
      </c>
      <c r="G2343" s="422"/>
    </row>
    <row r="2344" spans="1:7" x14ac:dyDescent="0.2">
      <c r="A2344" s="405"/>
      <c r="B2344" s="408"/>
      <c r="C2344" s="411"/>
      <c r="D2344" s="413"/>
      <c r="E2344" s="417"/>
      <c r="F2344" s="425">
        <v>50</v>
      </c>
      <c r="G2344" s="422"/>
    </row>
    <row r="2345" spans="1:7" x14ac:dyDescent="0.2">
      <c r="A2345" s="405"/>
      <c r="B2345" s="408"/>
      <c r="C2345" s="411"/>
      <c r="D2345" s="413"/>
      <c r="E2345" s="417"/>
      <c r="F2345" s="425" t="s">
        <v>289</v>
      </c>
      <c r="G2345" s="422"/>
    </row>
    <row r="2346" spans="1:7" x14ac:dyDescent="0.2">
      <c r="A2346" s="405"/>
      <c r="B2346" s="408"/>
      <c r="C2346" s="411"/>
      <c r="D2346" s="413"/>
      <c r="E2346" s="417"/>
      <c r="F2346" s="425" t="s">
        <v>290</v>
      </c>
      <c r="G2346" s="422"/>
    </row>
    <row r="2347" spans="1:7" x14ac:dyDescent="0.2">
      <c r="A2347" s="405"/>
      <c r="B2347" s="408"/>
      <c r="C2347" s="411"/>
      <c r="D2347" s="413"/>
      <c r="E2347" s="417"/>
      <c r="F2347" s="426" t="s">
        <v>291</v>
      </c>
      <c r="G2347" s="422"/>
    </row>
    <row r="2348" spans="1:7" ht="16" thickBot="1" x14ac:dyDescent="0.25">
      <c r="A2348" s="405"/>
      <c r="B2348" s="408"/>
      <c r="C2348" s="411"/>
      <c r="D2348" s="413"/>
      <c r="E2348" s="417" t="s">
        <v>340</v>
      </c>
      <c r="F2348" s="427" t="s">
        <v>292</v>
      </c>
      <c r="G2348" s="423"/>
    </row>
    <row r="2349" spans="1:7" ht="16" thickBot="1" x14ac:dyDescent="0.25">
      <c r="A2349" s="405"/>
      <c r="B2349" s="408"/>
      <c r="C2349" s="411"/>
      <c r="D2349" s="415"/>
      <c r="E2349" s="417"/>
      <c r="F2349" s="837">
        <f>SUM(G2342:G2347)</f>
        <v>0</v>
      </c>
      <c r="G2349" s="838"/>
    </row>
    <row r="2350" spans="1:7" ht="16" thickBot="1" x14ac:dyDescent="0.25">
      <c r="A2350" s="406" t="s">
        <v>19</v>
      </c>
      <c r="B2350" s="185"/>
      <c r="C2350" s="407">
        <f>SUM(C2328:C2349)</f>
        <v>150</v>
      </c>
      <c r="D2350" s="186">
        <f>SUM(D2328:D2349)</f>
        <v>150</v>
      </c>
      <c r="E2350" s="186">
        <f>C2350-D2350</f>
        <v>0</v>
      </c>
      <c r="F2350" s="416"/>
      <c r="G2350" s="187"/>
    </row>
    <row r="2351" spans="1:7" ht="16" thickBot="1" x14ac:dyDescent="0.25"/>
    <row r="2352" spans="1:7" ht="33" thickBot="1" x14ac:dyDescent="0.25">
      <c r="A2352" s="686"/>
      <c r="B2352" s="183" t="s">
        <v>283</v>
      </c>
      <c r="C2352" s="236" t="s">
        <v>284</v>
      </c>
      <c r="D2352" s="184" t="s">
        <v>285</v>
      </c>
      <c r="E2352" s="184" t="s">
        <v>125</v>
      </c>
      <c r="F2352" s="827" t="s">
        <v>286</v>
      </c>
      <c r="G2352" s="828"/>
    </row>
    <row r="2353" spans="1:7" ht="16" thickBot="1" x14ac:dyDescent="0.25">
      <c r="A2353" s="433">
        <v>45769</v>
      </c>
      <c r="B2353" s="435" t="s">
        <v>287</v>
      </c>
      <c r="C2353" s="436">
        <f>E2350</f>
        <v>0</v>
      </c>
      <c r="D2353" s="28"/>
      <c r="E2353" s="438" t="s">
        <v>287</v>
      </c>
      <c r="F2353" s="829" t="s">
        <v>288</v>
      </c>
      <c r="G2353" s="830"/>
    </row>
    <row r="2354" spans="1:7" ht="16" thickBot="1" x14ac:dyDescent="0.25">
      <c r="A2354" s="432"/>
      <c r="B2354" s="316" t="s">
        <v>294</v>
      </c>
      <c r="C2354" s="410">
        <v>300</v>
      </c>
      <c r="D2354" s="414"/>
      <c r="E2354" s="316" t="s">
        <v>295</v>
      </c>
      <c r="F2354" s="829"/>
      <c r="G2354" s="830"/>
    </row>
    <row r="2355" spans="1:7" x14ac:dyDescent="0.2">
      <c r="A2355" s="405"/>
      <c r="B2355" s="316" t="s">
        <v>298</v>
      </c>
      <c r="C2355" s="410"/>
      <c r="D2355" s="414">
        <v>300</v>
      </c>
      <c r="E2355" s="316" t="s">
        <v>298</v>
      </c>
      <c r="F2355" s="424">
        <v>200</v>
      </c>
      <c r="G2355" s="421"/>
    </row>
    <row r="2356" spans="1:7" x14ac:dyDescent="0.2">
      <c r="A2356" s="405"/>
      <c r="B2356" s="408"/>
      <c r="C2356" s="411"/>
      <c r="D2356" s="413"/>
      <c r="E2356" s="419"/>
      <c r="F2356" s="425">
        <v>100</v>
      </c>
      <c r="G2356" s="422"/>
    </row>
    <row r="2357" spans="1:7" x14ac:dyDescent="0.2">
      <c r="A2357" s="405"/>
      <c r="B2357" s="409"/>
      <c r="C2357" s="412"/>
      <c r="D2357" s="413"/>
      <c r="E2357" s="409"/>
      <c r="F2357" s="425">
        <v>50</v>
      </c>
      <c r="G2357" s="422"/>
    </row>
    <row r="2358" spans="1:7" x14ac:dyDescent="0.2">
      <c r="A2358" s="405"/>
      <c r="B2358" s="316"/>
      <c r="C2358" s="410"/>
      <c r="D2358" s="414"/>
      <c r="E2358" s="316"/>
      <c r="F2358" s="425" t="s">
        <v>289</v>
      </c>
      <c r="G2358" s="422"/>
    </row>
    <row r="2359" spans="1:7" x14ac:dyDescent="0.2">
      <c r="A2359" s="405"/>
      <c r="B2359" s="408"/>
      <c r="C2359" s="411"/>
      <c r="D2359" s="413"/>
      <c r="E2359" s="419"/>
      <c r="F2359" s="425" t="s">
        <v>290</v>
      </c>
      <c r="G2359" s="422"/>
    </row>
    <row r="2360" spans="1:7" x14ac:dyDescent="0.2">
      <c r="A2360" s="405"/>
      <c r="B2360" s="409"/>
      <c r="C2360" s="412"/>
      <c r="D2360" s="413"/>
      <c r="E2360" s="409"/>
      <c r="F2360" s="426" t="s">
        <v>291</v>
      </c>
      <c r="G2360" s="422"/>
    </row>
    <row r="2361" spans="1:7" ht="16" thickBot="1" x14ac:dyDescent="0.25">
      <c r="A2361" s="405"/>
      <c r="B2361" s="409"/>
      <c r="C2361" s="412"/>
      <c r="D2361" s="413"/>
      <c r="E2361" s="409"/>
      <c r="F2361" s="427" t="s">
        <v>292</v>
      </c>
      <c r="G2361" s="423"/>
    </row>
    <row r="2362" spans="1:7" ht="16" thickBot="1" x14ac:dyDescent="0.25">
      <c r="A2362" s="405"/>
      <c r="B2362" s="408"/>
      <c r="C2362" s="412"/>
      <c r="D2362" s="413"/>
      <c r="E2362" s="417"/>
      <c r="F2362" s="831">
        <f>SUM(G2355:G2360)</f>
        <v>0</v>
      </c>
      <c r="G2362" s="832"/>
    </row>
    <row r="2363" spans="1:7" x14ac:dyDescent="0.2">
      <c r="A2363" s="405"/>
      <c r="B2363" s="408"/>
      <c r="C2363" s="411"/>
      <c r="D2363" s="413"/>
      <c r="E2363" s="417"/>
      <c r="F2363" s="430"/>
      <c r="G2363" s="428"/>
    </row>
    <row r="2364" spans="1:7" ht="16" thickBot="1" x14ac:dyDescent="0.25">
      <c r="A2364" s="405"/>
      <c r="B2364" s="408"/>
      <c r="C2364" s="411"/>
      <c r="D2364" s="413"/>
      <c r="E2364" s="420"/>
      <c r="F2364" s="431"/>
      <c r="G2364" s="429"/>
    </row>
    <row r="2365" spans="1:7" x14ac:dyDescent="0.2">
      <c r="A2365" s="405"/>
      <c r="B2365" s="408"/>
      <c r="C2365" s="412"/>
      <c r="D2365" s="413"/>
      <c r="E2365" s="417"/>
      <c r="F2365" s="833" t="s">
        <v>293</v>
      </c>
      <c r="G2365" s="834"/>
    </row>
    <row r="2366" spans="1:7" ht="16" thickBot="1" x14ac:dyDescent="0.25">
      <c r="A2366" s="405"/>
      <c r="B2366" s="316"/>
      <c r="C2366" s="234"/>
      <c r="D2366" s="413"/>
      <c r="E2366" s="316"/>
      <c r="F2366" s="835"/>
      <c r="G2366" s="836"/>
    </row>
    <row r="2367" spans="1:7" x14ac:dyDescent="0.2">
      <c r="A2367" s="405"/>
      <c r="B2367" s="408"/>
      <c r="C2367" s="412"/>
      <c r="D2367" s="413"/>
      <c r="E2367" s="417"/>
      <c r="F2367" s="424">
        <v>200</v>
      </c>
      <c r="G2367" s="421"/>
    </row>
    <row r="2368" spans="1:7" x14ac:dyDescent="0.2">
      <c r="A2368" s="405"/>
      <c r="B2368" s="408"/>
      <c r="C2368" s="411"/>
      <c r="D2368" s="413"/>
      <c r="E2368" s="417"/>
      <c r="F2368" s="425">
        <v>100</v>
      </c>
      <c r="G2368" s="422"/>
    </row>
    <row r="2369" spans="1:7" x14ac:dyDescent="0.2">
      <c r="A2369" s="405"/>
      <c r="B2369" s="408"/>
      <c r="C2369" s="411"/>
      <c r="D2369" s="413"/>
      <c r="E2369" s="417"/>
      <c r="F2369" s="425">
        <v>50</v>
      </c>
      <c r="G2369" s="422"/>
    </row>
    <row r="2370" spans="1:7" x14ac:dyDescent="0.2">
      <c r="A2370" s="405"/>
      <c r="B2370" s="408"/>
      <c r="C2370" s="411"/>
      <c r="D2370" s="413"/>
      <c r="E2370" s="417"/>
      <c r="F2370" s="425" t="s">
        <v>289</v>
      </c>
      <c r="G2370" s="422"/>
    </row>
    <row r="2371" spans="1:7" x14ac:dyDescent="0.2">
      <c r="A2371" s="405"/>
      <c r="B2371" s="408"/>
      <c r="C2371" s="411"/>
      <c r="D2371" s="413"/>
      <c r="E2371" s="417"/>
      <c r="F2371" s="425" t="s">
        <v>290</v>
      </c>
      <c r="G2371" s="422"/>
    </row>
    <row r="2372" spans="1:7" x14ac:dyDescent="0.2">
      <c r="A2372" s="405"/>
      <c r="B2372" s="408"/>
      <c r="C2372" s="411"/>
      <c r="D2372" s="413"/>
      <c r="E2372" s="417"/>
      <c r="F2372" s="426" t="s">
        <v>291</v>
      </c>
      <c r="G2372" s="422"/>
    </row>
    <row r="2373" spans="1:7" ht="16" thickBot="1" x14ac:dyDescent="0.25">
      <c r="A2373" s="405"/>
      <c r="B2373" s="408"/>
      <c r="C2373" s="411"/>
      <c r="D2373" s="413"/>
      <c r="E2373" s="417" t="s">
        <v>340</v>
      </c>
      <c r="F2373" s="427" t="s">
        <v>292</v>
      </c>
      <c r="G2373" s="423"/>
    </row>
    <row r="2374" spans="1:7" ht="16" thickBot="1" x14ac:dyDescent="0.25">
      <c r="A2374" s="405"/>
      <c r="B2374" s="408"/>
      <c r="C2374" s="411"/>
      <c r="D2374" s="415"/>
      <c r="E2374" s="417"/>
      <c r="F2374" s="837">
        <f>SUM(G2367:G2372)</f>
        <v>0</v>
      </c>
      <c r="G2374" s="838"/>
    </row>
    <row r="2375" spans="1:7" ht="16" thickBot="1" x14ac:dyDescent="0.25">
      <c r="A2375" s="406" t="s">
        <v>19</v>
      </c>
      <c r="B2375" s="185"/>
      <c r="C2375" s="407">
        <f>SUM(C2353:C2374)</f>
        <v>300</v>
      </c>
      <c r="D2375" s="186">
        <f>SUM(D2353:D2374)</f>
        <v>300</v>
      </c>
      <c r="E2375" s="186">
        <f>C2375-D2375</f>
        <v>0</v>
      </c>
      <c r="F2375" s="416"/>
      <c r="G2375" s="187"/>
    </row>
    <row r="2376" spans="1:7" ht="16" thickBot="1" x14ac:dyDescent="0.25"/>
    <row r="2377" spans="1:7" ht="33" thickBot="1" x14ac:dyDescent="0.25">
      <c r="A2377" s="686"/>
      <c r="B2377" s="183" t="s">
        <v>283</v>
      </c>
      <c r="C2377" s="236" t="s">
        <v>284</v>
      </c>
      <c r="D2377" s="184" t="s">
        <v>285</v>
      </c>
      <c r="E2377" s="184" t="s">
        <v>125</v>
      </c>
      <c r="F2377" s="827" t="s">
        <v>286</v>
      </c>
      <c r="G2377" s="828"/>
    </row>
    <row r="2378" spans="1:7" ht="16" thickBot="1" x14ac:dyDescent="0.25">
      <c r="A2378" s="433">
        <v>45770</v>
      </c>
      <c r="B2378" s="435" t="s">
        <v>287</v>
      </c>
      <c r="C2378" s="436">
        <f>E2375</f>
        <v>0</v>
      </c>
      <c r="D2378" s="28"/>
      <c r="E2378" s="438" t="s">
        <v>287</v>
      </c>
      <c r="F2378" s="829" t="s">
        <v>288</v>
      </c>
      <c r="G2378" s="830"/>
    </row>
    <row r="2379" spans="1:7" ht="16" thickBot="1" x14ac:dyDescent="0.25">
      <c r="A2379" s="432"/>
      <c r="B2379" s="316" t="s">
        <v>70</v>
      </c>
      <c r="C2379" s="410">
        <v>1440</v>
      </c>
      <c r="D2379" s="414"/>
      <c r="E2379" s="316" t="s">
        <v>571</v>
      </c>
      <c r="F2379" s="829"/>
      <c r="G2379" s="830"/>
    </row>
    <row r="2380" spans="1:7" x14ac:dyDescent="0.2">
      <c r="A2380" s="405"/>
      <c r="B2380" s="316" t="s">
        <v>222</v>
      </c>
      <c r="C2380" s="410">
        <v>1700</v>
      </c>
      <c r="D2380" s="414"/>
      <c r="E2380" s="316" t="s">
        <v>549</v>
      </c>
      <c r="F2380" s="424">
        <v>200</v>
      </c>
      <c r="G2380" s="421"/>
    </row>
    <row r="2381" spans="1:7" x14ac:dyDescent="0.2">
      <c r="A2381" s="405"/>
      <c r="B2381" s="408"/>
      <c r="C2381" s="411"/>
      <c r="D2381" s="413"/>
      <c r="E2381" s="419"/>
      <c r="F2381" s="425">
        <v>100</v>
      </c>
      <c r="G2381" s="422"/>
    </row>
    <row r="2382" spans="1:7" x14ac:dyDescent="0.2">
      <c r="A2382" s="405"/>
      <c r="B2382" s="409"/>
      <c r="C2382" s="412"/>
      <c r="D2382" s="413"/>
      <c r="E2382" s="409"/>
      <c r="F2382" s="425">
        <v>50</v>
      </c>
      <c r="G2382" s="422"/>
    </row>
    <row r="2383" spans="1:7" x14ac:dyDescent="0.2">
      <c r="A2383" s="405"/>
      <c r="B2383" s="316"/>
      <c r="C2383" s="410"/>
      <c r="D2383" s="414"/>
      <c r="E2383" s="316"/>
      <c r="F2383" s="425" t="s">
        <v>289</v>
      </c>
      <c r="G2383" s="422"/>
    </row>
    <row r="2384" spans="1:7" x14ac:dyDescent="0.2">
      <c r="A2384" s="405"/>
      <c r="B2384" s="408"/>
      <c r="C2384" s="411"/>
      <c r="D2384" s="413"/>
      <c r="E2384" s="419"/>
      <c r="F2384" s="425" t="s">
        <v>290</v>
      </c>
      <c r="G2384" s="422"/>
    </row>
    <row r="2385" spans="1:7" x14ac:dyDescent="0.2">
      <c r="A2385" s="405"/>
      <c r="B2385" s="409"/>
      <c r="C2385" s="412"/>
      <c r="D2385" s="413"/>
      <c r="E2385" s="409"/>
      <c r="F2385" s="426" t="s">
        <v>291</v>
      </c>
      <c r="G2385" s="422"/>
    </row>
    <row r="2386" spans="1:7" ht="16" thickBot="1" x14ac:dyDescent="0.25">
      <c r="A2386" s="405"/>
      <c r="B2386" s="409"/>
      <c r="C2386" s="412"/>
      <c r="D2386" s="413"/>
      <c r="E2386" s="409"/>
      <c r="F2386" s="427" t="s">
        <v>292</v>
      </c>
      <c r="G2386" s="423"/>
    </row>
    <row r="2387" spans="1:7" ht="16" thickBot="1" x14ac:dyDescent="0.25">
      <c r="A2387" s="405"/>
      <c r="B2387" s="408"/>
      <c r="C2387" s="412"/>
      <c r="D2387" s="413"/>
      <c r="E2387" s="417"/>
      <c r="F2387" s="831">
        <f>SUM(G2380:G2385)</f>
        <v>0</v>
      </c>
      <c r="G2387" s="832"/>
    </row>
    <row r="2388" spans="1:7" x14ac:dyDescent="0.2">
      <c r="A2388" s="405"/>
      <c r="B2388" s="408"/>
      <c r="C2388" s="411"/>
      <c r="D2388" s="413"/>
      <c r="E2388" s="417"/>
      <c r="F2388" s="430"/>
      <c r="G2388" s="428"/>
    </row>
    <row r="2389" spans="1:7" ht="16" thickBot="1" x14ac:dyDescent="0.25">
      <c r="A2389" s="405"/>
      <c r="B2389" s="408"/>
      <c r="C2389" s="411"/>
      <c r="D2389" s="413"/>
      <c r="E2389" s="420"/>
      <c r="F2389" s="431"/>
      <c r="G2389" s="429"/>
    </row>
    <row r="2390" spans="1:7" x14ac:dyDescent="0.2">
      <c r="A2390" s="405"/>
      <c r="B2390" s="408"/>
      <c r="C2390" s="412"/>
      <c r="D2390" s="413"/>
      <c r="E2390" s="417"/>
      <c r="F2390" s="833" t="s">
        <v>293</v>
      </c>
      <c r="G2390" s="834"/>
    </row>
    <row r="2391" spans="1:7" ht="16" thickBot="1" x14ac:dyDescent="0.25">
      <c r="A2391" s="405"/>
      <c r="B2391" s="316"/>
      <c r="C2391" s="234"/>
      <c r="D2391" s="413"/>
      <c r="E2391" s="316"/>
      <c r="F2391" s="835"/>
      <c r="G2391" s="836"/>
    </row>
    <row r="2392" spans="1:7" x14ac:dyDescent="0.2">
      <c r="A2392" s="405"/>
      <c r="B2392" s="408"/>
      <c r="C2392" s="412"/>
      <c r="D2392" s="413"/>
      <c r="E2392" s="417"/>
      <c r="F2392" s="424">
        <v>200</v>
      </c>
      <c r="G2392" s="421">
        <v>600</v>
      </c>
    </row>
    <row r="2393" spans="1:7" x14ac:dyDescent="0.2">
      <c r="A2393" s="405"/>
      <c r="B2393" s="408"/>
      <c r="C2393" s="411"/>
      <c r="D2393" s="413"/>
      <c r="E2393" s="417"/>
      <c r="F2393" s="425">
        <v>100</v>
      </c>
      <c r="G2393" s="422">
        <v>2300</v>
      </c>
    </row>
    <row r="2394" spans="1:7" x14ac:dyDescent="0.2">
      <c r="A2394" s="405"/>
      <c r="B2394" s="408"/>
      <c r="C2394" s="411"/>
      <c r="D2394" s="413"/>
      <c r="E2394" s="417"/>
      <c r="F2394" s="425">
        <v>50</v>
      </c>
      <c r="G2394" s="422">
        <v>50</v>
      </c>
    </row>
    <row r="2395" spans="1:7" x14ac:dyDescent="0.2">
      <c r="A2395" s="405"/>
      <c r="B2395" s="408"/>
      <c r="C2395" s="411"/>
      <c r="D2395" s="413"/>
      <c r="E2395" s="417"/>
      <c r="F2395" s="425" t="s">
        <v>289</v>
      </c>
      <c r="G2395" s="422">
        <v>180</v>
      </c>
    </row>
    <row r="2396" spans="1:7" x14ac:dyDescent="0.2">
      <c r="A2396" s="405"/>
      <c r="B2396" s="408"/>
      <c r="C2396" s="411"/>
      <c r="D2396" s="413"/>
      <c r="E2396" s="417"/>
      <c r="F2396" s="425" t="s">
        <v>290</v>
      </c>
      <c r="G2396" s="422">
        <v>10</v>
      </c>
    </row>
    <row r="2397" spans="1:7" x14ac:dyDescent="0.2">
      <c r="A2397" s="405"/>
      <c r="B2397" s="408"/>
      <c r="C2397" s="411"/>
      <c r="D2397" s="413"/>
      <c r="E2397" s="417"/>
      <c r="F2397" s="426" t="s">
        <v>291</v>
      </c>
      <c r="G2397" s="422"/>
    </row>
    <row r="2398" spans="1:7" ht="16" thickBot="1" x14ac:dyDescent="0.25">
      <c r="A2398" s="405"/>
      <c r="B2398" s="408"/>
      <c r="C2398" s="411"/>
      <c r="D2398" s="413"/>
      <c r="E2398" s="417" t="s">
        <v>340</v>
      </c>
      <c r="F2398" s="427" t="s">
        <v>292</v>
      </c>
      <c r="G2398" s="423"/>
    </row>
    <row r="2399" spans="1:7" ht="16" thickBot="1" x14ac:dyDescent="0.25">
      <c r="A2399" s="405"/>
      <c r="B2399" s="408"/>
      <c r="C2399" s="411"/>
      <c r="D2399" s="415"/>
      <c r="E2399" s="417"/>
      <c r="F2399" s="837">
        <f>SUM(G2392:G2397)</f>
        <v>3140</v>
      </c>
      <c r="G2399" s="838"/>
    </row>
    <row r="2400" spans="1:7" ht="16" thickBot="1" x14ac:dyDescent="0.25">
      <c r="A2400" s="406" t="s">
        <v>19</v>
      </c>
      <c r="B2400" s="185"/>
      <c r="C2400" s="407">
        <f>SUM(C2378:C2399)</f>
        <v>3140</v>
      </c>
      <c r="D2400" s="186">
        <f>SUM(D2378:D2399)</f>
        <v>0</v>
      </c>
      <c r="E2400" s="186">
        <f>C2400-D2400</f>
        <v>3140</v>
      </c>
      <c r="F2400" s="416"/>
      <c r="G2400" s="187"/>
    </row>
    <row r="2401" spans="1:7" ht="16" thickBot="1" x14ac:dyDescent="0.25"/>
    <row r="2402" spans="1:7" ht="33" thickBot="1" x14ac:dyDescent="0.25">
      <c r="A2402" s="686"/>
      <c r="B2402" s="183" t="s">
        <v>283</v>
      </c>
      <c r="C2402" s="236" t="s">
        <v>284</v>
      </c>
      <c r="D2402" s="184" t="s">
        <v>285</v>
      </c>
      <c r="E2402" s="184" t="s">
        <v>125</v>
      </c>
      <c r="F2402" s="827" t="s">
        <v>286</v>
      </c>
      <c r="G2402" s="828"/>
    </row>
    <row r="2403" spans="1:7" ht="16" thickBot="1" x14ac:dyDescent="0.25">
      <c r="A2403" s="433">
        <v>45771</v>
      </c>
      <c r="B2403" s="435" t="s">
        <v>287</v>
      </c>
      <c r="C2403" s="436">
        <f>E2400</f>
        <v>3140</v>
      </c>
      <c r="D2403" s="28"/>
      <c r="E2403" s="438" t="s">
        <v>287</v>
      </c>
      <c r="F2403" s="829" t="s">
        <v>288</v>
      </c>
      <c r="G2403" s="830"/>
    </row>
    <row r="2404" spans="1:7" ht="16" thickBot="1" x14ac:dyDescent="0.25">
      <c r="A2404" s="432"/>
      <c r="B2404" s="316" t="s">
        <v>222</v>
      </c>
      <c r="C2404" s="410"/>
      <c r="D2404" s="414">
        <v>400</v>
      </c>
      <c r="E2404" s="316" t="s">
        <v>1040</v>
      </c>
      <c r="F2404" s="829"/>
      <c r="G2404" s="830"/>
    </row>
    <row r="2405" spans="1:7" x14ac:dyDescent="0.2">
      <c r="A2405" s="405"/>
      <c r="B2405" s="316" t="s">
        <v>14</v>
      </c>
      <c r="C2405" s="410"/>
      <c r="D2405" s="414">
        <v>130</v>
      </c>
      <c r="E2405" s="316" t="s">
        <v>1047</v>
      </c>
      <c r="F2405" s="424">
        <v>200</v>
      </c>
      <c r="G2405" s="421">
        <v>600</v>
      </c>
    </row>
    <row r="2406" spans="1:7" ht="16" x14ac:dyDescent="0.2">
      <c r="A2406" s="405"/>
      <c r="B2406" s="408" t="s">
        <v>298</v>
      </c>
      <c r="C2406" s="411"/>
      <c r="D2406" s="413">
        <v>2760</v>
      </c>
      <c r="E2406" s="419" t="s">
        <v>298</v>
      </c>
      <c r="F2406" s="425">
        <v>100</v>
      </c>
      <c r="G2406" s="422">
        <v>2300</v>
      </c>
    </row>
    <row r="2407" spans="1:7" x14ac:dyDescent="0.2">
      <c r="A2407" s="405"/>
      <c r="B2407" s="409" t="s">
        <v>294</v>
      </c>
      <c r="C2407" s="412">
        <v>150</v>
      </c>
      <c r="D2407" s="413"/>
      <c r="E2407" s="409" t="s">
        <v>295</v>
      </c>
      <c r="F2407" s="425">
        <v>50</v>
      </c>
      <c r="G2407" s="422">
        <v>50</v>
      </c>
    </row>
    <row r="2408" spans="1:7" x14ac:dyDescent="0.2">
      <c r="A2408" s="405"/>
      <c r="B2408" s="316"/>
      <c r="C2408" s="410"/>
      <c r="D2408" s="414"/>
      <c r="E2408" s="316"/>
      <c r="F2408" s="425" t="s">
        <v>289</v>
      </c>
      <c r="G2408" s="422">
        <v>180</v>
      </c>
    </row>
    <row r="2409" spans="1:7" x14ac:dyDescent="0.2">
      <c r="A2409" s="405"/>
      <c r="B2409" s="408"/>
      <c r="C2409" s="411"/>
      <c r="D2409" s="413"/>
      <c r="E2409" s="419"/>
      <c r="F2409" s="425" t="s">
        <v>290</v>
      </c>
      <c r="G2409" s="422">
        <v>10</v>
      </c>
    </row>
    <row r="2410" spans="1:7" x14ac:dyDescent="0.2">
      <c r="A2410" s="405"/>
      <c r="B2410" s="409"/>
      <c r="C2410" s="412"/>
      <c r="D2410" s="413"/>
      <c r="E2410" s="409"/>
      <c r="F2410" s="426" t="s">
        <v>291</v>
      </c>
      <c r="G2410" s="422"/>
    </row>
    <row r="2411" spans="1:7" ht="16" thickBot="1" x14ac:dyDescent="0.25">
      <c r="A2411" s="405"/>
      <c r="B2411" s="409"/>
      <c r="C2411" s="412"/>
      <c r="D2411" s="413"/>
      <c r="E2411" s="409"/>
      <c r="F2411" s="427" t="s">
        <v>292</v>
      </c>
      <c r="G2411" s="423"/>
    </row>
    <row r="2412" spans="1:7" ht="16" thickBot="1" x14ac:dyDescent="0.25">
      <c r="A2412" s="405"/>
      <c r="B2412" s="408"/>
      <c r="C2412" s="412"/>
      <c r="D2412" s="413"/>
      <c r="E2412" s="417"/>
      <c r="F2412" s="831">
        <f>SUM(G2405:G2410)</f>
        <v>3140</v>
      </c>
      <c r="G2412" s="832"/>
    </row>
    <row r="2413" spans="1:7" x14ac:dyDescent="0.2">
      <c r="A2413" s="405"/>
      <c r="B2413" s="408"/>
      <c r="C2413" s="411"/>
      <c r="D2413" s="413"/>
      <c r="E2413" s="417"/>
      <c r="F2413" s="430"/>
      <c r="G2413" s="428"/>
    </row>
    <row r="2414" spans="1:7" ht="16" thickBot="1" x14ac:dyDescent="0.25">
      <c r="A2414" s="405"/>
      <c r="B2414" s="408"/>
      <c r="C2414" s="411"/>
      <c r="D2414" s="413"/>
      <c r="E2414" s="420"/>
      <c r="F2414" s="431"/>
      <c r="G2414" s="429"/>
    </row>
    <row r="2415" spans="1:7" x14ac:dyDescent="0.2">
      <c r="A2415" s="405"/>
      <c r="B2415" s="408"/>
      <c r="C2415" s="412"/>
      <c r="D2415" s="413"/>
      <c r="E2415" s="417"/>
      <c r="F2415" s="833" t="s">
        <v>293</v>
      </c>
      <c r="G2415" s="834"/>
    </row>
    <row r="2416" spans="1:7" ht="16" thickBot="1" x14ac:dyDescent="0.25">
      <c r="A2416" s="405"/>
      <c r="B2416" s="316"/>
      <c r="C2416" s="234"/>
      <c r="D2416" s="413"/>
      <c r="E2416" s="316"/>
      <c r="F2416" s="835"/>
      <c r="G2416" s="836"/>
    </row>
    <row r="2417" spans="1:7" x14ac:dyDescent="0.2">
      <c r="A2417" s="405"/>
      <c r="B2417" s="408"/>
      <c r="C2417" s="412"/>
      <c r="D2417" s="413"/>
      <c r="E2417" s="417"/>
      <c r="F2417" s="424">
        <v>200</v>
      </c>
      <c r="G2417" s="421"/>
    </row>
    <row r="2418" spans="1:7" x14ac:dyDescent="0.2">
      <c r="A2418" s="405"/>
      <c r="B2418" s="408"/>
      <c r="C2418" s="411"/>
      <c r="D2418" s="413"/>
      <c r="E2418" s="417"/>
      <c r="F2418" s="425">
        <v>100</v>
      </c>
      <c r="G2418" s="422"/>
    </row>
    <row r="2419" spans="1:7" x14ac:dyDescent="0.2">
      <c r="A2419" s="405"/>
      <c r="B2419" s="408"/>
      <c r="C2419" s="411"/>
      <c r="D2419" s="413"/>
      <c r="E2419" s="417"/>
      <c r="F2419" s="425">
        <v>50</v>
      </c>
      <c r="G2419" s="422"/>
    </row>
    <row r="2420" spans="1:7" x14ac:dyDescent="0.2">
      <c r="A2420" s="405"/>
      <c r="B2420" s="408"/>
      <c r="C2420" s="411"/>
      <c r="D2420" s="413"/>
      <c r="E2420" s="417"/>
      <c r="F2420" s="425" t="s">
        <v>289</v>
      </c>
      <c r="G2420" s="422"/>
    </row>
    <row r="2421" spans="1:7" x14ac:dyDescent="0.2">
      <c r="A2421" s="405"/>
      <c r="B2421" s="408"/>
      <c r="C2421" s="411"/>
      <c r="D2421" s="413"/>
      <c r="E2421" s="417"/>
      <c r="F2421" s="425" t="s">
        <v>290</v>
      </c>
      <c r="G2421" s="422"/>
    </row>
    <row r="2422" spans="1:7" x14ac:dyDescent="0.2">
      <c r="A2422" s="405"/>
      <c r="B2422" s="408"/>
      <c r="C2422" s="411"/>
      <c r="D2422" s="413"/>
      <c r="E2422" s="417"/>
      <c r="F2422" s="426" t="s">
        <v>291</v>
      </c>
      <c r="G2422" s="422"/>
    </row>
    <row r="2423" spans="1:7" ht="16" thickBot="1" x14ac:dyDescent="0.25">
      <c r="A2423" s="405"/>
      <c r="B2423" s="408"/>
      <c r="C2423" s="411"/>
      <c r="D2423" s="413"/>
      <c r="E2423" s="417" t="s">
        <v>340</v>
      </c>
      <c r="F2423" s="427" t="s">
        <v>292</v>
      </c>
      <c r="G2423" s="423"/>
    </row>
    <row r="2424" spans="1:7" ht="16" thickBot="1" x14ac:dyDescent="0.25">
      <c r="A2424" s="405"/>
      <c r="B2424" s="408"/>
      <c r="C2424" s="411"/>
      <c r="D2424" s="415"/>
      <c r="E2424" s="417"/>
      <c r="F2424" s="837">
        <f>SUM(G2417:G2422)</f>
        <v>0</v>
      </c>
      <c r="G2424" s="838"/>
    </row>
    <row r="2425" spans="1:7" ht="16" thickBot="1" x14ac:dyDescent="0.25">
      <c r="A2425" s="406" t="s">
        <v>19</v>
      </c>
      <c r="B2425" s="185"/>
      <c r="C2425" s="407">
        <f>SUM(C2403:C2424)</f>
        <v>3290</v>
      </c>
      <c r="D2425" s="186">
        <f>SUM(D2403:D2424)</f>
        <v>3290</v>
      </c>
      <c r="E2425" s="186">
        <f>C2425-D2425</f>
        <v>0</v>
      </c>
      <c r="F2425" s="416"/>
      <c r="G2425" s="187"/>
    </row>
    <row r="2426" spans="1:7" ht="16" thickBot="1" x14ac:dyDescent="0.25"/>
    <row r="2427" spans="1:7" ht="33" thickBot="1" x14ac:dyDescent="0.25">
      <c r="A2427" s="686"/>
      <c r="B2427" s="183" t="s">
        <v>283</v>
      </c>
      <c r="C2427" s="236" t="s">
        <v>284</v>
      </c>
      <c r="D2427" s="184" t="s">
        <v>285</v>
      </c>
      <c r="E2427" s="184" t="s">
        <v>125</v>
      </c>
      <c r="F2427" s="827" t="s">
        <v>286</v>
      </c>
      <c r="G2427" s="828"/>
    </row>
    <row r="2428" spans="1:7" ht="16" thickBot="1" x14ac:dyDescent="0.25">
      <c r="A2428" s="433">
        <v>45772</v>
      </c>
      <c r="B2428" s="435" t="s">
        <v>287</v>
      </c>
      <c r="C2428" s="436">
        <f>E2425</f>
        <v>0</v>
      </c>
      <c r="D2428" s="28"/>
      <c r="E2428" s="438" t="s">
        <v>287</v>
      </c>
      <c r="F2428" s="829" t="s">
        <v>288</v>
      </c>
      <c r="G2428" s="830"/>
    </row>
    <row r="2429" spans="1:7" ht="16" thickBot="1" x14ac:dyDescent="0.25">
      <c r="A2429" s="432"/>
      <c r="B2429" s="316" t="s">
        <v>70</v>
      </c>
      <c r="C2429" s="410">
        <v>1200</v>
      </c>
      <c r="D2429" s="414"/>
      <c r="E2429" s="316" t="s">
        <v>1042</v>
      </c>
      <c r="F2429" s="829"/>
      <c r="G2429" s="830"/>
    </row>
    <row r="2430" spans="1:7" x14ac:dyDescent="0.2">
      <c r="A2430" s="405"/>
      <c r="B2430" s="316" t="s">
        <v>222</v>
      </c>
      <c r="C2430" s="410"/>
      <c r="D2430" s="414">
        <v>500</v>
      </c>
      <c r="E2430" s="316" t="s">
        <v>224</v>
      </c>
      <c r="F2430" s="424">
        <v>200</v>
      </c>
      <c r="G2430" s="421"/>
    </row>
    <row r="2431" spans="1:7" x14ac:dyDescent="0.2">
      <c r="A2431" s="405"/>
      <c r="B2431" s="408"/>
      <c r="C2431" s="411"/>
      <c r="D2431" s="413"/>
      <c r="E2431" s="419"/>
      <c r="F2431" s="425">
        <v>100</v>
      </c>
      <c r="G2431" s="422"/>
    </row>
    <row r="2432" spans="1:7" x14ac:dyDescent="0.2">
      <c r="A2432" s="405"/>
      <c r="B2432" s="409"/>
      <c r="C2432" s="412"/>
      <c r="D2432" s="413"/>
      <c r="E2432" s="409"/>
      <c r="F2432" s="425">
        <v>50</v>
      </c>
      <c r="G2432" s="422"/>
    </row>
    <row r="2433" spans="1:7" x14ac:dyDescent="0.2">
      <c r="A2433" s="405"/>
      <c r="B2433" s="316"/>
      <c r="C2433" s="410"/>
      <c r="D2433" s="414"/>
      <c r="E2433" s="316"/>
      <c r="F2433" s="425" t="s">
        <v>289</v>
      </c>
      <c r="G2433" s="422"/>
    </row>
    <row r="2434" spans="1:7" x14ac:dyDescent="0.2">
      <c r="A2434" s="405"/>
      <c r="B2434" s="408"/>
      <c r="C2434" s="411"/>
      <c r="D2434" s="413"/>
      <c r="E2434" s="419"/>
      <c r="F2434" s="425" t="s">
        <v>290</v>
      </c>
      <c r="G2434" s="422"/>
    </row>
    <row r="2435" spans="1:7" x14ac:dyDescent="0.2">
      <c r="A2435" s="405"/>
      <c r="B2435" s="409"/>
      <c r="C2435" s="412"/>
      <c r="D2435" s="413"/>
      <c r="E2435" s="409"/>
      <c r="F2435" s="426" t="s">
        <v>291</v>
      </c>
      <c r="G2435" s="422"/>
    </row>
    <row r="2436" spans="1:7" ht="16" thickBot="1" x14ac:dyDescent="0.25">
      <c r="A2436" s="405"/>
      <c r="B2436" s="409"/>
      <c r="C2436" s="412"/>
      <c r="D2436" s="413"/>
      <c r="E2436" s="409"/>
      <c r="F2436" s="427" t="s">
        <v>292</v>
      </c>
      <c r="G2436" s="423"/>
    </row>
    <row r="2437" spans="1:7" ht="16" thickBot="1" x14ac:dyDescent="0.25">
      <c r="A2437" s="405"/>
      <c r="B2437" s="408"/>
      <c r="C2437" s="412"/>
      <c r="D2437" s="413"/>
      <c r="E2437" s="417"/>
      <c r="F2437" s="831">
        <f>SUM(G2430:G2435)</f>
        <v>0</v>
      </c>
      <c r="G2437" s="832"/>
    </row>
    <row r="2438" spans="1:7" x14ac:dyDescent="0.2">
      <c r="A2438" s="405"/>
      <c r="B2438" s="408"/>
      <c r="C2438" s="411"/>
      <c r="D2438" s="413"/>
      <c r="E2438" s="417"/>
      <c r="F2438" s="430"/>
      <c r="G2438" s="428"/>
    </row>
    <row r="2439" spans="1:7" ht="16" thickBot="1" x14ac:dyDescent="0.25">
      <c r="A2439" s="405"/>
      <c r="B2439" s="408"/>
      <c r="C2439" s="411"/>
      <c r="D2439" s="413"/>
      <c r="E2439" s="420"/>
      <c r="F2439" s="431"/>
      <c r="G2439" s="429"/>
    </row>
    <row r="2440" spans="1:7" x14ac:dyDescent="0.2">
      <c r="A2440" s="405"/>
      <c r="B2440" s="408"/>
      <c r="C2440" s="412"/>
      <c r="D2440" s="413"/>
      <c r="E2440" s="417"/>
      <c r="F2440" s="833" t="s">
        <v>293</v>
      </c>
      <c r="G2440" s="834"/>
    </row>
    <row r="2441" spans="1:7" ht="16" thickBot="1" x14ac:dyDescent="0.25">
      <c r="A2441" s="405"/>
      <c r="B2441" s="316"/>
      <c r="C2441" s="234"/>
      <c r="D2441" s="413"/>
      <c r="E2441" s="316"/>
      <c r="F2441" s="835"/>
      <c r="G2441" s="836"/>
    </row>
    <row r="2442" spans="1:7" x14ac:dyDescent="0.2">
      <c r="A2442" s="405"/>
      <c r="B2442" s="408"/>
      <c r="C2442" s="412"/>
      <c r="D2442" s="413"/>
      <c r="E2442" s="417"/>
      <c r="F2442" s="424">
        <v>200</v>
      </c>
      <c r="G2442" s="421"/>
    </row>
    <row r="2443" spans="1:7" x14ac:dyDescent="0.2">
      <c r="A2443" s="405"/>
      <c r="B2443" s="408"/>
      <c r="C2443" s="411"/>
      <c r="D2443" s="413"/>
      <c r="E2443" s="417"/>
      <c r="F2443" s="425">
        <v>100</v>
      </c>
      <c r="G2443" s="422"/>
    </row>
    <row r="2444" spans="1:7" x14ac:dyDescent="0.2">
      <c r="A2444" s="405"/>
      <c r="B2444" s="408"/>
      <c r="C2444" s="411"/>
      <c r="D2444" s="413"/>
      <c r="E2444" s="417"/>
      <c r="F2444" s="425">
        <v>50</v>
      </c>
      <c r="G2444" s="422"/>
    </row>
    <row r="2445" spans="1:7" x14ac:dyDescent="0.2">
      <c r="A2445" s="405"/>
      <c r="B2445" s="408"/>
      <c r="C2445" s="411"/>
      <c r="D2445" s="413"/>
      <c r="E2445" s="417"/>
      <c r="F2445" s="425" t="s">
        <v>289</v>
      </c>
      <c r="G2445" s="422"/>
    </row>
    <row r="2446" spans="1:7" x14ac:dyDescent="0.2">
      <c r="A2446" s="405"/>
      <c r="B2446" s="408"/>
      <c r="C2446" s="411"/>
      <c r="D2446" s="413"/>
      <c r="E2446" s="417"/>
      <c r="F2446" s="425" t="s">
        <v>290</v>
      </c>
      <c r="G2446" s="422"/>
    </row>
    <row r="2447" spans="1:7" x14ac:dyDescent="0.2">
      <c r="A2447" s="405"/>
      <c r="B2447" s="408"/>
      <c r="C2447" s="411"/>
      <c r="D2447" s="413"/>
      <c r="E2447" s="417"/>
      <c r="F2447" s="426" t="s">
        <v>291</v>
      </c>
      <c r="G2447" s="422"/>
    </row>
    <row r="2448" spans="1:7" ht="16" thickBot="1" x14ac:dyDescent="0.25">
      <c r="A2448" s="405"/>
      <c r="B2448" s="408"/>
      <c r="C2448" s="411"/>
      <c r="D2448" s="413"/>
      <c r="E2448" s="417" t="s">
        <v>340</v>
      </c>
      <c r="F2448" s="427" t="s">
        <v>292</v>
      </c>
      <c r="G2448" s="423"/>
    </row>
    <row r="2449" spans="1:7" ht="16" thickBot="1" x14ac:dyDescent="0.25">
      <c r="A2449" s="405"/>
      <c r="B2449" s="408"/>
      <c r="C2449" s="411"/>
      <c r="D2449" s="415"/>
      <c r="E2449" s="417"/>
      <c r="F2449" s="837">
        <f>SUM(G2442:G2447)</f>
        <v>0</v>
      </c>
      <c r="G2449" s="838"/>
    </row>
    <row r="2450" spans="1:7" ht="16" thickBot="1" x14ac:dyDescent="0.25">
      <c r="A2450" s="406" t="s">
        <v>19</v>
      </c>
      <c r="B2450" s="185"/>
      <c r="C2450" s="407">
        <f>SUM(C2428:C2449)</f>
        <v>1200</v>
      </c>
      <c r="D2450" s="186">
        <f>SUM(D2428:D2449)</f>
        <v>500</v>
      </c>
      <c r="E2450" s="186">
        <f>C2450-D2450</f>
        <v>700</v>
      </c>
      <c r="F2450" s="416"/>
      <c r="G2450" s="187"/>
    </row>
    <row r="2451" spans="1:7" ht="16" thickBot="1" x14ac:dyDescent="0.25"/>
    <row r="2452" spans="1:7" ht="33" thickBot="1" x14ac:dyDescent="0.25">
      <c r="A2452" s="686"/>
      <c r="B2452" s="183" t="s">
        <v>283</v>
      </c>
      <c r="C2452" s="236" t="s">
        <v>284</v>
      </c>
      <c r="D2452" s="184" t="s">
        <v>285</v>
      </c>
      <c r="E2452" s="184" t="s">
        <v>125</v>
      </c>
      <c r="F2452" s="827" t="s">
        <v>286</v>
      </c>
      <c r="G2452" s="828"/>
    </row>
    <row r="2453" spans="1:7" ht="16" thickBot="1" x14ac:dyDescent="0.25">
      <c r="A2453" s="433">
        <v>45773</v>
      </c>
      <c r="B2453" s="435" t="s">
        <v>287</v>
      </c>
      <c r="C2453" s="436">
        <f>E2450</f>
        <v>700</v>
      </c>
      <c r="D2453" s="28"/>
      <c r="E2453" s="438" t="s">
        <v>287</v>
      </c>
      <c r="F2453" s="829" t="s">
        <v>288</v>
      </c>
      <c r="G2453" s="830"/>
    </row>
    <row r="2454" spans="1:7" ht="16" thickBot="1" x14ac:dyDescent="0.25">
      <c r="A2454" s="432"/>
      <c r="B2454" s="316" t="s">
        <v>297</v>
      </c>
      <c r="C2454" s="410"/>
      <c r="D2454" s="414">
        <v>145</v>
      </c>
      <c r="E2454" s="316" t="s">
        <v>703</v>
      </c>
      <c r="F2454" s="829"/>
      <c r="G2454" s="830"/>
    </row>
    <row r="2455" spans="1:7" x14ac:dyDescent="0.2">
      <c r="A2455" s="405"/>
      <c r="B2455" s="316" t="s">
        <v>334</v>
      </c>
      <c r="C2455" s="410"/>
      <c r="D2455" s="414">
        <f>180+40</f>
        <v>220</v>
      </c>
      <c r="E2455" s="316" t="s">
        <v>1057</v>
      </c>
      <c r="F2455" s="424">
        <v>200</v>
      </c>
      <c r="G2455" s="421"/>
    </row>
    <row r="2456" spans="1:7" ht="16" x14ac:dyDescent="0.2">
      <c r="A2456" s="405"/>
      <c r="B2456" s="408" t="s">
        <v>499</v>
      </c>
      <c r="C2456" s="411"/>
      <c r="D2456" s="413">
        <v>85</v>
      </c>
      <c r="E2456" s="419" t="s">
        <v>919</v>
      </c>
      <c r="F2456" s="425">
        <v>100</v>
      </c>
      <c r="G2456" s="422"/>
    </row>
    <row r="2457" spans="1:7" x14ac:dyDescent="0.2">
      <c r="A2457" s="405"/>
      <c r="B2457" s="409"/>
      <c r="C2457" s="412"/>
      <c r="D2457" s="413"/>
      <c r="E2457" s="409"/>
      <c r="F2457" s="425">
        <v>50</v>
      </c>
      <c r="G2457" s="422"/>
    </row>
    <row r="2458" spans="1:7" x14ac:dyDescent="0.2">
      <c r="A2458" s="405"/>
      <c r="B2458" s="316"/>
      <c r="C2458" s="410"/>
      <c r="D2458" s="414"/>
      <c r="E2458" s="316"/>
      <c r="F2458" s="425" t="s">
        <v>289</v>
      </c>
      <c r="G2458" s="422"/>
    </row>
    <row r="2459" spans="1:7" x14ac:dyDescent="0.2">
      <c r="A2459" s="405"/>
      <c r="B2459" s="408"/>
      <c r="C2459" s="411"/>
      <c r="D2459" s="413"/>
      <c r="E2459" s="419"/>
      <c r="F2459" s="425" t="s">
        <v>290</v>
      </c>
      <c r="G2459" s="422"/>
    </row>
    <row r="2460" spans="1:7" x14ac:dyDescent="0.2">
      <c r="A2460" s="405"/>
      <c r="B2460" s="409"/>
      <c r="C2460" s="412"/>
      <c r="D2460" s="413"/>
      <c r="E2460" s="409"/>
      <c r="F2460" s="426" t="s">
        <v>291</v>
      </c>
      <c r="G2460" s="422"/>
    </row>
    <row r="2461" spans="1:7" ht="16" thickBot="1" x14ac:dyDescent="0.25">
      <c r="A2461" s="405"/>
      <c r="B2461" s="409"/>
      <c r="C2461" s="412"/>
      <c r="D2461" s="413"/>
      <c r="E2461" s="409"/>
      <c r="F2461" s="427" t="s">
        <v>292</v>
      </c>
      <c r="G2461" s="423"/>
    </row>
    <row r="2462" spans="1:7" ht="16" thickBot="1" x14ac:dyDescent="0.25">
      <c r="A2462" s="405"/>
      <c r="B2462" s="408"/>
      <c r="C2462" s="412"/>
      <c r="D2462" s="413"/>
      <c r="E2462" s="417"/>
      <c r="F2462" s="831">
        <f>SUM(G2455:G2460)</f>
        <v>0</v>
      </c>
      <c r="G2462" s="832"/>
    </row>
    <row r="2463" spans="1:7" x14ac:dyDescent="0.2">
      <c r="A2463" s="405"/>
      <c r="B2463" s="408"/>
      <c r="C2463" s="411"/>
      <c r="D2463" s="413"/>
      <c r="E2463" s="417"/>
      <c r="F2463" s="430"/>
      <c r="G2463" s="428"/>
    </row>
    <row r="2464" spans="1:7" ht="16" thickBot="1" x14ac:dyDescent="0.25">
      <c r="A2464" s="405"/>
      <c r="B2464" s="408"/>
      <c r="C2464" s="411"/>
      <c r="D2464" s="413"/>
      <c r="E2464" s="420"/>
      <c r="F2464" s="431"/>
      <c r="G2464" s="429"/>
    </row>
    <row r="2465" spans="1:7" x14ac:dyDescent="0.2">
      <c r="A2465" s="405"/>
      <c r="B2465" s="408"/>
      <c r="C2465" s="412"/>
      <c r="D2465" s="413"/>
      <c r="E2465" s="417"/>
      <c r="F2465" s="833" t="s">
        <v>293</v>
      </c>
      <c r="G2465" s="834"/>
    </row>
    <row r="2466" spans="1:7" ht="16" thickBot="1" x14ac:dyDescent="0.25">
      <c r="A2466" s="405"/>
      <c r="B2466" s="316"/>
      <c r="C2466" s="234"/>
      <c r="D2466" s="413"/>
      <c r="E2466" s="316"/>
      <c r="F2466" s="835"/>
      <c r="G2466" s="836"/>
    </row>
    <row r="2467" spans="1:7" x14ac:dyDescent="0.2">
      <c r="A2467" s="405"/>
      <c r="B2467" s="408"/>
      <c r="C2467" s="412"/>
      <c r="D2467" s="413"/>
      <c r="E2467" s="417"/>
      <c r="F2467" s="424">
        <v>200</v>
      </c>
      <c r="G2467" s="421"/>
    </row>
    <row r="2468" spans="1:7" x14ac:dyDescent="0.2">
      <c r="A2468" s="405"/>
      <c r="B2468" s="408"/>
      <c r="C2468" s="411"/>
      <c r="D2468" s="413"/>
      <c r="E2468" s="417"/>
      <c r="F2468" s="425">
        <v>100</v>
      </c>
      <c r="G2468" s="422"/>
    </row>
    <row r="2469" spans="1:7" x14ac:dyDescent="0.2">
      <c r="A2469" s="405"/>
      <c r="B2469" s="408"/>
      <c r="C2469" s="411"/>
      <c r="D2469" s="413"/>
      <c r="E2469" s="417"/>
      <c r="F2469" s="425">
        <v>50</v>
      </c>
      <c r="G2469" s="422">
        <v>250</v>
      </c>
    </row>
    <row r="2470" spans="1:7" x14ac:dyDescent="0.2">
      <c r="A2470" s="405"/>
      <c r="B2470" s="408"/>
      <c r="C2470" s="411"/>
      <c r="D2470" s="413"/>
      <c r="E2470" s="417"/>
      <c r="F2470" s="425" t="s">
        <v>289</v>
      </c>
      <c r="G2470" s="422"/>
    </row>
    <row r="2471" spans="1:7" x14ac:dyDescent="0.2">
      <c r="A2471" s="405"/>
      <c r="B2471" s="408"/>
      <c r="C2471" s="411"/>
      <c r="D2471" s="413"/>
      <c r="E2471" s="417"/>
      <c r="F2471" s="425" t="s">
        <v>290</v>
      </c>
      <c r="G2471" s="422"/>
    </row>
    <row r="2472" spans="1:7" x14ac:dyDescent="0.2">
      <c r="A2472" s="405"/>
      <c r="B2472" s="408"/>
      <c r="C2472" s="411"/>
      <c r="D2472" s="413"/>
      <c r="E2472" s="417"/>
      <c r="F2472" s="426" t="s">
        <v>291</v>
      </c>
      <c r="G2472" s="422"/>
    </row>
    <row r="2473" spans="1:7" ht="16" thickBot="1" x14ac:dyDescent="0.25">
      <c r="A2473" s="405"/>
      <c r="B2473" s="408"/>
      <c r="C2473" s="411"/>
      <c r="D2473" s="413"/>
      <c r="E2473" s="417" t="s">
        <v>340</v>
      </c>
      <c r="F2473" s="427" t="s">
        <v>292</v>
      </c>
      <c r="G2473" s="423"/>
    </row>
    <row r="2474" spans="1:7" ht="16" thickBot="1" x14ac:dyDescent="0.25">
      <c r="A2474" s="405"/>
      <c r="B2474" s="408"/>
      <c r="C2474" s="411"/>
      <c r="D2474" s="415"/>
      <c r="E2474" s="417"/>
      <c r="F2474" s="837">
        <f>SUM(G2467:G2472)</f>
        <v>250</v>
      </c>
      <c r="G2474" s="838"/>
    </row>
    <row r="2475" spans="1:7" ht="16" thickBot="1" x14ac:dyDescent="0.25">
      <c r="A2475" s="406" t="s">
        <v>19</v>
      </c>
      <c r="B2475" s="185"/>
      <c r="C2475" s="407">
        <f>SUM(C2453:C2474)</f>
        <v>700</v>
      </c>
      <c r="D2475" s="186">
        <f>SUM(D2453:D2474)</f>
        <v>450</v>
      </c>
      <c r="E2475" s="186">
        <f>C2475-D2475</f>
        <v>250</v>
      </c>
      <c r="F2475" s="416"/>
      <c r="G2475" s="187"/>
    </row>
    <row r="2476" spans="1:7" ht="16" thickBot="1" x14ac:dyDescent="0.25"/>
    <row r="2477" spans="1:7" ht="33" thickBot="1" x14ac:dyDescent="0.25">
      <c r="A2477" s="686"/>
      <c r="B2477" s="183" t="s">
        <v>283</v>
      </c>
      <c r="C2477" s="236" t="s">
        <v>284</v>
      </c>
      <c r="D2477" s="184" t="s">
        <v>285</v>
      </c>
      <c r="E2477" s="184" t="s">
        <v>125</v>
      </c>
      <c r="F2477" s="827" t="s">
        <v>286</v>
      </c>
      <c r="G2477" s="828"/>
    </row>
    <row r="2478" spans="1:7" ht="16" thickBot="1" x14ac:dyDescent="0.25">
      <c r="A2478" s="433">
        <v>45774</v>
      </c>
      <c r="B2478" s="435" t="s">
        <v>287</v>
      </c>
      <c r="C2478" s="436">
        <f>E2475</f>
        <v>250</v>
      </c>
      <c r="D2478" s="28"/>
      <c r="E2478" s="438" t="s">
        <v>287</v>
      </c>
      <c r="F2478" s="829" t="s">
        <v>288</v>
      </c>
      <c r="G2478" s="830"/>
    </row>
    <row r="2479" spans="1:7" ht="16" thickBot="1" x14ac:dyDescent="0.25">
      <c r="A2479" s="432"/>
      <c r="B2479" s="316" t="s">
        <v>294</v>
      </c>
      <c r="C2479" s="410">
        <v>150</v>
      </c>
      <c r="D2479" s="414"/>
      <c r="E2479" s="316" t="s">
        <v>295</v>
      </c>
      <c r="F2479" s="829"/>
      <c r="G2479" s="830"/>
    </row>
    <row r="2480" spans="1:7" x14ac:dyDescent="0.2">
      <c r="A2480" s="405"/>
      <c r="B2480" s="316"/>
      <c r="C2480" s="410"/>
      <c r="D2480" s="414"/>
      <c r="E2480" s="316"/>
      <c r="F2480" s="424">
        <v>200</v>
      </c>
      <c r="G2480" s="421"/>
    </row>
    <row r="2481" spans="1:7" x14ac:dyDescent="0.2">
      <c r="A2481" s="405"/>
      <c r="B2481" s="408"/>
      <c r="C2481" s="411"/>
      <c r="D2481" s="413"/>
      <c r="E2481" s="419"/>
      <c r="F2481" s="425">
        <v>100</v>
      </c>
      <c r="G2481" s="422"/>
    </row>
    <row r="2482" spans="1:7" x14ac:dyDescent="0.2">
      <c r="A2482" s="405"/>
      <c r="B2482" s="409"/>
      <c r="C2482" s="412"/>
      <c r="D2482" s="413"/>
      <c r="E2482" s="409"/>
      <c r="F2482" s="425">
        <v>50</v>
      </c>
      <c r="G2482" s="422">
        <v>250</v>
      </c>
    </row>
    <row r="2483" spans="1:7" x14ac:dyDescent="0.2">
      <c r="A2483" s="405"/>
      <c r="B2483" s="316"/>
      <c r="C2483" s="410"/>
      <c r="D2483" s="414"/>
      <c r="E2483" s="316"/>
      <c r="F2483" s="425" t="s">
        <v>289</v>
      </c>
      <c r="G2483" s="422"/>
    </row>
    <row r="2484" spans="1:7" x14ac:dyDescent="0.2">
      <c r="A2484" s="405"/>
      <c r="B2484" s="408"/>
      <c r="C2484" s="411"/>
      <c r="D2484" s="413"/>
      <c r="E2484" s="419"/>
      <c r="F2484" s="425" t="s">
        <v>290</v>
      </c>
      <c r="G2484" s="422"/>
    </row>
    <row r="2485" spans="1:7" x14ac:dyDescent="0.2">
      <c r="A2485" s="405"/>
      <c r="B2485" s="409"/>
      <c r="C2485" s="412"/>
      <c r="D2485" s="413"/>
      <c r="E2485" s="409"/>
      <c r="F2485" s="426" t="s">
        <v>291</v>
      </c>
      <c r="G2485" s="422"/>
    </row>
    <row r="2486" spans="1:7" ht="16" thickBot="1" x14ac:dyDescent="0.25">
      <c r="A2486" s="405"/>
      <c r="B2486" s="409"/>
      <c r="C2486" s="412"/>
      <c r="D2486" s="413"/>
      <c r="E2486" s="409"/>
      <c r="F2486" s="427" t="s">
        <v>292</v>
      </c>
      <c r="G2486" s="423"/>
    </row>
    <row r="2487" spans="1:7" ht="16" thickBot="1" x14ac:dyDescent="0.25">
      <c r="A2487" s="405"/>
      <c r="B2487" s="408"/>
      <c r="C2487" s="412"/>
      <c r="D2487" s="413"/>
      <c r="E2487" s="417"/>
      <c r="F2487" s="831">
        <f>SUM(G2480:G2485)</f>
        <v>250</v>
      </c>
      <c r="G2487" s="832"/>
    </row>
    <row r="2488" spans="1:7" x14ac:dyDescent="0.2">
      <c r="A2488" s="405"/>
      <c r="B2488" s="408"/>
      <c r="C2488" s="411"/>
      <c r="D2488" s="413"/>
      <c r="E2488" s="417"/>
      <c r="F2488" s="430"/>
      <c r="G2488" s="428"/>
    </row>
    <row r="2489" spans="1:7" ht="16" thickBot="1" x14ac:dyDescent="0.25">
      <c r="A2489" s="405"/>
      <c r="B2489" s="408"/>
      <c r="C2489" s="411"/>
      <c r="D2489" s="413"/>
      <c r="E2489" s="420"/>
      <c r="F2489" s="431"/>
      <c r="G2489" s="429"/>
    </row>
    <row r="2490" spans="1:7" x14ac:dyDescent="0.2">
      <c r="A2490" s="405"/>
      <c r="B2490" s="408"/>
      <c r="C2490" s="412"/>
      <c r="D2490" s="413"/>
      <c r="E2490" s="417"/>
      <c r="F2490" s="833" t="s">
        <v>293</v>
      </c>
      <c r="G2490" s="834"/>
    </row>
    <row r="2491" spans="1:7" ht="16" thickBot="1" x14ac:dyDescent="0.25">
      <c r="A2491" s="405"/>
      <c r="B2491" s="316"/>
      <c r="C2491" s="234"/>
      <c r="D2491" s="413"/>
      <c r="E2491" s="316"/>
      <c r="F2491" s="835"/>
      <c r="G2491" s="836"/>
    </row>
    <row r="2492" spans="1:7" x14ac:dyDescent="0.2">
      <c r="A2492" s="405"/>
      <c r="B2492" s="408"/>
      <c r="C2492" s="412"/>
      <c r="D2492" s="413"/>
      <c r="E2492" s="417"/>
      <c r="F2492" s="424">
        <v>200</v>
      </c>
      <c r="G2492" s="421"/>
    </row>
    <row r="2493" spans="1:7" x14ac:dyDescent="0.2">
      <c r="A2493" s="405"/>
      <c r="B2493" s="408"/>
      <c r="C2493" s="411"/>
      <c r="D2493" s="413"/>
      <c r="E2493" s="417"/>
      <c r="F2493" s="425">
        <v>100</v>
      </c>
      <c r="G2493" s="422">
        <v>100</v>
      </c>
    </row>
    <row r="2494" spans="1:7" x14ac:dyDescent="0.2">
      <c r="A2494" s="405"/>
      <c r="B2494" s="408"/>
      <c r="C2494" s="411"/>
      <c r="D2494" s="413"/>
      <c r="E2494" s="417"/>
      <c r="F2494" s="425">
        <v>50</v>
      </c>
      <c r="G2494" s="422">
        <v>300</v>
      </c>
    </row>
    <row r="2495" spans="1:7" x14ac:dyDescent="0.2">
      <c r="A2495" s="405"/>
      <c r="B2495" s="408"/>
      <c r="C2495" s="411"/>
      <c r="D2495" s="413"/>
      <c r="E2495" s="417"/>
      <c r="F2495" s="425" t="s">
        <v>289</v>
      </c>
      <c r="G2495" s="422"/>
    </row>
    <row r="2496" spans="1:7" x14ac:dyDescent="0.2">
      <c r="A2496" s="405"/>
      <c r="B2496" s="408"/>
      <c r="C2496" s="411"/>
      <c r="D2496" s="413"/>
      <c r="E2496" s="417"/>
      <c r="F2496" s="425" t="s">
        <v>290</v>
      </c>
      <c r="G2496" s="422"/>
    </row>
    <row r="2497" spans="1:7" x14ac:dyDescent="0.2">
      <c r="A2497" s="405"/>
      <c r="B2497" s="408"/>
      <c r="C2497" s="411"/>
      <c r="D2497" s="413"/>
      <c r="E2497" s="417"/>
      <c r="F2497" s="426" t="s">
        <v>291</v>
      </c>
      <c r="G2497" s="422"/>
    </row>
    <row r="2498" spans="1:7" ht="16" thickBot="1" x14ac:dyDescent="0.25">
      <c r="A2498" s="405"/>
      <c r="B2498" s="408"/>
      <c r="C2498" s="411"/>
      <c r="D2498" s="413"/>
      <c r="E2498" s="417" t="s">
        <v>340</v>
      </c>
      <c r="F2498" s="427" t="s">
        <v>292</v>
      </c>
      <c r="G2498" s="423"/>
    </row>
    <row r="2499" spans="1:7" ht="16" thickBot="1" x14ac:dyDescent="0.25">
      <c r="A2499" s="405"/>
      <c r="B2499" s="408"/>
      <c r="C2499" s="411"/>
      <c r="D2499" s="415"/>
      <c r="E2499" s="417"/>
      <c r="F2499" s="837">
        <f>SUM(G2492:G2497)</f>
        <v>400</v>
      </c>
      <c r="G2499" s="838"/>
    </row>
    <row r="2500" spans="1:7" ht="16" thickBot="1" x14ac:dyDescent="0.25">
      <c r="A2500" s="406" t="s">
        <v>19</v>
      </c>
      <c r="B2500" s="185"/>
      <c r="C2500" s="407">
        <f>SUM(C2478:C2499)</f>
        <v>400</v>
      </c>
      <c r="D2500" s="186">
        <f>SUM(D2478:D2499)</f>
        <v>0</v>
      </c>
      <c r="E2500" s="186">
        <f>C2500-D2500</f>
        <v>400</v>
      </c>
      <c r="F2500" s="416"/>
      <c r="G2500" s="187"/>
    </row>
    <row r="2501" spans="1:7" ht="16" thickBot="1" x14ac:dyDescent="0.25"/>
    <row r="2502" spans="1:7" ht="33" thickBot="1" x14ac:dyDescent="0.25">
      <c r="A2502" s="686"/>
      <c r="B2502" s="183" t="s">
        <v>283</v>
      </c>
      <c r="C2502" s="236" t="s">
        <v>284</v>
      </c>
      <c r="D2502" s="184" t="s">
        <v>285</v>
      </c>
      <c r="E2502" s="184" t="s">
        <v>125</v>
      </c>
      <c r="F2502" s="827" t="s">
        <v>286</v>
      </c>
      <c r="G2502" s="828"/>
    </row>
    <row r="2503" spans="1:7" ht="16" thickBot="1" x14ac:dyDescent="0.25">
      <c r="A2503" s="433">
        <v>45775</v>
      </c>
      <c r="B2503" s="435" t="s">
        <v>287</v>
      </c>
      <c r="C2503" s="436">
        <f>E2500</f>
        <v>400</v>
      </c>
      <c r="D2503" s="28"/>
      <c r="E2503" s="438" t="s">
        <v>287</v>
      </c>
      <c r="F2503" s="829" t="s">
        <v>288</v>
      </c>
      <c r="G2503" s="830"/>
    </row>
    <row r="2504" spans="1:7" ht="16" thickBot="1" x14ac:dyDescent="0.25">
      <c r="A2504" s="432"/>
      <c r="B2504" s="316" t="s">
        <v>294</v>
      </c>
      <c r="C2504" s="410">
        <v>550</v>
      </c>
      <c r="D2504" s="414"/>
      <c r="E2504" s="316" t="s">
        <v>295</v>
      </c>
      <c r="F2504" s="829"/>
      <c r="G2504" s="830"/>
    </row>
    <row r="2505" spans="1:7" x14ac:dyDescent="0.2">
      <c r="A2505" s="405"/>
      <c r="B2505" s="316" t="s">
        <v>298</v>
      </c>
      <c r="C2505" s="410"/>
      <c r="D2505" s="414">
        <v>500</v>
      </c>
      <c r="E2505" s="316" t="s">
        <v>298</v>
      </c>
      <c r="F2505" s="424">
        <v>200</v>
      </c>
      <c r="G2505" s="421"/>
    </row>
    <row r="2506" spans="1:7" ht="16" x14ac:dyDescent="0.2">
      <c r="A2506" s="405"/>
      <c r="B2506" s="408" t="s">
        <v>297</v>
      </c>
      <c r="C2506" s="411"/>
      <c r="D2506" s="413">
        <v>107</v>
      </c>
      <c r="E2506" s="419" t="s">
        <v>1063</v>
      </c>
      <c r="F2506" s="425">
        <v>100</v>
      </c>
      <c r="G2506" s="422">
        <v>100</v>
      </c>
    </row>
    <row r="2507" spans="1:7" x14ac:dyDescent="0.2">
      <c r="A2507" s="405"/>
      <c r="B2507" s="409" t="s">
        <v>334</v>
      </c>
      <c r="C2507" s="412"/>
      <c r="D2507" s="413">
        <v>43</v>
      </c>
      <c r="E2507" s="409" t="s">
        <v>677</v>
      </c>
      <c r="F2507" s="425">
        <v>50</v>
      </c>
      <c r="G2507" s="422">
        <v>300</v>
      </c>
    </row>
    <row r="2508" spans="1:7" x14ac:dyDescent="0.2">
      <c r="A2508" s="405"/>
      <c r="B2508" s="316" t="s">
        <v>222</v>
      </c>
      <c r="C2508" s="410">
        <f>170+100</f>
        <v>270</v>
      </c>
      <c r="D2508" s="414"/>
      <c r="E2508" s="316" t="s">
        <v>549</v>
      </c>
      <c r="F2508" s="425" t="s">
        <v>289</v>
      </c>
      <c r="G2508" s="422"/>
    </row>
    <row r="2509" spans="1:7" ht="16" x14ac:dyDescent="0.2">
      <c r="A2509" s="405"/>
      <c r="B2509" s="408" t="s">
        <v>298</v>
      </c>
      <c r="C2509" s="411"/>
      <c r="D2509" s="413">
        <v>300</v>
      </c>
      <c r="E2509" s="419" t="s">
        <v>298</v>
      </c>
      <c r="F2509" s="425" t="s">
        <v>290</v>
      </c>
      <c r="G2509" s="422"/>
    </row>
    <row r="2510" spans="1:7" x14ac:dyDescent="0.2">
      <c r="A2510" s="405"/>
      <c r="B2510" s="409"/>
      <c r="C2510" s="412"/>
      <c r="D2510" s="413"/>
      <c r="E2510" s="409"/>
      <c r="F2510" s="426" t="s">
        <v>291</v>
      </c>
      <c r="G2510" s="422"/>
    </row>
    <row r="2511" spans="1:7" ht="16" thickBot="1" x14ac:dyDescent="0.25">
      <c r="A2511" s="405"/>
      <c r="B2511" s="409"/>
      <c r="C2511" s="412"/>
      <c r="D2511" s="413"/>
      <c r="E2511" s="409"/>
      <c r="F2511" s="427" t="s">
        <v>292</v>
      </c>
      <c r="G2511" s="423"/>
    </row>
    <row r="2512" spans="1:7" ht="16" thickBot="1" x14ac:dyDescent="0.25">
      <c r="A2512" s="405"/>
      <c r="B2512" s="408"/>
      <c r="C2512" s="412"/>
      <c r="D2512" s="413"/>
      <c r="E2512" s="417"/>
      <c r="F2512" s="831">
        <f>SUM(G2505:G2510)</f>
        <v>400</v>
      </c>
      <c r="G2512" s="832"/>
    </row>
    <row r="2513" spans="1:7" x14ac:dyDescent="0.2">
      <c r="A2513" s="405"/>
      <c r="B2513" s="408"/>
      <c r="C2513" s="411"/>
      <c r="D2513" s="413"/>
      <c r="E2513" s="417"/>
      <c r="F2513" s="430"/>
      <c r="G2513" s="428"/>
    </row>
    <row r="2514" spans="1:7" ht="16" thickBot="1" x14ac:dyDescent="0.25">
      <c r="A2514" s="405"/>
      <c r="B2514" s="408"/>
      <c r="C2514" s="411"/>
      <c r="D2514" s="413"/>
      <c r="E2514" s="420"/>
      <c r="F2514" s="431"/>
      <c r="G2514" s="429"/>
    </row>
    <row r="2515" spans="1:7" x14ac:dyDescent="0.2">
      <c r="A2515" s="405"/>
      <c r="B2515" s="408"/>
      <c r="C2515" s="412"/>
      <c r="D2515" s="413"/>
      <c r="E2515" s="417"/>
      <c r="F2515" s="833" t="s">
        <v>293</v>
      </c>
      <c r="G2515" s="834"/>
    </row>
    <row r="2516" spans="1:7" ht="16" thickBot="1" x14ac:dyDescent="0.25">
      <c r="A2516" s="405"/>
      <c r="B2516" s="316"/>
      <c r="C2516" s="234"/>
      <c r="D2516" s="413"/>
      <c r="E2516" s="316"/>
      <c r="F2516" s="835"/>
      <c r="G2516" s="836"/>
    </row>
    <row r="2517" spans="1:7" x14ac:dyDescent="0.2">
      <c r="A2517" s="405"/>
      <c r="B2517" s="408"/>
      <c r="C2517" s="412"/>
      <c r="D2517" s="413"/>
      <c r="E2517" s="417"/>
      <c r="F2517" s="424">
        <v>200</v>
      </c>
      <c r="G2517" s="421"/>
    </row>
    <row r="2518" spans="1:7" x14ac:dyDescent="0.2">
      <c r="A2518" s="405"/>
      <c r="B2518" s="408"/>
      <c r="C2518" s="411"/>
      <c r="D2518" s="413"/>
      <c r="E2518" s="417"/>
      <c r="F2518" s="425">
        <v>100</v>
      </c>
      <c r="G2518" s="422">
        <v>100</v>
      </c>
    </row>
    <row r="2519" spans="1:7" x14ac:dyDescent="0.2">
      <c r="A2519" s="405"/>
      <c r="B2519" s="408"/>
      <c r="C2519" s="411"/>
      <c r="D2519" s="413"/>
      <c r="E2519" s="417"/>
      <c r="F2519" s="425">
        <v>50</v>
      </c>
      <c r="G2519" s="422">
        <v>50</v>
      </c>
    </row>
    <row r="2520" spans="1:7" x14ac:dyDescent="0.2">
      <c r="A2520" s="405"/>
      <c r="B2520" s="408"/>
      <c r="C2520" s="411"/>
      <c r="D2520" s="413"/>
      <c r="E2520" s="417"/>
      <c r="F2520" s="425" t="s">
        <v>289</v>
      </c>
      <c r="G2520" s="422">
        <v>100</v>
      </c>
    </row>
    <row r="2521" spans="1:7" x14ac:dyDescent="0.2">
      <c r="A2521" s="405"/>
      <c r="B2521" s="408"/>
      <c r="C2521" s="411"/>
      <c r="D2521" s="413"/>
      <c r="E2521" s="417"/>
      <c r="F2521" s="425" t="s">
        <v>290</v>
      </c>
      <c r="G2521" s="422">
        <v>20</v>
      </c>
    </row>
    <row r="2522" spans="1:7" x14ac:dyDescent="0.2">
      <c r="A2522" s="405"/>
      <c r="B2522" s="408"/>
      <c r="C2522" s="411"/>
      <c r="D2522" s="413"/>
      <c r="E2522" s="417"/>
      <c r="F2522" s="426" t="s">
        <v>291</v>
      </c>
      <c r="G2522" s="422"/>
    </row>
    <row r="2523" spans="1:7" ht="16" thickBot="1" x14ac:dyDescent="0.25">
      <c r="A2523" s="405"/>
      <c r="B2523" s="408"/>
      <c r="C2523" s="411"/>
      <c r="D2523" s="413"/>
      <c r="E2523" s="417" t="s">
        <v>340</v>
      </c>
      <c r="F2523" s="427" t="s">
        <v>292</v>
      </c>
      <c r="G2523" s="423"/>
    </row>
    <row r="2524" spans="1:7" ht="16" thickBot="1" x14ac:dyDescent="0.25">
      <c r="A2524" s="405"/>
      <c r="B2524" s="408"/>
      <c r="C2524" s="411"/>
      <c r="D2524" s="415"/>
      <c r="E2524" s="417"/>
      <c r="F2524" s="837">
        <f>SUM(G2517:G2522)</f>
        <v>270</v>
      </c>
      <c r="G2524" s="838"/>
    </row>
    <row r="2525" spans="1:7" ht="16" thickBot="1" x14ac:dyDescent="0.25">
      <c r="A2525" s="406" t="s">
        <v>19</v>
      </c>
      <c r="B2525" s="185"/>
      <c r="C2525" s="407">
        <f>SUM(C2503:C2524)</f>
        <v>1220</v>
      </c>
      <c r="D2525" s="186">
        <f>SUM(D2503:D2524)</f>
        <v>950</v>
      </c>
      <c r="E2525" s="186">
        <f>C2525-D2525</f>
        <v>270</v>
      </c>
      <c r="F2525" s="416"/>
      <c r="G2525" s="187"/>
    </row>
    <row r="2526" spans="1:7" ht="16" thickBot="1" x14ac:dyDescent="0.25"/>
    <row r="2527" spans="1:7" ht="33" thickBot="1" x14ac:dyDescent="0.25">
      <c r="A2527" s="686"/>
      <c r="B2527" s="183" t="s">
        <v>283</v>
      </c>
      <c r="C2527" s="236" t="s">
        <v>284</v>
      </c>
      <c r="D2527" s="184" t="s">
        <v>285</v>
      </c>
      <c r="E2527" s="184" t="s">
        <v>125</v>
      </c>
      <c r="F2527" s="827" t="s">
        <v>286</v>
      </c>
      <c r="G2527" s="828"/>
    </row>
    <row r="2528" spans="1:7" ht="16" thickBot="1" x14ac:dyDescent="0.25">
      <c r="A2528" s="433">
        <v>45776</v>
      </c>
      <c r="B2528" s="435" t="s">
        <v>287</v>
      </c>
      <c r="C2528" s="436">
        <f>E2525</f>
        <v>270</v>
      </c>
      <c r="D2528" s="28"/>
      <c r="E2528" s="438" t="s">
        <v>287</v>
      </c>
      <c r="F2528" s="829" t="s">
        <v>288</v>
      </c>
      <c r="G2528" s="830"/>
    </row>
    <row r="2529" spans="1:7" ht="16" thickBot="1" x14ac:dyDescent="0.25">
      <c r="A2529" s="432"/>
      <c r="B2529" s="316" t="s">
        <v>222</v>
      </c>
      <c r="C2529" s="410"/>
      <c r="D2529" s="414">
        <v>270</v>
      </c>
      <c r="E2529" s="316" t="s">
        <v>704</v>
      </c>
      <c r="F2529" s="829"/>
      <c r="G2529" s="830"/>
    </row>
    <row r="2530" spans="1:7" x14ac:dyDescent="0.2">
      <c r="A2530" s="405"/>
      <c r="B2530" s="316" t="s">
        <v>294</v>
      </c>
      <c r="C2530" s="410">
        <v>600</v>
      </c>
      <c r="D2530" s="414"/>
      <c r="E2530" s="316" t="s">
        <v>295</v>
      </c>
      <c r="F2530" s="424">
        <v>200</v>
      </c>
      <c r="G2530" s="421"/>
    </row>
    <row r="2531" spans="1:7" ht="16" x14ac:dyDescent="0.2">
      <c r="A2531" s="405"/>
      <c r="B2531" s="408" t="s">
        <v>194</v>
      </c>
      <c r="C2531" s="411"/>
      <c r="D2531" s="413">
        <v>400</v>
      </c>
      <c r="E2531" s="419" t="s">
        <v>224</v>
      </c>
      <c r="F2531" s="425">
        <v>100</v>
      </c>
      <c r="G2531" s="422">
        <v>100</v>
      </c>
    </row>
    <row r="2532" spans="1:7" x14ac:dyDescent="0.2">
      <c r="A2532" s="405"/>
      <c r="B2532" s="409" t="s">
        <v>298</v>
      </c>
      <c r="C2532" s="412"/>
      <c r="D2532" s="413">
        <v>80</v>
      </c>
      <c r="E2532" s="409" t="s">
        <v>298</v>
      </c>
      <c r="F2532" s="425">
        <v>50</v>
      </c>
      <c r="G2532" s="422">
        <v>50</v>
      </c>
    </row>
    <row r="2533" spans="1:7" x14ac:dyDescent="0.2">
      <c r="A2533" s="405"/>
      <c r="B2533" s="316" t="s">
        <v>546</v>
      </c>
      <c r="C2533" s="410"/>
      <c r="D2533" s="414">
        <v>120</v>
      </c>
      <c r="E2533" s="316" t="s">
        <v>510</v>
      </c>
      <c r="F2533" s="425" t="s">
        <v>289</v>
      </c>
      <c r="G2533" s="422">
        <v>100</v>
      </c>
    </row>
    <row r="2534" spans="1:7" x14ac:dyDescent="0.2">
      <c r="A2534" s="405"/>
      <c r="B2534" s="408"/>
      <c r="C2534" s="411"/>
      <c r="D2534" s="413"/>
      <c r="E2534" s="419"/>
      <c r="F2534" s="425" t="s">
        <v>290</v>
      </c>
      <c r="G2534" s="422">
        <v>20</v>
      </c>
    </row>
    <row r="2535" spans="1:7" x14ac:dyDescent="0.2">
      <c r="A2535" s="405"/>
      <c r="B2535" s="409"/>
      <c r="C2535" s="412"/>
      <c r="D2535" s="413"/>
      <c r="E2535" s="409"/>
      <c r="F2535" s="426" t="s">
        <v>291</v>
      </c>
      <c r="G2535" s="422"/>
    </row>
    <row r="2536" spans="1:7" ht="16" thickBot="1" x14ac:dyDescent="0.25">
      <c r="A2536" s="405"/>
      <c r="B2536" s="409"/>
      <c r="C2536" s="412"/>
      <c r="D2536" s="413"/>
      <c r="E2536" s="409"/>
      <c r="F2536" s="427" t="s">
        <v>292</v>
      </c>
      <c r="G2536" s="423"/>
    </row>
    <row r="2537" spans="1:7" ht="16" thickBot="1" x14ac:dyDescent="0.25">
      <c r="A2537" s="405"/>
      <c r="B2537" s="408"/>
      <c r="C2537" s="412"/>
      <c r="D2537" s="413"/>
      <c r="E2537" s="417"/>
      <c r="F2537" s="831">
        <f>SUM(G2530:G2535)</f>
        <v>270</v>
      </c>
      <c r="G2537" s="832"/>
    </row>
    <row r="2538" spans="1:7" x14ac:dyDescent="0.2">
      <c r="A2538" s="405"/>
      <c r="B2538" s="408"/>
      <c r="C2538" s="411"/>
      <c r="D2538" s="413"/>
      <c r="E2538" s="417"/>
      <c r="F2538" s="430"/>
      <c r="G2538" s="428"/>
    </row>
    <row r="2539" spans="1:7" ht="16" thickBot="1" x14ac:dyDescent="0.25">
      <c r="A2539" s="405"/>
      <c r="B2539" s="408"/>
      <c r="C2539" s="411"/>
      <c r="D2539" s="413"/>
      <c r="E2539" s="420"/>
      <c r="F2539" s="431"/>
      <c r="G2539" s="429"/>
    </row>
    <row r="2540" spans="1:7" x14ac:dyDescent="0.2">
      <c r="A2540" s="405"/>
      <c r="B2540" s="408"/>
      <c r="C2540" s="412"/>
      <c r="D2540" s="413"/>
      <c r="E2540" s="417"/>
      <c r="F2540" s="833" t="s">
        <v>293</v>
      </c>
      <c r="G2540" s="834"/>
    </row>
    <row r="2541" spans="1:7" ht="16" thickBot="1" x14ac:dyDescent="0.25">
      <c r="A2541" s="405"/>
      <c r="B2541" s="316"/>
      <c r="C2541" s="234"/>
      <c r="D2541" s="413"/>
      <c r="E2541" s="316"/>
      <c r="F2541" s="835"/>
      <c r="G2541" s="836"/>
    </row>
    <row r="2542" spans="1:7" x14ac:dyDescent="0.2">
      <c r="A2542" s="405"/>
      <c r="B2542" s="408"/>
      <c r="C2542" s="412"/>
      <c r="D2542" s="413"/>
      <c r="E2542" s="417"/>
      <c r="F2542" s="424">
        <v>200</v>
      </c>
      <c r="G2542" s="421"/>
    </row>
    <row r="2543" spans="1:7" x14ac:dyDescent="0.2">
      <c r="A2543" s="405"/>
      <c r="B2543" s="408"/>
      <c r="C2543" s="411"/>
      <c r="D2543" s="413"/>
      <c r="E2543" s="417"/>
      <c r="F2543" s="425">
        <v>100</v>
      </c>
      <c r="G2543" s="422"/>
    </row>
    <row r="2544" spans="1:7" x14ac:dyDescent="0.2">
      <c r="A2544" s="405"/>
      <c r="B2544" s="408"/>
      <c r="C2544" s="411"/>
      <c r="D2544" s="413"/>
      <c r="E2544" s="417"/>
      <c r="F2544" s="425">
        <v>50</v>
      </c>
      <c r="G2544" s="422"/>
    </row>
    <row r="2545" spans="1:7" x14ac:dyDescent="0.2">
      <c r="A2545" s="405"/>
      <c r="B2545" s="408"/>
      <c r="C2545" s="411"/>
      <c r="D2545" s="413"/>
      <c r="E2545" s="417"/>
      <c r="F2545" s="425" t="s">
        <v>289</v>
      </c>
      <c r="G2545" s="422"/>
    </row>
    <row r="2546" spans="1:7" x14ac:dyDescent="0.2">
      <c r="A2546" s="405"/>
      <c r="B2546" s="408"/>
      <c r="C2546" s="411"/>
      <c r="D2546" s="413"/>
      <c r="E2546" s="417"/>
      <c r="F2546" s="425" t="s">
        <v>290</v>
      </c>
      <c r="G2546" s="422"/>
    </row>
    <row r="2547" spans="1:7" x14ac:dyDescent="0.2">
      <c r="A2547" s="405"/>
      <c r="B2547" s="408"/>
      <c r="C2547" s="411"/>
      <c r="D2547" s="413"/>
      <c r="E2547" s="417"/>
      <c r="F2547" s="426" t="s">
        <v>291</v>
      </c>
      <c r="G2547" s="422"/>
    </row>
    <row r="2548" spans="1:7" ht="16" thickBot="1" x14ac:dyDescent="0.25">
      <c r="A2548" s="405"/>
      <c r="B2548" s="408"/>
      <c r="C2548" s="411"/>
      <c r="D2548" s="413"/>
      <c r="E2548" s="417" t="s">
        <v>340</v>
      </c>
      <c r="F2548" s="427" t="s">
        <v>292</v>
      </c>
      <c r="G2548" s="423"/>
    </row>
    <row r="2549" spans="1:7" ht="16" thickBot="1" x14ac:dyDescent="0.25">
      <c r="A2549" s="405"/>
      <c r="B2549" s="408"/>
      <c r="C2549" s="411"/>
      <c r="D2549" s="415"/>
      <c r="E2549" s="417"/>
      <c r="F2549" s="837">
        <f>SUM(G2542:G2547)</f>
        <v>0</v>
      </c>
      <c r="G2549" s="838"/>
    </row>
    <row r="2550" spans="1:7" ht="16" thickBot="1" x14ac:dyDescent="0.25">
      <c r="A2550" s="406" t="s">
        <v>19</v>
      </c>
      <c r="B2550" s="185"/>
      <c r="C2550" s="407">
        <f>SUM(C2528:C2549)</f>
        <v>870</v>
      </c>
      <c r="D2550" s="186">
        <f>SUM(D2528:D2549)</f>
        <v>870</v>
      </c>
      <c r="E2550" s="186">
        <f>C2550-D2550</f>
        <v>0</v>
      </c>
      <c r="F2550" s="416"/>
      <c r="G2550" s="187"/>
    </row>
    <row r="2551" spans="1:7" ht="16" thickBot="1" x14ac:dyDescent="0.25"/>
    <row r="2552" spans="1:7" ht="33" thickBot="1" x14ac:dyDescent="0.25">
      <c r="A2552" s="686"/>
      <c r="B2552" s="183" t="s">
        <v>283</v>
      </c>
      <c r="C2552" s="236" t="s">
        <v>284</v>
      </c>
      <c r="D2552" s="184" t="s">
        <v>285</v>
      </c>
      <c r="E2552" s="184" t="s">
        <v>125</v>
      </c>
      <c r="F2552" s="827" t="s">
        <v>286</v>
      </c>
      <c r="G2552" s="828"/>
    </row>
    <row r="2553" spans="1:7" ht="16" thickBot="1" x14ac:dyDescent="0.25">
      <c r="A2553" s="433">
        <v>45779</v>
      </c>
      <c r="B2553" s="435" t="s">
        <v>287</v>
      </c>
      <c r="C2553" s="436">
        <f>E2550</f>
        <v>0</v>
      </c>
      <c r="D2553" s="28"/>
      <c r="E2553" s="438" t="s">
        <v>287</v>
      </c>
      <c r="F2553" s="829" t="s">
        <v>288</v>
      </c>
      <c r="G2553" s="830"/>
    </row>
    <row r="2554" spans="1:7" ht="16" thickBot="1" x14ac:dyDescent="0.25">
      <c r="A2554" s="432"/>
      <c r="B2554" s="316" t="s">
        <v>294</v>
      </c>
      <c r="C2554" s="410">
        <f>200+50+150+20+300+150</f>
        <v>870</v>
      </c>
      <c r="D2554" s="414"/>
      <c r="E2554" s="316" t="s">
        <v>295</v>
      </c>
      <c r="F2554" s="829"/>
      <c r="G2554" s="830"/>
    </row>
    <row r="2555" spans="1:7" x14ac:dyDescent="0.2">
      <c r="A2555" s="405"/>
      <c r="B2555" s="316" t="s">
        <v>546</v>
      </c>
      <c r="C2555" s="410"/>
      <c r="D2555" s="414">
        <v>270</v>
      </c>
      <c r="E2555" s="316" t="s">
        <v>1090</v>
      </c>
      <c r="F2555" s="424">
        <v>200</v>
      </c>
      <c r="G2555" s="421"/>
    </row>
    <row r="2556" spans="1:7" x14ac:dyDescent="0.2">
      <c r="A2556" s="405"/>
      <c r="B2556" s="408"/>
      <c r="C2556" s="411"/>
      <c r="D2556" s="413"/>
      <c r="E2556" s="419"/>
      <c r="F2556" s="425">
        <v>100</v>
      </c>
      <c r="G2556" s="422"/>
    </row>
    <row r="2557" spans="1:7" x14ac:dyDescent="0.2">
      <c r="A2557" s="405"/>
      <c r="B2557" s="409"/>
      <c r="C2557" s="412"/>
      <c r="D2557" s="413"/>
      <c r="E2557" s="409"/>
      <c r="F2557" s="425">
        <v>50</v>
      </c>
      <c r="G2557" s="422"/>
    </row>
    <row r="2558" spans="1:7" x14ac:dyDescent="0.2">
      <c r="A2558" s="405"/>
      <c r="B2558" s="316"/>
      <c r="C2558" s="410"/>
      <c r="D2558" s="414"/>
      <c r="E2558" s="316"/>
      <c r="F2558" s="425" t="s">
        <v>289</v>
      </c>
      <c r="G2558" s="422"/>
    </row>
    <row r="2559" spans="1:7" x14ac:dyDescent="0.2">
      <c r="A2559" s="405"/>
      <c r="B2559" s="408"/>
      <c r="C2559" s="411"/>
      <c r="D2559" s="413"/>
      <c r="E2559" s="419"/>
      <c r="F2559" s="425" t="s">
        <v>290</v>
      </c>
      <c r="G2559" s="422"/>
    </row>
    <row r="2560" spans="1:7" x14ac:dyDescent="0.2">
      <c r="A2560" s="405"/>
      <c r="B2560" s="409"/>
      <c r="C2560" s="412"/>
      <c r="D2560" s="413"/>
      <c r="E2560" s="409"/>
      <c r="F2560" s="426" t="s">
        <v>291</v>
      </c>
      <c r="G2560" s="422"/>
    </row>
    <row r="2561" spans="1:7" ht="16" thickBot="1" x14ac:dyDescent="0.25">
      <c r="A2561" s="405"/>
      <c r="B2561" s="409"/>
      <c r="C2561" s="412"/>
      <c r="D2561" s="413"/>
      <c r="E2561" s="409"/>
      <c r="F2561" s="427" t="s">
        <v>292</v>
      </c>
      <c r="G2561" s="423"/>
    </row>
    <row r="2562" spans="1:7" ht="16" thickBot="1" x14ac:dyDescent="0.25">
      <c r="A2562" s="405"/>
      <c r="B2562" s="408"/>
      <c r="C2562" s="412"/>
      <c r="D2562" s="413"/>
      <c r="E2562" s="417"/>
      <c r="F2562" s="831">
        <f>SUM(G2555:G2560)</f>
        <v>0</v>
      </c>
      <c r="G2562" s="832"/>
    </row>
    <row r="2563" spans="1:7" x14ac:dyDescent="0.2">
      <c r="A2563" s="405"/>
      <c r="B2563" s="408"/>
      <c r="C2563" s="411"/>
      <c r="D2563" s="413"/>
      <c r="E2563" s="417"/>
      <c r="F2563" s="430"/>
      <c r="G2563" s="428"/>
    </row>
    <row r="2564" spans="1:7" ht="16" thickBot="1" x14ac:dyDescent="0.25">
      <c r="A2564" s="405"/>
      <c r="B2564" s="408"/>
      <c r="C2564" s="411"/>
      <c r="D2564" s="413"/>
      <c r="E2564" s="420"/>
      <c r="F2564" s="431"/>
      <c r="G2564" s="429"/>
    </row>
    <row r="2565" spans="1:7" x14ac:dyDescent="0.2">
      <c r="A2565" s="405"/>
      <c r="B2565" s="408"/>
      <c r="C2565" s="412"/>
      <c r="D2565" s="413"/>
      <c r="E2565" s="417"/>
      <c r="F2565" s="833" t="s">
        <v>293</v>
      </c>
      <c r="G2565" s="834"/>
    </row>
    <row r="2566" spans="1:7" ht="16" thickBot="1" x14ac:dyDescent="0.25">
      <c r="A2566" s="405"/>
      <c r="B2566" s="316"/>
      <c r="C2566" s="234"/>
      <c r="D2566" s="413"/>
      <c r="E2566" s="316"/>
      <c r="F2566" s="835"/>
      <c r="G2566" s="836"/>
    </row>
    <row r="2567" spans="1:7" x14ac:dyDescent="0.2">
      <c r="A2567" s="405"/>
      <c r="B2567" s="408"/>
      <c r="C2567" s="412"/>
      <c r="D2567" s="413"/>
      <c r="E2567" s="417"/>
      <c r="F2567" s="424">
        <v>200</v>
      </c>
      <c r="G2567" s="421">
        <v>400</v>
      </c>
    </row>
    <row r="2568" spans="1:7" x14ac:dyDescent="0.2">
      <c r="A2568" s="405"/>
      <c r="B2568" s="408"/>
      <c r="C2568" s="411"/>
      <c r="D2568" s="413"/>
      <c r="E2568" s="417"/>
      <c r="F2568" s="425">
        <v>100</v>
      </c>
      <c r="G2568" s="422">
        <v>200</v>
      </c>
    </row>
    <row r="2569" spans="1:7" x14ac:dyDescent="0.2">
      <c r="A2569" s="405"/>
      <c r="B2569" s="408"/>
      <c r="C2569" s="411"/>
      <c r="D2569" s="413"/>
      <c r="E2569" s="417"/>
      <c r="F2569" s="425">
        <v>50</v>
      </c>
      <c r="G2569" s="422"/>
    </row>
    <row r="2570" spans="1:7" x14ac:dyDescent="0.2">
      <c r="A2570" s="405"/>
      <c r="B2570" s="408"/>
      <c r="C2570" s="411"/>
      <c r="D2570" s="413"/>
      <c r="E2570" s="417"/>
      <c r="F2570" s="425" t="s">
        <v>289</v>
      </c>
      <c r="G2570" s="422"/>
    </row>
    <row r="2571" spans="1:7" x14ac:dyDescent="0.2">
      <c r="A2571" s="405"/>
      <c r="B2571" s="408"/>
      <c r="C2571" s="411"/>
      <c r="D2571" s="413"/>
      <c r="E2571" s="417"/>
      <c r="F2571" s="425" t="s">
        <v>290</v>
      </c>
      <c r="G2571" s="422"/>
    </row>
    <row r="2572" spans="1:7" x14ac:dyDescent="0.2">
      <c r="A2572" s="405"/>
      <c r="B2572" s="408"/>
      <c r="C2572" s="411"/>
      <c r="D2572" s="413"/>
      <c r="E2572" s="417"/>
      <c r="F2572" s="426" t="s">
        <v>291</v>
      </c>
      <c r="G2572" s="422"/>
    </row>
    <row r="2573" spans="1:7" ht="16" thickBot="1" x14ac:dyDescent="0.25">
      <c r="A2573" s="405"/>
      <c r="B2573" s="408"/>
      <c r="C2573" s="411"/>
      <c r="D2573" s="413"/>
      <c r="E2573" s="417" t="s">
        <v>340</v>
      </c>
      <c r="F2573" s="427" t="s">
        <v>292</v>
      </c>
      <c r="G2573" s="423"/>
    </row>
    <row r="2574" spans="1:7" ht="16" thickBot="1" x14ac:dyDescent="0.25">
      <c r="A2574" s="405"/>
      <c r="B2574" s="408"/>
      <c r="C2574" s="411"/>
      <c r="D2574" s="415"/>
      <c r="E2574" s="417"/>
      <c r="F2574" s="837">
        <f>SUM(G2567:G2572)</f>
        <v>600</v>
      </c>
      <c r="G2574" s="838"/>
    </row>
    <row r="2575" spans="1:7" ht="16" thickBot="1" x14ac:dyDescent="0.25">
      <c r="A2575" s="406" t="s">
        <v>19</v>
      </c>
      <c r="B2575" s="185"/>
      <c r="C2575" s="407">
        <f>SUM(C2553:C2574)</f>
        <v>870</v>
      </c>
      <c r="D2575" s="186">
        <f>SUM(D2553:D2574)</f>
        <v>270</v>
      </c>
      <c r="E2575" s="186">
        <f>C2575-D2575</f>
        <v>600</v>
      </c>
      <c r="F2575" s="416"/>
      <c r="G2575" s="187"/>
    </row>
    <row r="2576" spans="1:7" ht="16" thickBot="1" x14ac:dyDescent="0.25"/>
    <row r="2577" spans="1:7" ht="33" thickBot="1" x14ac:dyDescent="0.25">
      <c r="A2577" s="686"/>
      <c r="B2577" s="183" t="s">
        <v>283</v>
      </c>
      <c r="C2577" s="236" t="s">
        <v>284</v>
      </c>
      <c r="D2577" s="184" t="s">
        <v>285</v>
      </c>
      <c r="E2577" s="184" t="s">
        <v>125</v>
      </c>
      <c r="F2577" s="827" t="s">
        <v>286</v>
      </c>
      <c r="G2577" s="828"/>
    </row>
    <row r="2578" spans="1:7" ht="16" thickBot="1" x14ac:dyDescent="0.25">
      <c r="A2578" s="433">
        <v>45781</v>
      </c>
      <c r="B2578" s="435" t="s">
        <v>287</v>
      </c>
      <c r="C2578" s="436">
        <f>E2575</f>
        <v>600</v>
      </c>
      <c r="D2578" s="28"/>
      <c r="E2578" s="438" t="s">
        <v>287</v>
      </c>
      <c r="F2578" s="829" t="s">
        <v>288</v>
      </c>
      <c r="G2578" s="830"/>
    </row>
    <row r="2579" spans="1:7" ht="16" thickBot="1" x14ac:dyDescent="0.25">
      <c r="A2579" s="432"/>
      <c r="B2579" s="316" t="s">
        <v>294</v>
      </c>
      <c r="C2579" s="410">
        <f>280+150</f>
        <v>430</v>
      </c>
      <c r="D2579" s="414"/>
      <c r="E2579" s="316" t="s">
        <v>295</v>
      </c>
      <c r="F2579" s="829"/>
      <c r="G2579" s="830"/>
    </row>
    <row r="2580" spans="1:7" x14ac:dyDescent="0.2">
      <c r="A2580" s="405"/>
      <c r="B2580" s="316" t="s">
        <v>298</v>
      </c>
      <c r="C2580" s="410"/>
      <c r="D2580" s="414">
        <v>530</v>
      </c>
      <c r="E2580" s="316" t="s">
        <v>298</v>
      </c>
      <c r="F2580" s="424">
        <v>200</v>
      </c>
      <c r="G2580" s="421">
        <v>400</v>
      </c>
    </row>
    <row r="2581" spans="1:7" x14ac:dyDescent="0.2">
      <c r="A2581" s="405"/>
      <c r="B2581" s="408"/>
      <c r="C2581" s="411"/>
      <c r="D2581" s="413"/>
      <c r="E2581" s="419"/>
      <c r="F2581" s="425">
        <v>100</v>
      </c>
      <c r="G2581" s="422">
        <v>200</v>
      </c>
    </row>
    <row r="2582" spans="1:7" x14ac:dyDescent="0.2">
      <c r="A2582" s="405"/>
      <c r="B2582" s="409"/>
      <c r="C2582" s="412"/>
      <c r="D2582" s="413"/>
      <c r="E2582" s="409"/>
      <c r="F2582" s="425">
        <v>50</v>
      </c>
      <c r="G2582" s="422"/>
    </row>
    <row r="2583" spans="1:7" x14ac:dyDescent="0.2">
      <c r="A2583" s="405"/>
      <c r="B2583" s="316"/>
      <c r="C2583" s="410"/>
      <c r="D2583" s="414"/>
      <c r="E2583" s="316"/>
      <c r="F2583" s="425" t="s">
        <v>289</v>
      </c>
      <c r="G2583" s="422"/>
    </row>
    <row r="2584" spans="1:7" x14ac:dyDescent="0.2">
      <c r="A2584" s="405"/>
      <c r="B2584" s="408"/>
      <c r="C2584" s="411"/>
      <c r="D2584" s="413"/>
      <c r="E2584" s="419"/>
      <c r="F2584" s="425" t="s">
        <v>290</v>
      </c>
      <c r="G2584" s="422"/>
    </row>
    <row r="2585" spans="1:7" x14ac:dyDescent="0.2">
      <c r="A2585" s="405"/>
      <c r="B2585" s="409"/>
      <c r="C2585" s="412"/>
      <c r="D2585" s="413"/>
      <c r="E2585" s="409"/>
      <c r="F2585" s="426" t="s">
        <v>291</v>
      </c>
      <c r="G2585" s="422"/>
    </row>
    <row r="2586" spans="1:7" ht="16" thickBot="1" x14ac:dyDescent="0.25">
      <c r="A2586" s="405"/>
      <c r="B2586" s="409"/>
      <c r="C2586" s="412"/>
      <c r="D2586" s="413"/>
      <c r="E2586" s="409"/>
      <c r="F2586" s="427" t="s">
        <v>292</v>
      </c>
      <c r="G2586" s="423"/>
    </row>
    <row r="2587" spans="1:7" ht="16" thickBot="1" x14ac:dyDescent="0.25">
      <c r="A2587" s="405"/>
      <c r="B2587" s="408"/>
      <c r="C2587" s="412"/>
      <c r="D2587" s="413"/>
      <c r="E2587" s="417"/>
      <c r="F2587" s="831">
        <f>SUM(G2580:G2585)</f>
        <v>600</v>
      </c>
      <c r="G2587" s="832"/>
    </row>
    <row r="2588" spans="1:7" x14ac:dyDescent="0.2">
      <c r="A2588" s="405"/>
      <c r="B2588" s="408"/>
      <c r="C2588" s="411"/>
      <c r="D2588" s="413"/>
      <c r="E2588" s="417"/>
      <c r="F2588" s="430"/>
      <c r="G2588" s="428"/>
    </row>
    <row r="2589" spans="1:7" ht="16" thickBot="1" x14ac:dyDescent="0.25">
      <c r="A2589" s="405"/>
      <c r="B2589" s="408"/>
      <c r="C2589" s="411"/>
      <c r="D2589" s="413"/>
      <c r="E2589" s="420"/>
      <c r="F2589" s="431"/>
      <c r="G2589" s="429"/>
    </row>
    <row r="2590" spans="1:7" x14ac:dyDescent="0.2">
      <c r="A2590" s="405"/>
      <c r="B2590" s="408"/>
      <c r="C2590" s="412"/>
      <c r="D2590" s="413"/>
      <c r="E2590" s="417"/>
      <c r="F2590" s="833" t="s">
        <v>293</v>
      </c>
      <c r="G2590" s="834"/>
    </row>
    <row r="2591" spans="1:7" ht="16" thickBot="1" x14ac:dyDescent="0.25">
      <c r="A2591" s="405"/>
      <c r="B2591" s="316"/>
      <c r="C2591" s="234"/>
      <c r="D2591" s="413"/>
      <c r="E2591" s="316"/>
      <c r="F2591" s="835"/>
      <c r="G2591" s="836"/>
    </row>
    <row r="2592" spans="1:7" x14ac:dyDescent="0.2">
      <c r="A2592" s="405"/>
      <c r="B2592" s="408"/>
      <c r="C2592" s="412"/>
      <c r="D2592" s="413"/>
      <c r="E2592" s="417"/>
      <c r="F2592" s="424">
        <v>200</v>
      </c>
      <c r="G2592" s="421">
        <v>200</v>
      </c>
    </row>
    <row r="2593" spans="1:7" x14ac:dyDescent="0.2">
      <c r="A2593" s="405"/>
      <c r="B2593" s="408"/>
      <c r="C2593" s="411"/>
      <c r="D2593" s="413"/>
      <c r="E2593" s="417"/>
      <c r="F2593" s="425">
        <v>100</v>
      </c>
      <c r="G2593" s="422">
        <v>200</v>
      </c>
    </row>
    <row r="2594" spans="1:7" x14ac:dyDescent="0.2">
      <c r="A2594" s="405"/>
      <c r="B2594" s="408"/>
      <c r="C2594" s="411"/>
      <c r="D2594" s="413"/>
      <c r="E2594" s="417"/>
      <c r="F2594" s="425">
        <v>50</v>
      </c>
      <c r="G2594" s="422">
        <v>50</v>
      </c>
    </row>
    <row r="2595" spans="1:7" x14ac:dyDescent="0.2">
      <c r="A2595" s="405"/>
      <c r="B2595" s="408"/>
      <c r="C2595" s="411"/>
      <c r="D2595" s="413"/>
      <c r="E2595" s="417"/>
      <c r="F2595" s="425" t="s">
        <v>289</v>
      </c>
      <c r="G2595" s="422">
        <v>40</v>
      </c>
    </row>
    <row r="2596" spans="1:7" x14ac:dyDescent="0.2">
      <c r="A2596" s="405"/>
      <c r="B2596" s="408"/>
      <c r="C2596" s="411"/>
      <c r="D2596" s="413"/>
      <c r="E2596" s="417"/>
      <c r="F2596" s="425" t="s">
        <v>290</v>
      </c>
      <c r="G2596" s="422">
        <v>10</v>
      </c>
    </row>
    <row r="2597" spans="1:7" x14ac:dyDescent="0.2">
      <c r="A2597" s="405"/>
      <c r="B2597" s="408"/>
      <c r="C2597" s="411"/>
      <c r="D2597" s="413"/>
      <c r="E2597" s="417"/>
      <c r="F2597" s="426" t="s">
        <v>291</v>
      </c>
      <c r="G2597" s="422"/>
    </row>
    <row r="2598" spans="1:7" ht="16" thickBot="1" x14ac:dyDescent="0.25">
      <c r="A2598" s="405"/>
      <c r="B2598" s="408"/>
      <c r="C2598" s="411"/>
      <c r="D2598" s="413"/>
      <c r="E2598" s="417" t="s">
        <v>340</v>
      </c>
      <c r="F2598" s="427" t="s">
        <v>292</v>
      </c>
      <c r="G2598" s="423"/>
    </row>
    <row r="2599" spans="1:7" ht="16" thickBot="1" x14ac:dyDescent="0.25">
      <c r="A2599" s="405"/>
      <c r="B2599" s="408"/>
      <c r="C2599" s="411"/>
      <c r="D2599" s="415"/>
      <c r="E2599" s="417"/>
      <c r="F2599" s="837">
        <f>SUM(G2592:G2597)</f>
        <v>500</v>
      </c>
      <c r="G2599" s="838"/>
    </row>
    <row r="2600" spans="1:7" ht="16" thickBot="1" x14ac:dyDescent="0.25">
      <c r="A2600" s="406" t="s">
        <v>19</v>
      </c>
      <c r="B2600" s="185"/>
      <c r="C2600" s="407">
        <f>SUM(C2578:C2599)</f>
        <v>1030</v>
      </c>
      <c r="D2600" s="186">
        <f>SUM(D2578:D2599)</f>
        <v>530</v>
      </c>
      <c r="E2600" s="186">
        <f>C2600-D2600</f>
        <v>500</v>
      </c>
      <c r="F2600" s="416"/>
      <c r="G2600" s="187"/>
    </row>
    <row r="2601" spans="1:7" ht="16" thickBot="1" x14ac:dyDescent="0.25"/>
    <row r="2602" spans="1:7" ht="33" thickBot="1" x14ac:dyDescent="0.25">
      <c r="A2602" s="686"/>
      <c r="B2602" s="183" t="s">
        <v>283</v>
      </c>
      <c r="C2602" s="236" t="s">
        <v>284</v>
      </c>
      <c r="D2602" s="184" t="s">
        <v>285</v>
      </c>
      <c r="E2602" s="184" t="s">
        <v>125</v>
      </c>
      <c r="F2602" s="827" t="s">
        <v>286</v>
      </c>
      <c r="G2602" s="828"/>
    </row>
    <row r="2603" spans="1:7" ht="16" thickBot="1" x14ac:dyDescent="0.25">
      <c r="A2603" s="433">
        <v>45782</v>
      </c>
      <c r="B2603" s="435" t="s">
        <v>287</v>
      </c>
      <c r="C2603" s="436">
        <f>E2600</f>
        <v>500</v>
      </c>
      <c r="D2603" s="28"/>
      <c r="E2603" s="438" t="s">
        <v>287</v>
      </c>
      <c r="F2603" s="829" t="s">
        <v>288</v>
      </c>
      <c r="G2603" s="830"/>
    </row>
    <row r="2604" spans="1:7" ht="16" thickBot="1" x14ac:dyDescent="0.25">
      <c r="A2604" s="432"/>
      <c r="B2604" s="316" t="s">
        <v>632</v>
      </c>
      <c r="C2604" s="410"/>
      <c r="D2604" s="414">
        <v>60</v>
      </c>
      <c r="E2604" s="316" t="s">
        <v>1091</v>
      </c>
      <c r="F2604" s="829"/>
      <c r="G2604" s="830"/>
    </row>
    <row r="2605" spans="1:7" x14ac:dyDescent="0.2">
      <c r="A2605" s="405"/>
      <c r="B2605" s="316" t="s">
        <v>194</v>
      </c>
      <c r="C2605" s="410"/>
      <c r="D2605" s="414">
        <v>140</v>
      </c>
      <c r="E2605" s="316" t="s">
        <v>224</v>
      </c>
      <c r="F2605" s="424">
        <v>200</v>
      </c>
      <c r="G2605" s="421">
        <v>200</v>
      </c>
    </row>
    <row r="2606" spans="1:7" ht="16" x14ac:dyDescent="0.2">
      <c r="A2606" s="405"/>
      <c r="B2606" s="408" t="s">
        <v>294</v>
      </c>
      <c r="C2606" s="411">
        <v>300</v>
      </c>
      <c r="D2606" s="413"/>
      <c r="E2606" s="419" t="s">
        <v>295</v>
      </c>
      <c r="F2606" s="425">
        <v>100</v>
      </c>
      <c r="G2606" s="422">
        <v>200</v>
      </c>
    </row>
    <row r="2607" spans="1:7" x14ac:dyDescent="0.2">
      <c r="A2607" s="405"/>
      <c r="B2607" s="409" t="s">
        <v>303</v>
      </c>
      <c r="C2607" s="412"/>
      <c r="D2607" s="413">
        <v>100</v>
      </c>
      <c r="E2607" s="409" t="s">
        <v>224</v>
      </c>
      <c r="F2607" s="425">
        <v>50</v>
      </c>
      <c r="G2607" s="422">
        <v>50</v>
      </c>
    </row>
    <row r="2608" spans="1:7" x14ac:dyDescent="0.2">
      <c r="A2608" s="405"/>
      <c r="B2608" s="316" t="s">
        <v>188</v>
      </c>
      <c r="C2608" s="410"/>
      <c r="D2608" s="414">
        <v>200</v>
      </c>
      <c r="E2608" s="316" t="s">
        <v>224</v>
      </c>
      <c r="F2608" s="425" t="s">
        <v>289</v>
      </c>
      <c r="G2608" s="422">
        <v>40</v>
      </c>
    </row>
    <row r="2609" spans="1:7" ht="16" x14ac:dyDescent="0.2">
      <c r="A2609" s="405"/>
      <c r="B2609" s="408" t="s">
        <v>509</v>
      </c>
      <c r="C2609" s="411"/>
      <c r="D2609" s="413">
        <v>100</v>
      </c>
      <c r="E2609" s="419" t="s">
        <v>490</v>
      </c>
      <c r="F2609" s="425" t="s">
        <v>290</v>
      </c>
      <c r="G2609" s="422">
        <v>10</v>
      </c>
    </row>
    <row r="2610" spans="1:7" x14ac:dyDescent="0.2">
      <c r="A2610" s="405"/>
      <c r="B2610" s="409" t="s">
        <v>298</v>
      </c>
      <c r="C2610" s="412"/>
      <c r="D2610" s="413">
        <v>200</v>
      </c>
      <c r="E2610" s="409" t="s">
        <v>298</v>
      </c>
      <c r="F2610" s="426" t="s">
        <v>291</v>
      </c>
      <c r="G2610" s="422"/>
    </row>
    <row r="2611" spans="1:7" ht="16" thickBot="1" x14ac:dyDescent="0.25">
      <c r="A2611" s="405"/>
      <c r="B2611" s="409" t="s">
        <v>70</v>
      </c>
      <c r="C2611" s="412">
        <v>1200</v>
      </c>
      <c r="D2611" s="413"/>
      <c r="E2611" s="409" t="s">
        <v>1083</v>
      </c>
      <c r="F2611" s="427" t="s">
        <v>292</v>
      </c>
      <c r="G2611" s="423"/>
    </row>
    <row r="2612" spans="1:7" ht="16" thickBot="1" x14ac:dyDescent="0.25">
      <c r="A2612" s="405"/>
      <c r="B2612" s="408"/>
      <c r="C2612" s="412"/>
      <c r="D2612" s="413"/>
      <c r="E2612" s="417"/>
      <c r="F2612" s="831">
        <f>SUM(G2605:G2610)</f>
        <v>500</v>
      </c>
      <c r="G2612" s="832"/>
    </row>
    <row r="2613" spans="1:7" x14ac:dyDescent="0.2">
      <c r="A2613" s="405"/>
      <c r="B2613" s="408"/>
      <c r="C2613" s="411"/>
      <c r="D2613" s="413"/>
      <c r="E2613" s="417"/>
      <c r="F2613" s="430"/>
      <c r="G2613" s="428"/>
    </row>
    <row r="2614" spans="1:7" ht="16" thickBot="1" x14ac:dyDescent="0.25">
      <c r="A2614" s="405"/>
      <c r="B2614" s="408"/>
      <c r="C2614" s="411"/>
      <c r="D2614" s="413"/>
      <c r="E2614" s="420"/>
      <c r="F2614" s="431"/>
      <c r="G2614" s="429"/>
    </row>
    <row r="2615" spans="1:7" x14ac:dyDescent="0.2">
      <c r="A2615" s="405"/>
      <c r="B2615" s="408"/>
      <c r="C2615" s="412"/>
      <c r="D2615" s="413"/>
      <c r="E2615" s="417"/>
      <c r="F2615" s="833" t="s">
        <v>293</v>
      </c>
      <c r="G2615" s="834"/>
    </row>
    <row r="2616" spans="1:7" ht="16" thickBot="1" x14ac:dyDescent="0.25">
      <c r="A2616" s="405"/>
      <c r="B2616" s="316"/>
      <c r="C2616" s="234"/>
      <c r="D2616" s="413"/>
      <c r="E2616" s="316"/>
      <c r="F2616" s="835"/>
      <c r="G2616" s="836"/>
    </row>
    <row r="2617" spans="1:7" x14ac:dyDescent="0.2">
      <c r="A2617" s="405"/>
      <c r="B2617" s="408"/>
      <c r="C2617" s="412"/>
      <c r="D2617" s="413"/>
      <c r="E2617" s="417"/>
      <c r="F2617" s="424">
        <v>200</v>
      </c>
      <c r="G2617" s="421">
        <v>800</v>
      </c>
    </row>
    <row r="2618" spans="1:7" x14ac:dyDescent="0.2">
      <c r="A2618" s="405"/>
      <c r="B2618" s="408"/>
      <c r="C2618" s="411"/>
      <c r="D2618" s="413"/>
      <c r="E2618" s="417"/>
      <c r="F2618" s="425">
        <v>100</v>
      </c>
      <c r="G2618" s="422">
        <v>400</v>
      </c>
    </row>
    <row r="2619" spans="1:7" x14ac:dyDescent="0.2">
      <c r="A2619" s="405"/>
      <c r="B2619" s="408"/>
      <c r="C2619" s="411"/>
      <c r="D2619" s="413"/>
      <c r="E2619" s="417"/>
      <c r="F2619" s="425">
        <v>50</v>
      </c>
      <c r="G2619" s="422"/>
    </row>
    <row r="2620" spans="1:7" x14ac:dyDescent="0.2">
      <c r="A2620" s="405"/>
      <c r="B2620" s="408"/>
      <c r="C2620" s="411"/>
      <c r="D2620" s="413"/>
      <c r="E2620" s="417"/>
      <c r="F2620" s="425" t="s">
        <v>289</v>
      </c>
      <c r="G2620" s="422"/>
    </row>
    <row r="2621" spans="1:7" x14ac:dyDescent="0.2">
      <c r="A2621" s="405"/>
      <c r="B2621" s="408"/>
      <c r="C2621" s="411"/>
      <c r="D2621" s="413"/>
      <c r="E2621" s="417"/>
      <c r="F2621" s="425" t="s">
        <v>290</v>
      </c>
      <c r="G2621" s="422"/>
    </row>
    <row r="2622" spans="1:7" x14ac:dyDescent="0.2">
      <c r="A2622" s="405"/>
      <c r="B2622" s="408"/>
      <c r="C2622" s="411"/>
      <c r="D2622" s="413"/>
      <c r="E2622" s="417"/>
      <c r="F2622" s="426" t="s">
        <v>291</v>
      </c>
      <c r="G2622" s="422"/>
    </row>
    <row r="2623" spans="1:7" ht="16" thickBot="1" x14ac:dyDescent="0.25">
      <c r="A2623" s="405"/>
      <c r="B2623" s="408"/>
      <c r="C2623" s="411"/>
      <c r="D2623" s="413"/>
      <c r="E2623" s="417" t="s">
        <v>340</v>
      </c>
      <c r="F2623" s="427" t="s">
        <v>292</v>
      </c>
      <c r="G2623" s="423"/>
    </row>
    <row r="2624" spans="1:7" ht="16" thickBot="1" x14ac:dyDescent="0.25">
      <c r="A2624" s="405"/>
      <c r="B2624" s="408"/>
      <c r="C2624" s="411"/>
      <c r="D2624" s="415"/>
      <c r="E2624" s="417"/>
      <c r="F2624" s="837">
        <f>SUM(G2617:G2622)</f>
        <v>1200</v>
      </c>
      <c r="G2624" s="838"/>
    </row>
    <row r="2625" spans="1:7" ht="16" thickBot="1" x14ac:dyDescent="0.25">
      <c r="A2625" s="406" t="s">
        <v>19</v>
      </c>
      <c r="B2625" s="185"/>
      <c r="C2625" s="407">
        <f>SUM(C2603:C2624)</f>
        <v>2000</v>
      </c>
      <c r="D2625" s="186">
        <f>SUM(D2603:D2624)</f>
        <v>800</v>
      </c>
      <c r="E2625" s="186">
        <f>C2625-D2625</f>
        <v>1200</v>
      </c>
      <c r="F2625" s="416"/>
      <c r="G2625" s="187"/>
    </row>
    <row r="2626" spans="1:7" ht="16" thickBot="1" x14ac:dyDescent="0.25"/>
    <row r="2627" spans="1:7" ht="33" thickBot="1" x14ac:dyDescent="0.25">
      <c r="A2627" s="686"/>
      <c r="B2627" s="183" t="s">
        <v>283</v>
      </c>
      <c r="C2627" s="236" t="s">
        <v>284</v>
      </c>
      <c r="D2627" s="184" t="s">
        <v>285</v>
      </c>
      <c r="E2627" s="184" t="s">
        <v>125</v>
      </c>
      <c r="F2627" s="827" t="s">
        <v>286</v>
      </c>
      <c r="G2627" s="828"/>
    </row>
    <row r="2628" spans="1:7" ht="16" thickBot="1" x14ac:dyDescent="0.25">
      <c r="A2628" s="433">
        <v>45783</v>
      </c>
      <c r="B2628" s="435" t="s">
        <v>287</v>
      </c>
      <c r="C2628" s="436">
        <f>E2625</f>
        <v>1200</v>
      </c>
      <c r="D2628" s="28"/>
      <c r="E2628" s="438" t="s">
        <v>287</v>
      </c>
      <c r="F2628" s="829" t="s">
        <v>288</v>
      </c>
      <c r="G2628" s="830"/>
    </row>
    <row r="2629" spans="1:7" ht="16" thickBot="1" x14ac:dyDescent="0.25">
      <c r="A2629" s="432"/>
      <c r="B2629" s="316" t="s">
        <v>222</v>
      </c>
      <c r="C2629" s="410"/>
      <c r="D2629" s="414">
        <v>1100</v>
      </c>
      <c r="E2629" s="316" t="s">
        <v>1110</v>
      </c>
      <c r="F2629" s="829"/>
      <c r="G2629" s="830"/>
    </row>
    <row r="2630" spans="1:7" x14ac:dyDescent="0.2">
      <c r="A2630" s="405"/>
      <c r="B2630" s="316" t="s">
        <v>294</v>
      </c>
      <c r="C2630" s="410">
        <v>400</v>
      </c>
      <c r="D2630" s="414"/>
      <c r="E2630" s="316" t="s">
        <v>295</v>
      </c>
      <c r="F2630" s="424">
        <v>200</v>
      </c>
      <c r="G2630" s="421">
        <v>800</v>
      </c>
    </row>
    <row r="2631" spans="1:7" x14ac:dyDescent="0.2">
      <c r="A2631" s="405"/>
      <c r="B2631" s="408"/>
      <c r="C2631" s="411"/>
      <c r="D2631" s="413"/>
      <c r="E2631" s="419"/>
      <c r="F2631" s="425">
        <v>100</v>
      </c>
      <c r="G2631" s="422">
        <v>400</v>
      </c>
    </row>
    <row r="2632" spans="1:7" x14ac:dyDescent="0.2">
      <c r="A2632" s="405"/>
      <c r="B2632" s="409"/>
      <c r="C2632" s="412"/>
      <c r="D2632" s="413"/>
      <c r="E2632" s="409"/>
      <c r="F2632" s="425">
        <v>50</v>
      </c>
      <c r="G2632" s="422"/>
    </row>
    <row r="2633" spans="1:7" x14ac:dyDescent="0.2">
      <c r="A2633" s="405"/>
      <c r="B2633" s="316"/>
      <c r="C2633" s="410"/>
      <c r="D2633" s="414"/>
      <c r="E2633" s="316"/>
      <c r="F2633" s="425" t="s">
        <v>289</v>
      </c>
      <c r="G2633" s="422"/>
    </row>
    <row r="2634" spans="1:7" x14ac:dyDescent="0.2">
      <c r="A2634" s="405"/>
      <c r="B2634" s="408"/>
      <c r="C2634" s="411"/>
      <c r="D2634" s="413"/>
      <c r="E2634" s="419"/>
      <c r="F2634" s="425" t="s">
        <v>290</v>
      </c>
      <c r="G2634" s="422"/>
    </row>
    <row r="2635" spans="1:7" x14ac:dyDescent="0.2">
      <c r="A2635" s="405"/>
      <c r="B2635" s="409"/>
      <c r="C2635" s="412"/>
      <c r="D2635" s="413"/>
      <c r="E2635" s="409"/>
      <c r="F2635" s="426" t="s">
        <v>291</v>
      </c>
      <c r="G2635" s="422"/>
    </row>
    <row r="2636" spans="1:7" ht="16" thickBot="1" x14ac:dyDescent="0.25">
      <c r="A2636" s="405"/>
      <c r="B2636" s="409"/>
      <c r="C2636" s="412"/>
      <c r="D2636" s="413"/>
      <c r="E2636" s="409"/>
      <c r="F2636" s="427" t="s">
        <v>292</v>
      </c>
      <c r="G2636" s="423"/>
    </row>
    <row r="2637" spans="1:7" ht="16" thickBot="1" x14ac:dyDescent="0.25">
      <c r="A2637" s="405"/>
      <c r="B2637" s="408"/>
      <c r="C2637" s="412"/>
      <c r="D2637" s="413"/>
      <c r="E2637" s="417"/>
      <c r="F2637" s="831">
        <f>SUM(G2630:G2635)</f>
        <v>1200</v>
      </c>
      <c r="G2637" s="832"/>
    </row>
    <row r="2638" spans="1:7" x14ac:dyDescent="0.2">
      <c r="A2638" s="405"/>
      <c r="B2638" s="408"/>
      <c r="C2638" s="411"/>
      <c r="D2638" s="413"/>
      <c r="E2638" s="417"/>
      <c r="F2638" s="430"/>
      <c r="G2638" s="428"/>
    </row>
    <row r="2639" spans="1:7" ht="16" thickBot="1" x14ac:dyDescent="0.25">
      <c r="A2639" s="405"/>
      <c r="B2639" s="408"/>
      <c r="C2639" s="411"/>
      <c r="D2639" s="413"/>
      <c r="E2639" s="420"/>
      <c r="F2639" s="431"/>
      <c r="G2639" s="429"/>
    </row>
    <row r="2640" spans="1:7" x14ac:dyDescent="0.2">
      <c r="A2640" s="405"/>
      <c r="B2640" s="408"/>
      <c r="C2640" s="412"/>
      <c r="D2640" s="413"/>
      <c r="E2640" s="417"/>
      <c r="F2640" s="833" t="s">
        <v>293</v>
      </c>
      <c r="G2640" s="834"/>
    </row>
    <row r="2641" spans="1:7" ht="16" thickBot="1" x14ac:dyDescent="0.25">
      <c r="A2641" s="405"/>
      <c r="B2641" s="316"/>
      <c r="C2641" s="234"/>
      <c r="D2641" s="413"/>
      <c r="E2641" s="316"/>
      <c r="F2641" s="835"/>
      <c r="G2641" s="836"/>
    </row>
    <row r="2642" spans="1:7" x14ac:dyDescent="0.2">
      <c r="A2642" s="405"/>
      <c r="B2642" s="408"/>
      <c r="C2642" s="412"/>
      <c r="D2642" s="413"/>
      <c r="E2642" s="417"/>
      <c r="F2642" s="424">
        <v>200</v>
      </c>
      <c r="G2642" s="421">
        <v>200</v>
      </c>
    </row>
    <row r="2643" spans="1:7" x14ac:dyDescent="0.2">
      <c r="A2643" s="405"/>
      <c r="B2643" s="408"/>
      <c r="C2643" s="411"/>
      <c r="D2643" s="413"/>
      <c r="E2643" s="417"/>
      <c r="F2643" s="425">
        <v>100</v>
      </c>
      <c r="G2643" s="422">
        <v>200</v>
      </c>
    </row>
    <row r="2644" spans="1:7" x14ac:dyDescent="0.2">
      <c r="A2644" s="405"/>
      <c r="B2644" s="408"/>
      <c r="C2644" s="411"/>
      <c r="D2644" s="413"/>
      <c r="E2644" s="417"/>
      <c r="F2644" s="425">
        <v>50</v>
      </c>
      <c r="G2644" s="422">
        <v>50</v>
      </c>
    </row>
    <row r="2645" spans="1:7" x14ac:dyDescent="0.2">
      <c r="A2645" s="405"/>
      <c r="B2645" s="408"/>
      <c r="C2645" s="411"/>
      <c r="D2645" s="413"/>
      <c r="E2645" s="417"/>
      <c r="F2645" s="425" t="s">
        <v>289</v>
      </c>
      <c r="G2645" s="422">
        <v>40</v>
      </c>
    </row>
    <row r="2646" spans="1:7" x14ac:dyDescent="0.2">
      <c r="A2646" s="405"/>
      <c r="B2646" s="408"/>
      <c r="C2646" s="411"/>
      <c r="D2646" s="413"/>
      <c r="E2646" s="417"/>
      <c r="F2646" s="425" t="s">
        <v>290</v>
      </c>
      <c r="G2646" s="422">
        <v>10</v>
      </c>
    </row>
    <row r="2647" spans="1:7" x14ac:dyDescent="0.2">
      <c r="A2647" s="405"/>
      <c r="B2647" s="408"/>
      <c r="C2647" s="411"/>
      <c r="D2647" s="413"/>
      <c r="E2647" s="417"/>
      <c r="F2647" s="426" t="s">
        <v>291</v>
      </c>
      <c r="G2647" s="422"/>
    </row>
    <row r="2648" spans="1:7" ht="16" thickBot="1" x14ac:dyDescent="0.25">
      <c r="A2648" s="405"/>
      <c r="B2648" s="408"/>
      <c r="C2648" s="411"/>
      <c r="D2648" s="413"/>
      <c r="E2648" s="417" t="s">
        <v>340</v>
      </c>
      <c r="F2648" s="427" t="s">
        <v>292</v>
      </c>
      <c r="G2648" s="423"/>
    </row>
    <row r="2649" spans="1:7" ht="16" thickBot="1" x14ac:dyDescent="0.25">
      <c r="A2649" s="405"/>
      <c r="B2649" s="408"/>
      <c r="C2649" s="411"/>
      <c r="D2649" s="415"/>
      <c r="E2649" s="417"/>
      <c r="F2649" s="837">
        <f>SUM(G2642:G2647)</f>
        <v>500</v>
      </c>
      <c r="G2649" s="838"/>
    </row>
    <row r="2650" spans="1:7" ht="16" thickBot="1" x14ac:dyDescent="0.25">
      <c r="A2650" s="406" t="s">
        <v>19</v>
      </c>
      <c r="B2650" s="185"/>
      <c r="C2650" s="407">
        <f>SUM(C2628:C2649)</f>
        <v>1600</v>
      </c>
      <c r="D2650" s="186">
        <f>SUM(D2628:D2649)</f>
        <v>1100</v>
      </c>
      <c r="E2650" s="186">
        <f>C2650-D2650</f>
        <v>500</v>
      </c>
      <c r="F2650" s="416"/>
      <c r="G2650" s="187"/>
    </row>
    <row r="2651" spans="1:7" ht="16" thickBot="1" x14ac:dyDescent="0.25"/>
    <row r="2652" spans="1:7" ht="33" thickBot="1" x14ac:dyDescent="0.25">
      <c r="A2652" s="686"/>
      <c r="B2652" s="183" t="s">
        <v>283</v>
      </c>
      <c r="C2652" s="236" t="s">
        <v>284</v>
      </c>
      <c r="D2652" s="184" t="s">
        <v>285</v>
      </c>
      <c r="E2652" s="184" t="s">
        <v>125</v>
      </c>
      <c r="F2652" s="827" t="s">
        <v>286</v>
      </c>
      <c r="G2652" s="828"/>
    </row>
    <row r="2653" spans="1:7" ht="16" thickBot="1" x14ac:dyDescent="0.25">
      <c r="A2653" s="433">
        <v>45785</v>
      </c>
      <c r="B2653" s="435" t="s">
        <v>287</v>
      </c>
      <c r="C2653" s="436">
        <f>E2650</f>
        <v>500</v>
      </c>
      <c r="D2653" s="28"/>
      <c r="E2653" s="438" t="s">
        <v>287</v>
      </c>
      <c r="F2653" s="829" t="s">
        <v>288</v>
      </c>
      <c r="G2653" s="830"/>
    </row>
    <row r="2654" spans="1:7" ht="16" thickBot="1" x14ac:dyDescent="0.25">
      <c r="A2654" s="432"/>
      <c r="B2654" s="316" t="s">
        <v>222</v>
      </c>
      <c r="C2654" s="410"/>
      <c r="D2654" s="414">
        <v>540</v>
      </c>
      <c r="E2654" s="316" t="s">
        <v>186</v>
      </c>
      <c r="F2654" s="829"/>
      <c r="G2654" s="830"/>
    </row>
    <row r="2655" spans="1:7" x14ac:dyDescent="0.2">
      <c r="A2655" s="405"/>
      <c r="B2655" s="316" t="s">
        <v>222</v>
      </c>
      <c r="C2655" s="410">
        <v>260</v>
      </c>
      <c r="D2655" s="414"/>
      <c r="E2655" s="316" t="s">
        <v>623</v>
      </c>
      <c r="F2655" s="424">
        <v>200</v>
      </c>
      <c r="G2655" s="421">
        <v>200</v>
      </c>
    </row>
    <row r="2656" spans="1:7" ht="16" x14ac:dyDescent="0.2">
      <c r="A2656" s="405"/>
      <c r="B2656" s="408" t="s">
        <v>298</v>
      </c>
      <c r="C2656" s="411"/>
      <c r="D2656" s="413">
        <v>200</v>
      </c>
      <c r="E2656" s="419" t="s">
        <v>298</v>
      </c>
      <c r="F2656" s="425">
        <v>100</v>
      </c>
      <c r="G2656" s="422">
        <v>200</v>
      </c>
    </row>
    <row r="2657" spans="1:7" x14ac:dyDescent="0.2">
      <c r="A2657" s="405"/>
      <c r="B2657" s="409" t="s">
        <v>303</v>
      </c>
      <c r="C2657" s="412"/>
      <c r="D2657" s="413">
        <v>20</v>
      </c>
      <c r="E2657" s="409" t="s">
        <v>485</v>
      </c>
      <c r="F2657" s="425">
        <v>50</v>
      </c>
      <c r="G2657" s="422">
        <v>50</v>
      </c>
    </row>
    <row r="2658" spans="1:7" x14ac:dyDescent="0.2">
      <c r="A2658" s="405"/>
      <c r="B2658" s="316"/>
      <c r="C2658" s="410"/>
      <c r="D2658" s="414"/>
      <c r="E2658" s="316"/>
      <c r="F2658" s="425" t="s">
        <v>289</v>
      </c>
      <c r="G2658" s="422">
        <v>40</v>
      </c>
    </row>
    <row r="2659" spans="1:7" x14ac:dyDescent="0.2">
      <c r="A2659" s="405"/>
      <c r="B2659" s="408"/>
      <c r="C2659" s="411"/>
      <c r="D2659" s="413"/>
      <c r="E2659" s="419"/>
      <c r="F2659" s="425" t="s">
        <v>290</v>
      </c>
      <c r="G2659" s="422">
        <v>10</v>
      </c>
    </row>
    <row r="2660" spans="1:7" x14ac:dyDescent="0.2">
      <c r="A2660" s="405"/>
      <c r="B2660" s="409"/>
      <c r="C2660" s="412"/>
      <c r="D2660" s="413"/>
      <c r="E2660" s="409"/>
      <c r="F2660" s="426" t="s">
        <v>291</v>
      </c>
      <c r="G2660" s="422"/>
    </row>
    <row r="2661" spans="1:7" ht="16" thickBot="1" x14ac:dyDescent="0.25">
      <c r="A2661" s="405"/>
      <c r="B2661" s="409"/>
      <c r="C2661" s="412"/>
      <c r="D2661" s="413"/>
      <c r="E2661" s="409"/>
      <c r="F2661" s="427" t="s">
        <v>292</v>
      </c>
      <c r="G2661" s="423"/>
    </row>
    <row r="2662" spans="1:7" ht="16" thickBot="1" x14ac:dyDescent="0.25">
      <c r="A2662" s="405"/>
      <c r="B2662" s="408"/>
      <c r="C2662" s="412"/>
      <c r="D2662" s="413"/>
      <c r="E2662" s="417"/>
      <c r="F2662" s="831">
        <f>SUM(G2655:G2660)</f>
        <v>500</v>
      </c>
      <c r="G2662" s="832"/>
    </row>
    <row r="2663" spans="1:7" x14ac:dyDescent="0.2">
      <c r="A2663" s="405"/>
      <c r="B2663" s="408"/>
      <c r="C2663" s="411"/>
      <c r="D2663" s="413"/>
      <c r="E2663" s="417"/>
      <c r="F2663" s="430"/>
      <c r="G2663" s="428"/>
    </row>
    <row r="2664" spans="1:7" ht="16" thickBot="1" x14ac:dyDescent="0.25">
      <c r="A2664" s="405"/>
      <c r="B2664" s="408"/>
      <c r="C2664" s="411"/>
      <c r="D2664" s="413"/>
      <c r="E2664" s="420"/>
      <c r="F2664" s="431"/>
      <c r="G2664" s="429"/>
    </row>
    <row r="2665" spans="1:7" x14ac:dyDescent="0.2">
      <c r="A2665" s="405"/>
      <c r="B2665" s="408"/>
      <c r="C2665" s="412"/>
      <c r="D2665" s="413"/>
      <c r="E2665" s="417"/>
      <c r="F2665" s="833" t="s">
        <v>293</v>
      </c>
      <c r="G2665" s="834"/>
    </row>
    <row r="2666" spans="1:7" ht="16" thickBot="1" x14ac:dyDescent="0.25">
      <c r="A2666" s="405"/>
      <c r="B2666" s="316"/>
      <c r="C2666" s="234"/>
      <c r="D2666" s="413"/>
      <c r="E2666" s="316"/>
      <c r="F2666" s="835"/>
      <c r="G2666" s="836"/>
    </row>
    <row r="2667" spans="1:7" x14ac:dyDescent="0.2">
      <c r="A2667" s="405"/>
      <c r="B2667" s="408"/>
      <c r="C2667" s="412"/>
      <c r="D2667" s="413"/>
      <c r="E2667" s="417"/>
      <c r="F2667" s="424">
        <v>200</v>
      </c>
      <c r="G2667" s="421"/>
    </row>
    <row r="2668" spans="1:7" x14ac:dyDescent="0.2">
      <c r="A2668" s="405"/>
      <c r="B2668" s="408"/>
      <c r="C2668" s="411"/>
      <c r="D2668" s="413"/>
      <c r="E2668" s="417"/>
      <c r="F2668" s="425">
        <v>100</v>
      </c>
      <c r="G2668" s="422"/>
    </row>
    <row r="2669" spans="1:7" x14ac:dyDescent="0.2">
      <c r="A2669" s="405"/>
      <c r="B2669" s="408"/>
      <c r="C2669" s="411"/>
      <c r="D2669" s="413"/>
      <c r="E2669" s="417"/>
      <c r="F2669" s="425">
        <v>50</v>
      </c>
      <c r="G2669" s="422"/>
    </row>
    <row r="2670" spans="1:7" x14ac:dyDescent="0.2">
      <c r="A2670" s="405"/>
      <c r="B2670" s="408"/>
      <c r="C2670" s="411"/>
      <c r="D2670" s="413"/>
      <c r="E2670" s="417"/>
      <c r="F2670" s="425" t="s">
        <v>289</v>
      </c>
      <c r="G2670" s="422"/>
    </row>
    <row r="2671" spans="1:7" x14ac:dyDescent="0.2">
      <c r="A2671" s="405"/>
      <c r="B2671" s="408"/>
      <c r="C2671" s="411"/>
      <c r="D2671" s="413"/>
      <c r="E2671" s="417"/>
      <c r="F2671" s="425" t="s">
        <v>290</v>
      </c>
      <c r="G2671" s="422"/>
    </row>
    <row r="2672" spans="1:7" x14ac:dyDescent="0.2">
      <c r="A2672" s="405"/>
      <c r="B2672" s="408"/>
      <c r="C2672" s="411"/>
      <c r="D2672" s="413"/>
      <c r="E2672" s="417"/>
      <c r="F2672" s="426" t="s">
        <v>291</v>
      </c>
      <c r="G2672" s="422"/>
    </row>
    <row r="2673" spans="1:7" ht="16" thickBot="1" x14ac:dyDescent="0.25">
      <c r="A2673" s="405"/>
      <c r="B2673" s="408"/>
      <c r="C2673" s="411"/>
      <c r="D2673" s="413"/>
      <c r="E2673" s="417" t="s">
        <v>340</v>
      </c>
      <c r="F2673" s="427" t="s">
        <v>292</v>
      </c>
      <c r="G2673" s="423"/>
    </row>
    <row r="2674" spans="1:7" ht="16" thickBot="1" x14ac:dyDescent="0.25">
      <c r="A2674" s="405"/>
      <c r="B2674" s="408"/>
      <c r="C2674" s="411"/>
      <c r="D2674" s="415"/>
      <c r="E2674" s="417"/>
      <c r="F2674" s="837">
        <f>SUM(G2667:G2672)</f>
        <v>0</v>
      </c>
      <c r="G2674" s="838"/>
    </row>
    <row r="2675" spans="1:7" ht="16" thickBot="1" x14ac:dyDescent="0.25">
      <c r="A2675" s="406" t="s">
        <v>19</v>
      </c>
      <c r="B2675" s="185"/>
      <c r="C2675" s="407">
        <f>SUM(C2653:C2674)</f>
        <v>760</v>
      </c>
      <c r="D2675" s="186">
        <f>SUM(D2653:D2674)</f>
        <v>760</v>
      </c>
      <c r="E2675" s="186">
        <f>C2675-D2675</f>
        <v>0</v>
      </c>
      <c r="F2675" s="416"/>
      <c r="G2675" s="187"/>
    </row>
  </sheetData>
  <mergeCells count="535">
    <mergeCell ref="F2652:G2652"/>
    <mergeCell ref="F2653:G2654"/>
    <mergeCell ref="F2662:G2662"/>
    <mergeCell ref="F2665:G2666"/>
    <mergeCell ref="F2674:G2674"/>
    <mergeCell ref="F2424:G2424"/>
    <mergeCell ref="F2377:G2377"/>
    <mergeCell ref="F2378:G2379"/>
    <mergeCell ref="F2387:G2387"/>
    <mergeCell ref="F2390:G2391"/>
    <mergeCell ref="F2399:G2399"/>
    <mergeCell ref="F2402:G2402"/>
    <mergeCell ref="F2403:G2404"/>
    <mergeCell ref="F2412:G2412"/>
    <mergeCell ref="F2415:G2416"/>
    <mergeCell ref="F2427:G2427"/>
    <mergeCell ref="F2428:G2429"/>
    <mergeCell ref="F2437:G2437"/>
    <mergeCell ref="F2440:G2441"/>
    <mergeCell ref="F2449:G2449"/>
    <mergeCell ref="F2452:G2452"/>
    <mergeCell ref="F2453:G2454"/>
    <mergeCell ref="F2462:G2462"/>
    <mergeCell ref="F2465:G2466"/>
    <mergeCell ref="F2302:G2302"/>
    <mergeCell ref="F2303:G2304"/>
    <mergeCell ref="F2312:G2312"/>
    <mergeCell ref="F2315:G2316"/>
    <mergeCell ref="F2324:G2324"/>
    <mergeCell ref="F2299:G2299"/>
    <mergeCell ref="F2252:G2252"/>
    <mergeCell ref="F2253:G2254"/>
    <mergeCell ref="F2262:G2262"/>
    <mergeCell ref="F2265:G2266"/>
    <mergeCell ref="F2274:G2274"/>
    <mergeCell ref="F2277:G2277"/>
    <mergeCell ref="F2278:G2279"/>
    <mergeCell ref="F2287:G2287"/>
    <mergeCell ref="F2290:G2291"/>
    <mergeCell ref="F2149:G2149"/>
    <mergeCell ref="F2102:G2102"/>
    <mergeCell ref="F2103:G2104"/>
    <mergeCell ref="F2112:G2112"/>
    <mergeCell ref="F2115:G2116"/>
    <mergeCell ref="F2124:G2124"/>
    <mergeCell ref="F2127:G2127"/>
    <mergeCell ref="F2128:G2129"/>
    <mergeCell ref="F2137:G2137"/>
    <mergeCell ref="F2140:G2141"/>
    <mergeCell ref="F1827:G1827"/>
    <mergeCell ref="F1828:G1829"/>
    <mergeCell ref="F1837:G1837"/>
    <mergeCell ref="F1840:G1841"/>
    <mergeCell ref="F1849:G1849"/>
    <mergeCell ref="F1852:G1852"/>
    <mergeCell ref="F1853:G1854"/>
    <mergeCell ref="F1862:G1862"/>
    <mergeCell ref="F1865:G1866"/>
    <mergeCell ref="F1824:G1824"/>
    <mergeCell ref="F1777:G1777"/>
    <mergeCell ref="F1778:G1779"/>
    <mergeCell ref="F1787:G1787"/>
    <mergeCell ref="F1790:G1791"/>
    <mergeCell ref="F1799:G1799"/>
    <mergeCell ref="F1802:G1802"/>
    <mergeCell ref="F1803:G1804"/>
    <mergeCell ref="F1812:G1812"/>
    <mergeCell ref="F1815:G1816"/>
    <mergeCell ref="F1727:G1727"/>
    <mergeCell ref="F1728:G1729"/>
    <mergeCell ref="F1737:G1737"/>
    <mergeCell ref="F1740:G1741"/>
    <mergeCell ref="F1749:G1749"/>
    <mergeCell ref="F1699:G1699"/>
    <mergeCell ref="F1702:G1702"/>
    <mergeCell ref="F1703:G1704"/>
    <mergeCell ref="F1712:G1712"/>
    <mergeCell ref="F1715:G1716"/>
    <mergeCell ref="F1724:G1724"/>
    <mergeCell ref="F1652:G1652"/>
    <mergeCell ref="F1653:G1654"/>
    <mergeCell ref="F1662:G1662"/>
    <mergeCell ref="F1665:G1666"/>
    <mergeCell ref="F1674:G1674"/>
    <mergeCell ref="F1677:G1677"/>
    <mergeCell ref="F1678:G1679"/>
    <mergeCell ref="F1687:G1687"/>
    <mergeCell ref="F1690:G1691"/>
    <mergeCell ref="F1590:G1591"/>
    <mergeCell ref="F1649:G1649"/>
    <mergeCell ref="F1602:G1602"/>
    <mergeCell ref="F1603:G1604"/>
    <mergeCell ref="F1612:G1612"/>
    <mergeCell ref="F1615:G1616"/>
    <mergeCell ref="F1624:G1624"/>
    <mergeCell ref="F1627:G1627"/>
    <mergeCell ref="F1628:G1629"/>
    <mergeCell ref="F1637:G1637"/>
    <mergeCell ref="F1640:G1641"/>
    <mergeCell ref="F1499:G1499"/>
    <mergeCell ref="F1452:G1452"/>
    <mergeCell ref="F1453:G1454"/>
    <mergeCell ref="F1462:G1462"/>
    <mergeCell ref="F1465:G1466"/>
    <mergeCell ref="F1474:G1474"/>
    <mergeCell ref="F1477:G1477"/>
    <mergeCell ref="F1478:G1479"/>
    <mergeCell ref="F1487:G1487"/>
    <mergeCell ref="F1490:G1491"/>
    <mergeCell ref="F1302:G1302"/>
    <mergeCell ref="F1303:G1304"/>
    <mergeCell ref="F1312:G1312"/>
    <mergeCell ref="F1315:G1316"/>
    <mergeCell ref="F1324:G1324"/>
    <mergeCell ref="F1299:G1299"/>
    <mergeCell ref="F1252:G1252"/>
    <mergeCell ref="F1253:G1254"/>
    <mergeCell ref="F1262:G1262"/>
    <mergeCell ref="F1265:G1266"/>
    <mergeCell ref="F1274:G1274"/>
    <mergeCell ref="F1277:G1277"/>
    <mergeCell ref="F1278:G1279"/>
    <mergeCell ref="F1287:G1287"/>
    <mergeCell ref="F1290:G1291"/>
    <mergeCell ref="F1077:G1077"/>
    <mergeCell ref="F1078:G1079"/>
    <mergeCell ref="F1087:G1087"/>
    <mergeCell ref="F1090:G1091"/>
    <mergeCell ref="F1099:G1099"/>
    <mergeCell ref="F1052:G1052"/>
    <mergeCell ref="F1053:G1054"/>
    <mergeCell ref="F1062:G1062"/>
    <mergeCell ref="F1065:G1066"/>
    <mergeCell ref="F1074:G1074"/>
    <mergeCell ref="F1027:G1027"/>
    <mergeCell ref="F1028:G1029"/>
    <mergeCell ref="F1037:G1037"/>
    <mergeCell ref="F1040:G1041"/>
    <mergeCell ref="F1049:G1049"/>
    <mergeCell ref="F1002:G1002"/>
    <mergeCell ref="F1003:G1004"/>
    <mergeCell ref="F1012:G1012"/>
    <mergeCell ref="F1015:G1016"/>
    <mergeCell ref="F1024:G1024"/>
    <mergeCell ref="F824:G824"/>
    <mergeCell ref="F827:G827"/>
    <mergeCell ref="F828:G829"/>
    <mergeCell ref="F837:G837"/>
    <mergeCell ref="F840:G841"/>
    <mergeCell ref="F849:G849"/>
    <mergeCell ref="F899:G899"/>
    <mergeCell ref="F902:G902"/>
    <mergeCell ref="F903:G904"/>
    <mergeCell ref="F852:G852"/>
    <mergeCell ref="F853:G854"/>
    <mergeCell ref="F862:G862"/>
    <mergeCell ref="F865:G866"/>
    <mergeCell ref="F874:G874"/>
    <mergeCell ref="F877:G877"/>
    <mergeCell ref="F878:G879"/>
    <mergeCell ref="F777:G777"/>
    <mergeCell ref="F778:G779"/>
    <mergeCell ref="F787:G787"/>
    <mergeCell ref="F790:G791"/>
    <mergeCell ref="F799:G799"/>
    <mergeCell ref="F802:G802"/>
    <mergeCell ref="F803:G804"/>
    <mergeCell ref="F812:G812"/>
    <mergeCell ref="F815:G816"/>
    <mergeCell ref="F512:G512"/>
    <mergeCell ref="F515:G516"/>
    <mergeCell ref="F524:G524"/>
    <mergeCell ref="F527:G527"/>
    <mergeCell ref="F528:G529"/>
    <mergeCell ref="F537:G537"/>
    <mergeCell ref="F540:G541"/>
    <mergeCell ref="F687:G687"/>
    <mergeCell ref="F690:G691"/>
    <mergeCell ref="F549:G549"/>
    <mergeCell ref="F602:G602"/>
    <mergeCell ref="F603:G604"/>
    <mergeCell ref="F612:G612"/>
    <mergeCell ref="F615:G616"/>
    <mergeCell ref="F624:G624"/>
    <mergeCell ref="F599:G599"/>
    <mergeCell ref="F552:G552"/>
    <mergeCell ref="F553:G554"/>
    <mergeCell ref="F562:G562"/>
    <mergeCell ref="F412:G412"/>
    <mergeCell ref="F415:G416"/>
    <mergeCell ref="F424:G424"/>
    <mergeCell ref="F427:G427"/>
    <mergeCell ref="F428:G429"/>
    <mergeCell ref="F437:G437"/>
    <mergeCell ref="F440:G441"/>
    <mergeCell ref="F502:G502"/>
    <mergeCell ref="F503:G504"/>
    <mergeCell ref="F277:G277"/>
    <mergeCell ref="F278:G279"/>
    <mergeCell ref="F287:G287"/>
    <mergeCell ref="F290:G291"/>
    <mergeCell ref="F299:G299"/>
    <mergeCell ref="F99:G99"/>
    <mergeCell ref="F102:G102"/>
    <mergeCell ref="F103:G104"/>
    <mergeCell ref="F112:G112"/>
    <mergeCell ref="F115:G116"/>
    <mergeCell ref="F124:G124"/>
    <mergeCell ref="F127:G127"/>
    <mergeCell ref="F128:G129"/>
    <mergeCell ref="F137:G137"/>
    <mergeCell ref="F140:G141"/>
    <mergeCell ref="F149:G149"/>
    <mergeCell ref="F152:G152"/>
    <mergeCell ref="F153:G154"/>
    <mergeCell ref="F162:G162"/>
    <mergeCell ref="F165:G166"/>
    <mergeCell ref="F174:G174"/>
    <mergeCell ref="F177:G177"/>
    <mergeCell ref="F178:G179"/>
    <mergeCell ref="F187:G187"/>
    <mergeCell ref="F274:G274"/>
    <mergeCell ref="F327:G327"/>
    <mergeCell ref="F328:G329"/>
    <mergeCell ref="F337:G337"/>
    <mergeCell ref="F340:G341"/>
    <mergeCell ref="F90:G91"/>
    <mergeCell ref="F2:G2"/>
    <mergeCell ref="F3:G4"/>
    <mergeCell ref="F12:G12"/>
    <mergeCell ref="F15:G16"/>
    <mergeCell ref="F24:G24"/>
    <mergeCell ref="F27:G27"/>
    <mergeCell ref="F28:G29"/>
    <mergeCell ref="F37:G37"/>
    <mergeCell ref="F40:G41"/>
    <mergeCell ref="F49:G49"/>
    <mergeCell ref="F52:G52"/>
    <mergeCell ref="F53:G54"/>
    <mergeCell ref="F62:G62"/>
    <mergeCell ref="F65:G66"/>
    <mergeCell ref="F74:G74"/>
    <mergeCell ref="F77:G77"/>
    <mergeCell ref="F78:G79"/>
    <mergeCell ref="F87:G87"/>
    <mergeCell ref="F399:G399"/>
    <mergeCell ref="F352:G352"/>
    <mergeCell ref="F677:G677"/>
    <mergeCell ref="F678:G679"/>
    <mergeCell ref="F365:G366"/>
    <mergeCell ref="F374:G374"/>
    <mergeCell ref="F490:G491"/>
    <mergeCell ref="F190:G191"/>
    <mergeCell ref="F199:G199"/>
    <mergeCell ref="F202:G202"/>
    <mergeCell ref="F203:G204"/>
    <mergeCell ref="F212:G212"/>
    <mergeCell ref="F215:G216"/>
    <mergeCell ref="F224:G224"/>
    <mergeCell ref="F252:G252"/>
    <mergeCell ref="F227:G227"/>
    <mergeCell ref="F228:G229"/>
    <mergeCell ref="F237:G237"/>
    <mergeCell ref="F240:G241"/>
    <mergeCell ref="F249:G249"/>
    <mergeCell ref="F499:G499"/>
    <mergeCell ref="F253:G254"/>
    <mergeCell ref="F262:G262"/>
    <mergeCell ref="F265:G266"/>
    <mergeCell ref="F302:G302"/>
    <mergeCell ref="F303:G304"/>
    <mergeCell ref="F312:G312"/>
    <mergeCell ref="F702:G702"/>
    <mergeCell ref="F353:G354"/>
    <mergeCell ref="F362:G362"/>
    <mergeCell ref="F315:G316"/>
    <mergeCell ref="F324:G324"/>
    <mergeCell ref="F449:G449"/>
    <mergeCell ref="F452:G452"/>
    <mergeCell ref="F453:G454"/>
    <mergeCell ref="F462:G462"/>
    <mergeCell ref="F465:G466"/>
    <mergeCell ref="F474:G474"/>
    <mergeCell ref="F477:G477"/>
    <mergeCell ref="F478:G479"/>
    <mergeCell ref="F487:G487"/>
    <mergeCell ref="F402:G402"/>
    <mergeCell ref="F403:G404"/>
    <mergeCell ref="F349:G349"/>
    <mergeCell ref="F377:G377"/>
    <mergeCell ref="F378:G379"/>
    <mergeCell ref="F387:G387"/>
    <mergeCell ref="F390:G391"/>
    <mergeCell ref="F715:G716"/>
    <mergeCell ref="F724:G724"/>
    <mergeCell ref="F565:G566"/>
    <mergeCell ref="F574:G574"/>
    <mergeCell ref="F577:G577"/>
    <mergeCell ref="F578:G579"/>
    <mergeCell ref="F587:G587"/>
    <mergeCell ref="F590:G591"/>
    <mergeCell ref="F627:G627"/>
    <mergeCell ref="F628:G629"/>
    <mergeCell ref="F637:G637"/>
    <mergeCell ref="F640:G641"/>
    <mergeCell ref="F649:G649"/>
    <mergeCell ref="F699:G699"/>
    <mergeCell ref="F652:G652"/>
    <mergeCell ref="F653:G654"/>
    <mergeCell ref="F662:G662"/>
    <mergeCell ref="F665:G666"/>
    <mergeCell ref="F674:G674"/>
    <mergeCell ref="F703:G704"/>
    <mergeCell ref="F712:G712"/>
    <mergeCell ref="F752:G752"/>
    <mergeCell ref="F753:G754"/>
    <mergeCell ref="F762:G762"/>
    <mergeCell ref="F765:G766"/>
    <mergeCell ref="F774:G774"/>
    <mergeCell ref="F727:G727"/>
    <mergeCell ref="F728:G729"/>
    <mergeCell ref="F737:G737"/>
    <mergeCell ref="F740:G741"/>
    <mergeCell ref="F749:G749"/>
    <mergeCell ref="F990:G991"/>
    <mergeCell ref="F999:G999"/>
    <mergeCell ref="F887:G887"/>
    <mergeCell ref="F890:G891"/>
    <mergeCell ref="F952:G952"/>
    <mergeCell ref="F953:G954"/>
    <mergeCell ref="F927:G927"/>
    <mergeCell ref="F928:G929"/>
    <mergeCell ref="F937:G937"/>
    <mergeCell ref="F940:G941"/>
    <mergeCell ref="F949:G949"/>
    <mergeCell ref="F912:G912"/>
    <mergeCell ref="F915:G916"/>
    <mergeCell ref="F924:G924"/>
    <mergeCell ref="F962:G962"/>
    <mergeCell ref="F965:G966"/>
    <mergeCell ref="F974:G974"/>
    <mergeCell ref="F977:G977"/>
    <mergeCell ref="F978:G979"/>
    <mergeCell ref="F987:G987"/>
    <mergeCell ref="F1149:G1149"/>
    <mergeCell ref="F1152:G1152"/>
    <mergeCell ref="F1153:G1154"/>
    <mergeCell ref="F1162:G1162"/>
    <mergeCell ref="F1165:G1166"/>
    <mergeCell ref="F1174:G1174"/>
    <mergeCell ref="F1102:G1102"/>
    <mergeCell ref="F1103:G1104"/>
    <mergeCell ref="F1112:G1112"/>
    <mergeCell ref="F1115:G1116"/>
    <mergeCell ref="F1124:G1124"/>
    <mergeCell ref="F1127:G1127"/>
    <mergeCell ref="F1128:G1129"/>
    <mergeCell ref="F1137:G1137"/>
    <mergeCell ref="F1140:G1141"/>
    <mergeCell ref="F1227:G1227"/>
    <mergeCell ref="F1228:G1229"/>
    <mergeCell ref="F1237:G1237"/>
    <mergeCell ref="F1240:G1241"/>
    <mergeCell ref="F1249:G1249"/>
    <mergeCell ref="F1224:G1224"/>
    <mergeCell ref="F1177:G1177"/>
    <mergeCell ref="F1178:G1179"/>
    <mergeCell ref="F1187:G1187"/>
    <mergeCell ref="F1190:G1191"/>
    <mergeCell ref="F1199:G1199"/>
    <mergeCell ref="F1202:G1202"/>
    <mergeCell ref="F1203:G1204"/>
    <mergeCell ref="F1212:G1212"/>
    <mergeCell ref="F1215:G1216"/>
    <mergeCell ref="F1374:G1374"/>
    <mergeCell ref="F1327:G1327"/>
    <mergeCell ref="F1328:G1329"/>
    <mergeCell ref="F1337:G1337"/>
    <mergeCell ref="F1340:G1341"/>
    <mergeCell ref="F1349:G1349"/>
    <mergeCell ref="F1352:G1352"/>
    <mergeCell ref="F1353:G1354"/>
    <mergeCell ref="F1362:G1362"/>
    <mergeCell ref="F1365:G1366"/>
    <mergeCell ref="F1424:G1424"/>
    <mergeCell ref="F1427:G1427"/>
    <mergeCell ref="F1428:G1429"/>
    <mergeCell ref="F1437:G1437"/>
    <mergeCell ref="F1440:G1441"/>
    <mergeCell ref="F1449:G1449"/>
    <mergeCell ref="F1377:G1377"/>
    <mergeCell ref="F1378:G1379"/>
    <mergeCell ref="F1387:G1387"/>
    <mergeCell ref="F1390:G1391"/>
    <mergeCell ref="F1399:G1399"/>
    <mergeCell ref="F1402:G1402"/>
    <mergeCell ref="F1403:G1404"/>
    <mergeCell ref="F1412:G1412"/>
    <mergeCell ref="F1415:G1416"/>
    <mergeCell ref="F1752:G1752"/>
    <mergeCell ref="F1753:G1754"/>
    <mergeCell ref="F1762:G1762"/>
    <mergeCell ref="F1765:G1766"/>
    <mergeCell ref="F1774:G1774"/>
    <mergeCell ref="F1549:G1549"/>
    <mergeCell ref="F1502:G1502"/>
    <mergeCell ref="F1503:G1504"/>
    <mergeCell ref="F1512:G1512"/>
    <mergeCell ref="F1515:G1516"/>
    <mergeCell ref="F1524:G1524"/>
    <mergeCell ref="F1527:G1527"/>
    <mergeCell ref="F1528:G1529"/>
    <mergeCell ref="F1537:G1537"/>
    <mergeCell ref="F1540:G1541"/>
    <mergeCell ref="F1599:G1599"/>
    <mergeCell ref="F1552:G1552"/>
    <mergeCell ref="F1553:G1554"/>
    <mergeCell ref="F1562:G1562"/>
    <mergeCell ref="F1565:G1566"/>
    <mergeCell ref="F1574:G1574"/>
    <mergeCell ref="F1577:G1577"/>
    <mergeCell ref="F1578:G1579"/>
    <mergeCell ref="F1587:G1587"/>
    <mergeCell ref="F1902:G1902"/>
    <mergeCell ref="F1903:G1904"/>
    <mergeCell ref="F1912:G1912"/>
    <mergeCell ref="F1915:G1916"/>
    <mergeCell ref="F1924:G1924"/>
    <mergeCell ref="F1874:G1874"/>
    <mergeCell ref="F1877:G1877"/>
    <mergeCell ref="F1878:G1879"/>
    <mergeCell ref="F1887:G1887"/>
    <mergeCell ref="F1890:G1891"/>
    <mergeCell ref="F1899:G1899"/>
    <mergeCell ref="F1974:G1974"/>
    <mergeCell ref="F1927:G1927"/>
    <mergeCell ref="F1928:G1929"/>
    <mergeCell ref="F1937:G1937"/>
    <mergeCell ref="F1940:G1941"/>
    <mergeCell ref="F1949:G1949"/>
    <mergeCell ref="F1952:G1952"/>
    <mergeCell ref="F1953:G1954"/>
    <mergeCell ref="F1962:G1962"/>
    <mergeCell ref="F1965:G1966"/>
    <mergeCell ref="F1977:G1977"/>
    <mergeCell ref="F1978:G1979"/>
    <mergeCell ref="F1987:G1987"/>
    <mergeCell ref="F1990:G1991"/>
    <mergeCell ref="F1999:G1999"/>
    <mergeCell ref="F2002:G2002"/>
    <mergeCell ref="F2003:G2004"/>
    <mergeCell ref="F2012:G2012"/>
    <mergeCell ref="F2015:G2016"/>
    <mergeCell ref="F2077:G2077"/>
    <mergeCell ref="F2078:G2079"/>
    <mergeCell ref="F2087:G2087"/>
    <mergeCell ref="F2090:G2091"/>
    <mergeCell ref="F2099:G2099"/>
    <mergeCell ref="F2024:G2024"/>
    <mergeCell ref="F2027:G2027"/>
    <mergeCell ref="F2028:G2029"/>
    <mergeCell ref="F2037:G2037"/>
    <mergeCell ref="F2040:G2041"/>
    <mergeCell ref="F2049:G2049"/>
    <mergeCell ref="F2052:G2052"/>
    <mergeCell ref="F2053:G2054"/>
    <mergeCell ref="F2062:G2062"/>
    <mergeCell ref="F2065:G2066"/>
    <mergeCell ref="F2074:G2074"/>
    <mergeCell ref="F2249:G2249"/>
    <mergeCell ref="F2202:G2202"/>
    <mergeCell ref="F2203:G2204"/>
    <mergeCell ref="F2212:G2212"/>
    <mergeCell ref="F2215:G2216"/>
    <mergeCell ref="F2224:G2224"/>
    <mergeCell ref="F2227:G2227"/>
    <mergeCell ref="F2228:G2229"/>
    <mergeCell ref="F2237:G2237"/>
    <mergeCell ref="F2240:G2241"/>
    <mergeCell ref="F2199:G2199"/>
    <mergeCell ref="F2152:G2152"/>
    <mergeCell ref="F2153:G2154"/>
    <mergeCell ref="F2162:G2162"/>
    <mergeCell ref="F2165:G2166"/>
    <mergeCell ref="F2174:G2174"/>
    <mergeCell ref="F2177:G2177"/>
    <mergeCell ref="F2178:G2179"/>
    <mergeCell ref="F2187:G2187"/>
    <mergeCell ref="F2190:G2191"/>
    <mergeCell ref="F2352:G2352"/>
    <mergeCell ref="F2353:G2354"/>
    <mergeCell ref="F2362:G2362"/>
    <mergeCell ref="F2365:G2366"/>
    <mergeCell ref="F2374:G2374"/>
    <mergeCell ref="F2327:G2327"/>
    <mergeCell ref="F2328:G2329"/>
    <mergeCell ref="F2337:G2337"/>
    <mergeCell ref="F2340:G2341"/>
    <mergeCell ref="F2349:G2349"/>
    <mergeCell ref="F2515:G2516"/>
    <mergeCell ref="F2524:G2524"/>
    <mergeCell ref="F2474:G2474"/>
    <mergeCell ref="F2477:G2477"/>
    <mergeCell ref="F2478:G2479"/>
    <mergeCell ref="F2487:G2487"/>
    <mergeCell ref="F2490:G2491"/>
    <mergeCell ref="F2499:G2499"/>
    <mergeCell ref="F2502:G2502"/>
    <mergeCell ref="F2503:G2504"/>
    <mergeCell ref="F2512:G2512"/>
    <mergeCell ref="F2552:G2552"/>
    <mergeCell ref="F2553:G2554"/>
    <mergeCell ref="F2562:G2562"/>
    <mergeCell ref="F2565:G2566"/>
    <mergeCell ref="F2574:G2574"/>
    <mergeCell ref="F2527:G2527"/>
    <mergeCell ref="F2528:G2529"/>
    <mergeCell ref="F2537:G2537"/>
    <mergeCell ref="F2540:G2541"/>
    <mergeCell ref="F2549:G2549"/>
    <mergeCell ref="F2627:G2627"/>
    <mergeCell ref="F2628:G2629"/>
    <mergeCell ref="F2637:G2637"/>
    <mergeCell ref="F2640:G2641"/>
    <mergeCell ref="F2649:G2649"/>
    <mergeCell ref="F2624:G2624"/>
    <mergeCell ref="F2577:G2577"/>
    <mergeCell ref="F2578:G2579"/>
    <mergeCell ref="F2587:G2587"/>
    <mergeCell ref="F2590:G2591"/>
    <mergeCell ref="F2599:G2599"/>
    <mergeCell ref="F2602:G2602"/>
    <mergeCell ref="F2603:G2604"/>
    <mergeCell ref="F2612:G2612"/>
    <mergeCell ref="F2615:G2616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O304"/>
  <sheetViews>
    <sheetView topLeftCell="A272" zoomScaleNormal="100" workbookViewId="0">
      <selection activeCell="O295" sqref="O295"/>
    </sheetView>
  </sheetViews>
  <sheetFormatPr baseColWidth="10" defaultColWidth="8.83203125" defaultRowHeight="15" x14ac:dyDescent="0.2"/>
  <cols>
    <col min="2" max="2" width="14.5" customWidth="1"/>
    <col min="3" max="3" width="17.5" bestFit="1" customWidth="1"/>
    <col min="4" max="4" width="13.5" customWidth="1"/>
    <col min="5" max="5" width="32" customWidth="1"/>
    <col min="6" max="6" width="13.6640625" customWidth="1"/>
    <col min="7" max="7" width="12.33203125" customWidth="1"/>
    <col min="8" max="8" width="0.1640625" hidden="1" customWidth="1"/>
    <col min="9" max="9" width="12.83203125" hidden="1" customWidth="1"/>
    <col min="10" max="10" width="5.5" hidden="1" customWidth="1"/>
    <col min="11" max="11" width="13" customWidth="1"/>
    <col min="12" max="12" width="7" hidden="1" customWidth="1"/>
    <col min="13" max="13" width="8.83203125" bestFit="1" customWidth="1"/>
    <col min="14" max="14" width="12.5" bestFit="1" customWidth="1"/>
    <col min="15" max="15" width="10.83203125" customWidth="1"/>
    <col min="18" max="19" width="10.83203125" bestFit="1" customWidth="1"/>
    <col min="20" max="21" width="10.83203125" customWidth="1"/>
    <col min="22" max="22" width="16.83203125" customWidth="1"/>
    <col min="23" max="23" width="17.5" customWidth="1"/>
  </cols>
  <sheetData>
    <row r="1" spans="2:15" ht="64.5" customHeight="1" thickBot="1" x14ac:dyDescent="0.25">
      <c r="B1" s="456" t="s">
        <v>76</v>
      </c>
      <c r="C1" s="440" t="s">
        <v>230</v>
      </c>
      <c r="D1" s="457" t="s">
        <v>189</v>
      </c>
      <c r="E1" s="440" t="s">
        <v>313</v>
      </c>
      <c r="F1" s="458" t="s">
        <v>312</v>
      </c>
      <c r="G1" s="440" t="s">
        <v>314</v>
      </c>
      <c r="H1" s="173" t="s">
        <v>299</v>
      </c>
      <c r="I1" s="459" t="s">
        <v>299</v>
      </c>
      <c r="J1" s="459" t="s">
        <v>308</v>
      </c>
      <c r="K1" s="460" t="s">
        <v>366</v>
      </c>
      <c r="L1" s="440" t="s">
        <v>224</v>
      </c>
      <c r="M1" s="440" t="s">
        <v>299</v>
      </c>
      <c r="N1" s="692" t="s">
        <v>84</v>
      </c>
    </row>
    <row r="2" spans="2:15" ht="49" thickBot="1" x14ac:dyDescent="0.25">
      <c r="B2" s="202">
        <v>45660</v>
      </c>
      <c r="C2" s="452" t="s">
        <v>231</v>
      </c>
      <c r="D2" s="33" t="s">
        <v>188</v>
      </c>
      <c r="E2" s="844" t="s">
        <v>455</v>
      </c>
      <c r="F2" s="33">
        <f>12+12+12+10+16+8</f>
        <v>70</v>
      </c>
      <c r="G2" s="28">
        <v>7</v>
      </c>
      <c r="H2" s="453"/>
      <c r="I2" s="454"/>
      <c r="J2" s="651"/>
      <c r="K2" s="545" t="s">
        <v>379</v>
      </c>
      <c r="L2" s="645"/>
      <c r="M2" s="690">
        <v>16</v>
      </c>
      <c r="N2" s="672">
        <f>(G2*260)+(M2*30)</f>
        <v>2300</v>
      </c>
      <c r="O2" t="s">
        <v>188</v>
      </c>
    </row>
    <row r="3" spans="2:15" ht="49" thickBot="1" x14ac:dyDescent="0.25">
      <c r="B3" s="450"/>
      <c r="C3" s="202" t="s">
        <v>232</v>
      </c>
      <c r="D3" s="23" t="s">
        <v>303</v>
      </c>
      <c r="E3" s="845"/>
      <c r="F3" s="201">
        <v>72</v>
      </c>
      <c r="G3" s="330">
        <v>7</v>
      </c>
      <c r="H3" s="441"/>
      <c r="I3" s="165"/>
      <c r="J3" s="165"/>
      <c r="K3" s="546" t="s">
        <v>371</v>
      </c>
      <c r="L3" s="546"/>
      <c r="M3" s="474">
        <v>16</v>
      </c>
      <c r="N3" s="672">
        <f>(G3*225)+(M3*30)-130</f>
        <v>1925</v>
      </c>
      <c r="O3" t="s">
        <v>303</v>
      </c>
    </row>
    <row r="4" spans="2:15" ht="49" thickBot="1" x14ac:dyDescent="0.25">
      <c r="B4" s="450"/>
      <c r="C4" s="450" t="s">
        <v>233</v>
      </c>
      <c r="D4" s="446" t="s">
        <v>310</v>
      </c>
      <c r="E4" s="845"/>
      <c r="F4" s="23">
        <v>78</v>
      </c>
      <c r="G4" s="693">
        <v>7</v>
      </c>
      <c r="H4" s="467"/>
      <c r="I4" s="468"/>
      <c r="J4" s="468"/>
      <c r="K4" s="546" t="s">
        <v>372</v>
      </c>
      <c r="L4" s="647"/>
      <c r="M4" s="652">
        <v>16</v>
      </c>
      <c r="N4" s="672">
        <f>(G4*250)+(M4*30)</f>
        <v>2230</v>
      </c>
      <c r="O4" t="s">
        <v>310</v>
      </c>
    </row>
    <row r="5" spans="2:15" ht="49" thickBot="1" x14ac:dyDescent="0.25">
      <c r="B5" s="202"/>
      <c r="C5" s="202" t="s">
        <v>234</v>
      </c>
      <c r="D5" s="473" t="s">
        <v>344</v>
      </c>
      <c r="E5" s="845"/>
      <c r="F5" s="474">
        <v>61</v>
      </c>
      <c r="G5" s="330">
        <v>6</v>
      </c>
      <c r="H5" s="475"/>
      <c r="I5" s="472"/>
      <c r="J5" s="472"/>
      <c r="K5" s="546" t="s">
        <v>371</v>
      </c>
      <c r="L5" s="648"/>
      <c r="M5" s="474">
        <v>16</v>
      </c>
      <c r="N5" s="672">
        <f>(G5*225)+(M5*30)-130</f>
        <v>1700</v>
      </c>
      <c r="O5" t="s">
        <v>344</v>
      </c>
    </row>
    <row r="6" spans="2:15" ht="49" thickBot="1" x14ac:dyDescent="0.25">
      <c r="B6" s="41"/>
      <c r="C6" s="41" t="s">
        <v>235</v>
      </c>
      <c r="D6" s="469" t="s">
        <v>345</v>
      </c>
      <c r="E6" s="845"/>
      <c r="F6" s="41">
        <v>72</v>
      </c>
      <c r="G6" s="694">
        <v>7</v>
      </c>
      <c r="H6" s="470"/>
      <c r="I6" s="471"/>
      <c r="J6" s="471"/>
      <c r="K6" s="546" t="s">
        <v>371</v>
      </c>
      <c r="L6" s="649"/>
      <c r="M6" s="691">
        <v>16</v>
      </c>
      <c r="N6" s="672">
        <f>(G6*225)+(M6*30)-200-130</f>
        <v>1725</v>
      </c>
      <c r="O6" t="s">
        <v>345</v>
      </c>
    </row>
    <row r="7" spans="2:15" ht="17" thickBot="1" x14ac:dyDescent="0.25">
      <c r="B7" s="201"/>
      <c r="C7" s="201" t="s">
        <v>277</v>
      </c>
      <c r="D7" s="188" t="s">
        <v>397</v>
      </c>
      <c r="E7" s="846"/>
      <c r="F7" s="555">
        <v>60</v>
      </c>
      <c r="G7" s="201">
        <v>6</v>
      </c>
      <c r="H7" s="441"/>
      <c r="I7" s="165"/>
      <c r="J7" s="165"/>
      <c r="K7" s="478" t="s">
        <v>373</v>
      </c>
      <c r="L7" s="650"/>
      <c r="M7" s="201">
        <v>16</v>
      </c>
      <c r="N7" s="455">
        <f>(G7*225)+(M7*30)</f>
        <v>1830</v>
      </c>
      <c r="O7" t="s">
        <v>397</v>
      </c>
    </row>
    <row r="8" spans="2:15" ht="16" thickBot="1" x14ac:dyDescent="0.25">
      <c r="B8" s="201"/>
      <c r="C8" s="201"/>
      <c r="D8" s="201"/>
      <c r="E8" s="687"/>
      <c r="F8" s="170"/>
      <c r="G8" s="205"/>
      <c r="H8" s="442"/>
      <c r="I8" s="181"/>
      <c r="J8" s="181"/>
      <c r="K8" s="448"/>
      <c r="L8" s="644"/>
      <c r="M8" s="443"/>
      <c r="N8" s="444">
        <f>SUM(N2:N7)</f>
        <v>11710</v>
      </c>
    </row>
    <row r="9" spans="2:15" ht="16" thickBot="1" x14ac:dyDescent="0.25"/>
    <row r="10" spans="2:15" ht="40.5" customHeight="1" x14ac:dyDescent="0.2">
      <c r="B10" s="673" t="s">
        <v>340</v>
      </c>
      <c r="C10" s="655" t="s">
        <v>230</v>
      </c>
      <c r="D10" s="674" t="s">
        <v>189</v>
      </c>
      <c r="E10" s="655" t="s">
        <v>195</v>
      </c>
      <c r="F10" s="675" t="s">
        <v>190</v>
      </c>
      <c r="G10" s="655" t="s">
        <v>366</v>
      </c>
      <c r="H10" s="676" t="s">
        <v>307</v>
      </c>
      <c r="I10" s="677"/>
      <c r="J10" s="677"/>
      <c r="K10" s="678" t="s">
        <v>224</v>
      </c>
      <c r="L10" s="675"/>
      <c r="M10" s="673" t="s">
        <v>380</v>
      </c>
      <c r="N10" s="655" t="s">
        <v>84</v>
      </c>
    </row>
    <row r="11" spans="2:15" x14ac:dyDescent="0.2">
      <c r="B11" s="669">
        <v>45660</v>
      </c>
      <c r="C11" s="669" t="s">
        <v>236</v>
      </c>
      <c r="D11" s="168" t="s">
        <v>194</v>
      </c>
      <c r="E11" s="839" t="s">
        <v>456</v>
      </c>
      <c r="F11" s="168">
        <v>2400</v>
      </c>
      <c r="G11" s="168" t="s">
        <v>367</v>
      </c>
      <c r="H11" s="670"/>
      <c r="I11" s="670"/>
      <c r="J11" s="670"/>
      <c r="K11" s="671"/>
      <c r="L11" s="671"/>
      <c r="M11" s="168"/>
      <c r="N11" s="672">
        <f>F11-K11</f>
        <v>2400</v>
      </c>
      <c r="O11" t="s">
        <v>194</v>
      </c>
    </row>
    <row r="12" spans="2:15" x14ac:dyDescent="0.2">
      <c r="B12" s="669"/>
      <c r="C12" s="669" t="s">
        <v>282</v>
      </c>
      <c r="D12" s="168" t="s">
        <v>410</v>
      </c>
      <c r="E12" s="840"/>
      <c r="F12" s="168">
        <v>200</v>
      </c>
      <c r="G12" s="168" t="s">
        <v>369</v>
      </c>
      <c r="H12" s="670"/>
      <c r="I12" s="670"/>
      <c r="J12" s="670"/>
      <c r="K12" s="671"/>
      <c r="L12" s="671"/>
      <c r="M12" s="168"/>
      <c r="N12" s="672">
        <v>200</v>
      </c>
      <c r="O12" t="s">
        <v>410</v>
      </c>
    </row>
    <row r="13" spans="2:15" x14ac:dyDescent="0.2">
      <c r="B13" s="669"/>
      <c r="C13" s="669" t="s">
        <v>281</v>
      </c>
      <c r="D13" s="168" t="s">
        <v>222</v>
      </c>
      <c r="E13" s="840"/>
      <c r="F13" s="168">
        <v>2200</v>
      </c>
      <c r="G13" s="16" t="s">
        <v>368</v>
      </c>
      <c r="H13" s="165"/>
      <c r="I13" s="165"/>
      <c r="J13" s="165"/>
      <c r="K13" s="671"/>
      <c r="L13" s="671"/>
      <c r="M13" s="168"/>
      <c r="N13" s="672">
        <v>2200</v>
      </c>
      <c r="O13" t="s">
        <v>222</v>
      </c>
    </row>
    <row r="14" spans="2:15" x14ac:dyDescent="0.2">
      <c r="B14" s="669"/>
      <c r="C14" s="669" t="s">
        <v>421</v>
      </c>
      <c r="D14" s="168" t="s">
        <v>262</v>
      </c>
      <c r="E14" s="841"/>
      <c r="F14" s="168">
        <v>1500</v>
      </c>
      <c r="G14" s="16" t="s">
        <v>422</v>
      </c>
      <c r="H14" s="165"/>
      <c r="I14" s="165"/>
      <c r="J14" s="165"/>
      <c r="K14" s="671"/>
      <c r="L14" s="671"/>
      <c r="M14" s="168"/>
      <c r="N14" s="672">
        <v>1500</v>
      </c>
      <c r="O14" t="s">
        <v>262</v>
      </c>
    </row>
    <row r="15" spans="2:15" x14ac:dyDescent="0.2">
      <c r="B15" s="168"/>
      <c r="C15" s="168"/>
      <c r="D15" s="679"/>
      <c r="E15" s="695"/>
      <c r="F15" s="168"/>
      <c r="G15" s="16"/>
      <c r="H15" s="165"/>
      <c r="I15" s="165"/>
      <c r="J15" s="165"/>
      <c r="K15" s="671"/>
      <c r="L15" s="671"/>
      <c r="M15" s="168"/>
      <c r="N15" s="672">
        <f>SUM(N11:N14)</f>
        <v>6300</v>
      </c>
    </row>
    <row r="16" spans="2:15" ht="16" thickBot="1" x14ac:dyDescent="0.25"/>
    <row r="17" spans="2:15" ht="61.5" customHeight="1" thickBot="1" x14ac:dyDescent="0.25">
      <c r="B17" s="456" t="s">
        <v>76</v>
      </c>
      <c r="C17" s="440" t="s">
        <v>230</v>
      </c>
      <c r="D17" s="457" t="s">
        <v>189</v>
      </c>
      <c r="E17" s="655" t="s">
        <v>313</v>
      </c>
      <c r="F17" s="458" t="s">
        <v>312</v>
      </c>
      <c r="G17" s="440" t="s">
        <v>314</v>
      </c>
      <c r="H17" s="173" t="s">
        <v>299</v>
      </c>
      <c r="I17" s="459" t="s">
        <v>299</v>
      </c>
      <c r="J17" s="459" t="s">
        <v>308</v>
      </c>
      <c r="K17" s="460" t="s">
        <v>366</v>
      </c>
      <c r="L17" s="458"/>
      <c r="M17" s="440" t="s">
        <v>299</v>
      </c>
      <c r="N17" s="461" t="s">
        <v>84</v>
      </c>
    </row>
    <row r="18" spans="2:15" ht="49" thickBot="1" x14ac:dyDescent="0.25">
      <c r="B18" s="450">
        <v>45663</v>
      </c>
      <c r="C18" s="452" t="s">
        <v>231</v>
      </c>
      <c r="D18" s="33" t="s">
        <v>196</v>
      </c>
      <c r="E18" s="839" t="s">
        <v>464</v>
      </c>
      <c r="F18" s="33">
        <f>11.5+17.5+17.5+14+12+13.5</f>
        <v>86</v>
      </c>
      <c r="G18" s="28">
        <v>7</v>
      </c>
      <c r="H18" s="453"/>
      <c r="I18" s="454"/>
      <c r="J18" s="454"/>
      <c r="K18" s="545" t="s">
        <v>370</v>
      </c>
      <c r="L18" s="645"/>
      <c r="M18" s="28">
        <f>7+10</f>
        <v>17</v>
      </c>
      <c r="N18" s="455">
        <f>(G18*300)+(0*150)+(M18*30)-1010</f>
        <v>1600</v>
      </c>
      <c r="O18" t="s">
        <v>196</v>
      </c>
    </row>
    <row r="19" spans="2:15" ht="49" thickBot="1" x14ac:dyDescent="0.25">
      <c r="B19" s="450"/>
      <c r="C19" s="202" t="s">
        <v>232</v>
      </c>
      <c r="D19" s="652" t="s">
        <v>413</v>
      </c>
      <c r="E19" s="840"/>
      <c r="F19" s="451">
        <v>86</v>
      </c>
      <c r="G19" s="330">
        <v>7</v>
      </c>
      <c r="H19" s="441"/>
      <c r="I19" s="165"/>
      <c r="J19" s="477"/>
      <c r="K19" s="546" t="s">
        <v>371</v>
      </c>
      <c r="L19" s="546"/>
      <c r="M19" s="201">
        <v>17</v>
      </c>
      <c r="N19" s="449">
        <f>(G19*225)+(0*112.5)+(M19*30)</f>
        <v>2085</v>
      </c>
      <c r="O19" t="s">
        <v>413</v>
      </c>
    </row>
    <row r="20" spans="2:15" ht="49" thickBot="1" x14ac:dyDescent="0.25">
      <c r="B20" s="202"/>
      <c r="C20" s="447" t="s">
        <v>233</v>
      </c>
      <c r="D20" s="653" t="s">
        <v>199</v>
      </c>
      <c r="E20" s="839" t="s">
        <v>465</v>
      </c>
      <c r="F20" s="654">
        <v>95</v>
      </c>
      <c r="G20" s="330">
        <v>8</v>
      </c>
      <c r="H20" s="441"/>
      <c r="I20" s="165"/>
      <c r="J20" s="165"/>
      <c r="K20" s="546" t="s">
        <v>372</v>
      </c>
      <c r="L20" s="546"/>
      <c r="M20" s="201">
        <v>20</v>
      </c>
      <c r="N20" s="449">
        <f>(G20*250)+(0*125)+(M20*30)</f>
        <v>2600</v>
      </c>
      <c r="O20" t="s">
        <v>199</v>
      </c>
    </row>
    <row r="21" spans="2:15" ht="49" thickBot="1" x14ac:dyDescent="0.25">
      <c r="B21" s="201"/>
      <c r="C21" s="200" t="s">
        <v>235</v>
      </c>
      <c r="D21" s="653" t="s">
        <v>193</v>
      </c>
      <c r="E21" s="840"/>
      <c r="F21" s="451">
        <v>95</v>
      </c>
      <c r="G21" s="330">
        <v>8</v>
      </c>
      <c r="H21" s="441"/>
      <c r="I21" s="165"/>
      <c r="J21" s="165"/>
      <c r="K21" s="546" t="s">
        <v>371</v>
      </c>
      <c r="L21" s="646"/>
      <c r="M21" s="28">
        <v>20</v>
      </c>
      <c r="N21" s="449">
        <f>(G21*225)+(0*112.5)+(M21*30)</f>
        <v>2400</v>
      </c>
      <c r="O21" t="s">
        <v>193</v>
      </c>
    </row>
    <row r="22" spans="2:15" ht="49" thickBot="1" x14ac:dyDescent="0.25">
      <c r="B22" s="41"/>
      <c r="C22" s="201" t="s">
        <v>234</v>
      </c>
      <c r="D22" s="188" t="s">
        <v>420</v>
      </c>
      <c r="E22" s="839" t="s">
        <v>464</v>
      </c>
      <c r="F22" s="33">
        <v>81</v>
      </c>
      <c r="G22" s="201">
        <v>7</v>
      </c>
      <c r="H22" s="441"/>
      <c r="I22" s="165"/>
      <c r="J22" s="165"/>
      <c r="K22" s="546" t="s">
        <v>371</v>
      </c>
      <c r="L22" s="647"/>
      <c r="M22" s="23">
        <v>17</v>
      </c>
      <c r="N22" s="449">
        <f>(G22*225)+(0*112.5)+(M22*30)-130</f>
        <v>1955</v>
      </c>
      <c r="O22" t="s">
        <v>420</v>
      </c>
    </row>
    <row r="23" spans="2:15" ht="17" thickBot="1" x14ac:dyDescent="0.25">
      <c r="B23" s="201"/>
      <c r="C23" s="555" t="s">
        <v>277</v>
      </c>
      <c r="D23" s="667" t="s">
        <v>315</v>
      </c>
      <c r="E23" s="840"/>
      <c r="F23" s="451">
        <v>83</v>
      </c>
      <c r="G23" s="201">
        <v>7</v>
      </c>
      <c r="H23" s="441"/>
      <c r="I23" s="165"/>
      <c r="J23" s="477"/>
      <c r="K23" s="478" t="s">
        <v>373</v>
      </c>
      <c r="L23" s="478"/>
      <c r="M23" s="201">
        <f>7+10</f>
        <v>17</v>
      </c>
      <c r="N23" s="449">
        <f>(G23*225)+(0*112.5)+(M23*30)</f>
        <v>2085</v>
      </c>
      <c r="O23" t="s">
        <v>315</v>
      </c>
    </row>
    <row r="24" spans="2:15" ht="16" thickBot="1" x14ac:dyDescent="0.25">
      <c r="B24" s="201"/>
      <c r="C24" s="201"/>
      <c r="D24" s="201"/>
      <c r="E24" s="445"/>
      <c r="F24" s="170"/>
      <c r="G24" s="205"/>
      <c r="H24" s="442"/>
      <c r="I24" s="181"/>
      <c r="J24" s="181"/>
      <c r="K24" s="448"/>
      <c r="L24" s="644"/>
      <c r="M24" s="443"/>
      <c r="N24" s="444">
        <f>SUM(N18:N23)</f>
        <v>12725</v>
      </c>
    </row>
    <row r="25" spans="2:15" ht="16" thickBot="1" x14ac:dyDescent="0.25"/>
    <row r="26" spans="2:15" ht="40.5" customHeight="1" x14ac:dyDescent="0.2">
      <c r="B26" s="673" t="s">
        <v>340</v>
      </c>
      <c r="C26" s="655" t="s">
        <v>230</v>
      </c>
      <c r="D26" s="674" t="s">
        <v>189</v>
      </c>
      <c r="E26" s="655" t="s">
        <v>195</v>
      </c>
      <c r="F26" s="675" t="s">
        <v>190</v>
      </c>
      <c r="G26" s="655" t="s">
        <v>366</v>
      </c>
      <c r="H26" s="676" t="s">
        <v>307</v>
      </c>
      <c r="I26" s="677"/>
      <c r="J26" s="677"/>
      <c r="K26" s="678" t="s">
        <v>224</v>
      </c>
      <c r="L26" s="675"/>
      <c r="M26" s="673" t="s">
        <v>380</v>
      </c>
      <c r="N26" s="655" t="s">
        <v>84</v>
      </c>
    </row>
    <row r="27" spans="2:15" x14ac:dyDescent="0.2">
      <c r="B27" s="669">
        <v>45667</v>
      </c>
      <c r="C27" s="669" t="s">
        <v>236</v>
      </c>
      <c r="D27" s="168" t="s">
        <v>194</v>
      </c>
      <c r="E27" s="839" t="s">
        <v>511</v>
      </c>
      <c r="F27" s="168">
        <v>2000</v>
      </c>
      <c r="G27" s="168" t="s">
        <v>367</v>
      </c>
      <c r="H27" s="670"/>
      <c r="I27" s="670"/>
      <c r="J27" s="670"/>
      <c r="K27" s="671"/>
      <c r="L27" s="671"/>
      <c r="M27" s="168"/>
      <c r="N27" s="672">
        <f>F27-K27</f>
        <v>2000</v>
      </c>
      <c r="O27" t="s">
        <v>194</v>
      </c>
    </row>
    <row r="28" spans="2:15" x14ac:dyDescent="0.2">
      <c r="B28" s="669"/>
      <c r="C28" s="669" t="s">
        <v>282</v>
      </c>
      <c r="D28" s="168" t="s">
        <v>410</v>
      </c>
      <c r="E28" s="840"/>
      <c r="F28" s="168">
        <v>1000</v>
      </c>
      <c r="G28" s="168" t="s">
        <v>369</v>
      </c>
      <c r="H28" s="670"/>
      <c r="I28" s="670"/>
      <c r="J28" s="670"/>
      <c r="K28" s="671"/>
      <c r="L28" s="671"/>
      <c r="M28" s="168"/>
      <c r="N28" s="672">
        <v>1000</v>
      </c>
      <c r="O28" t="s">
        <v>410</v>
      </c>
    </row>
    <row r="29" spans="2:15" x14ac:dyDescent="0.2">
      <c r="B29" s="669"/>
      <c r="C29" s="669" t="s">
        <v>281</v>
      </c>
      <c r="D29" s="168" t="s">
        <v>222</v>
      </c>
      <c r="E29" s="840"/>
      <c r="F29" s="168">
        <v>2200</v>
      </c>
      <c r="G29" s="16" t="s">
        <v>368</v>
      </c>
      <c r="H29" s="165"/>
      <c r="I29" s="165"/>
      <c r="J29" s="165"/>
      <c r="K29" s="671"/>
      <c r="L29" s="671"/>
      <c r="M29" s="168"/>
      <c r="N29" s="672">
        <v>2200</v>
      </c>
      <c r="O29" t="s">
        <v>222</v>
      </c>
    </row>
    <row r="30" spans="2:15" x14ac:dyDescent="0.2">
      <c r="B30" s="669"/>
      <c r="C30" s="669" t="s">
        <v>421</v>
      </c>
      <c r="D30" s="168" t="s">
        <v>262</v>
      </c>
      <c r="E30" s="841"/>
      <c r="F30" s="168">
        <v>1500</v>
      </c>
      <c r="G30" s="16" t="s">
        <v>422</v>
      </c>
      <c r="H30" s="165"/>
      <c r="I30" s="165"/>
      <c r="J30" s="165"/>
      <c r="K30" s="671"/>
      <c r="L30" s="671"/>
      <c r="M30" s="168"/>
      <c r="N30" s="672">
        <v>1500</v>
      </c>
      <c r="O30" t="s">
        <v>262</v>
      </c>
    </row>
    <row r="31" spans="2:15" x14ac:dyDescent="0.2">
      <c r="B31" s="168"/>
      <c r="C31" s="168"/>
      <c r="D31" s="679"/>
      <c r="E31" s="695"/>
      <c r="F31" s="168"/>
      <c r="G31" s="16"/>
      <c r="H31" s="165"/>
      <c r="I31" s="165"/>
      <c r="J31" s="165"/>
      <c r="K31" s="671"/>
      <c r="L31" s="671"/>
      <c r="M31" s="168"/>
      <c r="N31" s="672">
        <f>SUM(N27:N30)</f>
        <v>6700</v>
      </c>
    </row>
    <row r="32" spans="2:15" ht="16" thickBot="1" x14ac:dyDescent="0.25"/>
    <row r="33" spans="2:15" ht="64.5" customHeight="1" thickBot="1" x14ac:dyDescent="0.25">
      <c r="B33" s="456" t="s">
        <v>340</v>
      </c>
      <c r="C33" s="440" t="s">
        <v>230</v>
      </c>
      <c r="D33" s="457" t="s">
        <v>189</v>
      </c>
      <c r="E33" s="440" t="s">
        <v>313</v>
      </c>
      <c r="F33" s="458" t="s">
        <v>312</v>
      </c>
      <c r="G33" s="440" t="s">
        <v>314</v>
      </c>
      <c r="H33" s="173" t="s">
        <v>299</v>
      </c>
      <c r="I33" s="459" t="s">
        <v>299</v>
      </c>
      <c r="J33" s="459" t="s">
        <v>308</v>
      </c>
      <c r="K33" s="460" t="s">
        <v>366</v>
      </c>
      <c r="L33" s="440" t="s">
        <v>224</v>
      </c>
      <c r="M33" s="440" t="s">
        <v>299</v>
      </c>
      <c r="N33" s="692" t="s">
        <v>84</v>
      </c>
    </row>
    <row r="34" spans="2:15" ht="49" thickBot="1" x14ac:dyDescent="0.25">
      <c r="B34" s="202">
        <v>45670</v>
      </c>
      <c r="C34" s="452" t="s">
        <v>231</v>
      </c>
      <c r="D34" s="33" t="s">
        <v>188</v>
      </c>
      <c r="E34" s="844" t="s">
        <v>525</v>
      </c>
      <c r="F34" s="33">
        <f>6.5+10.5+11+10+12+12</f>
        <v>62</v>
      </c>
      <c r="G34" s="28">
        <v>6</v>
      </c>
      <c r="H34" s="453"/>
      <c r="I34" s="454"/>
      <c r="J34" s="651"/>
      <c r="K34" s="545" t="s">
        <v>379</v>
      </c>
      <c r="L34" s="645"/>
      <c r="M34" s="690">
        <f>3+11+3+8</f>
        <v>25</v>
      </c>
      <c r="N34" s="672">
        <f>(G34*260)+(M34*30)-150</f>
        <v>2160</v>
      </c>
      <c r="O34" t="s">
        <v>188</v>
      </c>
    </row>
    <row r="35" spans="2:15" ht="49" thickBot="1" x14ac:dyDescent="0.25">
      <c r="B35" s="450"/>
      <c r="C35" s="202" t="s">
        <v>232</v>
      </c>
      <c r="D35" s="23" t="s">
        <v>303</v>
      </c>
      <c r="E35" s="846"/>
      <c r="F35" s="201">
        <v>64</v>
      </c>
      <c r="G35" s="330">
        <v>6</v>
      </c>
      <c r="H35" s="441"/>
      <c r="I35" s="165"/>
      <c r="J35" s="165"/>
      <c r="K35" s="546" t="s">
        <v>371</v>
      </c>
      <c r="L35" s="546"/>
      <c r="M35" s="474">
        <v>25</v>
      </c>
      <c r="N35" s="672">
        <f>(G35*225)+(M35*30)-200</f>
        <v>1900</v>
      </c>
      <c r="O35" t="s">
        <v>303</v>
      </c>
    </row>
    <row r="36" spans="2:15" ht="49" thickBot="1" x14ac:dyDescent="0.25">
      <c r="B36" s="450"/>
      <c r="C36" s="450" t="s">
        <v>233</v>
      </c>
      <c r="D36" s="446" t="s">
        <v>310</v>
      </c>
      <c r="E36" s="847" t="s">
        <v>526</v>
      </c>
      <c r="F36" s="23">
        <v>60</v>
      </c>
      <c r="G36" s="693">
        <v>5</v>
      </c>
      <c r="H36" s="467"/>
      <c r="I36" s="468"/>
      <c r="J36" s="468"/>
      <c r="K36" s="546" t="s">
        <v>372</v>
      </c>
      <c r="L36" s="647"/>
      <c r="M36" s="652">
        <f>11+3+3+5</f>
        <v>22</v>
      </c>
      <c r="N36" s="672">
        <f>(G36*250)+(M36*30)</f>
        <v>1910</v>
      </c>
      <c r="O36" t="s">
        <v>310</v>
      </c>
    </row>
    <row r="37" spans="2:15" ht="49" thickBot="1" x14ac:dyDescent="0.25">
      <c r="B37" s="202"/>
      <c r="C37" s="202" t="s">
        <v>234</v>
      </c>
      <c r="D37" s="473" t="s">
        <v>344</v>
      </c>
      <c r="E37" s="845"/>
      <c r="F37" s="474">
        <v>61</v>
      </c>
      <c r="G37" s="330">
        <v>5</v>
      </c>
      <c r="H37" s="475"/>
      <c r="I37" s="472"/>
      <c r="J37" s="472"/>
      <c r="K37" s="546" t="s">
        <v>371</v>
      </c>
      <c r="L37" s="648"/>
      <c r="M37" s="474">
        <v>22</v>
      </c>
      <c r="N37" s="672">
        <f>(G37*225)+(M37*30)</f>
        <v>1785</v>
      </c>
      <c r="O37" t="s">
        <v>344</v>
      </c>
    </row>
    <row r="38" spans="2:15" ht="49" thickBot="1" x14ac:dyDescent="0.25">
      <c r="B38" s="41"/>
      <c r="C38" s="41" t="s">
        <v>235</v>
      </c>
      <c r="D38" s="469" t="s">
        <v>345</v>
      </c>
      <c r="E38" s="845"/>
      <c r="F38" s="41">
        <v>61</v>
      </c>
      <c r="G38" s="694">
        <v>5</v>
      </c>
      <c r="H38" s="470"/>
      <c r="I38" s="471"/>
      <c r="J38" s="471"/>
      <c r="K38" s="546" t="s">
        <v>371</v>
      </c>
      <c r="L38" s="649"/>
      <c r="M38" s="691">
        <v>22</v>
      </c>
      <c r="N38" s="672">
        <f>(G38*225)+(M38*30)</f>
        <v>1785</v>
      </c>
      <c r="O38" t="s">
        <v>345</v>
      </c>
    </row>
    <row r="39" spans="2:15" ht="17" thickBot="1" x14ac:dyDescent="0.25">
      <c r="B39" s="201"/>
      <c r="C39" s="201" t="s">
        <v>277</v>
      </c>
      <c r="D39" s="188" t="s">
        <v>397</v>
      </c>
      <c r="E39" s="846"/>
      <c r="F39" s="33">
        <v>60</v>
      </c>
      <c r="G39" s="201">
        <v>5</v>
      </c>
      <c r="H39" s="441"/>
      <c r="I39" s="165"/>
      <c r="J39" s="165"/>
      <c r="K39" s="478" t="s">
        <v>373</v>
      </c>
      <c r="L39" s="650"/>
      <c r="M39" s="201">
        <v>22</v>
      </c>
      <c r="N39" s="455">
        <f>(G39*225)+(M39*30)</f>
        <v>1785</v>
      </c>
      <c r="O39" t="s">
        <v>397</v>
      </c>
    </row>
    <row r="40" spans="2:15" ht="16" thickBot="1" x14ac:dyDescent="0.25">
      <c r="B40" s="201"/>
      <c r="C40" s="201"/>
      <c r="D40" s="201"/>
      <c r="E40" s="687"/>
      <c r="F40" s="170"/>
      <c r="G40" s="205"/>
      <c r="H40" s="442"/>
      <c r="I40" s="181"/>
      <c r="J40" s="181"/>
      <c r="K40" s="448"/>
      <c r="L40" s="644"/>
      <c r="M40" s="443"/>
      <c r="N40" s="444">
        <f>SUM(N34:N39)</f>
        <v>11325</v>
      </c>
    </row>
    <row r="41" spans="2:15" ht="16" thickBot="1" x14ac:dyDescent="0.25"/>
    <row r="42" spans="2:15" ht="47.25" customHeight="1" x14ac:dyDescent="0.2">
      <c r="B42" s="673" t="s">
        <v>340</v>
      </c>
      <c r="C42" s="655" t="s">
        <v>230</v>
      </c>
      <c r="D42" s="674" t="s">
        <v>189</v>
      </c>
      <c r="E42" s="655" t="s">
        <v>195</v>
      </c>
      <c r="F42" s="675" t="s">
        <v>190</v>
      </c>
      <c r="G42" s="655" t="s">
        <v>366</v>
      </c>
      <c r="H42" s="676" t="s">
        <v>307</v>
      </c>
      <c r="I42" s="677"/>
      <c r="J42" s="677"/>
      <c r="K42" s="678" t="s">
        <v>224</v>
      </c>
      <c r="L42" s="675"/>
      <c r="M42" s="673" t="s">
        <v>380</v>
      </c>
      <c r="N42" s="655" t="s">
        <v>84</v>
      </c>
    </row>
    <row r="43" spans="2:15" ht="16" x14ac:dyDescent="0.2">
      <c r="B43" s="669">
        <v>45674</v>
      </c>
      <c r="C43" s="669" t="s">
        <v>236</v>
      </c>
      <c r="D43" s="168" t="s">
        <v>194</v>
      </c>
      <c r="E43" s="697" t="s">
        <v>554</v>
      </c>
      <c r="F43" s="168">
        <v>2400</v>
      </c>
      <c r="G43" s="168" t="s">
        <v>367</v>
      </c>
      <c r="H43" s="670"/>
      <c r="I43" s="670"/>
      <c r="J43" s="670"/>
      <c r="K43" s="671">
        <f>150+150+100</f>
        <v>400</v>
      </c>
      <c r="L43" s="671"/>
      <c r="M43" s="168"/>
      <c r="N43" s="672">
        <f>F43-K43</f>
        <v>2000</v>
      </c>
      <c r="O43" t="s">
        <v>194</v>
      </c>
    </row>
    <row r="44" spans="2:15" x14ac:dyDescent="0.2">
      <c r="B44" s="669"/>
      <c r="C44" s="669" t="s">
        <v>282</v>
      </c>
      <c r="D44" s="168" t="s">
        <v>410</v>
      </c>
      <c r="E44" s="842" t="s">
        <v>553</v>
      </c>
      <c r="F44" s="168">
        <v>1000</v>
      </c>
      <c r="G44" s="168" t="s">
        <v>369</v>
      </c>
      <c r="H44" s="670"/>
      <c r="I44" s="670"/>
      <c r="J44" s="670"/>
      <c r="K44" s="671"/>
      <c r="L44" s="671"/>
      <c r="M44" s="168"/>
      <c r="N44" s="672">
        <v>1000</v>
      </c>
      <c r="O44" t="s">
        <v>410</v>
      </c>
    </row>
    <row r="45" spans="2:15" x14ac:dyDescent="0.2">
      <c r="B45" s="669"/>
      <c r="C45" s="669" t="s">
        <v>281</v>
      </c>
      <c r="D45" s="168" t="s">
        <v>222</v>
      </c>
      <c r="E45" s="842"/>
      <c r="F45" s="168">
        <v>1900</v>
      </c>
      <c r="G45" s="16" t="s">
        <v>368</v>
      </c>
      <c r="H45" s="165"/>
      <c r="I45" s="165"/>
      <c r="J45" s="165"/>
      <c r="K45" s="671"/>
      <c r="L45" s="671"/>
      <c r="M45" s="168"/>
      <c r="N45" s="672">
        <v>1900</v>
      </c>
      <c r="O45" t="s">
        <v>222</v>
      </c>
    </row>
    <row r="46" spans="2:15" x14ac:dyDescent="0.2">
      <c r="B46" s="669"/>
      <c r="C46" s="669" t="s">
        <v>421</v>
      </c>
      <c r="D46" s="168" t="s">
        <v>262</v>
      </c>
      <c r="E46" s="842"/>
      <c r="F46" s="168">
        <v>1500</v>
      </c>
      <c r="G46" s="16" t="s">
        <v>422</v>
      </c>
      <c r="H46" s="165"/>
      <c r="I46" s="165"/>
      <c r="J46" s="165"/>
      <c r="K46" s="671"/>
      <c r="L46" s="671"/>
      <c r="M46" s="168"/>
      <c r="N46" s="672">
        <v>1500</v>
      </c>
      <c r="O46" t="s">
        <v>262</v>
      </c>
    </row>
    <row r="47" spans="2:15" x14ac:dyDescent="0.2">
      <c r="B47" s="168"/>
      <c r="C47" s="168"/>
      <c r="D47" s="679"/>
      <c r="E47" s="695"/>
      <c r="F47" s="168"/>
      <c r="G47" s="16"/>
      <c r="H47" s="165"/>
      <c r="I47" s="165"/>
      <c r="J47" s="165"/>
      <c r="K47" s="671"/>
      <c r="L47" s="671"/>
      <c r="M47" s="168"/>
      <c r="N47" s="672">
        <f>SUM(N43:N46)</f>
        <v>6400</v>
      </c>
    </row>
    <row r="48" spans="2:15" ht="16" thickBot="1" x14ac:dyDescent="0.25"/>
    <row r="49" spans="2:15" ht="50.25" customHeight="1" thickBot="1" x14ac:dyDescent="0.25">
      <c r="B49" s="456" t="s">
        <v>76</v>
      </c>
      <c r="C49" s="440" t="s">
        <v>230</v>
      </c>
      <c r="D49" s="457" t="s">
        <v>189</v>
      </c>
      <c r="E49" s="655" t="s">
        <v>313</v>
      </c>
      <c r="F49" s="458" t="s">
        <v>312</v>
      </c>
      <c r="G49" s="440" t="s">
        <v>314</v>
      </c>
      <c r="H49" s="173" t="s">
        <v>299</v>
      </c>
      <c r="I49" s="459" t="s">
        <v>299</v>
      </c>
      <c r="J49" s="459" t="s">
        <v>308</v>
      </c>
      <c r="K49" s="460" t="s">
        <v>366</v>
      </c>
      <c r="L49" s="458"/>
      <c r="M49" s="440" t="s">
        <v>299</v>
      </c>
      <c r="N49" s="461" t="s">
        <v>84</v>
      </c>
    </row>
    <row r="50" spans="2:15" ht="49" thickBot="1" x14ac:dyDescent="0.25">
      <c r="B50" s="450">
        <v>45677</v>
      </c>
      <c r="C50" s="452" t="s">
        <v>231</v>
      </c>
      <c r="D50" s="33" t="s">
        <v>196</v>
      </c>
      <c r="E50" s="839" t="s">
        <v>578</v>
      </c>
      <c r="F50" s="33">
        <v>70.5</v>
      </c>
      <c r="G50" s="28">
        <v>7</v>
      </c>
      <c r="H50" s="453"/>
      <c r="I50" s="454"/>
      <c r="J50" s="454"/>
      <c r="K50" s="545" t="s">
        <v>370</v>
      </c>
      <c r="L50" s="645"/>
      <c r="M50" s="28">
        <f>5</f>
        <v>5</v>
      </c>
      <c r="N50" s="455">
        <f>(G50*300)+(0*150)+(M50*30)</f>
        <v>2250</v>
      </c>
      <c r="O50" t="s">
        <v>196</v>
      </c>
    </row>
    <row r="51" spans="2:15" ht="49" thickBot="1" x14ac:dyDescent="0.25">
      <c r="B51" s="450"/>
      <c r="C51" s="202" t="s">
        <v>232</v>
      </c>
      <c r="D51" s="652" t="s">
        <v>413</v>
      </c>
      <c r="E51" s="840"/>
      <c r="F51" s="451">
        <v>70.5</v>
      </c>
      <c r="G51" s="330">
        <v>7</v>
      </c>
      <c r="H51" s="441"/>
      <c r="I51" s="165"/>
      <c r="J51" s="477"/>
      <c r="K51" s="546" t="s">
        <v>371</v>
      </c>
      <c r="L51" s="546"/>
      <c r="M51" s="201">
        <v>5</v>
      </c>
      <c r="N51" s="449">
        <f>(G51*225)+(0*112.5)+(M51*30)</f>
        <v>1725</v>
      </c>
      <c r="O51" t="s">
        <v>413</v>
      </c>
    </row>
    <row r="52" spans="2:15" ht="49" thickBot="1" x14ac:dyDescent="0.25">
      <c r="B52" s="202"/>
      <c r="C52" s="447" t="s">
        <v>233</v>
      </c>
      <c r="D52" s="653" t="s">
        <v>199</v>
      </c>
      <c r="E52" s="840"/>
      <c r="F52" s="654">
        <v>69</v>
      </c>
      <c r="G52" s="330">
        <v>7</v>
      </c>
      <c r="H52" s="441"/>
      <c r="I52" s="165"/>
      <c r="J52" s="165"/>
      <c r="K52" s="546" t="s">
        <v>372</v>
      </c>
      <c r="L52" s="546"/>
      <c r="M52" s="201">
        <v>5</v>
      </c>
      <c r="N52" s="449">
        <f>(G52*250)+(0*125)+(M52*30)</f>
        <v>1900</v>
      </c>
      <c r="O52" t="s">
        <v>199</v>
      </c>
    </row>
    <row r="53" spans="2:15" ht="49" thickBot="1" x14ac:dyDescent="0.25">
      <c r="B53" s="201"/>
      <c r="C53" s="200" t="s">
        <v>235</v>
      </c>
      <c r="D53" s="653" t="s">
        <v>193</v>
      </c>
      <c r="E53" s="841"/>
      <c r="F53" s="451">
        <v>68</v>
      </c>
      <c r="G53" s="330">
        <v>7</v>
      </c>
      <c r="H53" s="441"/>
      <c r="I53" s="165"/>
      <c r="J53" s="165"/>
      <c r="K53" s="546" t="s">
        <v>371</v>
      </c>
      <c r="L53" s="646"/>
      <c r="M53" s="28">
        <v>5</v>
      </c>
      <c r="N53" s="449">
        <f>(G53*225)+(0*112.5)+(M53*30)</f>
        <v>1725</v>
      </c>
      <c r="O53" t="s">
        <v>193</v>
      </c>
    </row>
    <row r="54" spans="2:15" ht="49" thickBot="1" x14ac:dyDescent="0.25">
      <c r="B54" s="41"/>
      <c r="C54" s="201" t="s">
        <v>234</v>
      </c>
      <c r="D54" s="188" t="s">
        <v>420</v>
      </c>
      <c r="E54" s="839" t="s">
        <v>579</v>
      </c>
      <c r="F54" s="33">
        <v>69</v>
      </c>
      <c r="G54" s="201">
        <v>5</v>
      </c>
      <c r="H54" s="441"/>
      <c r="I54" s="165"/>
      <c r="J54" s="165"/>
      <c r="K54" s="546" t="s">
        <v>371</v>
      </c>
      <c r="L54" s="647"/>
      <c r="M54" s="23">
        <v>2</v>
      </c>
      <c r="N54" s="449">
        <f>(G54*225)+(0*112.5)+(M54*30)</f>
        <v>1185</v>
      </c>
      <c r="O54" t="s">
        <v>420</v>
      </c>
    </row>
    <row r="55" spans="2:15" ht="17" thickBot="1" x14ac:dyDescent="0.25">
      <c r="B55" s="201"/>
      <c r="C55" s="555" t="s">
        <v>277</v>
      </c>
      <c r="D55" s="667" t="s">
        <v>315</v>
      </c>
      <c r="E55" s="840"/>
      <c r="F55" s="451">
        <v>69</v>
      </c>
      <c r="G55" s="201">
        <v>5</v>
      </c>
      <c r="H55" s="441"/>
      <c r="I55" s="165"/>
      <c r="J55" s="477"/>
      <c r="K55" s="478" t="s">
        <v>373</v>
      </c>
      <c r="L55" s="478"/>
      <c r="M55" s="201">
        <v>2</v>
      </c>
      <c r="N55" s="449">
        <f>(G55*225)+(0*112.5)+(M55*30)</f>
        <v>1185</v>
      </c>
      <c r="O55" t="s">
        <v>315</v>
      </c>
    </row>
    <row r="56" spans="2:15" ht="16" thickBot="1" x14ac:dyDescent="0.25">
      <c r="B56" s="201"/>
      <c r="C56" s="201"/>
      <c r="D56" s="201"/>
      <c r="E56" s="445"/>
      <c r="F56" s="170"/>
      <c r="G56" s="205"/>
      <c r="H56" s="442"/>
      <c r="I56" s="181"/>
      <c r="J56" s="181"/>
      <c r="K56" s="448"/>
      <c r="L56" s="644"/>
      <c r="M56" s="443"/>
      <c r="N56" s="444">
        <f>SUM(N50:N55)</f>
        <v>9970</v>
      </c>
    </row>
    <row r="57" spans="2:15" ht="16" thickBot="1" x14ac:dyDescent="0.25"/>
    <row r="58" spans="2:15" ht="43.5" customHeight="1" x14ac:dyDescent="0.2">
      <c r="B58" s="673" t="s">
        <v>340</v>
      </c>
      <c r="C58" s="655" t="s">
        <v>230</v>
      </c>
      <c r="D58" s="674" t="s">
        <v>189</v>
      </c>
      <c r="E58" s="655" t="s">
        <v>195</v>
      </c>
      <c r="F58" s="675" t="s">
        <v>190</v>
      </c>
      <c r="G58" s="655" t="s">
        <v>366</v>
      </c>
      <c r="H58" s="676" t="s">
        <v>307</v>
      </c>
      <c r="I58" s="677"/>
      <c r="J58" s="677"/>
      <c r="K58" s="678" t="s">
        <v>224</v>
      </c>
      <c r="L58" s="675"/>
      <c r="M58" s="673" t="s">
        <v>380</v>
      </c>
      <c r="N58" s="655" t="s">
        <v>84</v>
      </c>
    </row>
    <row r="59" spans="2:15" ht="16" x14ac:dyDescent="0.2">
      <c r="B59" s="669">
        <v>45681</v>
      </c>
      <c r="C59" s="669" t="s">
        <v>236</v>
      </c>
      <c r="D59" s="168" t="s">
        <v>194</v>
      </c>
      <c r="E59" s="697" t="s">
        <v>603</v>
      </c>
      <c r="F59" s="168">
        <v>2000</v>
      </c>
      <c r="G59" s="168" t="s">
        <v>367</v>
      </c>
      <c r="H59" s="670"/>
      <c r="I59" s="670"/>
      <c r="J59" s="670"/>
      <c r="K59" s="671">
        <v>810</v>
      </c>
      <c r="L59" s="671"/>
      <c r="M59" s="168"/>
      <c r="N59" s="672">
        <f>F59-K59</f>
        <v>1190</v>
      </c>
      <c r="O59" t="s">
        <v>194</v>
      </c>
    </row>
    <row r="60" spans="2:15" x14ac:dyDescent="0.2">
      <c r="B60" s="669"/>
      <c r="C60" s="669" t="s">
        <v>282</v>
      </c>
      <c r="D60" s="168" t="s">
        <v>410</v>
      </c>
      <c r="E60" s="842" t="s">
        <v>604</v>
      </c>
      <c r="F60" s="168">
        <v>1200</v>
      </c>
      <c r="G60" s="168" t="s">
        <v>369</v>
      </c>
      <c r="H60" s="670"/>
      <c r="I60" s="670"/>
      <c r="J60" s="670"/>
      <c r="K60" s="671"/>
      <c r="L60" s="671"/>
      <c r="M60" s="168"/>
      <c r="N60" s="672">
        <v>1200</v>
      </c>
      <c r="O60" t="s">
        <v>410</v>
      </c>
    </row>
    <row r="61" spans="2:15" x14ac:dyDescent="0.2">
      <c r="B61" s="669"/>
      <c r="C61" s="669" t="s">
        <v>281</v>
      </c>
      <c r="D61" s="168" t="s">
        <v>222</v>
      </c>
      <c r="E61" s="842"/>
      <c r="F61" s="168">
        <v>2200</v>
      </c>
      <c r="G61" s="16" t="s">
        <v>368</v>
      </c>
      <c r="H61" s="165"/>
      <c r="I61" s="165"/>
      <c r="J61" s="165"/>
      <c r="K61" s="671"/>
      <c r="L61" s="671"/>
      <c r="M61" s="168"/>
      <c r="N61" s="672">
        <v>2200</v>
      </c>
      <c r="O61" t="s">
        <v>222</v>
      </c>
    </row>
    <row r="62" spans="2:15" x14ac:dyDescent="0.2">
      <c r="B62" s="669"/>
      <c r="C62" s="669" t="s">
        <v>421</v>
      </c>
      <c r="D62" s="168" t="s">
        <v>262</v>
      </c>
      <c r="E62" s="842"/>
      <c r="F62" s="168">
        <v>1500</v>
      </c>
      <c r="G62" s="16" t="s">
        <v>422</v>
      </c>
      <c r="H62" s="165"/>
      <c r="I62" s="165"/>
      <c r="J62" s="165"/>
      <c r="K62" s="671"/>
      <c r="L62" s="671"/>
      <c r="M62" s="168"/>
      <c r="N62" s="672">
        <v>1500</v>
      </c>
      <c r="O62" t="s">
        <v>262</v>
      </c>
    </row>
    <row r="63" spans="2:15" x14ac:dyDescent="0.2">
      <c r="B63" s="168"/>
      <c r="C63" s="168"/>
      <c r="D63" s="679"/>
      <c r="E63" s="695"/>
      <c r="F63" s="168"/>
      <c r="G63" s="16"/>
      <c r="H63" s="165"/>
      <c r="I63" s="165"/>
      <c r="J63" s="165"/>
      <c r="K63" s="671"/>
      <c r="L63" s="671"/>
      <c r="M63" s="168"/>
      <c r="N63" s="672">
        <f>SUM(N59:N62)</f>
        <v>6090</v>
      </c>
    </row>
    <row r="64" spans="2:15" ht="16" thickBot="1" x14ac:dyDescent="0.25"/>
    <row r="65" spans="2:15" ht="60.75" customHeight="1" thickBot="1" x14ac:dyDescent="0.25">
      <c r="B65" s="456" t="s">
        <v>340</v>
      </c>
      <c r="C65" s="440" t="s">
        <v>230</v>
      </c>
      <c r="D65" s="457" t="s">
        <v>189</v>
      </c>
      <c r="E65" s="440" t="s">
        <v>313</v>
      </c>
      <c r="F65" s="458" t="s">
        <v>312</v>
      </c>
      <c r="G65" s="440" t="s">
        <v>314</v>
      </c>
      <c r="H65" s="173" t="s">
        <v>299</v>
      </c>
      <c r="I65" s="459" t="s">
        <v>299</v>
      </c>
      <c r="J65" s="459" t="s">
        <v>308</v>
      </c>
      <c r="K65" s="460" t="s">
        <v>366</v>
      </c>
      <c r="L65" s="440" t="s">
        <v>224</v>
      </c>
      <c r="M65" s="440" t="s">
        <v>299</v>
      </c>
      <c r="N65" s="692" t="s">
        <v>84</v>
      </c>
    </row>
    <row r="66" spans="2:15" ht="49" thickBot="1" x14ac:dyDescent="0.25">
      <c r="B66" s="202">
        <v>45684</v>
      </c>
      <c r="C66" s="452" t="s">
        <v>231</v>
      </c>
      <c r="D66" s="33" t="s">
        <v>188</v>
      </c>
      <c r="E66" s="844" t="s">
        <v>616</v>
      </c>
      <c r="F66" s="33">
        <f>6+8+18+13+15</f>
        <v>60</v>
      </c>
      <c r="G66" s="28">
        <v>6</v>
      </c>
      <c r="H66" s="453"/>
      <c r="I66" s="454"/>
      <c r="J66" s="651"/>
      <c r="K66" s="545" t="s">
        <v>379</v>
      </c>
      <c r="L66" s="645"/>
      <c r="M66" s="690">
        <v>23</v>
      </c>
      <c r="N66" s="672">
        <f>(G66*260)+(M66*30)-660</f>
        <v>1590</v>
      </c>
      <c r="O66" t="s">
        <v>188</v>
      </c>
    </row>
    <row r="67" spans="2:15" ht="49" thickBot="1" x14ac:dyDescent="0.25">
      <c r="B67" s="450"/>
      <c r="C67" s="202" t="s">
        <v>232</v>
      </c>
      <c r="D67" s="23" t="s">
        <v>303</v>
      </c>
      <c r="E67" s="845"/>
      <c r="F67" s="201">
        <v>64</v>
      </c>
      <c r="G67" s="330">
        <v>6</v>
      </c>
      <c r="H67" s="441"/>
      <c r="I67" s="165"/>
      <c r="J67" s="165"/>
      <c r="K67" s="546" t="s">
        <v>371</v>
      </c>
      <c r="L67" s="546"/>
      <c r="M67" s="474">
        <v>23</v>
      </c>
      <c r="N67" s="672">
        <f>(G67*225)+(M67*30)-280</f>
        <v>1760</v>
      </c>
      <c r="O67" t="s">
        <v>303</v>
      </c>
    </row>
    <row r="68" spans="2:15" ht="49" thickBot="1" x14ac:dyDescent="0.25">
      <c r="B68" s="450"/>
      <c r="C68" s="450" t="s">
        <v>233</v>
      </c>
      <c r="D68" s="446" t="s">
        <v>310</v>
      </c>
      <c r="E68" s="846"/>
      <c r="F68" s="23">
        <v>60</v>
      </c>
      <c r="G68" s="693">
        <v>6</v>
      </c>
      <c r="H68" s="467"/>
      <c r="I68" s="468"/>
      <c r="J68" s="468"/>
      <c r="K68" s="546" t="s">
        <v>372</v>
      </c>
      <c r="L68" s="647"/>
      <c r="M68" s="652">
        <v>23</v>
      </c>
      <c r="N68" s="672">
        <f>(G68*250)+(M68*30)</f>
        <v>2190</v>
      </c>
      <c r="O68" t="s">
        <v>310</v>
      </c>
    </row>
    <row r="69" spans="2:15" ht="49" thickBot="1" x14ac:dyDescent="0.25">
      <c r="B69" s="202"/>
      <c r="C69" s="202" t="s">
        <v>234</v>
      </c>
      <c r="D69" s="473" t="s">
        <v>344</v>
      </c>
      <c r="E69" s="847" t="s">
        <v>616</v>
      </c>
      <c r="F69" s="474">
        <v>61</v>
      </c>
      <c r="G69" s="330">
        <v>6</v>
      </c>
      <c r="H69" s="475"/>
      <c r="I69" s="472"/>
      <c r="J69" s="472"/>
      <c r="K69" s="546" t="s">
        <v>371</v>
      </c>
      <c r="L69" s="648"/>
      <c r="M69" s="474">
        <v>23</v>
      </c>
      <c r="N69" s="672">
        <f>(G69*225)+(M69*30)-120</f>
        <v>1920</v>
      </c>
      <c r="O69" t="s">
        <v>344</v>
      </c>
    </row>
    <row r="70" spans="2:15" ht="49" thickBot="1" x14ac:dyDescent="0.25">
      <c r="B70" s="41"/>
      <c r="C70" s="41" t="s">
        <v>235</v>
      </c>
      <c r="D70" s="469" t="s">
        <v>345</v>
      </c>
      <c r="E70" s="845"/>
      <c r="F70" s="41">
        <v>61</v>
      </c>
      <c r="G70" s="694">
        <v>5</v>
      </c>
      <c r="H70" s="470"/>
      <c r="I70" s="471"/>
      <c r="J70" s="471"/>
      <c r="K70" s="546" t="s">
        <v>371</v>
      </c>
      <c r="L70" s="649"/>
      <c r="M70" s="691">
        <v>23</v>
      </c>
      <c r="N70" s="672">
        <f>(G70*225)+(M70*30)</f>
        <v>1815</v>
      </c>
      <c r="O70" t="s">
        <v>345</v>
      </c>
    </row>
    <row r="71" spans="2:15" ht="43.5" customHeight="1" thickBot="1" x14ac:dyDescent="0.25">
      <c r="B71" s="201"/>
      <c r="C71" s="201" t="s">
        <v>277</v>
      </c>
      <c r="D71" s="188" t="s">
        <v>397</v>
      </c>
      <c r="E71" s="700" t="s">
        <v>616</v>
      </c>
      <c r="F71" s="33">
        <v>60</v>
      </c>
      <c r="G71" s="201">
        <v>6</v>
      </c>
      <c r="H71" s="441"/>
      <c r="I71" s="165"/>
      <c r="J71" s="165"/>
      <c r="K71" s="478" t="s">
        <v>373</v>
      </c>
      <c r="L71" s="650"/>
      <c r="M71" s="201">
        <v>23</v>
      </c>
      <c r="N71" s="455">
        <f>(G71*225)+(M71*30)-100</f>
        <v>1940</v>
      </c>
      <c r="O71" t="s">
        <v>397</v>
      </c>
    </row>
    <row r="72" spans="2:15" ht="16" thickBot="1" x14ac:dyDescent="0.25">
      <c r="B72" s="201"/>
      <c r="C72" s="201"/>
      <c r="D72" s="201"/>
      <c r="E72" s="698"/>
      <c r="F72" s="170"/>
      <c r="G72" s="205"/>
      <c r="H72" s="442"/>
      <c r="I72" s="181"/>
      <c r="J72" s="181"/>
      <c r="K72" s="448"/>
      <c r="L72" s="644"/>
      <c r="M72" s="443"/>
      <c r="N72" s="444">
        <f>SUM(N66:N71)</f>
        <v>11215</v>
      </c>
    </row>
    <row r="73" spans="2:15" x14ac:dyDescent="0.2">
      <c r="E73" s="699"/>
    </row>
    <row r="74" spans="2:15" ht="16" thickBot="1" x14ac:dyDescent="0.25"/>
    <row r="75" spans="2:15" ht="49.5" customHeight="1" x14ac:dyDescent="0.2">
      <c r="B75" s="673" t="s">
        <v>340</v>
      </c>
      <c r="C75" s="655" t="s">
        <v>230</v>
      </c>
      <c r="D75" s="674" t="s">
        <v>189</v>
      </c>
      <c r="E75" s="655" t="s">
        <v>195</v>
      </c>
      <c r="F75" s="675" t="s">
        <v>190</v>
      </c>
      <c r="G75" s="655" t="s">
        <v>366</v>
      </c>
      <c r="H75" s="676" t="s">
        <v>307</v>
      </c>
      <c r="I75" s="677"/>
      <c r="J75" s="677"/>
      <c r="K75" s="678" t="s">
        <v>224</v>
      </c>
      <c r="L75" s="675"/>
      <c r="M75" s="673" t="s">
        <v>380</v>
      </c>
      <c r="N75" s="655" t="s">
        <v>84</v>
      </c>
    </row>
    <row r="76" spans="2:15" ht="16" x14ac:dyDescent="0.2">
      <c r="B76" s="669">
        <v>45688</v>
      </c>
      <c r="C76" s="669" t="s">
        <v>236</v>
      </c>
      <c r="D76" s="168" t="s">
        <v>194</v>
      </c>
      <c r="E76" s="697" t="s">
        <v>639</v>
      </c>
      <c r="F76" s="168">
        <v>2400</v>
      </c>
      <c r="G76" s="168" t="s">
        <v>367</v>
      </c>
      <c r="H76" s="670"/>
      <c r="I76" s="670"/>
      <c r="J76" s="670"/>
      <c r="K76" s="671">
        <v>400</v>
      </c>
      <c r="L76" s="671"/>
      <c r="M76" s="168"/>
      <c r="N76" s="672">
        <f>F76-K76</f>
        <v>2000</v>
      </c>
      <c r="O76" t="s">
        <v>194</v>
      </c>
    </row>
    <row r="77" spans="2:15" x14ac:dyDescent="0.2">
      <c r="B77" s="669"/>
      <c r="C77" s="669" t="s">
        <v>282</v>
      </c>
      <c r="D77" s="168" t="s">
        <v>410</v>
      </c>
      <c r="E77" s="842" t="s">
        <v>640</v>
      </c>
      <c r="F77" s="168">
        <v>1200</v>
      </c>
      <c r="G77" s="168" t="s">
        <v>369</v>
      </c>
      <c r="H77" s="670"/>
      <c r="I77" s="670"/>
      <c r="J77" s="670"/>
      <c r="K77" s="671"/>
      <c r="L77" s="671"/>
      <c r="M77" s="168"/>
      <c r="N77" s="672">
        <v>1000</v>
      </c>
      <c r="O77" t="s">
        <v>410</v>
      </c>
    </row>
    <row r="78" spans="2:15" x14ac:dyDescent="0.2">
      <c r="B78" s="669"/>
      <c r="C78" s="669" t="s">
        <v>281</v>
      </c>
      <c r="D78" s="168" t="s">
        <v>222</v>
      </c>
      <c r="E78" s="842"/>
      <c r="F78" s="168">
        <v>2200</v>
      </c>
      <c r="G78" s="16" t="s">
        <v>368</v>
      </c>
      <c r="H78" s="165"/>
      <c r="I78" s="165"/>
      <c r="J78" s="165"/>
      <c r="K78" s="671"/>
      <c r="L78" s="671"/>
      <c r="M78" s="168"/>
      <c r="N78" s="672">
        <v>2200</v>
      </c>
      <c r="O78" t="s">
        <v>222</v>
      </c>
    </row>
    <row r="79" spans="2:15" x14ac:dyDescent="0.2">
      <c r="B79" s="669"/>
      <c r="C79" s="669" t="s">
        <v>421</v>
      </c>
      <c r="D79" s="168" t="s">
        <v>262</v>
      </c>
      <c r="E79" s="842"/>
      <c r="F79" s="168">
        <v>1500</v>
      </c>
      <c r="G79" s="16" t="s">
        <v>422</v>
      </c>
      <c r="H79" s="165"/>
      <c r="I79" s="165"/>
      <c r="J79" s="165"/>
      <c r="K79" s="671"/>
      <c r="L79" s="671"/>
      <c r="M79" s="168"/>
      <c r="N79" s="672">
        <v>1500</v>
      </c>
      <c r="O79" t="s">
        <v>262</v>
      </c>
    </row>
    <row r="80" spans="2:15" x14ac:dyDescent="0.2">
      <c r="B80" s="168"/>
      <c r="C80" s="168"/>
      <c r="D80" s="679"/>
      <c r="E80" s="695"/>
      <c r="F80" s="168"/>
      <c r="G80" s="16"/>
      <c r="H80" s="165"/>
      <c r="I80" s="165"/>
      <c r="J80" s="165"/>
      <c r="K80" s="671"/>
      <c r="L80" s="671"/>
      <c r="M80" s="168"/>
      <c r="N80" s="672">
        <f>SUM(N76:N79)</f>
        <v>6700</v>
      </c>
    </row>
    <row r="81" spans="2:15" ht="16" thickBot="1" x14ac:dyDescent="0.25"/>
    <row r="82" spans="2:15" ht="46.5" customHeight="1" thickBot="1" x14ac:dyDescent="0.25">
      <c r="B82" s="456" t="s">
        <v>76</v>
      </c>
      <c r="C82" s="440" t="s">
        <v>230</v>
      </c>
      <c r="D82" s="457" t="s">
        <v>189</v>
      </c>
      <c r="E82" s="655" t="s">
        <v>313</v>
      </c>
      <c r="F82" s="458" t="s">
        <v>312</v>
      </c>
      <c r="G82" s="440" t="s">
        <v>314</v>
      </c>
      <c r="H82" s="173" t="s">
        <v>299</v>
      </c>
      <c r="I82" s="459" t="s">
        <v>299</v>
      </c>
      <c r="J82" s="459" t="s">
        <v>308</v>
      </c>
      <c r="K82" s="460" t="s">
        <v>366</v>
      </c>
      <c r="L82" s="458"/>
      <c r="M82" s="440" t="s">
        <v>299</v>
      </c>
      <c r="N82" s="461" t="s">
        <v>84</v>
      </c>
    </row>
    <row r="83" spans="2:15" ht="49" thickBot="1" x14ac:dyDescent="0.25">
      <c r="B83" s="450">
        <v>45691</v>
      </c>
      <c r="C83" s="452" t="s">
        <v>231</v>
      </c>
      <c r="D83" s="33" t="s">
        <v>196</v>
      </c>
      <c r="E83" s="839" t="s">
        <v>660</v>
      </c>
      <c r="F83" s="33">
        <f>12.5+17+7+14+16</f>
        <v>66.5</v>
      </c>
      <c r="G83" s="28">
        <v>6</v>
      </c>
      <c r="H83" s="453"/>
      <c r="I83" s="454"/>
      <c r="J83" s="454"/>
      <c r="K83" s="545" t="s">
        <v>370</v>
      </c>
      <c r="L83" s="645"/>
      <c r="M83" s="28">
        <f>1+5+6+11</f>
        <v>23</v>
      </c>
      <c r="N83" s="455">
        <f>(G83*300)+(0*150)+(M83*30)</f>
        <v>2490</v>
      </c>
      <c r="O83" t="s">
        <v>196</v>
      </c>
    </row>
    <row r="84" spans="2:15" ht="49" thickBot="1" x14ac:dyDescent="0.25">
      <c r="B84" s="450"/>
      <c r="C84" s="202" t="s">
        <v>232</v>
      </c>
      <c r="D84" s="652" t="s">
        <v>413</v>
      </c>
      <c r="E84" s="840"/>
      <c r="F84" s="451">
        <v>66.5</v>
      </c>
      <c r="G84" s="330">
        <v>6</v>
      </c>
      <c r="H84" s="441"/>
      <c r="I84" s="165"/>
      <c r="J84" s="477"/>
      <c r="K84" s="546" t="s">
        <v>371</v>
      </c>
      <c r="L84" s="546"/>
      <c r="M84" s="201">
        <v>23</v>
      </c>
      <c r="N84" s="449">
        <f>(G84*225)+(0*112.5)+(M84*30)</f>
        <v>2040</v>
      </c>
      <c r="O84" t="s">
        <v>413</v>
      </c>
    </row>
    <row r="85" spans="2:15" ht="49" thickBot="1" x14ac:dyDescent="0.25">
      <c r="B85" s="202"/>
      <c r="C85" s="447" t="s">
        <v>233</v>
      </c>
      <c r="D85" s="653" t="s">
        <v>199</v>
      </c>
      <c r="E85" s="840"/>
      <c r="F85" s="654">
        <v>64.5</v>
      </c>
      <c r="G85" s="330">
        <v>6</v>
      </c>
      <c r="H85" s="441"/>
      <c r="I85" s="165"/>
      <c r="J85" s="165"/>
      <c r="K85" s="546" t="s">
        <v>372</v>
      </c>
      <c r="L85" s="546"/>
      <c r="M85" s="201">
        <v>23</v>
      </c>
      <c r="N85" s="449">
        <f>(G85*250)+(0*125)+(M85*30)</f>
        <v>2190</v>
      </c>
      <c r="O85" t="s">
        <v>199</v>
      </c>
    </row>
    <row r="86" spans="2:15" ht="49" thickBot="1" x14ac:dyDescent="0.25">
      <c r="B86" s="201"/>
      <c r="C86" s="200" t="s">
        <v>235</v>
      </c>
      <c r="D86" s="653" t="s">
        <v>193</v>
      </c>
      <c r="E86" s="841"/>
      <c r="F86" s="451">
        <v>64.5</v>
      </c>
      <c r="G86" s="330">
        <v>6</v>
      </c>
      <c r="H86" s="441"/>
      <c r="I86" s="165"/>
      <c r="J86" s="165"/>
      <c r="K86" s="546" t="s">
        <v>371</v>
      </c>
      <c r="L86" s="646"/>
      <c r="M86" s="28">
        <v>23</v>
      </c>
      <c r="N86" s="449">
        <f>(G86*225)+(0*112.5)+(M86*30)-80</f>
        <v>1960</v>
      </c>
      <c r="O86" t="s">
        <v>193</v>
      </c>
    </row>
    <row r="87" spans="2:15" ht="49" thickBot="1" x14ac:dyDescent="0.25">
      <c r="B87" s="41"/>
      <c r="C87" s="201" t="s">
        <v>234</v>
      </c>
      <c r="D87" s="188" t="s">
        <v>420</v>
      </c>
      <c r="E87" s="839" t="s">
        <v>661</v>
      </c>
      <c r="F87" s="33">
        <v>59.5</v>
      </c>
      <c r="G87" s="201">
        <v>6</v>
      </c>
      <c r="H87" s="441"/>
      <c r="I87" s="165"/>
      <c r="J87" s="165"/>
      <c r="K87" s="546" t="s">
        <v>371</v>
      </c>
      <c r="L87" s="647"/>
      <c r="M87" s="23">
        <v>20</v>
      </c>
      <c r="N87" s="449">
        <f>(G87*225)+(0*112.5)+(M87*30)</f>
        <v>1950</v>
      </c>
      <c r="O87" t="s">
        <v>420</v>
      </c>
    </row>
    <row r="88" spans="2:15" ht="17" thickBot="1" x14ac:dyDescent="0.25">
      <c r="B88" s="201"/>
      <c r="C88" s="555" t="s">
        <v>277</v>
      </c>
      <c r="D88" s="667" t="s">
        <v>315</v>
      </c>
      <c r="E88" s="840"/>
      <c r="F88" s="451">
        <v>59.5</v>
      </c>
      <c r="G88" s="201">
        <v>5</v>
      </c>
      <c r="H88" s="441"/>
      <c r="I88" s="165"/>
      <c r="J88" s="477"/>
      <c r="K88" s="478" t="s">
        <v>373</v>
      </c>
      <c r="L88" s="478"/>
      <c r="M88" s="201">
        <v>20</v>
      </c>
      <c r="N88" s="449">
        <f>(G88*225)+(0*112.5)+(M88*30)</f>
        <v>1725</v>
      </c>
      <c r="O88" t="s">
        <v>315</v>
      </c>
    </row>
    <row r="89" spans="2:15" ht="16" thickBot="1" x14ac:dyDescent="0.25">
      <c r="B89" s="201"/>
      <c r="C89" s="201"/>
      <c r="D89" s="201"/>
      <c r="E89" s="445"/>
      <c r="F89" s="170"/>
      <c r="G89" s="205"/>
      <c r="H89" s="442"/>
      <c r="I89" s="181"/>
      <c r="J89" s="181"/>
      <c r="K89" s="448"/>
      <c r="L89" s="644"/>
      <c r="M89" s="443"/>
      <c r="N89" s="444">
        <f>SUM(N83:N88)</f>
        <v>12355</v>
      </c>
    </row>
    <row r="90" spans="2:15" ht="16" thickBot="1" x14ac:dyDescent="0.25"/>
    <row r="91" spans="2:15" ht="35.25" customHeight="1" x14ac:dyDescent="0.2">
      <c r="B91" s="673" t="s">
        <v>340</v>
      </c>
      <c r="C91" s="655" t="s">
        <v>230</v>
      </c>
      <c r="D91" s="674" t="s">
        <v>189</v>
      </c>
      <c r="E91" s="655" t="s">
        <v>195</v>
      </c>
      <c r="F91" s="675" t="s">
        <v>190</v>
      </c>
      <c r="G91" s="655" t="s">
        <v>366</v>
      </c>
      <c r="H91" s="676" t="s">
        <v>307</v>
      </c>
      <c r="I91" s="677"/>
      <c r="J91" s="677"/>
      <c r="K91" s="678" t="s">
        <v>224</v>
      </c>
      <c r="L91" s="675"/>
      <c r="M91" s="673" t="s">
        <v>380</v>
      </c>
      <c r="N91" s="655" t="s">
        <v>84</v>
      </c>
    </row>
    <row r="92" spans="2:15" x14ac:dyDescent="0.2">
      <c r="B92" s="669">
        <v>45695</v>
      </c>
      <c r="C92" s="669" t="s">
        <v>236</v>
      </c>
      <c r="D92" s="168" t="s">
        <v>194</v>
      </c>
      <c r="E92" s="839" t="s">
        <v>683</v>
      </c>
      <c r="F92" s="168">
        <v>2000</v>
      </c>
      <c r="G92" s="168" t="s">
        <v>367</v>
      </c>
      <c r="H92" s="670"/>
      <c r="I92" s="670"/>
      <c r="J92" s="670"/>
      <c r="K92" s="671"/>
      <c r="L92" s="671"/>
      <c r="M92" s="168"/>
      <c r="N92" s="672">
        <f>F92-K92</f>
        <v>2000</v>
      </c>
      <c r="O92" t="s">
        <v>194</v>
      </c>
    </row>
    <row r="93" spans="2:15" x14ac:dyDescent="0.2">
      <c r="B93" s="669"/>
      <c r="C93" s="669" t="s">
        <v>282</v>
      </c>
      <c r="D93" s="168" t="s">
        <v>410</v>
      </c>
      <c r="E93" s="840"/>
      <c r="F93" s="168">
        <v>1000</v>
      </c>
      <c r="G93" s="168" t="s">
        <v>369</v>
      </c>
      <c r="H93" s="670"/>
      <c r="I93" s="670"/>
      <c r="J93" s="670"/>
      <c r="K93" s="671"/>
      <c r="L93" s="671"/>
      <c r="M93" s="168"/>
      <c r="N93" s="672">
        <v>1000</v>
      </c>
      <c r="O93" t="s">
        <v>410</v>
      </c>
    </row>
    <row r="94" spans="2:15" x14ac:dyDescent="0.2">
      <c r="B94" s="669"/>
      <c r="C94" s="669" t="s">
        <v>281</v>
      </c>
      <c r="D94" s="168" t="s">
        <v>222</v>
      </c>
      <c r="E94" s="840"/>
      <c r="F94" s="168">
        <v>1900</v>
      </c>
      <c r="G94" s="16" t="s">
        <v>368</v>
      </c>
      <c r="H94" s="165"/>
      <c r="I94" s="165"/>
      <c r="J94" s="165"/>
      <c r="K94" s="671"/>
      <c r="L94" s="671"/>
      <c r="M94" s="168"/>
      <c r="N94" s="672">
        <v>1900</v>
      </c>
      <c r="O94" t="s">
        <v>222</v>
      </c>
    </row>
    <row r="95" spans="2:15" x14ac:dyDescent="0.2">
      <c r="B95" s="669"/>
      <c r="C95" s="669" t="s">
        <v>421</v>
      </c>
      <c r="D95" s="168" t="s">
        <v>262</v>
      </c>
      <c r="E95" s="841"/>
      <c r="F95" s="168">
        <v>1500</v>
      </c>
      <c r="G95" s="16" t="s">
        <v>422</v>
      </c>
      <c r="H95" s="165"/>
      <c r="I95" s="165"/>
      <c r="J95" s="165"/>
      <c r="K95" s="671"/>
      <c r="L95" s="671"/>
      <c r="M95" s="168"/>
      <c r="N95" s="672">
        <v>1500</v>
      </c>
      <c r="O95" t="s">
        <v>262</v>
      </c>
    </row>
    <row r="96" spans="2:15" x14ac:dyDescent="0.2">
      <c r="B96" s="168"/>
      <c r="C96" s="168"/>
      <c r="D96" s="679"/>
      <c r="E96" s="695"/>
      <c r="F96" s="168"/>
      <c r="G96" s="16"/>
      <c r="H96" s="165"/>
      <c r="I96" s="165"/>
      <c r="J96" s="165"/>
      <c r="K96" s="671"/>
      <c r="L96" s="671"/>
      <c r="M96" s="168"/>
      <c r="N96" s="672">
        <f>SUM(N92:N95)</f>
        <v>6400</v>
      </c>
    </row>
    <row r="97" spans="2:15" ht="16" thickBot="1" x14ac:dyDescent="0.25"/>
    <row r="98" spans="2:15" ht="47.25" customHeight="1" thickBot="1" x14ac:dyDescent="0.25">
      <c r="B98" s="456" t="s">
        <v>340</v>
      </c>
      <c r="C98" s="440" t="s">
        <v>230</v>
      </c>
      <c r="D98" s="457" t="s">
        <v>189</v>
      </c>
      <c r="E98" s="440" t="s">
        <v>313</v>
      </c>
      <c r="F98" s="458" t="s">
        <v>312</v>
      </c>
      <c r="G98" s="440" t="s">
        <v>314</v>
      </c>
      <c r="H98" s="173" t="s">
        <v>299</v>
      </c>
      <c r="I98" s="459" t="s">
        <v>299</v>
      </c>
      <c r="J98" s="459" t="s">
        <v>308</v>
      </c>
      <c r="K98" s="460" t="s">
        <v>366</v>
      </c>
      <c r="L98" s="440" t="s">
        <v>224</v>
      </c>
      <c r="M98" s="440" t="s">
        <v>299</v>
      </c>
      <c r="N98" s="692" t="s">
        <v>84</v>
      </c>
    </row>
    <row r="99" spans="2:15" ht="49" thickBot="1" x14ac:dyDescent="0.25">
      <c r="B99" s="202">
        <v>45699</v>
      </c>
      <c r="C99" s="452" t="s">
        <v>231</v>
      </c>
      <c r="D99" s="33" t="s">
        <v>188</v>
      </c>
      <c r="E99" s="844" t="s">
        <v>693</v>
      </c>
      <c r="F99" s="33">
        <f>15+14+16+13</f>
        <v>58</v>
      </c>
      <c r="G99" s="28">
        <v>5</v>
      </c>
      <c r="H99" s="453"/>
      <c r="I99" s="454"/>
      <c r="J99" s="651"/>
      <c r="K99" s="545" t="s">
        <v>379</v>
      </c>
      <c r="L99" s="645"/>
      <c r="M99" s="690">
        <v>32</v>
      </c>
      <c r="N99" s="672">
        <f>(G99*260)+(M99*30)-400</f>
        <v>1860</v>
      </c>
      <c r="O99" t="s">
        <v>188</v>
      </c>
    </row>
    <row r="100" spans="2:15" ht="49" thickBot="1" x14ac:dyDescent="0.25">
      <c r="B100" s="450"/>
      <c r="C100" s="202" t="s">
        <v>232</v>
      </c>
      <c r="D100" s="23" t="s">
        <v>303</v>
      </c>
      <c r="E100" s="845"/>
      <c r="F100" s="201">
        <v>60</v>
      </c>
      <c r="G100" s="330">
        <v>5</v>
      </c>
      <c r="H100" s="441"/>
      <c r="I100" s="165"/>
      <c r="J100" s="165"/>
      <c r="K100" s="546" t="s">
        <v>371</v>
      </c>
      <c r="L100" s="546"/>
      <c r="M100" s="474">
        <v>32</v>
      </c>
      <c r="N100" s="672">
        <f>(G100*225)+(M100*30)-200</f>
        <v>1885</v>
      </c>
      <c r="O100" t="s">
        <v>303</v>
      </c>
    </row>
    <row r="101" spans="2:15" ht="49" thickBot="1" x14ac:dyDescent="0.25">
      <c r="B101" s="450"/>
      <c r="C101" s="450" t="s">
        <v>233</v>
      </c>
      <c r="D101" s="446" t="s">
        <v>310</v>
      </c>
      <c r="E101" s="845"/>
      <c r="F101" s="23">
        <v>61</v>
      </c>
      <c r="G101" s="693">
        <v>5</v>
      </c>
      <c r="H101" s="467"/>
      <c r="I101" s="468"/>
      <c r="J101" s="468"/>
      <c r="K101" s="546" t="s">
        <v>372</v>
      </c>
      <c r="L101" s="647"/>
      <c r="M101" s="652">
        <v>32</v>
      </c>
      <c r="N101" s="672">
        <f>(G101*250)+(M101*30)-60</f>
        <v>2150</v>
      </c>
      <c r="O101" t="s">
        <v>310</v>
      </c>
    </row>
    <row r="102" spans="2:15" ht="49" thickBot="1" x14ac:dyDescent="0.25">
      <c r="B102" s="202"/>
      <c r="C102" s="202" t="s">
        <v>234</v>
      </c>
      <c r="D102" s="473" t="s">
        <v>344</v>
      </c>
      <c r="E102" s="845"/>
      <c r="F102" s="474">
        <v>58</v>
      </c>
      <c r="G102" s="330">
        <v>5</v>
      </c>
      <c r="H102" s="475"/>
      <c r="I102" s="472"/>
      <c r="J102" s="472"/>
      <c r="K102" s="546" t="s">
        <v>371</v>
      </c>
      <c r="L102" s="648"/>
      <c r="M102" s="474">
        <v>32</v>
      </c>
      <c r="N102" s="672">
        <f>(G102*225)+(M102*30)-120</f>
        <v>1965</v>
      </c>
      <c r="O102" t="s">
        <v>344</v>
      </c>
    </row>
    <row r="103" spans="2:15" ht="49" thickBot="1" x14ac:dyDescent="0.25">
      <c r="B103" s="41"/>
      <c r="C103" s="41" t="s">
        <v>235</v>
      </c>
      <c r="D103" s="469" t="s">
        <v>345</v>
      </c>
      <c r="E103" s="845"/>
      <c r="F103" s="41">
        <v>60</v>
      </c>
      <c r="G103" s="694">
        <v>5</v>
      </c>
      <c r="H103" s="470"/>
      <c r="I103" s="471"/>
      <c r="J103" s="471"/>
      <c r="K103" s="546" t="s">
        <v>371</v>
      </c>
      <c r="L103" s="649"/>
      <c r="M103" s="691">
        <v>32</v>
      </c>
      <c r="N103" s="672">
        <f>(G103*225)+(M103*30)-280</f>
        <v>1805</v>
      </c>
      <c r="O103" t="s">
        <v>345</v>
      </c>
    </row>
    <row r="104" spans="2:15" ht="17" thickBot="1" x14ac:dyDescent="0.25">
      <c r="B104" s="201"/>
      <c r="C104" s="201" t="s">
        <v>277</v>
      </c>
      <c r="D104" s="188" t="s">
        <v>397</v>
      </c>
      <c r="E104" s="846"/>
      <c r="F104" s="33">
        <v>60</v>
      </c>
      <c r="G104" s="201">
        <v>5</v>
      </c>
      <c r="H104" s="441"/>
      <c r="I104" s="165"/>
      <c r="J104" s="165"/>
      <c r="K104" s="478" t="s">
        <v>373</v>
      </c>
      <c r="L104" s="650"/>
      <c r="M104" s="201">
        <v>32</v>
      </c>
      <c r="N104" s="455">
        <f>(G104*225)+(M104*30)-80</f>
        <v>2005</v>
      </c>
      <c r="O104" t="s">
        <v>397</v>
      </c>
    </row>
    <row r="105" spans="2:15" ht="16" thickBot="1" x14ac:dyDescent="0.25">
      <c r="B105" s="201"/>
      <c r="C105" s="201"/>
      <c r="D105" s="201"/>
      <c r="E105" s="687"/>
      <c r="F105" s="170"/>
      <c r="G105" s="205"/>
      <c r="H105" s="442"/>
      <c r="I105" s="181"/>
      <c r="J105" s="181"/>
      <c r="K105" s="448"/>
      <c r="L105" s="644"/>
      <c r="M105" s="443"/>
      <c r="N105" s="444">
        <f>SUM(N99:N104)</f>
        <v>11670</v>
      </c>
    </row>
    <row r="106" spans="2:15" ht="16" thickBot="1" x14ac:dyDescent="0.25"/>
    <row r="107" spans="2:15" ht="39" customHeight="1" x14ac:dyDescent="0.2">
      <c r="B107" s="673" t="s">
        <v>340</v>
      </c>
      <c r="C107" s="655" t="s">
        <v>230</v>
      </c>
      <c r="D107" s="674" t="s">
        <v>189</v>
      </c>
      <c r="E107" s="655" t="s">
        <v>195</v>
      </c>
      <c r="F107" s="675" t="s">
        <v>190</v>
      </c>
      <c r="G107" s="655" t="s">
        <v>366</v>
      </c>
      <c r="H107" s="676" t="s">
        <v>307</v>
      </c>
      <c r="I107" s="677"/>
      <c r="J107" s="677"/>
      <c r="K107" s="678" t="s">
        <v>224</v>
      </c>
      <c r="L107" s="675"/>
      <c r="M107" s="673" t="s">
        <v>380</v>
      </c>
      <c r="N107" s="655" t="s">
        <v>84</v>
      </c>
    </row>
    <row r="108" spans="2:15" x14ac:dyDescent="0.2">
      <c r="B108" s="669">
        <v>45702</v>
      </c>
      <c r="C108" s="669" t="s">
        <v>236</v>
      </c>
      <c r="D108" s="168" t="s">
        <v>194</v>
      </c>
      <c r="E108" s="839" t="s">
        <v>717</v>
      </c>
      <c r="F108" s="168">
        <v>2600</v>
      </c>
      <c r="G108" s="168" t="s">
        <v>367</v>
      </c>
      <c r="H108" s="670"/>
      <c r="I108" s="670"/>
      <c r="J108" s="670"/>
      <c r="K108" s="671">
        <v>200</v>
      </c>
      <c r="L108" s="671"/>
      <c r="M108" s="168"/>
      <c r="N108" s="672">
        <f>F108-K108</f>
        <v>2400</v>
      </c>
      <c r="O108" t="s">
        <v>194</v>
      </c>
    </row>
    <row r="109" spans="2:15" x14ac:dyDescent="0.2">
      <c r="B109" s="669"/>
      <c r="C109" s="669" t="s">
        <v>282</v>
      </c>
      <c r="D109" s="168" t="s">
        <v>410</v>
      </c>
      <c r="E109" s="840"/>
      <c r="F109" s="168">
        <v>1000</v>
      </c>
      <c r="G109" s="168" t="s">
        <v>369</v>
      </c>
      <c r="H109" s="670"/>
      <c r="I109" s="670"/>
      <c r="J109" s="670"/>
      <c r="K109" s="671"/>
      <c r="L109" s="671"/>
      <c r="M109" s="168"/>
      <c r="N109" s="672">
        <v>1000</v>
      </c>
      <c r="O109" t="s">
        <v>410</v>
      </c>
    </row>
    <row r="110" spans="2:15" x14ac:dyDescent="0.2">
      <c r="B110" s="669"/>
      <c r="C110" s="669" t="s">
        <v>281</v>
      </c>
      <c r="D110" s="168" t="s">
        <v>222</v>
      </c>
      <c r="E110" s="840"/>
      <c r="F110" s="168">
        <v>1900</v>
      </c>
      <c r="G110" s="16" t="s">
        <v>368</v>
      </c>
      <c r="H110" s="165"/>
      <c r="I110" s="165"/>
      <c r="J110" s="165"/>
      <c r="K110" s="671"/>
      <c r="L110" s="671"/>
      <c r="M110" s="168"/>
      <c r="N110" s="672">
        <v>1900</v>
      </c>
      <c r="O110" t="s">
        <v>222</v>
      </c>
    </row>
    <row r="111" spans="2:15" x14ac:dyDescent="0.2">
      <c r="B111" s="669"/>
      <c r="C111" s="669" t="s">
        <v>421</v>
      </c>
      <c r="D111" s="168" t="s">
        <v>262</v>
      </c>
      <c r="E111" s="841"/>
      <c r="F111" s="168">
        <v>1500</v>
      </c>
      <c r="G111" s="16" t="s">
        <v>422</v>
      </c>
      <c r="H111" s="165"/>
      <c r="I111" s="165"/>
      <c r="J111" s="165"/>
      <c r="K111" s="671"/>
      <c r="L111" s="671"/>
      <c r="M111" s="168"/>
      <c r="N111" s="672">
        <v>1500</v>
      </c>
      <c r="O111" t="s">
        <v>262</v>
      </c>
    </row>
    <row r="112" spans="2:15" x14ac:dyDescent="0.2">
      <c r="B112" s="168"/>
      <c r="C112" s="168"/>
      <c r="D112" s="679"/>
      <c r="E112" s="695"/>
      <c r="F112" s="168"/>
      <c r="G112" s="16"/>
      <c r="H112" s="165"/>
      <c r="I112" s="165"/>
      <c r="J112" s="165"/>
      <c r="K112" s="671"/>
      <c r="L112" s="671"/>
      <c r="M112" s="168"/>
      <c r="N112" s="672">
        <f>SUM(N108:N111)</f>
        <v>6800</v>
      </c>
    </row>
    <row r="113" spans="2:15" ht="16" thickBot="1" x14ac:dyDescent="0.25"/>
    <row r="114" spans="2:15" ht="53.25" customHeight="1" thickBot="1" x14ac:dyDescent="0.25">
      <c r="B114" s="456" t="s">
        <v>76</v>
      </c>
      <c r="C114" s="440" t="s">
        <v>230</v>
      </c>
      <c r="D114" s="457" t="s">
        <v>189</v>
      </c>
      <c r="E114" s="655" t="s">
        <v>313</v>
      </c>
      <c r="F114" s="458" t="s">
        <v>312</v>
      </c>
      <c r="G114" s="440" t="s">
        <v>314</v>
      </c>
      <c r="H114" s="173" t="s">
        <v>299</v>
      </c>
      <c r="I114" s="459" t="s">
        <v>299</v>
      </c>
      <c r="J114" s="459" t="s">
        <v>308</v>
      </c>
      <c r="K114" s="460" t="s">
        <v>366</v>
      </c>
      <c r="L114" s="458"/>
      <c r="M114" s="440" t="s">
        <v>299</v>
      </c>
      <c r="N114" s="461" t="s">
        <v>84</v>
      </c>
    </row>
    <row r="115" spans="2:15" ht="49" thickBot="1" x14ac:dyDescent="0.25">
      <c r="B115" s="450">
        <v>45705</v>
      </c>
      <c r="C115" s="452" t="s">
        <v>231</v>
      </c>
      <c r="D115" s="33" t="s">
        <v>196</v>
      </c>
      <c r="E115" s="839" t="s">
        <v>725</v>
      </c>
      <c r="F115" s="33">
        <f>16+15.5+8.5+18.5+18</f>
        <v>76.5</v>
      </c>
      <c r="G115" s="28">
        <v>6</v>
      </c>
      <c r="H115" s="453"/>
      <c r="I115" s="454"/>
      <c r="J115" s="454"/>
      <c r="K115" s="545" t="s">
        <v>370</v>
      </c>
      <c r="L115" s="645"/>
      <c r="M115" s="28">
        <f>11+9+8</f>
        <v>28</v>
      </c>
      <c r="N115" s="455">
        <f>(G115*300)+(0*150)+(M115*30)</f>
        <v>2640</v>
      </c>
      <c r="O115" t="s">
        <v>196</v>
      </c>
    </row>
    <row r="116" spans="2:15" ht="49" thickBot="1" x14ac:dyDescent="0.25">
      <c r="B116" s="450"/>
      <c r="C116" s="202" t="s">
        <v>232</v>
      </c>
      <c r="D116" s="652" t="s">
        <v>413</v>
      </c>
      <c r="E116" s="840"/>
      <c r="F116" s="451">
        <v>76.5</v>
      </c>
      <c r="G116" s="330">
        <v>6</v>
      </c>
      <c r="H116" s="441"/>
      <c r="I116" s="165"/>
      <c r="J116" s="477"/>
      <c r="K116" s="546" t="s">
        <v>371</v>
      </c>
      <c r="L116" s="546"/>
      <c r="M116" s="201">
        <v>28</v>
      </c>
      <c r="N116" s="449">
        <f>(G116*225)+(0*112.5)+(M116*30)</f>
        <v>2190</v>
      </c>
      <c r="O116" t="s">
        <v>413</v>
      </c>
    </row>
    <row r="117" spans="2:15" ht="49" thickBot="1" x14ac:dyDescent="0.25">
      <c r="B117" s="202"/>
      <c r="C117" s="447" t="s">
        <v>233</v>
      </c>
      <c r="D117" s="653" t="s">
        <v>199</v>
      </c>
      <c r="E117" s="840"/>
      <c r="F117" s="654">
        <v>74.5</v>
      </c>
      <c r="G117" s="330">
        <v>6</v>
      </c>
      <c r="H117" s="441"/>
      <c r="I117" s="165"/>
      <c r="J117" s="165"/>
      <c r="K117" s="546" t="s">
        <v>372</v>
      </c>
      <c r="L117" s="546"/>
      <c r="M117" s="201">
        <v>28</v>
      </c>
      <c r="N117" s="449">
        <f>(G117*250)+(0*125)+(M117*30)</f>
        <v>2340</v>
      </c>
      <c r="O117" t="s">
        <v>199</v>
      </c>
    </row>
    <row r="118" spans="2:15" ht="49" thickBot="1" x14ac:dyDescent="0.25">
      <c r="B118" s="201"/>
      <c r="C118" s="200" t="s">
        <v>235</v>
      </c>
      <c r="D118" s="653" t="s">
        <v>193</v>
      </c>
      <c r="E118" s="841"/>
      <c r="F118" s="451">
        <v>74.5</v>
      </c>
      <c r="G118" s="330">
        <v>6</v>
      </c>
      <c r="H118" s="441"/>
      <c r="I118" s="165"/>
      <c r="J118" s="165"/>
      <c r="K118" s="546" t="s">
        <v>371</v>
      </c>
      <c r="L118" s="646"/>
      <c r="M118" s="28">
        <v>28</v>
      </c>
      <c r="N118" s="449">
        <f>(G118*225)+(0*112.5)+(M118*30)</f>
        <v>2190</v>
      </c>
      <c r="O118" t="s">
        <v>193</v>
      </c>
    </row>
    <row r="119" spans="2:15" ht="49" thickBot="1" x14ac:dyDescent="0.25">
      <c r="B119" s="41"/>
      <c r="C119" s="201" t="s">
        <v>234</v>
      </c>
      <c r="D119" s="188" t="s">
        <v>420</v>
      </c>
      <c r="E119" s="839" t="s">
        <v>726</v>
      </c>
      <c r="F119" s="33">
        <v>66</v>
      </c>
      <c r="G119" s="201">
        <v>5</v>
      </c>
      <c r="H119" s="441"/>
      <c r="I119" s="165"/>
      <c r="J119" s="165"/>
      <c r="K119" s="546" t="s">
        <v>371</v>
      </c>
      <c r="L119" s="647"/>
      <c r="M119" s="23">
        <v>26</v>
      </c>
      <c r="N119" s="449">
        <f>(G119*225)+(0*112.5)+(M119*30)</f>
        <v>1905</v>
      </c>
      <c r="O119" t="s">
        <v>420</v>
      </c>
    </row>
    <row r="120" spans="2:15" ht="17" thickBot="1" x14ac:dyDescent="0.25">
      <c r="B120" s="201"/>
      <c r="C120" s="555" t="s">
        <v>277</v>
      </c>
      <c r="D120" s="667" t="s">
        <v>315</v>
      </c>
      <c r="E120" s="840"/>
      <c r="F120" s="451">
        <v>66</v>
      </c>
      <c r="G120" s="201">
        <v>5</v>
      </c>
      <c r="H120" s="441"/>
      <c r="I120" s="165"/>
      <c r="J120" s="477"/>
      <c r="K120" s="478" t="s">
        <v>373</v>
      </c>
      <c r="L120" s="478"/>
      <c r="M120" s="201">
        <v>26</v>
      </c>
      <c r="N120" s="449">
        <f>(G120*225)+(0*112.5)+(M120*30)</f>
        <v>1905</v>
      </c>
      <c r="O120" t="s">
        <v>315</v>
      </c>
    </row>
    <row r="121" spans="2:15" ht="16" thickBot="1" x14ac:dyDescent="0.25">
      <c r="B121" s="201"/>
      <c r="C121" s="201"/>
      <c r="D121" s="201"/>
      <c r="E121" s="445"/>
      <c r="F121" s="170"/>
      <c r="G121" s="205"/>
      <c r="H121" s="442"/>
      <c r="I121" s="181"/>
      <c r="J121" s="181"/>
      <c r="K121" s="448"/>
      <c r="L121" s="644"/>
      <c r="M121" s="443"/>
      <c r="N121" s="444">
        <f>SUM(N115:N120)</f>
        <v>13170</v>
      </c>
    </row>
    <row r="122" spans="2:15" ht="16" thickBot="1" x14ac:dyDescent="0.25"/>
    <row r="123" spans="2:15" ht="37.5" customHeight="1" x14ac:dyDescent="0.2">
      <c r="B123" s="673" t="s">
        <v>340</v>
      </c>
      <c r="C123" s="655" t="s">
        <v>230</v>
      </c>
      <c r="D123" s="674" t="s">
        <v>189</v>
      </c>
      <c r="E123" s="655" t="s">
        <v>195</v>
      </c>
      <c r="F123" s="675" t="s">
        <v>190</v>
      </c>
      <c r="G123" s="655" t="s">
        <v>366</v>
      </c>
      <c r="H123" s="676" t="s">
        <v>307</v>
      </c>
      <c r="I123" s="677"/>
      <c r="J123" s="677"/>
      <c r="K123" s="678" t="s">
        <v>224</v>
      </c>
      <c r="L123" s="675"/>
      <c r="M123" s="673" t="s">
        <v>380</v>
      </c>
      <c r="N123" s="655" t="s">
        <v>84</v>
      </c>
    </row>
    <row r="124" spans="2:15" x14ac:dyDescent="0.2">
      <c r="B124" s="669">
        <v>45709</v>
      </c>
      <c r="C124" s="669" t="s">
        <v>236</v>
      </c>
      <c r="D124" s="168" t="s">
        <v>194</v>
      </c>
      <c r="E124" s="839" t="s">
        <v>756</v>
      </c>
      <c r="F124" s="168">
        <v>2000</v>
      </c>
      <c r="G124" s="168" t="s">
        <v>367</v>
      </c>
      <c r="H124" s="670"/>
      <c r="I124" s="670"/>
      <c r="J124" s="670"/>
      <c r="K124" s="671"/>
      <c r="L124" s="671"/>
      <c r="M124" s="168"/>
      <c r="N124" s="672">
        <f>F124-K124</f>
        <v>2000</v>
      </c>
      <c r="O124" t="s">
        <v>194</v>
      </c>
    </row>
    <row r="125" spans="2:15" x14ac:dyDescent="0.2">
      <c r="B125" s="669"/>
      <c r="C125" s="669" t="s">
        <v>282</v>
      </c>
      <c r="D125" s="168" t="s">
        <v>410</v>
      </c>
      <c r="E125" s="840"/>
      <c r="F125" s="168">
        <v>1200</v>
      </c>
      <c r="G125" s="168" t="s">
        <v>369</v>
      </c>
      <c r="H125" s="670"/>
      <c r="I125" s="670"/>
      <c r="J125" s="670"/>
      <c r="K125" s="671"/>
      <c r="L125" s="671"/>
      <c r="M125" s="168"/>
      <c r="N125" s="672">
        <v>1200</v>
      </c>
      <c r="O125" t="s">
        <v>410</v>
      </c>
    </row>
    <row r="126" spans="2:15" x14ac:dyDescent="0.2">
      <c r="B126" s="669"/>
      <c r="C126" s="669" t="s">
        <v>281</v>
      </c>
      <c r="D126" s="168" t="s">
        <v>222</v>
      </c>
      <c r="E126" s="840"/>
      <c r="F126" s="168">
        <v>2200</v>
      </c>
      <c r="G126" s="16" t="s">
        <v>368</v>
      </c>
      <c r="H126" s="165"/>
      <c r="I126" s="165"/>
      <c r="J126" s="165"/>
      <c r="K126" s="671"/>
      <c r="L126" s="671"/>
      <c r="M126" s="168"/>
      <c r="N126" s="672">
        <v>2200</v>
      </c>
      <c r="O126" t="s">
        <v>222</v>
      </c>
    </row>
    <row r="127" spans="2:15" x14ac:dyDescent="0.2">
      <c r="B127" s="669"/>
      <c r="C127" s="669" t="s">
        <v>421</v>
      </c>
      <c r="D127" s="168" t="s">
        <v>262</v>
      </c>
      <c r="E127" s="841"/>
      <c r="F127" s="168">
        <v>1500</v>
      </c>
      <c r="G127" s="16" t="s">
        <v>422</v>
      </c>
      <c r="H127" s="165"/>
      <c r="I127" s="165"/>
      <c r="J127" s="165"/>
      <c r="K127" s="671"/>
      <c r="L127" s="671"/>
      <c r="M127" s="168"/>
      <c r="N127" s="672">
        <v>1500</v>
      </c>
      <c r="O127" t="s">
        <v>262</v>
      </c>
    </row>
    <row r="128" spans="2:15" x14ac:dyDescent="0.2">
      <c r="B128" s="168"/>
      <c r="C128" s="168"/>
      <c r="D128" s="679"/>
      <c r="E128" s="695"/>
      <c r="F128" s="168"/>
      <c r="G128" s="16"/>
      <c r="H128" s="165"/>
      <c r="I128" s="165"/>
      <c r="J128" s="165"/>
      <c r="K128" s="671"/>
      <c r="L128" s="671"/>
      <c r="M128" s="168"/>
      <c r="N128" s="672">
        <f>SUM(N124:N127)</f>
        <v>6900</v>
      </c>
    </row>
    <row r="129" spans="2:15" ht="16" thickBot="1" x14ac:dyDescent="0.25"/>
    <row r="130" spans="2:15" ht="52.5" customHeight="1" thickBot="1" x14ac:dyDescent="0.25">
      <c r="B130" s="456" t="s">
        <v>340</v>
      </c>
      <c r="C130" s="440" t="s">
        <v>230</v>
      </c>
      <c r="D130" s="457" t="s">
        <v>189</v>
      </c>
      <c r="E130" s="440" t="s">
        <v>313</v>
      </c>
      <c r="F130" s="458" t="s">
        <v>312</v>
      </c>
      <c r="G130" s="440" t="s">
        <v>314</v>
      </c>
      <c r="H130" s="173" t="s">
        <v>299</v>
      </c>
      <c r="I130" s="459" t="s">
        <v>299</v>
      </c>
      <c r="J130" s="459" t="s">
        <v>308</v>
      </c>
      <c r="K130" s="460" t="s">
        <v>366</v>
      </c>
      <c r="L130" s="440" t="s">
        <v>224</v>
      </c>
      <c r="M130" s="440" t="s">
        <v>299</v>
      </c>
      <c r="N130" s="692" t="s">
        <v>84</v>
      </c>
    </row>
    <row r="131" spans="2:15" ht="49" thickBot="1" x14ac:dyDescent="0.25">
      <c r="B131" s="202">
        <v>45716</v>
      </c>
      <c r="C131" s="452" t="s">
        <v>231</v>
      </c>
      <c r="D131" s="33" t="s">
        <v>188</v>
      </c>
      <c r="E131" s="844" t="s">
        <v>786</v>
      </c>
      <c r="F131" s="33">
        <f>10.5+9.5+15.5+18</f>
        <v>53.5</v>
      </c>
      <c r="G131" s="28">
        <v>5</v>
      </c>
      <c r="H131" s="453"/>
      <c r="I131" s="454"/>
      <c r="J131" s="651"/>
      <c r="K131" s="545" t="s">
        <v>379</v>
      </c>
      <c r="L131" s="645"/>
      <c r="M131" s="690">
        <v>7</v>
      </c>
      <c r="N131" s="672">
        <f>(G131*260)+(M131*30)</f>
        <v>1510</v>
      </c>
      <c r="O131" t="s">
        <v>188</v>
      </c>
    </row>
    <row r="132" spans="2:15" ht="49" thickBot="1" x14ac:dyDescent="0.25">
      <c r="B132" s="450"/>
      <c r="C132" s="202" t="s">
        <v>232</v>
      </c>
      <c r="D132" s="23" t="s">
        <v>303</v>
      </c>
      <c r="E132" s="845"/>
      <c r="F132" s="201">
        <v>55</v>
      </c>
      <c r="G132" s="330">
        <v>5</v>
      </c>
      <c r="H132" s="441"/>
      <c r="I132" s="165"/>
      <c r="J132" s="165"/>
      <c r="K132" s="546" t="s">
        <v>371</v>
      </c>
      <c r="L132" s="546"/>
      <c r="M132" s="474">
        <v>7</v>
      </c>
      <c r="N132" s="672">
        <f>(G132*225)+(M132*30)-100</f>
        <v>1235</v>
      </c>
      <c r="O132" t="s">
        <v>303</v>
      </c>
    </row>
    <row r="133" spans="2:15" ht="49" thickBot="1" x14ac:dyDescent="0.25">
      <c r="B133" s="450"/>
      <c r="C133" s="450" t="s">
        <v>233</v>
      </c>
      <c r="D133" s="446" t="s">
        <v>310</v>
      </c>
      <c r="E133" s="845"/>
      <c r="F133" s="23">
        <v>58</v>
      </c>
      <c r="G133" s="693">
        <v>5</v>
      </c>
      <c r="H133" s="467"/>
      <c r="I133" s="468"/>
      <c r="J133" s="468"/>
      <c r="K133" s="546" t="s">
        <v>372</v>
      </c>
      <c r="L133" s="647"/>
      <c r="M133" s="652">
        <v>7</v>
      </c>
      <c r="N133" s="672">
        <f>(G133*250)+(M133*30)</f>
        <v>1460</v>
      </c>
      <c r="O133" t="s">
        <v>310</v>
      </c>
    </row>
    <row r="134" spans="2:15" ht="49" thickBot="1" x14ac:dyDescent="0.25">
      <c r="B134" s="202"/>
      <c r="C134" s="202" t="s">
        <v>234</v>
      </c>
      <c r="D134" s="473" t="s">
        <v>344</v>
      </c>
      <c r="E134" s="845"/>
      <c r="F134" s="474">
        <v>58</v>
      </c>
      <c r="G134" s="330">
        <v>5</v>
      </c>
      <c r="H134" s="475"/>
      <c r="I134" s="472"/>
      <c r="J134" s="472"/>
      <c r="K134" s="546" t="s">
        <v>371</v>
      </c>
      <c r="L134" s="648"/>
      <c r="M134" s="474">
        <v>7</v>
      </c>
      <c r="N134" s="672">
        <f>(G134*225)+(M134*30)</f>
        <v>1335</v>
      </c>
      <c r="O134" t="s">
        <v>344</v>
      </c>
    </row>
    <row r="135" spans="2:15" ht="49" thickBot="1" x14ac:dyDescent="0.25">
      <c r="B135" s="41"/>
      <c r="C135" s="41" t="s">
        <v>235</v>
      </c>
      <c r="D135" s="469" t="s">
        <v>345</v>
      </c>
      <c r="E135" s="845"/>
      <c r="F135" s="41">
        <v>58</v>
      </c>
      <c r="G135" s="694">
        <v>5</v>
      </c>
      <c r="H135" s="470"/>
      <c r="I135" s="471"/>
      <c r="J135" s="471"/>
      <c r="K135" s="546" t="s">
        <v>371</v>
      </c>
      <c r="L135" s="649"/>
      <c r="M135" s="691">
        <v>7</v>
      </c>
      <c r="N135" s="672">
        <f>(G135*225)+(M135*30)-80</f>
        <v>1255</v>
      </c>
      <c r="O135" t="s">
        <v>345</v>
      </c>
    </row>
    <row r="136" spans="2:15" ht="17" thickBot="1" x14ac:dyDescent="0.25">
      <c r="B136" s="201"/>
      <c r="C136" s="201" t="s">
        <v>277</v>
      </c>
      <c r="D136" s="188" t="s">
        <v>397</v>
      </c>
      <c r="E136" s="846"/>
      <c r="F136" s="33">
        <v>58</v>
      </c>
      <c r="G136" s="201">
        <v>5</v>
      </c>
      <c r="H136" s="441"/>
      <c r="I136" s="165"/>
      <c r="J136" s="165"/>
      <c r="K136" s="478" t="s">
        <v>373</v>
      </c>
      <c r="L136" s="650"/>
      <c r="M136" s="201">
        <v>7</v>
      </c>
      <c r="N136" s="455">
        <f>(G136*225)+(M136*30)</f>
        <v>1335</v>
      </c>
      <c r="O136" t="s">
        <v>397</v>
      </c>
    </row>
    <row r="137" spans="2:15" ht="16" thickBot="1" x14ac:dyDescent="0.25">
      <c r="B137" s="201"/>
      <c r="C137" s="201"/>
      <c r="D137" s="201"/>
      <c r="E137" s="687"/>
      <c r="F137" s="170"/>
      <c r="G137" s="205"/>
      <c r="H137" s="442"/>
      <c r="I137" s="181"/>
      <c r="J137" s="181"/>
      <c r="K137" s="448"/>
      <c r="L137" s="644"/>
      <c r="M137" s="443"/>
      <c r="N137" s="444">
        <f>SUM(N131:N136)</f>
        <v>8130</v>
      </c>
    </row>
    <row r="138" spans="2:15" ht="16" thickBot="1" x14ac:dyDescent="0.25"/>
    <row r="139" spans="2:15" ht="42.75" customHeight="1" x14ac:dyDescent="0.2">
      <c r="B139" s="673" t="s">
        <v>340</v>
      </c>
      <c r="C139" s="655" t="s">
        <v>230</v>
      </c>
      <c r="D139" s="674" t="s">
        <v>189</v>
      </c>
      <c r="E139" s="655" t="s">
        <v>195</v>
      </c>
      <c r="F139" s="675" t="s">
        <v>190</v>
      </c>
      <c r="G139" s="655" t="s">
        <v>366</v>
      </c>
      <c r="H139" s="676" t="s">
        <v>307</v>
      </c>
      <c r="I139" s="677"/>
      <c r="J139" s="677"/>
      <c r="K139" s="678" t="s">
        <v>224</v>
      </c>
      <c r="L139" s="675"/>
      <c r="M139" s="673" t="s">
        <v>380</v>
      </c>
      <c r="N139" s="655" t="s">
        <v>84</v>
      </c>
    </row>
    <row r="140" spans="2:15" ht="16" x14ac:dyDescent="0.2">
      <c r="B140" s="669">
        <v>45716</v>
      </c>
      <c r="C140" s="669" t="s">
        <v>236</v>
      </c>
      <c r="D140" s="168" t="s">
        <v>194</v>
      </c>
      <c r="E140" s="708" t="s">
        <v>787</v>
      </c>
      <c r="F140" s="168">
        <v>2400</v>
      </c>
      <c r="G140" s="168" t="s">
        <v>367</v>
      </c>
      <c r="H140" s="670"/>
      <c r="I140" s="670"/>
      <c r="J140" s="670"/>
      <c r="K140" s="671">
        <v>400</v>
      </c>
      <c r="L140" s="671"/>
      <c r="M140" s="168"/>
      <c r="N140" s="672">
        <f>F140-K140</f>
        <v>2000</v>
      </c>
      <c r="O140" t="s">
        <v>194</v>
      </c>
    </row>
    <row r="141" spans="2:15" x14ac:dyDescent="0.2">
      <c r="B141" s="669"/>
      <c r="C141" s="669" t="s">
        <v>282</v>
      </c>
      <c r="D141" s="168" t="s">
        <v>410</v>
      </c>
      <c r="E141" s="840" t="s">
        <v>788</v>
      </c>
      <c r="F141" s="168">
        <v>1200</v>
      </c>
      <c r="G141" s="168" t="s">
        <v>369</v>
      </c>
      <c r="H141" s="670"/>
      <c r="I141" s="670"/>
      <c r="J141" s="670"/>
      <c r="K141" s="671"/>
      <c r="L141" s="671"/>
      <c r="M141" s="168"/>
      <c r="N141" s="672">
        <v>1000</v>
      </c>
      <c r="O141" t="s">
        <v>410</v>
      </c>
    </row>
    <row r="142" spans="2:15" x14ac:dyDescent="0.2">
      <c r="B142" s="669"/>
      <c r="C142" s="669" t="s">
        <v>281</v>
      </c>
      <c r="D142" s="168" t="s">
        <v>222</v>
      </c>
      <c r="E142" s="840"/>
      <c r="F142" s="168">
        <v>2200</v>
      </c>
      <c r="G142" s="16" t="s">
        <v>368</v>
      </c>
      <c r="H142" s="165"/>
      <c r="I142" s="165"/>
      <c r="J142" s="165"/>
      <c r="K142" s="671"/>
      <c r="L142" s="671"/>
      <c r="M142" s="168"/>
      <c r="N142" s="672">
        <v>1900</v>
      </c>
      <c r="O142" t="s">
        <v>222</v>
      </c>
    </row>
    <row r="143" spans="2:15" x14ac:dyDescent="0.2">
      <c r="B143" s="669"/>
      <c r="C143" s="669" t="s">
        <v>421</v>
      </c>
      <c r="D143" s="168" t="s">
        <v>262</v>
      </c>
      <c r="E143" s="841"/>
      <c r="F143" s="168">
        <v>1500</v>
      </c>
      <c r="G143" s="16" t="s">
        <v>422</v>
      </c>
      <c r="H143" s="165"/>
      <c r="I143" s="165"/>
      <c r="J143" s="165"/>
      <c r="K143" s="671"/>
      <c r="L143" s="671"/>
      <c r="M143" s="168"/>
      <c r="N143" s="672">
        <v>1500</v>
      </c>
      <c r="O143" t="s">
        <v>262</v>
      </c>
    </row>
    <row r="144" spans="2:15" x14ac:dyDescent="0.2">
      <c r="B144" s="168"/>
      <c r="C144" s="168"/>
      <c r="D144" s="679"/>
      <c r="E144" s="695"/>
      <c r="F144" s="168"/>
      <c r="G144" s="16"/>
      <c r="H144" s="165"/>
      <c r="I144" s="165"/>
      <c r="J144" s="165"/>
      <c r="K144" s="671"/>
      <c r="L144" s="671"/>
      <c r="M144" s="168"/>
      <c r="N144" s="672">
        <f>SUM(N140:N143)</f>
        <v>6400</v>
      </c>
    </row>
    <row r="145" spans="2:15" ht="16" thickBot="1" x14ac:dyDescent="0.25"/>
    <row r="146" spans="2:15" ht="69.75" customHeight="1" thickBot="1" x14ac:dyDescent="0.25">
      <c r="B146" s="456" t="s">
        <v>76</v>
      </c>
      <c r="C146" s="440" t="s">
        <v>230</v>
      </c>
      <c r="D146" s="457" t="s">
        <v>189</v>
      </c>
      <c r="E146" s="655" t="s">
        <v>313</v>
      </c>
      <c r="F146" s="458" t="s">
        <v>312</v>
      </c>
      <c r="G146" s="440" t="s">
        <v>314</v>
      </c>
      <c r="H146" s="173" t="s">
        <v>299</v>
      </c>
      <c r="I146" s="459" t="s">
        <v>299</v>
      </c>
      <c r="J146" s="459" t="s">
        <v>308</v>
      </c>
      <c r="K146" s="460" t="s">
        <v>366</v>
      </c>
      <c r="L146" s="458"/>
      <c r="M146" s="440" t="s">
        <v>299</v>
      </c>
      <c r="N146" s="461" t="s">
        <v>84</v>
      </c>
    </row>
    <row r="147" spans="2:15" ht="49" thickBot="1" x14ac:dyDescent="0.25">
      <c r="B147" s="450">
        <v>45723</v>
      </c>
      <c r="C147" s="452" t="s">
        <v>231</v>
      </c>
      <c r="D147" s="33" t="s">
        <v>196</v>
      </c>
      <c r="E147" s="839" t="s">
        <v>818</v>
      </c>
      <c r="F147" s="33">
        <f>3.5+11+17+15+15</f>
        <v>61.5</v>
      </c>
      <c r="G147" s="28">
        <v>5</v>
      </c>
      <c r="H147" s="453"/>
      <c r="I147" s="454"/>
      <c r="J147" s="454"/>
      <c r="K147" s="545" t="s">
        <v>370</v>
      </c>
      <c r="L147" s="645"/>
      <c r="M147" s="28">
        <f>9+2+18</f>
        <v>29</v>
      </c>
      <c r="N147" s="455">
        <f>(G147*300)+(0*150)+(M147*30)</f>
        <v>2370</v>
      </c>
      <c r="O147" t="s">
        <v>196</v>
      </c>
    </row>
    <row r="148" spans="2:15" ht="49" thickBot="1" x14ac:dyDescent="0.25">
      <c r="B148" s="450"/>
      <c r="C148" s="202" t="s">
        <v>232</v>
      </c>
      <c r="D148" s="652" t="s">
        <v>413</v>
      </c>
      <c r="E148" s="840"/>
      <c r="F148" s="451">
        <v>61.5</v>
      </c>
      <c r="G148" s="330">
        <v>5</v>
      </c>
      <c r="H148" s="441"/>
      <c r="I148" s="165"/>
      <c r="J148" s="477"/>
      <c r="K148" s="546" t="s">
        <v>371</v>
      </c>
      <c r="L148" s="546"/>
      <c r="M148" s="201">
        <v>29</v>
      </c>
      <c r="N148" s="449">
        <f>(G148*225)+(0*112.5)+(M148*30)</f>
        <v>1995</v>
      </c>
      <c r="O148" t="s">
        <v>413</v>
      </c>
    </row>
    <row r="149" spans="2:15" ht="49" thickBot="1" x14ac:dyDescent="0.25">
      <c r="B149" s="202"/>
      <c r="C149" s="447" t="s">
        <v>233</v>
      </c>
      <c r="D149" s="653" t="s">
        <v>199</v>
      </c>
      <c r="E149" s="840"/>
      <c r="F149" s="654">
        <v>62</v>
      </c>
      <c r="G149" s="330">
        <v>5</v>
      </c>
      <c r="H149" s="441"/>
      <c r="I149" s="165"/>
      <c r="J149" s="165"/>
      <c r="K149" s="546" t="s">
        <v>372</v>
      </c>
      <c r="L149" s="546"/>
      <c r="M149" s="201">
        <v>29</v>
      </c>
      <c r="N149" s="449">
        <f>(G149*250)+(0*125)+(M149*30)</f>
        <v>2120</v>
      </c>
      <c r="O149" t="s">
        <v>199</v>
      </c>
    </row>
    <row r="150" spans="2:15" ht="49" thickBot="1" x14ac:dyDescent="0.25">
      <c r="B150" s="201"/>
      <c r="C150" s="200" t="s">
        <v>235</v>
      </c>
      <c r="D150" s="653" t="s">
        <v>193</v>
      </c>
      <c r="E150" s="840"/>
      <c r="F150" s="451">
        <v>63</v>
      </c>
      <c r="G150" s="330">
        <v>5</v>
      </c>
      <c r="H150" s="441"/>
      <c r="I150" s="165"/>
      <c r="J150" s="165"/>
      <c r="K150" s="546" t="s">
        <v>371</v>
      </c>
      <c r="L150" s="646"/>
      <c r="M150" s="28">
        <v>29</v>
      </c>
      <c r="N150" s="449">
        <f>(G150*225)+(0*112.5)+(M150*30)</f>
        <v>1995</v>
      </c>
      <c r="O150" t="s">
        <v>193</v>
      </c>
    </row>
    <row r="151" spans="2:15" ht="49" thickBot="1" x14ac:dyDescent="0.25">
      <c r="B151" s="41"/>
      <c r="C151" s="201" t="s">
        <v>234</v>
      </c>
      <c r="D151" s="188" t="s">
        <v>420</v>
      </c>
      <c r="E151" s="840"/>
      <c r="F151" s="33">
        <v>62</v>
      </c>
      <c r="G151" s="201">
        <v>5</v>
      </c>
      <c r="H151" s="441"/>
      <c r="I151" s="165"/>
      <c r="J151" s="165"/>
      <c r="K151" s="546" t="s">
        <v>371</v>
      </c>
      <c r="L151" s="647"/>
      <c r="M151" s="23">
        <v>29</v>
      </c>
      <c r="N151" s="449">
        <f>(G151*225)+(0*112.5)+(M151*30)</f>
        <v>1995</v>
      </c>
      <c r="O151" t="s">
        <v>420</v>
      </c>
    </row>
    <row r="152" spans="2:15" ht="17" thickBot="1" x14ac:dyDescent="0.25">
      <c r="B152" s="201"/>
      <c r="C152" s="555" t="s">
        <v>277</v>
      </c>
      <c r="D152" s="667" t="s">
        <v>315</v>
      </c>
      <c r="E152" s="843"/>
      <c r="F152" s="451">
        <v>62</v>
      </c>
      <c r="G152" s="201">
        <v>5</v>
      </c>
      <c r="H152" s="441"/>
      <c r="I152" s="165"/>
      <c r="J152" s="477"/>
      <c r="K152" s="478" t="s">
        <v>373</v>
      </c>
      <c r="L152" s="478"/>
      <c r="M152" s="201">
        <v>29</v>
      </c>
      <c r="N152" s="449">
        <f>(G152*225)+(0*112.5)+(M152*30)</f>
        <v>1995</v>
      </c>
      <c r="O152" t="s">
        <v>315</v>
      </c>
    </row>
    <row r="153" spans="2:15" ht="16" thickBot="1" x14ac:dyDescent="0.25">
      <c r="B153" s="201"/>
      <c r="C153" s="201"/>
      <c r="D153" s="201"/>
      <c r="E153" s="445"/>
      <c r="F153" s="170"/>
      <c r="G153" s="205"/>
      <c r="H153" s="442"/>
      <c r="I153" s="181"/>
      <c r="J153" s="181"/>
      <c r="K153" s="448"/>
      <c r="L153" s="644"/>
      <c r="M153" s="443"/>
      <c r="N153" s="444">
        <f>SUM(N147:N152)</f>
        <v>12470</v>
      </c>
    </row>
    <row r="154" spans="2:15" ht="16" thickBot="1" x14ac:dyDescent="0.25"/>
    <row r="155" spans="2:15" ht="39" customHeight="1" x14ac:dyDescent="0.2">
      <c r="B155" s="673" t="s">
        <v>340</v>
      </c>
      <c r="C155" s="655" t="s">
        <v>230</v>
      </c>
      <c r="D155" s="674" t="s">
        <v>189</v>
      </c>
      <c r="E155" s="655" t="s">
        <v>195</v>
      </c>
      <c r="F155" s="675" t="s">
        <v>190</v>
      </c>
      <c r="G155" s="655" t="s">
        <v>366</v>
      </c>
      <c r="H155" s="676" t="s">
        <v>307</v>
      </c>
      <c r="I155" s="677"/>
      <c r="J155" s="677"/>
      <c r="K155" s="678" t="s">
        <v>224</v>
      </c>
      <c r="L155" s="675"/>
      <c r="M155" s="673" t="s">
        <v>380</v>
      </c>
      <c r="N155" s="655" t="s">
        <v>84</v>
      </c>
    </row>
    <row r="156" spans="2:15" x14ac:dyDescent="0.2">
      <c r="B156" s="669">
        <v>45723</v>
      </c>
      <c r="C156" s="669" t="s">
        <v>236</v>
      </c>
      <c r="D156" s="168" t="s">
        <v>194</v>
      </c>
      <c r="E156" s="839" t="s">
        <v>819</v>
      </c>
      <c r="F156" s="168">
        <v>2000</v>
      </c>
      <c r="G156" s="168" t="s">
        <v>367</v>
      </c>
      <c r="H156" s="670"/>
      <c r="I156" s="670"/>
      <c r="J156" s="670"/>
      <c r="K156" s="671">
        <v>260</v>
      </c>
      <c r="L156" s="671"/>
      <c r="M156" s="168"/>
      <c r="N156" s="672">
        <f>F156-K156</f>
        <v>1740</v>
      </c>
      <c r="O156" t="s">
        <v>194</v>
      </c>
    </row>
    <row r="157" spans="2:15" x14ac:dyDescent="0.2">
      <c r="B157" s="669"/>
      <c r="C157" s="669" t="s">
        <v>282</v>
      </c>
      <c r="D157" s="168" t="s">
        <v>410</v>
      </c>
      <c r="E157" s="840"/>
      <c r="F157" s="168">
        <v>1000</v>
      </c>
      <c r="G157" s="168" t="s">
        <v>369</v>
      </c>
      <c r="H157" s="670"/>
      <c r="I157" s="670"/>
      <c r="J157" s="670"/>
      <c r="K157" s="671"/>
      <c r="L157" s="671"/>
      <c r="M157" s="168"/>
      <c r="N157" s="672">
        <v>1000</v>
      </c>
      <c r="O157" t="s">
        <v>410</v>
      </c>
    </row>
    <row r="158" spans="2:15" x14ac:dyDescent="0.2">
      <c r="B158" s="669"/>
      <c r="C158" s="669" t="s">
        <v>281</v>
      </c>
      <c r="D158" s="168" t="s">
        <v>222</v>
      </c>
      <c r="E158" s="840"/>
      <c r="F158" s="168">
        <v>1900</v>
      </c>
      <c r="G158" s="16" t="s">
        <v>368</v>
      </c>
      <c r="H158" s="165"/>
      <c r="I158" s="165"/>
      <c r="J158" s="165"/>
      <c r="K158" s="671"/>
      <c r="L158" s="671"/>
      <c r="M158" s="168"/>
      <c r="N158" s="672">
        <v>1900</v>
      </c>
      <c r="O158" t="s">
        <v>222</v>
      </c>
    </row>
    <row r="159" spans="2:15" x14ac:dyDescent="0.2">
      <c r="B159" s="669"/>
      <c r="C159" s="669" t="s">
        <v>421</v>
      </c>
      <c r="D159" s="168" t="s">
        <v>262</v>
      </c>
      <c r="E159" s="841"/>
      <c r="F159" s="168">
        <v>1500</v>
      </c>
      <c r="G159" s="16" t="s">
        <v>422</v>
      </c>
      <c r="H159" s="165"/>
      <c r="I159" s="165"/>
      <c r="J159" s="165"/>
      <c r="K159" s="671"/>
      <c r="L159" s="671"/>
      <c r="M159" s="168"/>
      <c r="N159" s="672">
        <v>1500</v>
      </c>
      <c r="O159" t="s">
        <v>262</v>
      </c>
    </row>
    <row r="160" spans="2:15" x14ac:dyDescent="0.2">
      <c r="B160" s="168"/>
      <c r="C160" s="168"/>
      <c r="D160" s="679"/>
      <c r="E160" s="695"/>
      <c r="F160" s="168"/>
      <c r="G160" s="16"/>
      <c r="H160" s="165"/>
      <c r="I160" s="165"/>
      <c r="J160" s="165"/>
      <c r="K160" s="671"/>
      <c r="L160" s="671"/>
      <c r="M160" s="168"/>
      <c r="N160" s="672">
        <f>SUM(N156:N159)</f>
        <v>6140</v>
      </c>
    </row>
    <row r="161" spans="2:15" ht="16" thickBot="1" x14ac:dyDescent="0.25"/>
    <row r="162" spans="2:15" ht="68.25" customHeight="1" thickBot="1" x14ac:dyDescent="0.25">
      <c r="B162" s="456" t="s">
        <v>340</v>
      </c>
      <c r="C162" s="440" t="s">
        <v>230</v>
      </c>
      <c r="D162" s="457" t="s">
        <v>189</v>
      </c>
      <c r="E162" s="440" t="s">
        <v>313</v>
      </c>
      <c r="F162" s="458" t="s">
        <v>312</v>
      </c>
      <c r="G162" s="440" t="s">
        <v>314</v>
      </c>
      <c r="H162" s="173" t="s">
        <v>299</v>
      </c>
      <c r="I162" s="459" t="s">
        <v>299</v>
      </c>
      <c r="J162" s="459" t="s">
        <v>308</v>
      </c>
      <c r="K162" s="460" t="s">
        <v>366</v>
      </c>
      <c r="L162" s="440" t="s">
        <v>224</v>
      </c>
      <c r="M162" s="440" t="s">
        <v>299</v>
      </c>
      <c r="N162" s="692" t="s">
        <v>84</v>
      </c>
    </row>
    <row r="163" spans="2:15" ht="49" thickBot="1" x14ac:dyDescent="0.25">
      <c r="B163" s="202">
        <v>45730</v>
      </c>
      <c r="C163" s="452" t="s">
        <v>231</v>
      </c>
      <c r="D163" s="33" t="s">
        <v>188</v>
      </c>
      <c r="E163" s="844" t="s">
        <v>844</v>
      </c>
      <c r="F163" s="33">
        <f>12+12+8+18+13</f>
        <v>63</v>
      </c>
      <c r="G163" s="28">
        <v>6</v>
      </c>
      <c r="H163" s="453"/>
      <c r="I163" s="454"/>
      <c r="J163" s="651"/>
      <c r="K163" s="545" t="s">
        <v>379</v>
      </c>
      <c r="L163" s="645"/>
      <c r="M163" s="690">
        <v>21</v>
      </c>
      <c r="N163" s="672">
        <f>(G163*260)+(M163*30)-320</f>
        <v>1870</v>
      </c>
      <c r="O163" t="s">
        <v>188</v>
      </c>
    </row>
    <row r="164" spans="2:15" ht="49" thickBot="1" x14ac:dyDescent="0.25">
      <c r="B164" s="450"/>
      <c r="C164" s="202" t="s">
        <v>232</v>
      </c>
      <c r="D164" s="23" t="s">
        <v>303</v>
      </c>
      <c r="E164" s="845"/>
      <c r="F164" s="201">
        <v>65</v>
      </c>
      <c r="G164" s="330">
        <v>6</v>
      </c>
      <c r="H164" s="441"/>
      <c r="I164" s="165"/>
      <c r="J164" s="165"/>
      <c r="K164" s="546" t="s">
        <v>371</v>
      </c>
      <c r="L164" s="546"/>
      <c r="M164" s="474">
        <v>21</v>
      </c>
      <c r="N164" s="672">
        <f>(G164*225)+(M164*30)-260</f>
        <v>1720</v>
      </c>
      <c r="O164" t="s">
        <v>303</v>
      </c>
    </row>
    <row r="165" spans="2:15" ht="49" thickBot="1" x14ac:dyDescent="0.25">
      <c r="B165" s="450"/>
      <c r="C165" s="450" t="s">
        <v>233</v>
      </c>
      <c r="D165" s="446" t="s">
        <v>310</v>
      </c>
      <c r="E165" s="845"/>
      <c r="F165" s="23">
        <v>60</v>
      </c>
      <c r="G165" s="693">
        <v>5</v>
      </c>
      <c r="H165" s="467"/>
      <c r="I165" s="468"/>
      <c r="J165" s="468"/>
      <c r="K165" s="546" t="s">
        <v>372</v>
      </c>
      <c r="L165" s="647"/>
      <c r="M165" s="652">
        <v>21</v>
      </c>
      <c r="N165" s="672">
        <f>(G165*250)+(M165*30)</f>
        <v>1880</v>
      </c>
      <c r="O165" t="s">
        <v>310</v>
      </c>
    </row>
    <row r="166" spans="2:15" ht="49" thickBot="1" x14ac:dyDescent="0.25">
      <c r="B166" s="202"/>
      <c r="C166" s="202" t="s">
        <v>234</v>
      </c>
      <c r="D166" s="473" t="s">
        <v>344</v>
      </c>
      <c r="E166" s="845"/>
      <c r="F166" s="474">
        <v>59</v>
      </c>
      <c r="G166" s="330">
        <v>5</v>
      </c>
      <c r="H166" s="475"/>
      <c r="I166" s="472"/>
      <c r="J166" s="472"/>
      <c r="K166" s="546" t="s">
        <v>371</v>
      </c>
      <c r="L166" s="648"/>
      <c r="M166" s="474">
        <v>21</v>
      </c>
      <c r="N166" s="672">
        <f>(G166*225)+(M166*30)</f>
        <v>1755</v>
      </c>
      <c r="O166" t="s">
        <v>344</v>
      </c>
    </row>
    <row r="167" spans="2:15" ht="49" thickBot="1" x14ac:dyDescent="0.25">
      <c r="B167" s="41"/>
      <c r="C167" s="41" t="s">
        <v>235</v>
      </c>
      <c r="D167" s="469" t="s">
        <v>345</v>
      </c>
      <c r="E167" s="845"/>
      <c r="F167" s="41">
        <v>67</v>
      </c>
      <c r="G167" s="694">
        <v>6</v>
      </c>
      <c r="H167" s="470"/>
      <c r="I167" s="471"/>
      <c r="J167" s="471"/>
      <c r="K167" s="546" t="s">
        <v>371</v>
      </c>
      <c r="L167" s="649"/>
      <c r="M167" s="691">
        <v>21</v>
      </c>
      <c r="N167" s="672">
        <f>(G167*225)+(M167*30)-230</f>
        <v>1750</v>
      </c>
      <c r="O167" t="s">
        <v>345</v>
      </c>
    </row>
    <row r="168" spans="2:15" ht="17" thickBot="1" x14ac:dyDescent="0.25">
      <c r="B168" s="201"/>
      <c r="C168" s="201" t="s">
        <v>277</v>
      </c>
      <c r="D168" s="188" t="s">
        <v>397</v>
      </c>
      <c r="E168" s="846"/>
      <c r="F168" s="33">
        <v>68</v>
      </c>
      <c r="G168" s="201">
        <v>6</v>
      </c>
      <c r="H168" s="441"/>
      <c r="I168" s="165"/>
      <c r="J168" s="165"/>
      <c r="K168" s="478" t="s">
        <v>373</v>
      </c>
      <c r="L168" s="650"/>
      <c r="M168" s="201">
        <v>21</v>
      </c>
      <c r="N168" s="455">
        <f>(G168*225)+(M168*30)-200</f>
        <v>1780</v>
      </c>
      <c r="O168" t="s">
        <v>397</v>
      </c>
    </row>
    <row r="169" spans="2:15" ht="16" thickBot="1" x14ac:dyDescent="0.25">
      <c r="B169" s="201"/>
      <c r="C169" s="201"/>
      <c r="D169" s="201"/>
      <c r="E169" s="687"/>
      <c r="F169" s="170"/>
      <c r="G169" s="205"/>
      <c r="H169" s="442"/>
      <c r="I169" s="181"/>
      <c r="J169" s="181"/>
      <c r="K169" s="448"/>
      <c r="L169" s="644"/>
      <c r="M169" s="443"/>
      <c r="N169" s="444">
        <f>SUM(N163:N168)</f>
        <v>10755</v>
      </c>
    </row>
    <row r="170" spans="2:15" ht="16" thickBot="1" x14ac:dyDescent="0.25"/>
    <row r="171" spans="2:15" ht="45" customHeight="1" x14ac:dyDescent="0.2">
      <c r="B171" s="673" t="s">
        <v>340</v>
      </c>
      <c r="C171" s="655" t="s">
        <v>230</v>
      </c>
      <c r="D171" s="674" t="s">
        <v>189</v>
      </c>
      <c r="E171" s="655" t="s">
        <v>195</v>
      </c>
      <c r="F171" s="675" t="s">
        <v>190</v>
      </c>
      <c r="G171" s="655" t="s">
        <v>366</v>
      </c>
      <c r="H171" s="676" t="s">
        <v>307</v>
      </c>
      <c r="I171" s="677"/>
      <c r="J171" s="677"/>
      <c r="K171" s="678" t="s">
        <v>224</v>
      </c>
      <c r="L171" s="675"/>
      <c r="M171" s="673" t="s">
        <v>380</v>
      </c>
      <c r="N171" s="655" t="s">
        <v>84</v>
      </c>
    </row>
    <row r="172" spans="2:15" ht="32" x14ac:dyDescent="0.2">
      <c r="B172" s="669">
        <v>45730</v>
      </c>
      <c r="C172" s="669" t="s">
        <v>236</v>
      </c>
      <c r="D172" s="168" t="s">
        <v>194</v>
      </c>
      <c r="E172" s="708" t="s">
        <v>845</v>
      </c>
      <c r="F172" s="168">
        <v>2200</v>
      </c>
      <c r="G172" s="168" t="s">
        <v>367</v>
      </c>
      <c r="H172" s="670"/>
      <c r="I172" s="670"/>
      <c r="J172" s="670"/>
      <c r="K172" s="671"/>
      <c r="L172" s="671"/>
      <c r="M172" s="168"/>
      <c r="N172" s="672">
        <f>F172-K172</f>
        <v>2200</v>
      </c>
      <c r="O172" t="s">
        <v>194</v>
      </c>
    </row>
    <row r="173" spans="2:15" x14ac:dyDescent="0.2">
      <c r="B173" s="669"/>
      <c r="C173" s="669" t="s">
        <v>282</v>
      </c>
      <c r="D173" s="168" t="s">
        <v>410</v>
      </c>
      <c r="E173" s="842" t="s">
        <v>846</v>
      </c>
      <c r="F173" s="168">
        <v>1200</v>
      </c>
      <c r="G173" s="168" t="s">
        <v>369</v>
      </c>
      <c r="H173" s="670"/>
      <c r="I173" s="670"/>
      <c r="J173" s="670"/>
      <c r="K173" s="671"/>
      <c r="L173" s="671"/>
      <c r="M173" s="168"/>
      <c r="N173" s="672">
        <v>1200</v>
      </c>
      <c r="O173" t="s">
        <v>410</v>
      </c>
    </row>
    <row r="174" spans="2:15" x14ac:dyDescent="0.2">
      <c r="B174" s="669"/>
      <c r="C174" s="669" t="s">
        <v>281</v>
      </c>
      <c r="D174" s="168" t="s">
        <v>222</v>
      </c>
      <c r="E174" s="842"/>
      <c r="F174" s="168">
        <v>2200</v>
      </c>
      <c r="G174" s="16" t="s">
        <v>368</v>
      </c>
      <c r="H174" s="165"/>
      <c r="I174" s="165"/>
      <c r="J174" s="165"/>
      <c r="K174" s="671"/>
      <c r="L174" s="671"/>
      <c r="M174" s="168"/>
      <c r="N174" s="672">
        <v>2200</v>
      </c>
      <c r="O174" t="s">
        <v>222</v>
      </c>
    </row>
    <row r="175" spans="2:15" ht="16" x14ac:dyDescent="0.2">
      <c r="B175" s="669"/>
      <c r="C175" s="669" t="s">
        <v>421</v>
      </c>
      <c r="D175" s="168" t="s">
        <v>262</v>
      </c>
      <c r="E175" s="711" t="s">
        <v>847</v>
      </c>
      <c r="F175" s="168">
        <v>1500</v>
      </c>
      <c r="G175" s="16" t="s">
        <v>422</v>
      </c>
      <c r="H175" s="165"/>
      <c r="I175" s="165"/>
      <c r="J175" s="165"/>
      <c r="K175" s="671"/>
      <c r="L175" s="671"/>
      <c r="M175" s="168"/>
      <c r="N175" s="672">
        <v>1500</v>
      </c>
      <c r="O175" t="s">
        <v>262</v>
      </c>
    </row>
    <row r="176" spans="2:15" x14ac:dyDescent="0.2">
      <c r="B176" s="168"/>
      <c r="C176" s="168"/>
      <c r="D176" s="679"/>
      <c r="E176" s="695"/>
      <c r="F176" s="168"/>
      <c r="G176" s="16"/>
      <c r="H176" s="165"/>
      <c r="I176" s="165"/>
      <c r="J176" s="165"/>
      <c r="K176" s="671"/>
      <c r="L176" s="671"/>
      <c r="M176" s="168"/>
      <c r="N176" s="672">
        <f>SUM(N172:N175)</f>
        <v>7100</v>
      </c>
    </row>
    <row r="177" spans="2:15" ht="16" thickBot="1" x14ac:dyDescent="0.25"/>
    <row r="178" spans="2:15" ht="35.25" customHeight="1" thickBot="1" x14ac:dyDescent="0.25">
      <c r="B178" s="456" t="s">
        <v>76</v>
      </c>
      <c r="C178" s="440" t="s">
        <v>230</v>
      </c>
      <c r="D178" s="457" t="s">
        <v>189</v>
      </c>
      <c r="E178" s="655" t="s">
        <v>313</v>
      </c>
      <c r="F178" s="458" t="s">
        <v>312</v>
      </c>
      <c r="G178" s="440" t="s">
        <v>314</v>
      </c>
      <c r="H178" s="173" t="s">
        <v>299</v>
      </c>
      <c r="I178" s="459" t="s">
        <v>299</v>
      </c>
      <c r="J178" s="459" t="s">
        <v>308</v>
      </c>
      <c r="K178" s="460" t="s">
        <v>366</v>
      </c>
      <c r="L178" s="458"/>
      <c r="M178" s="440" t="s">
        <v>299</v>
      </c>
      <c r="N178" s="461" t="s">
        <v>84</v>
      </c>
    </row>
    <row r="179" spans="2:15" ht="49" thickBot="1" x14ac:dyDescent="0.25">
      <c r="B179" s="450">
        <v>45737</v>
      </c>
      <c r="C179" s="452" t="s">
        <v>231</v>
      </c>
      <c r="D179" s="33" t="s">
        <v>196</v>
      </c>
      <c r="E179" s="839" t="s">
        <v>883</v>
      </c>
      <c r="F179" s="33">
        <f>15+13.5+17.5+12</f>
        <v>58</v>
      </c>
      <c r="G179" s="28">
        <v>5</v>
      </c>
      <c r="H179" s="453"/>
      <c r="I179" s="454"/>
      <c r="J179" s="454"/>
      <c r="K179" s="545" t="s">
        <v>370</v>
      </c>
      <c r="L179" s="645"/>
      <c r="M179" s="28">
        <f>13</f>
        <v>13</v>
      </c>
      <c r="N179" s="455">
        <f>(G179*300)+(0*150)+(M179*30)</f>
        <v>1890</v>
      </c>
      <c r="O179" t="s">
        <v>196</v>
      </c>
    </row>
    <row r="180" spans="2:15" ht="49" thickBot="1" x14ac:dyDescent="0.25">
      <c r="B180" s="450"/>
      <c r="C180" s="202" t="s">
        <v>232</v>
      </c>
      <c r="D180" s="652" t="s">
        <v>413</v>
      </c>
      <c r="E180" s="840"/>
      <c r="F180" s="451">
        <v>58</v>
      </c>
      <c r="G180" s="330">
        <v>5</v>
      </c>
      <c r="H180" s="441"/>
      <c r="I180" s="165"/>
      <c r="J180" s="477"/>
      <c r="K180" s="546" t="s">
        <v>371</v>
      </c>
      <c r="L180" s="546"/>
      <c r="M180" s="201">
        <v>13</v>
      </c>
      <c r="N180" s="449">
        <f>(G180*225)+(0*112.5)+(M180*30)</f>
        <v>1515</v>
      </c>
      <c r="O180" t="s">
        <v>413</v>
      </c>
    </row>
    <row r="181" spans="2:15" ht="49" thickBot="1" x14ac:dyDescent="0.25">
      <c r="B181" s="202"/>
      <c r="C181" s="447" t="s">
        <v>233</v>
      </c>
      <c r="D181" s="653" t="s">
        <v>199</v>
      </c>
      <c r="E181" s="840"/>
      <c r="F181" s="654">
        <v>60</v>
      </c>
      <c r="G181" s="330">
        <v>5</v>
      </c>
      <c r="H181" s="441"/>
      <c r="I181" s="165"/>
      <c r="J181" s="165"/>
      <c r="K181" s="546" t="s">
        <v>372</v>
      </c>
      <c r="L181" s="546"/>
      <c r="M181" s="201">
        <v>13</v>
      </c>
      <c r="N181" s="449">
        <f>(G181*250)+(0*125)+(M181*30)</f>
        <v>1640</v>
      </c>
      <c r="O181" t="s">
        <v>199</v>
      </c>
    </row>
    <row r="182" spans="2:15" ht="49" thickBot="1" x14ac:dyDescent="0.25">
      <c r="B182" s="201"/>
      <c r="C182" s="200" t="s">
        <v>235</v>
      </c>
      <c r="D182" s="653" t="s">
        <v>193</v>
      </c>
      <c r="E182" s="840"/>
      <c r="F182" s="451">
        <v>61</v>
      </c>
      <c r="G182" s="330">
        <v>5</v>
      </c>
      <c r="H182" s="441"/>
      <c r="I182" s="165"/>
      <c r="J182" s="165"/>
      <c r="K182" s="546" t="s">
        <v>371</v>
      </c>
      <c r="L182" s="646"/>
      <c r="M182" s="28">
        <v>13</v>
      </c>
      <c r="N182" s="449">
        <f>(G182*225)+(0*112.5)+(M182*30)-130</f>
        <v>1385</v>
      </c>
      <c r="O182" t="s">
        <v>193</v>
      </c>
    </row>
    <row r="183" spans="2:15" ht="49" thickBot="1" x14ac:dyDescent="0.25">
      <c r="B183" s="41"/>
      <c r="C183" s="201" t="s">
        <v>234</v>
      </c>
      <c r="D183" s="188" t="s">
        <v>420</v>
      </c>
      <c r="E183" s="840"/>
      <c r="F183" s="33">
        <v>59</v>
      </c>
      <c r="G183" s="201">
        <v>5</v>
      </c>
      <c r="H183" s="441"/>
      <c r="I183" s="165"/>
      <c r="J183" s="165"/>
      <c r="K183" s="546" t="s">
        <v>371</v>
      </c>
      <c r="L183" s="647"/>
      <c r="M183" s="23">
        <v>13</v>
      </c>
      <c r="N183" s="449">
        <f>(G183*225)+(0*112.5)+(M183*30)-130</f>
        <v>1385</v>
      </c>
      <c r="O183" t="s">
        <v>420</v>
      </c>
    </row>
    <row r="184" spans="2:15" ht="17" thickBot="1" x14ac:dyDescent="0.25">
      <c r="B184" s="201"/>
      <c r="C184" s="555" t="s">
        <v>277</v>
      </c>
      <c r="D184" s="667" t="s">
        <v>315</v>
      </c>
      <c r="E184" s="843"/>
      <c r="F184" s="451">
        <v>60</v>
      </c>
      <c r="G184" s="201">
        <v>5</v>
      </c>
      <c r="H184" s="441"/>
      <c r="I184" s="165"/>
      <c r="J184" s="477"/>
      <c r="K184" s="478" t="s">
        <v>373</v>
      </c>
      <c r="L184" s="478"/>
      <c r="M184" s="201">
        <v>13</v>
      </c>
      <c r="N184" s="449">
        <f>(G184*225)+(0*112.5)+(M184*30)</f>
        <v>1515</v>
      </c>
      <c r="O184" t="s">
        <v>315</v>
      </c>
    </row>
    <row r="185" spans="2:15" ht="16" thickBot="1" x14ac:dyDescent="0.25">
      <c r="B185" s="201"/>
      <c r="C185" s="201"/>
      <c r="D185" s="201"/>
      <c r="E185" s="445"/>
      <c r="F185" s="170"/>
      <c r="G185" s="205"/>
      <c r="H185" s="442"/>
      <c r="I185" s="181"/>
      <c r="J185" s="181"/>
      <c r="K185" s="448"/>
      <c r="L185" s="644"/>
      <c r="M185" s="443"/>
      <c r="N185" s="444">
        <f>SUM(N179:N184)</f>
        <v>9330</v>
      </c>
    </row>
    <row r="186" spans="2:15" ht="16" thickBot="1" x14ac:dyDescent="0.25"/>
    <row r="187" spans="2:15" ht="48" customHeight="1" x14ac:dyDescent="0.2">
      <c r="B187" s="673" t="s">
        <v>340</v>
      </c>
      <c r="C187" s="655" t="s">
        <v>230</v>
      </c>
      <c r="D187" s="674" t="s">
        <v>189</v>
      </c>
      <c r="E187" s="655" t="s">
        <v>195</v>
      </c>
      <c r="F187" s="675" t="s">
        <v>190</v>
      </c>
      <c r="G187" s="655" t="s">
        <v>366</v>
      </c>
      <c r="H187" s="676" t="s">
        <v>307</v>
      </c>
      <c r="I187" s="677"/>
      <c r="J187" s="677"/>
      <c r="K187" s="678" t="s">
        <v>224</v>
      </c>
      <c r="L187" s="675"/>
      <c r="M187" s="673" t="s">
        <v>380</v>
      </c>
      <c r="N187" s="655" t="s">
        <v>84</v>
      </c>
    </row>
    <row r="188" spans="2:15" x14ac:dyDescent="0.2">
      <c r="B188" s="669">
        <v>45737</v>
      </c>
      <c r="C188" s="669" t="s">
        <v>236</v>
      </c>
      <c r="D188" s="168" t="s">
        <v>194</v>
      </c>
      <c r="E188" s="839" t="s">
        <v>884</v>
      </c>
      <c r="F188" s="168">
        <v>2000</v>
      </c>
      <c r="G188" s="168" t="s">
        <v>367</v>
      </c>
      <c r="H188" s="670"/>
      <c r="I188" s="670"/>
      <c r="J188" s="670"/>
      <c r="K188" s="671"/>
      <c r="L188" s="671"/>
      <c r="M188" s="168"/>
      <c r="N188" s="672">
        <f>F188-K188</f>
        <v>2000</v>
      </c>
      <c r="O188" t="s">
        <v>194</v>
      </c>
    </row>
    <row r="189" spans="2:15" x14ac:dyDescent="0.2">
      <c r="B189" s="669"/>
      <c r="C189" s="669" t="s">
        <v>282</v>
      </c>
      <c r="D189" s="168" t="s">
        <v>410</v>
      </c>
      <c r="E189" s="840"/>
      <c r="F189" s="168">
        <v>1000</v>
      </c>
      <c r="G189" s="168" t="s">
        <v>369</v>
      </c>
      <c r="H189" s="670"/>
      <c r="I189" s="670"/>
      <c r="J189" s="670"/>
      <c r="K189" s="671"/>
      <c r="L189" s="671"/>
      <c r="M189" s="168"/>
      <c r="N189" s="672">
        <v>1000</v>
      </c>
      <c r="O189" t="s">
        <v>410</v>
      </c>
    </row>
    <row r="190" spans="2:15" x14ac:dyDescent="0.2">
      <c r="B190" s="669"/>
      <c r="C190" s="669" t="s">
        <v>281</v>
      </c>
      <c r="D190" s="168" t="s">
        <v>222</v>
      </c>
      <c r="E190" s="840"/>
      <c r="F190" s="168">
        <v>1900</v>
      </c>
      <c r="G190" s="16" t="s">
        <v>368</v>
      </c>
      <c r="H190" s="165"/>
      <c r="I190" s="165"/>
      <c r="J190" s="165"/>
      <c r="K190" s="671"/>
      <c r="L190" s="671"/>
      <c r="M190" s="168"/>
      <c r="N190" s="672">
        <v>1900</v>
      </c>
      <c r="O190" t="s">
        <v>222</v>
      </c>
    </row>
    <row r="191" spans="2:15" x14ac:dyDescent="0.2">
      <c r="B191" s="669"/>
      <c r="C191" s="669" t="s">
        <v>421</v>
      </c>
      <c r="D191" s="168" t="s">
        <v>262</v>
      </c>
      <c r="E191" s="841"/>
      <c r="F191" s="168">
        <v>1500</v>
      </c>
      <c r="G191" s="16" t="s">
        <v>422</v>
      </c>
      <c r="H191" s="165"/>
      <c r="I191" s="165"/>
      <c r="J191" s="165"/>
      <c r="K191" s="671"/>
      <c r="L191" s="671"/>
      <c r="M191" s="168"/>
      <c r="N191" s="672">
        <v>1500</v>
      </c>
      <c r="O191" t="s">
        <v>262</v>
      </c>
    </row>
    <row r="192" spans="2:15" x14ac:dyDescent="0.2">
      <c r="B192" s="168"/>
      <c r="C192" s="168"/>
      <c r="D192" s="679"/>
      <c r="E192" s="695"/>
      <c r="F192" s="168"/>
      <c r="G192" s="16"/>
      <c r="H192" s="165"/>
      <c r="I192" s="165"/>
      <c r="J192" s="165"/>
      <c r="K192" s="671"/>
      <c r="L192" s="671"/>
      <c r="M192" s="168"/>
      <c r="N192" s="672">
        <f>SUM(N188:N191)</f>
        <v>6400</v>
      </c>
    </row>
    <row r="193" spans="2:15" ht="16" thickBot="1" x14ac:dyDescent="0.25"/>
    <row r="194" spans="2:15" ht="49.5" customHeight="1" thickBot="1" x14ac:dyDescent="0.25">
      <c r="B194" s="456" t="s">
        <v>340</v>
      </c>
      <c r="C194" s="440" t="s">
        <v>230</v>
      </c>
      <c r="D194" s="457" t="s">
        <v>189</v>
      </c>
      <c r="E194" s="440" t="s">
        <v>313</v>
      </c>
      <c r="F194" s="458" t="s">
        <v>312</v>
      </c>
      <c r="G194" s="440" t="s">
        <v>314</v>
      </c>
      <c r="H194" s="173" t="s">
        <v>299</v>
      </c>
      <c r="I194" s="459" t="s">
        <v>299</v>
      </c>
      <c r="J194" s="459" t="s">
        <v>308</v>
      </c>
      <c r="K194" s="460" t="s">
        <v>366</v>
      </c>
      <c r="L194" s="440" t="s">
        <v>224</v>
      </c>
      <c r="M194" s="440" t="s">
        <v>299</v>
      </c>
      <c r="N194" s="692" t="s">
        <v>84</v>
      </c>
    </row>
    <row r="195" spans="2:15" ht="49" thickBot="1" x14ac:dyDescent="0.25">
      <c r="B195" s="202">
        <v>45744</v>
      </c>
      <c r="C195" s="452" t="s">
        <v>231</v>
      </c>
      <c r="D195" s="33" t="s">
        <v>188</v>
      </c>
      <c r="E195" s="844" t="s">
        <v>909</v>
      </c>
      <c r="F195" s="33">
        <f>10.5+15+15+12</f>
        <v>52.5</v>
      </c>
      <c r="G195" s="28">
        <v>6</v>
      </c>
      <c r="H195" s="453"/>
      <c r="I195" s="454"/>
      <c r="J195" s="651"/>
      <c r="K195" s="545" t="s">
        <v>379</v>
      </c>
      <c r="L195" s="645"/>
      <c r="M195" s="690">
        <v>8</v>
      </c>
      <c r="N195" s="672">
        <f>(G195*260)+(M195*30)</f>
        <v>1800</v>
      </c>
      <c r="O195" t="s">
        <v>188</v>
      </c>
    </row>
    <row r="196" spans="2:15" ht="49" thickBot="1" x14ac:dyDescent="0.25">
      <c r="B196" s="450"/>
      <c r="C196" s="202" t="s">
        <v>232</v>
      </c>
      <c r="D196" s="23" t="s">
        <v>303</v>
      </c>
      <c r="E196" s="845"/>
      <c r="F196" s="201">
        <f>11.5+16+16+12.5</f>
        <v>56</v>
      </c>
      <c r="G196" s="330">
        <v>6</v>
      </c>
      <c r="H196" s="441"/>
      <c r="I196" s="165"/>
      <c r="J196" s="165"/>
      <c r="K196" s="546" t="s">
        <v>371</v>
      </c>
      <c r="L196" s="546"/>
      <c r="M196" s="474">
        <v>8</v>
      </c>
      <c r="N196" s="672">
        <f>(G196*225)+(M196*30)-100</f>
        <v>1490</v>
      </c>
      <c r="O196" t="s">
        <v>303</v>
      </c>
    </row>
    <row r="197" spans="2:15" ht="49" thickBot="1" x14ac:dyDescent="0.25">
      <c r="B197" s="450"/>
      <c r="C197" s="450" t="s">
        <v>233</v>
      </c>
      <c r="D197" s="446" t="s">
        <v>310</v>
      </c>
      <c r="E197" s="845"/>
      <c r="F197" s="23">
        <f>12+15+16+13</f>
        <v>56</v>
      </c>
      <c r="G197" s="693">
        <v>6</v>
      </c>
      <c r="H197" s="467"/>
      <c r="I197" s="468"/>
      <c r="J197" s="468"/>
      <c r="K197" s="546" t="s">
        <v>372</v>
      </c>
      <c r="L197" s="647"/>
      <c r="M197" s="652">
        <v>8</v>
      </c>
      <c r="N197" s="672">
        <f>(G197*250)+(M197*30)</f>
        <v>1740</v>
      </c>
      <c r="O197" t="s">
        <v>310</v>
      </c>
    </row>
    <row r="198" spans="2:15" ht="49" thickBot="1" x14ac:dyDescent="0.25">
      <c r="B198" s="202"/>
      <c r="C198" s="202" t="s">
        <v>234</v>
      </c>
      <c r="D198" s="473" t="s">
        <v>344</v>
      </c>
      <c r="E198" s="845"/>
      <c r="F198" s="474">
        <f>12.5+15+15+13</f>
        <v>55.5</v>
      </c>
      <c r="G198" s="330">
        <v>6</v>
      </c>
      <c r="H198" s="475"/>
      <c r="I198" s="472"/>
      <c r="J198" s="472"/>
      <c r="K198" s="546" t="s">
        <v>371</v>
      </c>
      <c r="L198" s="648"/>
      <c r="M198" s="474">
        <v>8</v>
      </c>
      <c r="N198" s="672">
        <f>(G198*225)+(M198*30)-80</f>
        <v>1510</v>
      </c>
      <c r="O198" t="s">
        <v>344</v>
      </c>
    </row>
    <row r="199" spans="2:15" ht="49" thickBot="1" x14ac:dyDescent="0.25">
      <c r="B199" s="41"/>
      <c r="C199" s="41" t="s">
        <v>235</v>
      </c>
      <c r="D199" s="469" t="s">
        <v>345</v>
      </c>
      <c r="E199" s="845"/>
      <c r="F199" s="41">
        <f>15+16+12</f>
        <v>43</v>
      </c>
      <c r="G199" s="694">
        <v>5</v>
      </c>
      <c r="H199" s="470"/>
      <c r="I199" s="471"/>
      <c r="J199" s="471"/>
      <c r="K199" s="546" t="s">
        <v>371</v>
      </c>
      <c r="L199" s="649"/>
      <c r="M199" s="691">
        <v>6</v>
      </c>
      <c r="N199" s="672">
        <f>(G199*225)+(M199*30)-100</f>
        <v>1205</v>
      </c>
      <c r="O199" t="s">
        <v>345</v>
      </c>
    </row>
    <row r="200" spans="2:15" ht="17" thickBot="1" x14ac:dyDescent="0.25">
      <c r="B200" s="201"/>
      <c r="C200" s="201" t="s">
        <v>277</v>
      </c>
      <c r="D200" s="188" t="s">
        <v>397</v>
      </c>
      <c r="E200" s="846"/>
      <c r="F200" s="33">
        <v>54</v>
      </c>
      <c r="G200" s="201">
        <v>6</v>
      </c>
      <c r="H200" s="441"/>
      <c r="I200" s="165"/>
      <c r="J200" s="165"/>
      <c r="K200" s="478" t="s">
        <v>373</v>
      </c>
      <c r="L200" s="650"/>
      <c r="M200" s="201">
        <v>8</v>
      </c>
      <c r="N200" s="455">
        <f>(G200*225)+(M200*30)</f>
        <v>1590</v>
      </c>
      <c r="O200" t="s">
        <v>397</v>
      </c>
    </row>
    <row r="201" spans="2:15" ht="16" thickBot="1" x14ac:dyDescent="0.25">
      <c r="B201" s="201"/>
      <c r="C201" s="201"/>
      <c r="D201" s="201"/>
      <c r="E201" s="687"/>
      <c r="F201" s="170"/>
      <c r="G201" s="205"/>
      <c r="H201" s="442"/>
      <c r="I201" s="181"/>
      <c r="J201" s="181"/>
      <c r="K201" s="448"/>
      <c r="L201" s="644"/>
      <c r="M201" s="443"/>
      <c r="N201" s="444">
        <f>SUM(N195:N200)</f>
        <v>9335</v>
      </c>
    </row>
    <row r="202" spans="2:15" ht="16" thickBot="1" x14ac:dyDescent="0.25"/>
    <row r="203" spans="2:15" ht="39" customHeight="1" x14ac:dyDescent="0.2">
      <c r="B203" s="673" t="s">
        <v>340</v>
      </c>
      <c r="C203" s="655" t="s">
        <v>230</v>
      </c>
      <c r="D203" s="674" t="s">
        <v>189</v>
      </c>
      <c r="E203" s="655" t="s">
        <v>195</v>
      </c>
      <c r="F203" s="675" t="s">
        <v>190</v>
      </c>
      <c r="G203" s="655" t="s">
        <v>366</v>
      </c>
      <c r="H203" s="676" t="s">
        <v>307</v>
      </c>
      <c r="I203" s="677"/>
      <c r="J203" s="677"/>
      <c r="K203" s="678" t="s">
        <v>224</v>
      </c>
      <c r="L203" s="675"/>
      <c r="M203" s="673" t="s">
        <v>380</v>
      </c>
      <c r="N203" s="655" t="s">
        <v>84</v>
      </c>
    </row>
    <row r="204" spans="2:15" x14ac:dyDescent="0.2">
      <c r="B204" s="669">
        <v>45744</v>
      </c>
      <c r="C204" s="669" t="s">
        <v>236</v>
      </c>
      <c r="D204" s="168" t="s">
        <v>194</v>
      </c>
      <c r="E204" s="839" t="s">
        <v>908</v>
      </c>
      <c r="F204" s="168">
        <v>2400</v>
      </c>
      <c r="G204" s="168" t="s">
        <v>367</v>
      </c>
      <c r="H204" s="670"/>
      <c r="I204" s="670"/>
      <c r="J204" s="670"/>
      <c r="K204" s="671">
        <v>400</v>
      </c>
      <c r="L204" s="671"/>
      <c r="M204" s="168"/>
      <c r="N204" s="672">
        <f>F204-K204</f>
        <v>2000</v>
      </c>
      <c r="O204" t="s">
        <v>194</v>
      </c>
    </row>
    <row r="205" spans="2:15" x14ac:dyDescent="0.2">
      <c r="B205" s="669"/>
      <c r="C205" s="669" t="s">
        <v>282</v>
      </c>
      <c r="D205" s="168" t="s">
        <v>410</v>
      </c>
      <c r="E205" s="840"/>
      <c r="F205" s="168">
        <v>1200</v>
      </c>
      <c r="G205" s="168" t="s">
        <v>369</v>
      </c>
      <c r="H205" s="670"/>
      <c r="I205" s="670"/>
      <c r="J205" s="670"/>
      <c r="K205" s="671"/>
      <c r="L205" s="671"/>
      <c r="M205" s="168"/>
      <c r="N205" s="672">
        <v>1200</v>
      </c>
      <c r="O205" t="s">
        <v>410</v>
      </c>
    </row>
    <row r="206" spans="2:15" x14ac:dyDescent="0.2">
      <c r="B206" s="669"/>
      <c r="C206" s="669" t="s">
        <v>281</v>
      </c>
      <c r="D206" s="168" t="s">
        <v>222</v>
      </c>
      <c r="E206" s="840"/>
      <c r="F206" s="168">
        <v>2200</v>
      </c>
      <c r="G206" s="16" t="s">
        <v>368</v>
      </c>
      <c r="H206" s="165"/>
      <c r="I206" s="165"/>
      <c r="J206" s="165"/>
      <c r="K206" s="671"/>
      <c r="L206" s="671"/>
      <c r="M206" s="168"/>
      <c r="N206" s="672">
        <v>2200</v>
      </c>
      <c r="O206" t="s">
        <v>222</v>
      </c>
    </row>
    <row r="207" spans="2:15" x14ac:dyDescent="0.2">
      <c r="B207" s="669"/>
      <c r="C207" s="669" t="s">
        <v>421</v>
      </c>
      <c r="D207" s="168" t="s">
        <v>262</v>
      </c>
      <c r="E207" s="841"/>
      <c r="F207" s="168">
        <v>1500</v>
      </c>
      <c r="G207" s="16" t="s">
        <v>422</v>
      </c>
      <c r="H207" s="165"/>
      <c r="I207" s="165"/>
      <c r="J207" s="165"/>
      <c r="K207" s="671"/>
      <c r="L207" s="671"/>
      <c r="M207" s="168"/>
      <c r="N207" s="672">
        <v>1500</v>
      </c>
      <c r="O207" t="s">
        <v>262</v>
      </c>
    </row>
    <row r="208" spans="2:15" x14ac:dyDescent="0.2">
      <c r="B208" s="168"/>
      <c r="C208" s="168"/>
      <c r="D208" s="679"/>
      <c r="E208" s="695"/>
      <c r="F208" s="168"/>
      <c r="G208" s="16"/>
      <c r="H208" s="165"/>
      <c r="I208" s="165"/>
      <c r="J208" s="165"/>
      <c r="K208" s="671"/>
      <c r="L208" s="671"/>
      <c r="M208" s="168"/>
      <c r="N208" s="672">
        <f>SUM(N204:N207)</f>
        <v>6900</v>
      </c>
    </row>
    <row r="209" spans="2:15" ht="16" thickBot="1" x14ac:dyDescent="0.25"/>
    <row r="210" spans="2:15" ht="47.25" customHeight="1" thickBot="1" x14ac:dyDescent="0.25">
      <c r="B210" s="456" t="s">
        <v>76</v>
      </c>
      <c r="C210" s="440" t="s">
        <v>230</v>
      </c>
      <c r="D210" s="457" t="s">
        <v>189</v>
      </c>
      <c r="E210" s="655" t="s">
        <v>313</v>
      </c>
      <c r="F210" s="458" t="s">
        <v>312</v>
      </c>
      <c r="G210" s="440" t="s">
        <v>314</v>
      </c>
      <c r="H210" s="173" t="s">
        <v>299</v>
      </c>
      <c r="I210" s="459" t="s">
        <v>299</v>
      </c>
      <c r="J210" s="459" t="s">
        <v>308</v>
      </c>
      <c r="K210" s="460" t="s">
        <v>366</v>
      </c>
      <c r="L210" s="458"/>
      <c r="M210" s="440" t="s">
        <v>299</v>
      </c>
      <c r="N210" s="461" t="s">
        <v>84</v>
      </c>
    </row>
    <row r="211" spans="2:15" ht="49" thickBot="1" x14ac:dyDescent="0.25">
      <c r="B211" s="450">
        <v>45751</v>
      </c>
      <c r="C211" s="452" t="s">
        <v>231</v>
      </c>
      <c r="D211" s="33" t="s">
        <v>196</v>
      </c>
      <c r="E211" s="839" t="s">
        <v>946</v>
      </c>
      <c r="F211" s="33">
        <f>16+18+7+16+16.5</f>
        <v>73.5</v>
      </c>
      <c r="G211" s="28">
        <v>6</v>
      </c>
      <c r="H211" s="453"/>
      <c r="I211" s="454"/>
      <c r="J211" s="454"/>
      <c r="K211" s="545" t="s">
        <v>370</v>
      </c>
      <c r="L211" s="645"/>
      <c r="M211" s="28">
        <v>29</v>
      </c>
      <c r="N211" s="455">
        <f>(G211*300)+(0*150)+(M211*30)-260</f>
        <v>2410</v>
      </c>
      <c r="O211" t="s">
        <v>196</v>
      </c>
    </row>
    <row r="212" spans="2:15" ht="49" thickBot="1" x14ac:dyDescent="0.25">
      <c r="B212" s="450"/>
      <c r="C212" s="202" t="s">
        <v>232</v>
      </c>
      <c r="D212" s="652" t="s">
        <v>413</v>
      </c>
      <c r="E212" s="840"/>
      <c r="F212" s="451">
        <v>73.5</v>
      </c>
      <c r="G212" s="330">
        <v>6</v>
      </c>
      <c r="H212" s="441"/>
      <c r="I212" s="165"/>
      <c r="J212" s="477"/>
      <c r="K212" s="546" t="s">
        <v>371</v>
      </c>
      <c r="L212" s="546"/>
      <c r="M212" s="201">
        <v>29</v>
      </c>
      <c r="N212" s="449">
        <f>(G212*225)+(0*112.5)+(M212*30)</f>
        <v>2220</v>
      </c>
      <c r="O212" t="s">
        <v>413</v>
      </c>
    </row>
    <row r="213" spans="2:15" ht="49" thickBot="1" x14ac:dyDescent="0.25">
      <c r="B213" s="202"/>
      <c r="C213" s="447" t="s">
        <v>233</v>
      </c>
      <c r="D213" s="653" t="s">
        <v>199</v>
      </c>
      <c r="E213" s="840"/>
      <c r="F213" s="654">
        <v>71</v>
      </c>
      <c r="G213" s="330">
        <v>6</v>
      </c>
      <c r="H213" s="441"/>
      <c r="I213" s="165"/>
      <c r="J213" s="165"/>
      <c r="K213" s="546" t="s">
        <v>372</v>
      </c>
      <c r="L213" s="546"/>
      <c r="M213" s="201">
        <v>29</v>
      </c>
      <c r="N213" s="449">
        <f>(G213*250)+(0*125)+(M213*30)-130</f>
        <v>2240</v>
      </c>
      <c r="O213" t="s">
        <v>199</v>
      </c>
    </row>
    <row r="214" spans="2:15" ht="49" thickBot="1" x14ac:dyDescent="0.25">
      <c r="B214" s="201"/>
      <c r="C214" s="200" t="s">
        <v>235</v>
      </c>
      <c r="D214" s="653" t="s">
        <v>193</v>
      </c>
      <c r="E214" s="841"/>
      <c r="F214" s="451">
        <v>72</v>
      </c>
      <c r="G214" s="330">
        <v>6</v>
      </c>
      <c r="H214" s="441"/>
      <c r="I214" s="165"/>
      <c r="J214" s="165"/>
      <c r="K214" s="546" t="s">
        <v>371</v>
      </c>
      <c r="L214" s="646"/>
      <c r="M214" s="28">
        <v>29</v>
      </c>
      <c r="N214" s="449">
        <f>(G214*225)+(0*112.5)+(M214*30)-150</f>
        <v>2070</v>
      </c>
      <c r="O214" t="s">
        <v>193</v>
      </c>
    </row>
    <row r="215" spans="2:15" ht="49" thickBot="1" x14ac:dyDescent="0.25">
      <c r="B215" s="41"/>
      <c r="C215" s="201" t="s">
        <v>234</v>
      </c>
      <c r="D215" s="188" t="s">
        <v>420</v>
      </c>
      <c r="E215" s="839" t="s">
        <v>947</v>
      </c>
      <c r="F215" s="33">
        <v>68</v>
      </c>
      <c r="G215" s="201">
        <v>5</v>
      </c>
      <c r="H215" s="441"/>
      <c r="I215" s="165"/>
      <c r="J215" s="165"/>
      <c r="K215" s="546" t="s">
        <v>371</v>
      </c>
      <c r="L215" s="647"/>
      <c r="M215" s="23">
        <v>28</v>
      </c>
      <c r="N215" s="449">
        <f>(G215*225)+(0*112.5)+(M215*30)-130</f>
        <v>1835</v>
      </c>
      <c r="O215" t="s">
        <v>420</v>
      </c>
    </row>
    <row r="216" spans="2:15" ht="17" thickBot="1" x14ac:dyDescent="0.25">
      <c r="B216" s="201"/>
      <c r="C216" s="555" t="s">
        <v>277</v>
      </c>
      <c r="D216" s="667" t="s">
        <v>315</v>
      </c>
      <c r="E216" s="840"/>
      <c r="F216" s="451">
        <v>69</v>
      </c>
      <c r="G216" s="201">
        <v>5</v>
      </c>
      <c r="H216" s="441"/>
      <c r="I216" s="165"/>
      <c r="J216" s="477"/>
      <c r="K216" s="478" t="s">
        <v>373</v>
      </c>
      <c r="L216" s="478"/>
      <c r="M216" s="201">
        <v>29</v>
      </c>
      <c r="N216" s="449">
        <f>(G216*225)+(0*112.5)+(M216*30)</f>
        <v>1995</v>
      </c>
      <c r="O216" t="s">
        <v>315</v>
      </c>
    </row>
    <row r="217" spans="2:15" ht="16" thickBot="1" x14ac:dyDescent="0.25">
      <c r="B217" s="201"/>
      <c r="C217" s="201"/>
      <c r="D217" s="201"/>
      <c r="E217" s="713"/>
      <c r="F217" s="170"/>
      <c r="G217" s="205"/>
      <c r="H217" s="442"/>
      <c r="I217" s="181"/>
      <c r="J217" s="181"/>
      <c r="K217" s="448"/>
      <c r="L217" s="644"/>
      <c r="M217" s="443"/>
      <c r="N217" s="444">
        <f>SUM(N211:N216)</f>
        <v>12770</v>
      </c>
    </row>
    <row r="218" spans="2:15" ht="16" thickBot="1" x14ac:dyDescent="0.25">
      <c r="E218" s="714"/>
    </row>
    <row r="219" spans="2:15" ht="45" customHeight="1" x14ac:dyDescent="0.2">
      <c r="B219" s="673" t="s">
        <v>340</v>
      </c>
      <c r="C219" s="655" t="s">
        <v>230</v>
      </c>
      <c r="D219" s="674" t="s">
        <v>189</v>
      </c>
      <c r="E219" s="655" t="s">
        <v>195</v>
      </c>
      <c r="F219" s="675" t="s">
        <v>190</v>
      </c>
      <c r="G219" s="655" t="s">
        <v>366</v>
      </c>
      <c r="H219" s="676" t="s">
        <v>307</v>
      </c>
      <c r="I219" s="677"/>
      <c r="J219" s="677"/>
      <c r="K219" s="678" t="s">
        <v>224</v>
      </c>
      <c r="L219" s="675"/>
      <c r="M219" s="673" t="s">
        <v>380</v>
      </c>
      <c r="N219" s="655" t="s">
        <v>84</v>
      </c>
    </row>
    <row r="220" spans="2:15" x14ac:dyDescent="0.2">
      <c r="B220" s="669">
        <v>45751</v>
      </c>
      <c r="C220" s="669" t="s">
        <v>236</v>
      </c>
      <c r="D220" s="168" t="s">
        <v>194</v>
      </c>
      <c r="E220" s="839" t="s">
        <v>948</v>
      </c>
      <c r="F220" s="168">
        <v>2000</v>
      </c>
      <c r="G220" s="168" t="s">
        <v>367</v>
      </c>
      <c r="H220" s="670"/>
      <c r="I220" s="670"/>
      <c r="J220" s="670"/>
      <c r="K220" s="671">
        <v>500</v>
      </c>
      <c r="L220" s="671"/>
      <c r="M220" s="168"/>
      <c r="N220" s="672">
        <f>F220-K220</f>
        <v>1500</v>
      </c>
      <c r="O220" t="s">
        <v>194</v>
      </c>
    </row>
    <row r="221" spans="2:15" x14ac:dyDescent="0.2">
      <c r="B221" s="669"/>
      <c r="C221" s="669" t="s">
        <v>282</v>
      </c>
      <c r="D221" s="168" t="s">
        <v>410</v>
      </c>
      <c r="E221" s="840"/>
      <c r="F221" s="168">
        <v>1000</v>
      </c>
      <c r="G221" s="168" t="s">
        <v>369</v>
      </c>
      <c r="H221" s="670"/>
      <c r="I221" s="670"/>
      <c r="J221" s="670"/>
      <c r="K221" s="671"/>
      <c r="L221" s="671"/>
      <c r="M221" s="168"/>
      <c r="N221" s="672">
        <v>1000</v>
      </c>
      <c r="O221" t="s">
        <v>410</v>
      </c>
    </row>
    <row r="222" spans="2:15" x14ac:dyDescent="0.2">
      <c r="B222" s="669"/>
      <c r="C222" s="669" t="s">
        <v>281</v>
      </c>
      <c r="D222" s="168" t="s">
        <v>222</v>
      </c>
      <c r="E222" s="840"/>
      <c r="F222" s="168">
        <v>1900</v>
      </c>
      <c r="G222" s="16" t="s">
        <v>368</v>
      </c>
      <c r="H222" s="165"/>
      <c r="I222" s="165"/>
      <c r="J222" s="165"/>
      <c r="K222" s="671"/>
      <c r="L222" s="671"/>
      <c r="M222" s="168"/>
      <c r="N222" s="672">
        <v>1900</v>
      </c>
      <c r="O222" t="s">
        <v>222</v>
      </c>
    </row>
    <row r="223" spans="2:15" x14ac:dyDescent="0.2">
      <c r="B223" s="669"/>
      <c r="C223" s="669" t="s">
        <v>421</v>
      </c>
      <c r="D223" s="168" t="s">
        <v>262</v>
      </c>
      <c r="E223" s="841"/>
      <c r="F223" s="168">
        <v>1500</v>
      </c>
      <c r="G223" s="16" t="s">
        <v>422</v>
      </c>
      <c r="H223" s="165"/>
      <c r="I223" s="165"/>
      <c r="J223" s="165"/>
      <c r="K223" s="671"/>
      <c r="L223" s="671"/>
      <c r="M223" s="168"/>
      <c r="N223" s="672">
        <v>1500</v>
      </c>
      <c r="O223" t="s">
        <v>262</v>
      </c>
    </row>
    <row r="224" spans="2:15" x14ac:dyDescent="0.2">
      <c r="B224" s="168"/>
      <c r="C224" s="168"/>
      <c r="D224" s="679"/>
      <c r="E224" s="695"/>
      <c r="F224" s="168"/>
      <c r="G224" s="16"/>
      <c r="H224" s="165"/>
      <c r="I224" s="165"/>
      <c r="J224" s="165"/>
      <c r="K224" s="671"/>
      <c r="L224" s="671"/>
      <c r="M224" s="168"/>
      <c r="N224" s="672">
        <f>SUM(N220:N223)</f>
        <v>5900</v>
      </c>
    </row>
    <row r="225" spans="2:15" ht="16" thickBot="1" x14ac:dyDescent="0.25"/>
    <row r="226" spans="2:15" ht="58.5" customHeight="1" thickBot="1" x14ac:dyDescent="0.25">
      <c r="B226" s="456" t="s">
        <v>340</v>
      </c>
      <c r="C226" s="440" t="s">
        <v>230</v>
      </c>
      <c r="D226" s="457" t="s">
        <v>189</v>
      </c>
      <c r="E226" s="440" t="s">
        <v>313</v>
      </c>
      <c r="F226" s="458" t="s">
        <v>312</v>
      </c>
      <c r="G226" s="440" t="s">
        <v>314</v>
      </c>
      <c r="H226" s="173" t="s">
        <v>299</v>
      </c>
      <c r="I226" s="459" t="s">
        <v>299</v>
      </c>
      <c r="J226" s="459" t="s">
        <v>308</v>
      </c>
      <c r="K226" s="460" t="s">
        <v>366</v>
      </c>
      <c r="L226" s="440" t="s">
        <v>224</v>
      </c>
      <c r="M226" s="440" t="s">
        <v>299</v>
      </c>
      <c r="N226" s="692" t="s">
        <v>84</v>
      </c>
    </row>
    <row r="227" spans="2:15" ht="49" thickBot="1" x14ac:dyDescent="0.25">
      <c r="B227" s="202">
        <v>45758</v>
      </c>
      <c r="C227" s="452" t="s">
        <v>231</v>
      </c>
      <c r="D227" s="33" t="s">
        <v>188</v>
      </c>
      <c r="E227" s="844" t="s">
        <v>980</v>
      </c>
      <c r="F227" s="33">
        <f>13+15.5+10.5+12</f>
        <v>51</v>
      </c>
      <c r="G227" s="28">
        <v>5</v>
      </c>
      <c r="H227" s="453"/>
      <c r="I227" s="454"/>
      <c r="J227" s="651"/>
      <c r="K227" s="545" t="s">
        <v>379</v>
      </c>
      <c r="L227" s="645"/>
      <c r="M227" s="690">
        <v>14</v>
      </c>
      <c r="N227" s="672">
        <f>(G227*260)+(M227*30)</f>
        <v>1720</v>
      </c>
      <c r="O227" t="s">
        <v>188</v>
      </c>
    </row>
    <row r="228" spans="2:15" ht="49" thickBot="1" x14ac:dyDescent="0.25">
      <c r="B228" s="450"/>
      <c r="C228" s="202" t="s">
        <v>232</v>
      </c>
      <c r="D228" s="23" t="s">
        <v>303</v>
      </c>
      <c r="E228" s="845"/>
      <c r="F228" s="201">
        <v>54</v>
      </c>
      <c r="G228" s="330">
        <v>5</v>
      </c>
      <c r="H228" s="441"/>
      <c r="I228" s="165"/>
      <c r="J228" s="165"/>
      <c r="K228" s="546" t="s">
        <v>371</v>
      </c>
      <c r="L228" s="546"/>
      <c r="M228" s="474">
        <v>14</v>
      </c>
      <c r="N228" s="672">
        <f>(G228*225)+(M228*30)-550</f>
        <v>995</v>
      </c>
      <c r="O228" t="s">
        <v>303</v>
      </c>
    </row>
    <row r="229" spans="2:15" ht="49" thickBot="1" x14ac:dyDescent="0.25">
      <c r="B229" s="450"/>
      <c r="C229" s="450" t="s">
        <v>233</v>
      </c>
      <c r="D229" s="446" t="s">
        <v>310</v>
      </c>
      <c r="E229" s="845"/>
      <c r="F229" s="23">
        <v>58</v>
      </c>
      <c r="G229" s="693">
        <v>5</v>
      </c>
      <c r="H229" s="467"/>
      <c r="I229" s="468"/>
      <c r="J229" s="468"/>
      <c r="K229" s="546" t="s">
        <v>372</v>
      </c>
      <c r="L229" s="647"/>
      <c r="M229" s="652">
        <v>14</v>
      </c>
      <c r="N229" s="672">
        <f>(G229*250)+(M229*30)</f>
        <v>1670</v>
      </c>
      <c r="O229" t="s">
        <v>310</v>
      </c>
    </row>
    <row r="230" spans="2:15" ht="49" thickBot="1" x14ac:dyDescent="0.25">
      <c r="B230" s="202"/>
      <c r="C230" s="202" t="s">
        <v>234</v>
      </c>
      <c r="D230" s="473" t="s">
        <v>344</v>
      </c>
      <c r="E230" s="845"/>
      <c r="F230" s="474">
        <v>56</v>
      </c>
      <c r="G230" s="330">
        <v>5</v>
      </c>
      <c r="H230" s="475"/>
      <c r="I230" s="472"/>
      <c r="J230" s="472"/>
      <c r="K230" s="546" t="s">
        <v>371</v>
      </c>
      <c r="L230" s="648"/>
      <c r="M230" s="474">
        <v>14</v>
      </c>
      <c r="N230" s="672">
        <f>(G230*225)+(M230*30)-200</f>
        <v>1345</v>
      </c>
      <c r="O230" t="s">
        <v>344</v>
      </c>
    </row>
    <row r="231" spans="2:15" ht="49" thickBot="1" x14ac:dyDescent="0.25">
      <c r="B231" s="41"/>
      <c r="C231" s="41" t="s">
        <v>235</v>
      </c>
      <c r="D231" s="469" t="s">
        <v>345</v>
      </c>
      <c r="E231" s="845"/>
      <c r="F231" s="41">
        <v>58</v>
      </c>
      <c r="G231" s="694">
        <v>5</v>
      </c>
      <c r="H231" s="470"/>
      <c r="I231" s="471"/>
      <c r="J231" s="471"/>
      <c r="K231" s="546" t="s">
        <v>371</v>
      </c>
      <c r="L231" s="649"/>
      <c r="M231" s="691">
        <v>14</v>
      </c>
      <c r="N231" s="672">
        <f>(G231*225)+(M231*30)-200</f>
        <v>1345</v>
      </c>
      <c r="O231" t="s">
        <v>345</v>
      </c>
    </row>
    <row r="232" spans="2:15" ht="17" thickBot="1" x14ac:dyDescent="0.25">
      <c r="B232" s="201"/>
      <c r="C232" s="201" t="s">
        <v>277</v>
      </c>
      <c r="D232" s="188" t="s">
        <v>397</v>
      </c>
      <c r="E232" s="846"/>
      <c r="F232" s="33">
        <v>58</v>
      </c>
      <c r="G232" s="201">
        <v>5</v>
      </c>
      <c r="H232" s="441"/>
      <c r="I232" s="165"/>
      <c r="J232" s="165"/>
      <c r="K232" s="478" t="s">
        <v>373</v>
      </c>
      <c r="L232" s="650"/>
      <c r="M232" s="201">
        <v>14</v>
      </c>
      <c r="N232" s="455">
        <f>(G232*225)+(M232*30)-200</f>
        <v>1345</v>
      </c>
      <c r="O232" t="s">
        <v>397</v>
      </c>
    </row>
    <row r="233" spans="2:15" ht="16" thickBot="1" x14ac:dyDescent="0.25">
      <c r="B233" s="201"/>
      <c r="C233" s="201"/>
      <c r="D233" s="201"/>
      <c r="E233" s="687"/>
      <c r="F233" s="170"/>
      <c r="G233" s="205"/>
      <c r="H233" s="442"/>
      <c r="I233" s="181"/>
      <c r="J233" s="181"/>
      <c r="K233" s="448"/>
      <c r="L233" s="644"/>
      <c r="M233" s="443"/>
      <c r="N233" s="444">
        <f>SUM(N227:N232)</f>
        <v>8420</v>
      </c>
    </row>
    <row r="234" spans="2:15" ht="16" thickBot="1" x14ac:dyDescent="0.25"/>
    <row r="235" spans="2:15" ht="36" customHeight="1" x14ac:dyDescent="0.2">
      <c r="B235" s="673" t="s">
        <v>340</v>
      </c>
      <c r="C235" s="655" t="s">
        <v>230</v>
      </c>
      <c r="D235" s="674" t="s">
        <v>189</v>
      </c>
      <c r="E235" s="655" t="s">
        <v>195</v>
      </c>
      <c r="F235" s="675" t="s">
        <v>190</v>
      </c>
      <c r="G235" s="655" t="s">
        <v>366</v>
      </c>
      <c r="H235" s="676" t="s">
        <v>307</v>
      </c>
      <c r="I235" s="677"/>
      <c r="J235" s="677"/>
      <c r="K235" s="678" t="s">
        <v>224</v>
      </c>
      <c r="L235" s="675"/>
      <c r="M235" s="673" t="s">
        <v>380</v>
      </c>
      <c r="N235" s="655" t="s">
        <v>84</v>
      </c>
    </row>
    <row r="236" spans="2:15" ht="16" x14ac:dyDescent="0.2">
      <c r="B236" s="669">
        <v>45758</v>
      </c>
      <c r="C236" s="669" t="s">
        <v>236</v>
      </c>
      <c r="D236" s="168" t="s">
        <v>194</v>
      </c>
      <c r="E236" s="695" t="s">
        <v>981</v>
      </c>
      <c r="F236" s="168">
        <v>2400</v>
      </c>
      <c r="G236" s="168" t="s">
        <v>367</v>
      </c>
      <c r="H236" s="670"/>
      <c r="I236" s="670"/>
      <c r="J236" s="670"/>
      <c r="K236" s="671">
        <v>400</v>
      </c>
      <c r="L236" s="671"/>
      <c r="M236" s="168"/>
      <c r="N236" s="672">
        <f>F236-K236</f>
        <v>2000</v>
      </c>
      <c r="O236" t="s">
        <v>194</v>
      </c>
    </row>
    <row r="237" spans="2:15" x14ac:dyDescent="0.2">
      <c r="B237" s="669"/>
      <c r="C237" s="669" t="s">
        <v>282</v>
      </c>
      <c r="D237" s="168" t="s">
        <v>410</v>
      </c>
      <c r="E237" s="839" t="s">
        <v>982</v>
      </c>
      <c r="F237" s="168">
        <v>1000</v>
      </c>
      <c r="G237" s="168" t="s">
        <v>369</v>
      </c>
      <c r="H237" s="670"/>
      <c r="I237" s="670"/>
      <c r="J237" s="670"/>
      <c r="K237" s="671"/>
      <c r="L237" s="671"/>
      <c r="M237" s="168"/>
      <c r="N237" s="672">
        <v>1000</v>
      </c>
      <c r="O237" t="s">
        <v>410</v>
      </c>
    </row>
    <row r="238" spans="2:15" x14ac:dyDescent="0.2">
      <c r="B238" s="669"/>
      <c r="C238" s="669" t="s">
        <v>281</v>
      </c>
      <c r="D238" s="168" t="s">
        <v>222</v>
      </c>
      <c r="E238" s="840"/>
      <c r="F238" s="168">
        <v>1900</v>
      </c>
      <c r="G238" s="16" t="s">
        <v>368</v>
      </c>
      <c r="H238" s="165"/>
      <c r="I238" s="165"/>
      <c r="J238" s="165"/>
      <c r="K238" s="671"/>
      <c r="L238" s="671"/>
      <c r="M238" s="168"/>
      <c r="N238" s="672">
        <v>1900</v>
      </c>
      <c r="O238" t="s">
        <v>222</v>
      </c>
    </row>
    <row r="239" spans="2:15" x14ac:dyDescent="0.2">
      <c r="B239" s="669"/>
      <c r="C239" s="669" t="s">
        <v>421</v>
      </c>
      <c r="D239" s="168" t="s">
        <v>262</v>
      </c>
      <c r="E239" s="841"/>
      <c r="F239" s="168">
        <v>1500</v>
      </c>
      <c r="G239" s="16" t="s">
        <v>422</v>
      </c>
      <c r="H239" s="165"/>
      <c r="I239" s="165"/>
      <c r="J239" s="165"/>
      <c r="K239" s="671"/>
      <c r="L239" s="671"/>
      <c r="M239" s="168"/>
      <c r="N239" s="672">
        <v>1500</v>
      </c>
      <c r="O239" t="s">
        <v>262</v>
      </c>
    </row>
    <row r="240" spans="2:15" x14ac:dyDescent="0.2">
      <c r="B240" s="168"/>
      <c r="C240" s="168"/>
      <c r="D240" s="679"/>
      <c r="E240" s="695"/>
      <c r="F240" s="168"/>
      <c r="G240" s="16"/>
      <c r="H240" s="165"/>
      <c r="I240" s="165"/>
      <c r="J240" s="165"/>
      <c r="K240" s="671"/>
      <c r="L240" s="671"/>
      <c r="M240" s="168"/>
      <c r="N240" s="672">
        <f>SUM(N236:N239)</f>
        <v>6400</v>
      </c>
    </row>
    <row r="241" spans="2:15" ht="16" thickBot="1" x14ac:dyDescent="0.25"/>
    <row r="242" spans="2:15" ht="54" customHeight="1" thickBot="1" x14ac:dyDescent="0.25">
      <c r="B242" s="456" t="s">
        <v>76</v>
      </c>
      <c r="C242" s="440" t="s">
        <v>230</v>
      </c>
      <c r="D242" s="457" t="s">
        <v>189</v>
      </c>
      <c r="E242" s="655" t="s">
        <v>313</v>
      </c>
      <c r="F242" s="458" t="s">
        <v>312</v>
      </c>
      <c r="G242" s="440" t="s">
        <v>314</v>
      </c>
      <c r="H242" s="173" t="s">
        <v>299</v>
      </c>
      <c r="I242" s="459" t="s">
        <v>299</v>
      </c>
      <c r="J242" s="459" t="s">
        <v>308</v>
      </c>
      <c r="K242" s="460" t="s">
        <v>366</v>
      </c>
      <c r="L242" s="458"/>
      <c r="M242" s="440" t="s">
        <v>299</v>
      </c>
      <c r="N242" s="461" t="s">
        <v>84</v>
      </c>
    </row>
    <row r="243" spans="2:15" ht="49" thickBot="1" x14ac:dyDescent="0.25">
      <c r="B243" s="450">
        <v>45765</v>
      </c>
      <c r="C243" s="452" t="s">
        <v>231</v>
      </c>
      <c r="D243" s="33" t="s">
        <v>196</v>
      </c>
      <c r="E243" s="839" t="s">
        <v>1019</v>
      </c>
      <c r="F243" s="33">
        <f>7.5+16+13.5+13.5+14+9+13+13</f>
        <v>99.5</v>
      </c>
      <c r="G243" s="28">
        <f>9</f>
        <v>9</v>
      </c>
      <c r="H243" s="453"/>
      <c r="I243" s="454"/>
      <c r="J243" s="454"/>
      <c r="K243" s="545" t="s">
        <v>370</v>
      </c>
      <c r="L243" s="645"/>
      <c r="M243" s="28">
        <f>6+12+3</f>
        <v>21</v>
      </c>
      <c r="N243" s="455">
        <f>(G243*300)+(0*150)+(M243*30)-520</f>
        <v>2810</v>
      </c>
      <c r="O243" t="s">
        <v>196</v>
      </c>
    </row>
    <row r="244" spans="2:15" ht="49" thickBot="1" x14ac:dyDescent="0.25">
      <c r="B244" s="450"/>
      <c r="C244" s="202" t="s">
        <v>232</v>
      </c>
      <c r="D244" s="652" t="s">
        <v>413</v>
      </c>
      <c r="E244" s="840"/>
      <c r="F244" s="451">
        <v>99.5</v>
      </c>
      <c r="G244" s="330">
        <v>9</v>
      </c>
      <c r="H244" s="441"/>
      <c r="I244" s="165"/>
      <c r="J244" s="477"/>
      <c r="K244" s="546" t="s">
        <v>371</v>
      </c>
      <c r="L244" s="546"/>
      <c r="M244" s="201">
        <v>21</v>
      </c>
      <c r="N244" s="449">
        <f>(G244*225)+(0*112.5)+(M244*30)</f>
        <v>2655</v>
      </c>
      <c r="O244" t="s">
        <v>413</v>
      </c>
    </row>
    <row r="245" spans="2:15" ht="49" thickBot="1" x14ac:dyDescent="0.25">
      <c r="B245" s="202"/>
      <c r="C245" s="447" t="s">
        <v>233</v>
      </c>
      <c r="D245" s="653" t="s">
        <v>199</v>
      </c>
      <c r="E245" s="840"/>
      <c r="F245" s="654">
        <v>97.5</v>
      </c>
      <c r="G245" s="330">
        <v>9</v>
      </c>
      <c r="H245" s="441"/>
      <c r="I245" s="165"/>
      <c r="J245" s="165"/>
      <c r="K245" s="546" t="s">
        <v>372</v>
      </c>
      <c r="L245" s="546"/>
      <c r="M245" s="201">
        <v>21</v>
      </c>
      <c r="N245" s="449">
        <f>(G245*250)+(0*125)+(M245*30)-130</f>
        <v>2750</v>
      </c>
      <c r="O245" t="s">
        <v>199</v>
      </c>
    </row>
    <row r="246" spans="2:15" ht="49" thickBot="1" x14ac:dyDescent="0.25">
      <c r="B246" s="201"/>
      <c r="C246" s="200" t="s">
        <v>235</v>
      </c>
      <c r="D246" s="653" t="s">
        <v>193</v>
      </c>
      <c r="E246" s="841"/>
      <c r="F246" s="451">
        <v>98</v>
      </c>
      <c r="G246" s="330">
        <v>9</v>
      </c>
      <c r="H246" s="441"/>
      <c r="I246" s="165"/>
      <c r="J246" s="165"/>
      <c r="K246" s="546" t="s">
        <v>371</v>
      </c>
      <c r="L246" s="646"/>
      <c r="M246" s="28">
        <v>21</v>
      </c>
      <c r="N246" s="449">
        <f>(G246*225)+(0*112.5)+(M246*30)</f>
        <v>2655</v>
      </c>
      <c r="O246" t="s">
        <v>193</v>
      </c>
    </row>
    <row r="247" spans="2:15" ht="49" thickBot="1" x14ac:dyDescent="0.25">
      <c r="B247" s="41"/>
      <c r="C247" s="201" t="s">
        <v>234</v>
      </c>
      <c r="D247" s="188" t="s">
        <v>420</v>
      </c>
      <c r="E247" s="695" t="s">
        <v>1020</v>
      </c>
      <c r="F247" s="33">
        <v>90</v>
      </c>
      <c r="G247" s="201">
        <v>8</v>
      </c>
      <c r="H247" s="441"/>
      <c r="I247" s="165"/>
      <c r="J247" s="165"/>
      <c r="K247" s="546" t="s">
        <v>371</v>
      </c>
      <c r="L247" s="647"/>
      <c r="M247" s="23">
        <f>14+5</f>
        <v>19</v>
      </c>
      <c r="N247" s="449">
        <f>(G247*225)+(0*112.5)+(M247*30)-130</f>
        <v>2240</v>
      </c>
      <c r="O247" t="s">
        <v>420</v>
      </c>
    </row>
    <row r="248" spans="2:15" ht="32.25" customHeight="1" thickBot="1" x14ac:dyDescent="0.25">
      <c r="B248" s="201"/>
      <c r="C248" s="555" t="s">
        <v>277</v>
      </c>
      <c r="D248" s="667" t="s">
        <v>315</v>
      </c>
      <c r="E248" s="708" t="s">
        <v>1019</v>
      </c>
      <c r="F248" s="451">
        <v>99</v>
      </c>
      <c r="G248" s="201">
        <v>9</v>
      </c>
      <c r="H248" s="441"/>
      <c r="I248" s="165"/>
      <c r="J248" s="477"/>
      <c r="K248" s="478" t="s">
        <v>373</v>
      </c>
      <c r="L248" s="478"/>
      <c r="M248" s="201">
        <f>6+10+5</f>
        <v>21</v>
      </c>
      <c r="N248" s="449">
        <f>(G248*225)+(0*112.5)+(M248*30)</f>
        <v>2655</v>
      </c>
      <c r="O248" t="s">
        <v>315</v>
      </c>
    </row>
    <row r="249" spans="2:15" ht="16" thickBot="1" x14ac:dyDescent="0.25">
      <c r="B249" s="201"/>
      <c r="C249" s="201"/>
      <c r="D249" s="201"/>
      <c r="E249" s="713"/>
      <c r="F249" s="170"/>
      <c r="G249" s="205"/>
      <c r="H249" s="442"/>
      <c r="I249" s="181"/>
      <c r="J249" s="181"/>
      <c r="K249" s="448"/>
      <c r="L249" s="644"/>
      <c r="M249" s="443"/>
      <c r="N249" s="444">
        <f>SUM(N243:N248)</f>
        <v>15765</v>
      </c>
    </row>
    <row r="250" spans="2:15" ht="16" thickBot="1" x14ac:dyDescent="0.25">
      <c r="E250" s="713"/>
    </row>
    <row r="251" spans="2:15" ht="39.75" customHeight="1" x14ac:dyDescent="0.2">
      <c r="B251" s="673" t="s">
        <v>340</v>
      </c>
      <c r="C251" s="655" t="s">
        <v>230</v>
      </c>
      <c r="D251" s="674" t="s">
        <v>189</v>
      </c>
      <c r="E251" s="655" t="s">
        <v>313</v>
      </c>
      <c r="F251" s="675" t="s">
        <v>190</v>
      </c>
      <c r="G251" s="655" t="s">
        <v>366</v>
      </c>
      <c r="H251" s="676" t="s">
        <v>307</v>
      </c>
      <c r="I251" s="677"/>
      <c r="J251" s="677"/>
      <c r="K251" s="678" t="s">
        <v>224</v>
      </c>
      <c r="L251" s="675"/>
      <c r="M251" s="673" t="s">
        <v>380</v>
      </c>
      <c r="N251" s="655" t="s">
        <v>84</v>
      </c>
    </row>
    <row r="252" spans="2:15" x14ac:dyDescent="0.2">
      <c r="B252" s="669">
        <v>45765</v>
      </c>
      <c r="C252" s="669" t="s">
        <v>236</v>
      </c>
      <c r="D252" s="168" t="s">
        <v>194</v>
      </c>
      <c r="E252" s="839" t="s">
        <v>1021</v>
      </c>
      <c r="F252" s="168">
        <v>2000</v>
      </c>
      <c r="G252" s="168" t="s">
        <v>367</v>
      </c>
      <c r="H252" s="670"/>
      <c r="I252" s="670"/>
      <c r="J252" s="670"/>
      <c r="K252" s="671">
        <v>600</v>
      </c>
      <c r="L252" s="671"/>
      <c r="M252" s="168"/>
      <c r="N252" s="672">
        <f>F252-K252</f>
        <v>1400</v>
      </c>
      <c r="O252" t="s">
        <v>194</v>
      </c>
    </row>
    <row r="253" spans="2:15" x14ac:dyDescent="0.2">
      <c r="B253" s="669"/>
      <c r="C253" s="669" t="s">
        <v>282</v>
      </c>
      <c r="D253" s="168" t="s">
        <v>410</v>
      </c>
      <c r="E253" s="840"/>
      <c r="F253" s="168">
        <v>1000</v>
      </c>
      <c r="G253" s="168" t="s">
        <v>369</v>
      </c>
      <c r="H253" s="670"/>
      <c r="I253" s="670"/>
      <c r="J253" s="670"/>
      <c r="K253" s="671"/>
      <c r="L253" s="671"/>
      <c r="M253" s="168"/>
      <c r="N253" s="672">
        <v>1000</v>
      </c>
      <c r="O253" t="s">
        <v>410</v>
      </c>
    </row>
    <row r="254" spans="2:15" x14ac:dyDescent="0.2">
      <c r="B254" s="669"/>
      <c r="C254" s="669" t="s">
        <v>281</v>
      </c>
      <c r="D254" s="168" t="s">
        <v>222</v>
      </c>
      <c r="E254" s="840"/>
      <c r="F254" s="168">
        <v>1900</v>
      </c>
      <c r="G254" s="16" t="s">
        <v>368</v>
      </c>
      <c r="H254" s="165"/>
      <c r="I254" s="165"/>
      <c r="J254" s="165"/>
      <c r="K254" s="671"/>
      <c r="L254" s="671"/>
      <c r="M254" s="168"/>
      <c r="N254" s="672">
        <v>1900</v>
      </c>
      <c r="O254" t="s">
        <v>222</v>
      </c>
    </row>
    <row r="255" spans="2:15" x14ac:dyDescent="0.2">
      <c r="B255" s="669"/>
      <c r="C255" s="669" t="s">
        <v>421</v>
      </c>
      <c r="D255" s="168" t="s">
        <v>262</v>
      </c>
      <c r="E255" s="841"/>
      <c r="F255" s="168">
        <v>1500</v>
      </c>
      <c r="G255" s="16" t="s">
        <v>422</v>
      </c>
      <c r="H255" s="165"/>
      <c r="I255" s="165"/>
      <c r="J255" s="165"/>
      <c r="K255" s="671"/>
      <c r="L255" s="671"/>
      <c r="M255" s="168"/>
      <c r="N255" s="672">
        <v>1500</v>
      </c>
      <c r="O255" t="s">
        <v>262</v>
      </c>
    </row>
    <row r="256" spans="2:15" x14ac:dyDescent="0.2">
      <c r="B256" s="168"/>
      <c r="C256" s="168"/>
      <c r="D256" s="679"/>
      <c r="E256" s="695"/>
      <c r="F256" s="168"/>
      <c r="G256" s="16"/>
      <c r="H256" s="165"/>
      <c r="I256" s="165"/>
      <c r="J256" s="165"/>
      <c r="K256" s="671"/>
      <c r="L256" s="671"/>
      <c r="M256" s="168"/>
      <c r="N256" s="672">
        <f>SUM(N252:N255)</f>
        <v>5800</v>
      </c>
    </row>
    <row r="257" spans="2:15" ht="16" thickBot="1" x14ac:dyDescent="0.25"/>
    <row r="258" spans="2:15" ht="62.25" customHeight="1" thickBot="1" x14ac:dyDescent="0.25">
      <c r="B258" s="456" t="s">
        <v>340</v>
      </c>
      <c r="C258" s="440" t="s">
        <v>230</v>
      </c>
      <c r="D258" s="457" t="s">
        <v>189</v>
      </c>
      <c r="E258" s="440" t="s">
        <v>313</v>
      </c>
      <c r="F258" s="458" t="s">
        <v>312</v>
      </c>
      <c r="G258" s="440" t="s">
        <v>314</v>
      </c>
      <c r="H258" s="173" t="s">
        <v>299</v>
      </c>
      <c r="I258" s="459" t="s">
        <v>299</v>
      </c>
      <c r="J258" s="459" t="s">
        <v>308</v>
      </c>
      <c r="K258" s="460" t="s">
        <v>366</v>
      </c>
      <c r="L258" s="440" t="s">
        <v>224</v>
      </c>
      <c r="M258" s="440" t="s">
        <v>299</v>
      </c>
      <c r="N258" s="692" t="s">
        <v>84</v>
      </c>
    </row>
    <row r="259" spans="2:15" ht="49" thickBot="1" x14ac:dyDescent="0.25">
      <c r="B259" s="202">
        <v>45772</v>
      </c>
      <c r="C259" s="452" t="s">
        <v>231</v>
      </c>
      <c r="D259" s="33" t="s">
        <v>188</v>
      </c>
      <c r="E259" s="844" t="s">
        <v>1048</v>
      </c>
      <c r="F259" s="33">
        <f>10+12.5+15+13+18+15</f>
        <v>83.5</v>
      </c>
      <c r="G259" s="28">
        <v>8</v>
      </c>
      <c r="H259" s="453"/>
      <c r="I259" s="454"/>
      <c r="J259" s="651"/>
      <c r="K259" s="545" t="s">
        <v>379</v>
      </c>
      <c r="L259" s="645"/>
      <c r="M259" s="690">
        <v>24</v>
      </c>
      <c r="N259" s="672">
        <f>(G259*260)+(M259*30)-80</f>
        <v>2720</v>
      </c>
      <c r="O259" t="s">
        <v>188</v>
      </c>
    </row>
    <row r="260" spans="2:15" ht="49" thickBot="1" x14ac:dyDescent="0.25">
      <c r="B260" s="450"/>
      <c r="C260" s="202" t="s">
        <v>232</v>
      </c>
      <c r="D260" s="23" t="s">
        <v>303</v>
      </c>
      <c r="E260" s="845"/>
      <c r="F260" s="201">
        <v>78</v>
      </c>
      <c r="G260" s="330">
        <v>7</v>
      </c>
      <c r="H260" s="441"/>
      <c r="I260" s="165"/>
      <c r="J260" s="165"/>
      <c r="K260" s="546" t="s">
        <v>371</v>
      </c>
      <c r="L260" s="546"/>
      <c r="M260" s="474">
        <v>20</v>
      </c>
      <c r="N260" s="672">
        <f>(G260*225)+(M260*30)-180</f>
        <v>1995</v>
      </c>
      <c r="O260" t="s">
        <v>303</v>
      </c>
    </row>
    <row r="261" spans="2:15" ht="49" thickBot="1" x14ac:dyDescent="0.25">
      <c r="B261" s="450"/>
      <c r="C261" s="450" t="s">
        <v>233</v>
      </c>
      <c r="D261" s="446" t="s">
        <v>310</v>
      </c>
      <c r="E261" s="845"/>
      <c r="F261" s="23">
        <v>86.5</v>
      </c>
      <c r="G261" s="693">
        <v>8</v>
      </c>
      <c r="H261" s="467"/>
      <c r="I261" s="468"/>
      <c r="J261" s="468"/>
      <c r="K261" s="546" t="s">
        <v>372</v>
      </c>
      <c r="L261" s="647"/>
      <c r="M261" s="652">
        <v>24</v>
      </c>
      <c r="N261" s="672">
        <f>(G261*250)+(M261*30)+225</f>
        <v>2945</v>
      </c>
      <c r="O261" t="s">
        <v>310</v>
      </c>
    </row>
    <row r="262" spans="2:15" ht="49" thickBot="1" x14ac:dyDescent="0.25">
      <c r="B262" s="202"/>
      <c r="C262" s="202" t="s">
        <v>234</v>
      </c>
      <c r="D262" s="473" t="s">
        <v>344</v>
      </c>
      <c r="E262" s="845"/>
      <c r="F262" s="474">
        <v>86</v>
      </c>
      <c r="G262" s="330">
        <v>8</v>
      </c>
      <c r="H262" s="475"/>
      <c r="I262" s="472"/>
      <c r="J262" s="472"/>
      <c r="K262" s="546" t="s">
        <v>371</v>
      </c>
      <c r="L262" s="648"/>
      <c r="M262" s="474">
        <v>24</v>
      </c>
      <c r="N262" s="672">
        <f>(G262*225)+(M262*30)</f>
        <v>2520</v>
      </c>
      <c r="O262" t="s">
        <v>344</v>
      </c>
    </row>
    <row r="263" spans="2:15" ht="49" thickBot="1" x14ac:dyDescent="0.25">
      <c r="B263" s="41"/>
      <c r="C263" s="41" t="s">
        <v>235</v>
      </c>
      <c r="D263" s="469" t="s">
        <v>345</v>
      </c>
      <c r="E263" s="845"/>
      <c r="F263" s="41">
        <v>86</v>
      </c>
      <c r="G263" s="694">
        <v>8</v>
      </c>
      <c r="H263" s="470"/>
      <c r="I263" s="471"/>
      <c r="J263" s="471"/>
      <c r="K263" s="546" t="s">
        <v>371</v>
      </c>
      <c r="L263" s="649"/>
      <c r="M263" s="691">
        <v>24</v>
      </c>
      <c r="N263" s="672">
        <f>(G263*225)+(M263*30)</f>
        <v>2520</v>
      </c>
      <c r="O263" t="s">
        <v>345</v>
      </c>
    </row>
    <row r="264" spans="2:15" ht="17" thickBot="1" x14ac:dyDescent="0.25">
      <c r="B264" s="201"/>
      <c r="C264" s="201" t="s">
        <v>277</v>
      </c>
      <c r="D264" s="188" t="s">
        <v>397</v>
      </c>
      <c r="E264" s="846"/>
      <c r="F264" s="33">
        <v>86</v>
      </c>
      <c r="G264" s="201">
        <v>8</v>
      </c>
      <c r="H264" s="441"/>
      <c r="I264" s="165"/>
      <c r="J264" s="165"/>
      <c r="K264" s="478" t="s">
        <v>373</v>
      </c>
      <c r="L264" s="650"/>
      <c r="M264" s="201">
        <v>24</v>
      </c>
      <c r="N264" s="455">
        <f>(G264*225)+(M264*30)-150</f>
        <v>2370</v>
      </c>
      <c r="O264" t="s">
        <v>397</v>
      </c>
    </row>
    <row r="265" spans="2:15" ht="16" thickBot="1" x14ac:dyDescent="0.25">
      <c r="B265" s="201"/>
      <c r="C265" s="201"/>
      <c r="D265" s="201"/>
      <c r="E265" s="687"/>
      <c r="F265" s="170"/>
      <c r="G265" s="205"/>
      <c r="H265" s="442"/>
      <c r="I265" s="181"/>
      <c r="J265" s="181"/>
      <c r="K265" s="448"/>
      <c r="L265" s="644"/>
      <c r="M265" s="443"/>
      <c r="N265" s="444">
        <f>SUM(N259:N264)</f>
        <v>15070</v>
      </c>
    </row>
    <row r="266" spans="2:15" ht="16" thickBot="1" x14ac:dyDescent="0.25"/>
    <row r="267" spans="2:15" ht="42" customHeight="1" x14ac:dyDescent="0.2">
      <c r="B267" s="673" t="s">
        <v>340</v>
      </c>
      <c r="C267" s="655" t="s">
        <v>230</v>
      </c>
      <c r="D267" s="674" t="s">
        <v>189</v>
      </c>
      <c r="E267" s="655" t="s">
        <v>313</v>
      </c>
      <c r="F267" s="675" t="s">
        <v>190</v>
      </c>
      <c r="G267" s="655" t="s">
        <v>366</v>
      </c>
      <c r="H267" s="676" t="s">
        <v>307</v>
      </c>
      <c r="I267" s="677"/>
      <c r="J267" s="677"/>
      <c r="K267" s="678" t="s">
        <v>224</v>
      </c>
      <c r="L267" s="675"/>
      <c r="M267" s="673" t="s">
        <v>380</v>
      </c>
      <c r="N267" s="655" t="s">
        <v>84</v>
      </c>
    </row>
    <row r="268" spans="2:15" ht="16" x14ac:dyDescent="0.2">
      <c r="B268" s="669">
        <v>45772</v>
      </c>
      <c r="C268" s="669" t="s">
        <v>236</v>
      </c>
      <c r="D268" s="168" t="s">
        <v>194</v>
      </c>
      <c r="E268" s="695" t="s">
        <v>1049</v>
      </c>
      <c r="F268" s="168">
        <v>2400</v>
      </c>
      <c r="G268" s="168" t="s">
        <v>367</v>
      </c>
      <c r="H268" s="670"/>
      <c r="I268" s="670"/>
      <c r="J268" s="670"/>
      <c r="K268" s="671"/>
      <c r="L268" s="671"/>
      <c r="M268" s="168"/>
      <c r="N268" s="672">
        <f>F268-K268</f>
        <v>2400</v>
      </c>
      <c r="O268" t="s">
        <v>194</v>
      </c>
    </row>
    <row r="269" spans="2:15" x14ac:dyDescent="0.2">
      <c r="B269" s="669"/>
      <c r="C269" s="669" t="s">
        <v>282</v>
      </c>
      <c r="D269" s="168" t="s">
        <v>410</v>
      </c>
      <c r="E269" s="839" t="s">
        <v>1050</v>
      </c>
      <c r="F269" s="168">
        <v>800</v>
      </c>
      <c r="G269" s="168" t="s">
        <v>369</v>
      </c>
      <c r="H269" s="670"/>
      <c r="I269" s="670"/>
      <c r="J269" s="670"/>
      <c r="K269" s="671"/>
      <c r="L269" s="671"/>
      <c r="M269" s="168"/>
      <c r="N269" s="672">
        <v>800</v>
      </c>
      <c r="O269" t="s">
        <v>410</v>
      </c>
    </row>
    <row r="270" spans="2:15" x14ac:dyDescent="0.2">
      <c r="B270" s="669"/>
      <c r="C270" s="669" t="s">
        <v>281</v>
      </c>
      <c r="D270" s="168" t="s">
        <v>222</v>
      </c>
      <c r="E270" s="840"/>
      <c r="F270" s="168">
        <v>1900</v>
      </c>
      <c r="G270" s="16" t="s">
        <v>368</v>
      </c>
      <c r="H270" s="165"/>
      <c r="I270" s="165"/>
      <c r="J270" s="165"/>
      <c r="K270" s="671"/>
      <c r="L270" s="671"/>
      <c r="M270" s="168"/>
      <c r="N270" s="672">
        <v>1900</v>
      </c>
      <c r="O270" t="s">
        <v>222</v>
      </c>
    </row>
    <row r="271" spans="2:15" x14ac:dyDescent="0.2">
      <c r="B271" s="669"/>
      <c r="C271" s="669" t="s">
        <v>421</v>
      </c>
      <c r="D271" s="168" t="s">
        <v>262</v>
      </c>
      <c r="E271" s="841"/>
      <c r="F271" s="168">
        <v>1500</v>
      </c>
      <c r="G271" s="16" t="s">
        <v>422</v>
      </c>
      <c r="H271" s="165"/>
      <c r="I271" s="165"/>
      <c r="J271" s="165"/>
      <c r="K271" s="671"/>
      <c r="L271" s="671"/>
      <c r="M271" s="168"/>
      <c r="N271" s="672">
        <v>1500</v>
      </c>
      <c r="O271" t="s">
        <v>262</v>
      </c>
    </row>
    <row r="272" spans="2:15" x14ac:dyDescent="0.2">
      <c r="B272" s="168"/>
      <c r="C272" s="168"/>
      <c r="D272" s="679"/>
      <c r="E272" s="695"/>
      <c r="F272" s="168"/>
      <c r="G272" s="16"/>
      <c r="H272" s="165"/>
      <c r="I272" s="165"/>
      <c r="J272" s="165"/>
      <c r="K272" s="671"/>
      <c r="L272" s="671"/>
      <c r="M272" s="168"/>
      <c r="N272" s="672">
        <f>SUM(N268:N271)</f>
        <v>6600</v>
      </c>
    </row>
    <row r="273" spans="2:15" ht="16" thickBot="1" x14ac:dyDescent="0.25"/>
    <row r="274" spans="2:15" ht="54.75" customHeight="1" thickBot="1" x14ac:dyDescent="0.25">
      <c r="B274" s="456" t="s">
        <v>76</v>
      </c>
      <c r="C274" s="440" t="s">
        <v>230</v>
      </c>
      <c r="D274" s="457" t="s">
        <v>189</v>
      </c>
      <c r="E274" s="655" t="s">
        <v>313</v>
      </c>
      <c r="F274" s="458" t="s">
        <v>312</v>
      </c>
      <c r="G274" s="440" t="s">
        <v>314</v>
      </c>
      <c r="H274" s="173" t="s">
        <v>299</v>
      </c>
      <c r="I274" s="459" t="s">
        <v>299</v>
      </c>
      <c r="J274" s="459" t="s">
        <v>308</v>
      </c>
      <c r="K274" s="460" t="s">
        <v>366</v>
      </c>
      <c r="L274" s="458"/>
      <c r="M274" s="440" t="s">
        <v>299</v>
      </c>
      <c r="N274" s="461" t="s">
        <v>84</v>
      </c>
    </row>
    <row r="275" spans="2:15" ht="49" thickBot="1" x14ac:dyDescent="0.25">
      <c r="B275" s="450">
        <v>45779</v>
      </c>
      <c r="C275" s="452" t="s">
        <v>231</v>
      </c>
      <c r="D275" s="33" t="s">
        <v>196</v>
      </c>
      <c r="E275" s="839" t="s">
        <v>1079</v>
      </c>
      <c r="F275" s="33">
        <f>17+15+19+12+16</f>
        <v>79</v>
      </c>
      <c r="G275" s="28">
        <v>6</v>
      </c>
      <c r="H275" s="453"/>
      <c r="I275" s="454"/>
      <c r="J275" s="454"/>
      <c r="K275" s="545" t="s">
        <v>370</v>
      </c>
      <c r="L275" s="645"/>
      <c r="M275" s="28">
        <f>13+4+8</f>
        <v>25</v>
      </c>
      <c r="N275" s="455">
        <f>(G275*300)+(0*150)+(M275*30)</f>
        <v>2550</v>
      </c>
      <c r="O275" t="s">
        <v>196</v>
      </c>
    </row>
    <row r="276" spans="2:15" ht="49" thickBot="1" x14ac:dyDescent="0.25">
      <c r="B276" s="450"/>
      <c r="C276" s="202" t="s">
        <v>232</v>
      </c>
      <c r="D276" s="652" t="s">
        <v>413</v>
      </c>
      <c r="E276" s="840"/>
      <c r="F276" s="451">
        <v>79</v>
      </c>
      <c r="G276" s="330">
        <v>6</v>
      </c>
      <c r="H276" s="441"/>
      <c r="I276" s="165"/>
      <c r="J276" s="477"/>
      <c r="K276" s="546" t="s">
        <v>371</v>
      </c>
      <c r="L276" s="546"/>
      <c r="M276" s="201">
        <v>25</v>
      </c>
      <c r="N276" s="449">
        <f>(G276*225)+(0*112.5)+(M276*30)</f>
        <v>2100</v>
      </c>
      <c r="O276" t="s">
        <v>413</v>
      </c>
    </row>
    <row r="277" spans="2:15" ht="49" thickBot="1" x14ac:dyDescent="0.25">
      <c r="B277" s="202"/>
      <c r="C277" s="447" t="s">
        <v>233</v>
      </c>
      <c r="D277" s="653" t="s">
        <v>199</v>
      </c>
      <c r="E277" s="840"/>
      <c r="F277" s="654">
        <v>78</v>
      </c>
      <c r="G277" s="330">
        <v>6</v>
      </c>
      <c r="H277" s="441"/>
      <c r="I277" s="165"/>
      <c r="J277" s="165"/>
      <c r="K277" s="546" t="s">
        <v>372</v>
      </c>
      <c r="L277" s="546"/>
      <c r="M277" s="201">
        <v>24</v>
      </c>
      <c r="N277" s="449">
        <f>(G277*250)+(0*125)+(M277*30)</f>
        <v>2220</v>
      </c>
      <c r="O277" t="s">
        <v>199</v>
      </c>
    </row>
    <row r="278" spans="2:15" ht="49" thickBot="1" x14ac:dyDescent="0.25">
      <c r="B278" s="201"/>
      <c r="C278" s="200" t="s">
        <v>235</v>
      </c>
      <c r="D278" s="653" t="s">
        <v>193</v>
      </c>
      <c r="E278" s="840"/>
      <c r="F278" s="451">
        <v>78</v>
      </c>
      <c r="G278" s="330">
        <v>6</v>
      </c>
      <c r="H278" s="441"/>
      <c r="I278" s="165"/>
      <c r="J278" s="165"/>
      <c r="K278" s="546" t="s">
        <v>371</v>
      </c>
      <c r="L278" s="646"/>
      <c r="M278" s="28">
        <v>24</v>
      </c>
      <c r="N278" s="449">
        <f>(G278*225)+(0*112.5)+(M278*30)-130</f>
        <v>1940</v>
      </c>
      <c r="O278" t="s">
        <v>193</v>
      </c>
    </row>
    <row r="279" spans="2:15" ht="49" thickBot="1" x14ac:dyDescent="0.25">
      <c r="B279" s="41"/>
      <c r="C279" s="201" t="s">
        <v>234</v>
      </c>
      <c r="D279" s="188" t="s">
        <v>420</v>
      </c>
      <c r="E279" s="841"/>
      <c r="F279" s="33">
        <v>76</v>
      </c>
      <c r="G279" s="201">
        <v>6</v>
      </c>
      <c r="H279" s="441"/>
      <c r="I279" s="165"/>
      <c r="J279" s="165"/>
      <c r="K279" s="546" t="s">
        <v>371</v>
      </c>
      <c r="L279" s="647"/>
      <c r="M279" s="23">
        <v>24</v>
      </c>
      <c r="N279" s="449">
        <f>(G279*225)+(0*112.5)+(M279*30)</f>
        <v>2070</v>
      </c>
      <c r="O279" t="s">
        <v>420</v>
      </c>
    </row>
    <row r="280" spans="2:15" ht="17" thickBot="1" x14ac:dyDescent="0.25">
      <c r="B280" s="201"/>
      <c r="C280" s="555" t="s">
        <v>277</v>
      </c>
      <c r="D280" s="667" t="s">
        <v>315</v>
      </c>
      <c r="E280" s="708"/>
      <c r="F280" s="451">
        <v>76</v>
      </c>
      <c r="G280" s="201">
        <v>6</v>
      </c>
      <c r="H280" s="441"/>
      <c r="I280" s="165"/>
      <c r="J280" s="477"/>
      <c r="K280" s="478" t="s">
        <v>373</v>
      </c>
      <c r="L280" s="478"/>
      <c r="M280" s="201">
        <v>24</v>
      </c>
      <c r="N280" s="449">
        <f>(G280*225)+(0*112.5)+(M280*30)</f>
        <v>2070</v>
      </c>
      <c r="O280" t="s">
        <v>315</v>
      </c>
    </row>
    <row r="281" spans="2:15" ht="16" thickBot="1" x14ac:dyDescent="0.25">
      <c r="B281" s="201"/>
      <c r="C281" s="201"/>
      <c r="D281" s="201"/>
      <c r="E281" s="713"/>
      <c r="F281" s="170"/>
      <c r="G281" s="205"/>
      <c r="H281" s="442"/>
      <c r="I281" s="181"/>
      <c r="J281" s="181"/>
      <c r="K281" s="448"/>
      <c r="L281" s="644"/>
      <c r="M281" s="443"/>
      <c r="N281" s="444">
        <f>SUM(N275:N280)</f>
        <v>12950</v>
      </c>
    </row>
    <row r="282" spans="2:15" ht="16" thickBot="1" x14ac:dyDescent="0.25"/>
    <row r="283" spans="2:15" ht="45" customHeight="1" x14ac:dyDescent="0.2">
      <c r="B283" s="673"/>
      <c r="C283" s="655" t="s">
        <v>230</v>
      </c>
      <c r="D283" s="674" t="s">
        <v>189</v>
      </c>
      <c r="E283" s="655" t="s">
        <v>313</v>
      </c>
      <c r="F283" s="675" t="s">
        <v>190</v>
      </c>
      <c r="G283" s="655" t="s">
        <v>366</v>
      </c>
      <c r="H283" s="676" t="s">
        <v>307</v>
      </c>
      <c r="I283" s="677"/>
      <c r="J283" s="677"/>
      <c r="K283" s="678" t="s">
        <v>224</v>
      </c>
      <c r="L283" s="675"/>
      <c r="M283" s="673" t="s">
        <v>380</v>
      </c>
      <c r="N283" s="655" t="s">
        <v>84</v>
      </c>
    </row>
    <row r="284" spans="2:15" ht="16" x14ac:dyDescent="0.2">
      <c r="B284" s="669">
        <v>45779</v>
      </c>
      <c r="C284" s="669" t="s">
        <v>236</v>
      </c>
      <c r="D284" s="168" t="s">
        <v>194</v>
      </c>
      <c r="E284" s="695" t="s">
        <v>1077</v>
      </c>
      <c r="F284" s="168">
        <v>2600</v>
      </c>
      <c r="G284" s="168" t="s">
        <v>367</v>
      </c>
      <c r="H284" s="670"/>
      <c r="I284" s="670"/>
      <c r="J284" s="670"/>
      <c r="K284" s="671">
        <v>400</v>
      </c>
      <c r="L284" s="671"/>
      <c r="M284" s="168"/>
      <c r="N284" s="672">
        <f>F284-K284</f>
        <v>2200</v>
      </c>
      <c r="O284" t="s">
        <v>194</v>
      </c>
    </row>
    <row r="285" spans="2:15" x14ac:dyDescent="0.2">
      <c r="B285" s="669"/>
      <c r="C285" s="669" t="s">
        <v>282</v>
      </c>
      <c r="D285" s="168" t="s">
        <v>410</v>
      </c>
      <c r="E285" s="839" t="s">
        <v>1078</v>
      </c>
      <c r="F285" s="168">
        <v>1000</v>
      </c>
      <c r="G285" s="168" t="s">
        <v>369</v>
      </c>
      <c r="H285" s="670"/>
      <c r="I285" s="670"/>
      <c r="J285" s="670"/>
      <c r="K285" s="671"/>
      <c r="L285" s="671"/>
      <c r="M285" s="168"/>
      <c r="N285" s="672">
        <v>1000</v>
      </c>
      <c r="O285" t="s">
        <v>410</v>
      </c>
    </row>
    <row r="286" spans="2:15" x14ac:dyDescent="0.2">
      <c r="B286" s="669"/>
      <c r="C286" s="669" t="s">
        <v>281</v>
      </c>
      <c r="D286" s="168" t="s">
        <v>222</v>
      </c>
      <c r="E286" s="840"/>
      <c r="F286" s="168">
        <v>2200</v>
      </c>
      <c r="G286" s="16" t="s">
        <v>368</v>
      </c>
      <c r="H286" s="165"/>
      <c r="I286" s="165"/>
      <c r="J286" s="165"/>
      <c r="K286" s="671"/>
      <c r="L286" s="671"/>
      <c r="M286" s="168"/>
      <c r="N286" s="672">
        <v>2200</v>
      </c>
      <c r="O286" t="s">
        <v>222</v>
      </c>
    </row>
    <row r="287" spans="2:15" x14ac:dyDescent="0.2">
      <c r="B287" s="669"/>
      <c r="C287" s="669" t="s">
        <v>421</v>
      </c>
      <c r="D287" s="168" t="s">
        <v>262</v>
      </c>
      <c r="E287" s="841"/>
      <c r="F287" s="168">
        <v>1500</v>
      </c>
      <c r="G287" s="16" t="s">
        <v>422</v>
      </c>
      <c r="H287" s="165"/>
      <c r="I287" s="165"/>
      <c r="J287" s="165"/>
      <c r="K287" s="671"/>
      <c r="L287" s="671"/>
      <c r="M287" s="168"/>
      <c r="N287" s="672">
        <v>1500</v>
      </c>
      <c r="O287" t="s">
        <v>262</v>
      </c>
    </row>
    <row r="288" spans="2:15" x14ac:dyDescent="0.2">
      <c r="B288" s="168"/>
      <c r="C288" s="168"/>
      <c r="D288" s="679"/>
      <c r="E288" s="695"/>
      <c r="F288" s="168"/>
      <c r="G288" s="16"/>
      <c r="H288" s="165"/>
      <c r="I288" s="165"/>
      <c r="J288" s="165"/>
      <c r="K288" s="671"/>
      <c r="L288" s="671"/>
      <c r="M288" s="168"/>
      <c r="N288" s="672">
        <f>SUM(N284:N287)</f>
        <v>6900</v>
      </c>
    </row>
    <row r="289" spans="2:15" ht="16" thickBot="1" x14ac:dyDescent="0.25"/>
    <row r="290" spans="2:15" ht="54" customHeight="1" thickBot="1" x14ac:dyDescent="0.25">
      <c r="B290" s="456" t="s">
        <v>340</v>
      </c>
      <c r="C290" s="440" t="s">
        <v>230</v>
      </c>
      <c r="D290" s="457" t="s">
        <v>189</v>
      </c>
      <c r="E290" s="440" t="s">
        <v>313</v>
      </c>
      <c r="F290" s="458" t="s">
        <v>312</v>
      </c>
      <c r="G290" s="440" t="s">
        <v>314</v>
      </c>
      <c r="H290" s="173" t="s">
        <v>299</v>
      </c>
      <c r="I290" s="459" t="s">
        <v>299</v>
      </c>
      <c r="J290" s="459" t="s">
        <v>308</v>
      </c>
      <c r="K290" s="460" t="s">
        <v>366</v>
      </c>
      <c r="L290" s="440" t="s">
        <v>224</v>
      </c>
      <c r="M290" s="440" t="s">
        <v>299</v>
      </c>
      <c r="N290" s="692" t="s">
        <v>84</v>
      </c>
    </row>
    <row r="291" spans="2:15" ht="49" thickBot="1" x14ac:dyDescent="0.25">
      <c r="B291" s="202">
        <v>45786</v>
      </c>
      <c r="C291" s="452" t="s">
        <v>231</v>
      </c>
      <c r="D291" s="33" t="s">
        <v>188</v>
      </c>
      <c r="E291" s="844" t="s">
        <v>1115</v>
      </c>
      <c r="F291" s="33">
        <f>19.5+10+13.5+12</f>
        <v>55</v>
      </c>
      <c r="G291" s="28">
        <v>5</v>
      </c>
      <c r="H291" s="453"/>
      <c r="I291" s="454"/>
      <c r="J291" s="651"/>
      <c r="K291" s="545" t="s">
        <v>379</v>
      </c>
      <c r="L291" s="645"/>
      <c r="M291" s="690">
        <v>19</v>
      </c>
      <c r="N291" s="672">
        <f>(G291*260)+(M291*30)-300</f>
        <v>1570</v>
      </c>
      <c r="O291" t="s">
        <v>188</v>
      </c>
    </row>
    <row r="292" spans="2:15" ht="49" thickBot="1" x14ac:dyDescent="0.25">
      <c r="B292" s="450"/>
      <c r="C292" s="202" t="s">
        <v>232</v>
      </c>
      <c r="D292" s="23" t="s">
        <v>303</v>
      </c>
      <c r="E292" s="845"/>
      <c r="F292" s="201">
        <v>58</v>
      </c>
      <c r="G292" s="330">
        <v>5</v>
      </c>
      <c r="H292" s="441"/>
      <c r="I292" s="165"/>
      <c r="J292" s="165"/>
      <c r="K292" s="546" t="s">
        <v>371</v>
      </c>
      <c r="L292" s="546"/>
      <c r="M292" s="474">
        <v>19</v>
      </c>
      <c r="N292" s="672">
        <f>(G292*225)+(M292*30)-230</f>
        <v>1465</v>
      </c>
      <c r="O292" t="s">
        <v>303</v>
      </c>
    </row>
    <row r="293" spans="2:15" ht="49" thickBot="1" x14ac:dyDescent="0.25">
      <c r="B293" s="450"/>
      <c r="C293" s="450" t="s">
        <v>233</v>
      </c>
      <c r="D293" s="446" t="s">
        <v>310</v>
      </c>
      <c r="E293" s="845"/>
      <c r="F293" s="23">
        <v>59</v>
      </c>
      <c r="G293" s="693">
        <v>5</v>
      </c>
      <c r="H293" s="467"/>
      <c r="I293" s="468"/>
      <c r="J293" s="468"/>
      <c r="K293" s="546" t="s">
        <v>372</v>
      </c>
      <c r="L293" s="647"/>
      <c r="M293" s="652">
        <v>19</v>
      </c>
      <c r="N293" s="672">
        <f>(G293*250)+(M293*30)</f>
        <v>1820</v>
      </c>
      <c r="O293" t="s">
        <v>310</v>
      </c>
    </row>
    <row r="294" spans="2:15" ht="49" thickBot="1" x14ac:dyDescent="0.25">
      <c r="B294" s="202"/>
      <c r="C294" s="202" t="s">
        <v>234</v>
      </c>
      <c r="D294" s="473" t="s">
        <v>344</v>
      </c>
      <c r="E294" s="845"/>
      <c r="F294" s="474">
        <v>59</v>
      </c>
      <c r="G294" s="330">
        <v>5</v>
      </c>
      <c r="H294" s="475"/>
      <c r="I294" s="472"/>
      <c r="J294" s="472"/>
      <c r="K294" s="546" t="s">
        <v>371</v>
      </c>
      <c r="L294" s="648"/>
      <c r="M294" s="474">
        <v>19</v>
      </c>
      <c r="N294" s="672">
        <f>(G294*225)+(M294*30)-130</f>
        <v>1565</v>
      </c>
      <c r="O294" t="s">
        <v>344</v>
      </c>
    </row>
    <row r="295" spans="2:15" ht="49" thickBot="1" x14ac:dyDescent="0.25">
      <c r="B295" s="41"/>
      <c r="C295" s="41" t="s">
        <v>235</v>
      </c>
      <c r="D295" s="469" t="s">
        <v>345</v>
      </c>
      <c r="E295" s="845"/>
      <c r="F295" s="41">
        <v>59</v>
      </c>
      <c r="G295" s="694">
        <v>5</v>
      </c>
      <c r="H295" s="470"/>
      <c r="I295" s="471"/>
      <c r="J295" s="471"/>
      <c r="K295" s="546" t="s">
        <v>371</v>
      </c>
      <c r="L295" s="649"/>
      <c r="M295" s="691">
        <v>19</v>
      </c>
      <c r="N295" s="672">
        <f>(G295*225)+(M295*30)</f>
        <v>1695</v>
      </c>
      <c r="O295" t="s">
        <v>345</v>
      </c>
    </row>
    <row r="296" spans="2:15" ht="17" thickBot="1" x14ac:dyDescent="0.25">
      <c r="B296" s="201"/>
      <c r="C296" s="201" t="s">
        <v>277</v>
      </c>
      <c r="D296" s="188" t="s">
        <v>397</v>
      </c>
      <c r="E296" s="846"/>
      <c r="F296" s="33">
        <v>59</v>
      </c>
      <c r="G296" s="201">
        <v>5</v>
      </c>
      <c r="H296" s="441"/>
      <c r="I296" s="165"/>
      <c r="J296" s="165"/>
      <c r="K296" s="478" t="s">
        <v>373</v>
      </c>
      <c r="L296" s="650"/>
      <c r="M296" s="201">
        <v>19</v>
      </c>
      <c r="N296" s="455">
        <f>(G296*225)+(M296*30)</f>
        <v>1695</v>
      </c>
      <c r="O296" t="s">
        <v>397</v>
      </c>
    </row>
    <row r="297" spans="2:15" ht="16" thickBot="1" x14ac:dyDescent="0.25">
      <c r="B297" s="201"/>
      <c r="C297" s="201"/>
      <c r="D297" s="201"/>
      <c r="E297" s="687"/>
      <c r="F297" s="170"/>
      <c r="G297" s="205"/>
      <c r="H297" s="442"/>
      <c r="I297" s="181"/>
      <c r="J297" s="181"/>
      <c r="K297" s="448"/>
      <c r="L297" s="644"/>
      <c r="M297" s="443"/>
      <c r="N297" s="444">
        <f>SUM(N291:N296)</f>
        <v>9810</v>
      </c>
    </row>
    <row r="298" spans="2:15" ht="16" thickBot="1" x14ac:dyDescent="0.25"/>
    <row r="299" spans="2:15" ht="42" customHeight="1" x14ac:dyDescent="0.2">
      <c r="B299" s="673"/>
      <c r="C299" s="655" t="s">
        <v>230</v>
      </c>
      <c r="D299" s="674" t="s">
        <v>189</v>
      </c>
      <c r="E299" s="655" t="s">
        <v>313</v>
      </c>
      <c r="F299" s="675" t="s">
        <v>190</v>
      </c>
      <c r="G299" s="655" t="s">
        <v>366</v>
      </c>
      <c r="H299" s="676" t="s">
        <v>307</v>
      </c>
      <c r="I299" s="677"/>
      <c r="J299" s="677"/>
      <c r="K299" s="678" t="s">
        <v>224</v>
      </c>
      <c r="L299" s="675"/>
      <c r="M299" s="673" t="s">
        <v>380</v>
      </c>
      <c r="N299" s="655" t="s">
        <v>84</v>
      </c>
    </row>
    <row r="300" spans="2:15" x14ac:dyDescent="0.2">
      <c r="B300" s="669">
        <v>45786</v>
      </c>
      <c r="C300" s="669" t="s">
        <v>236</v>
      </c>
      <c r="D300" s="168" t="s">
        <v>194</v>
      </c>
      <c r="E300" s="839" t="s">
        <v>1116</v>
      </c>
      <c r="F300" s="168">
        <v>2000</v>
      </c>
      <c r="G300" s="168" t="s">
        <v>367</v>
      </c>
      <c r="H300" s="670"/>
      <c r="I300" s="670"/>
      <c r="J300" s="670"/>
      <c r="K300" s="671">
        <v>300</v>
      </c>
      <c r="L300" s="671"/>
      <c r="M300" s="168"/>
      <c r="N300" s="672">
        <f>F300-K300</f>
        <v>1700</v>
      </c>
      <c r="O300" t="s">
        <v>194</v>
      </c>
    </row>
    <row r="301" spans="2:15" x14ac:dyDescent="0.2">
      <c r="B301" s="669"/>
      <c r="C301" s="669" t="s">
        <v>282</v>
      </c>
      <c r="D301" s="168" t="s">
        <v>410</v>
      </c>
      <c r="E301" s="840"/>
      <c r="F301" s="168">
        <v>600</v>
      </c>
      <c r="G301" s="168" t="s">
        <v>369</v>
      </c>
      <c r="H301" s="670"/>
      <c r="I301" s="670"/>
      <c r="J301" s="670"/>
      <c r="K301" s="671"/>
      <c r="L301" s="671"/>
      <c r="M301" s="168"/>
      <c r="N301" s="672">
        <v>600</v>
      </c>
      <c r="O301" t="s">
        <v>410</v>
      </c>
    </row>
    <row r="302" spans="2:15" x14ac:dyDescent="0.2">
      <c r="B302" s="669"/>
      <c r="C302" s="669" t="s">
        <v>281</v>
      </c>
      <c r="D302" s="168" t="s">
        <v>222</v>
      </c>
      <c r="E302" s="840"/>
      <c r="F302" s="168">
        <v>1900</v>
      </c>
      <c r="G302" s="16" t="s">
        <v>368</v>
      </c>
      <c r="H302" s="165"/>
      <c r="I302" s="165"/>
      <c r="J302" s="165"/>
      <c r="K302" s="671">
        <v>250</v>
      </c>
      <c r="L302" s="671"/>
      <c r="M302" s="168"/>
      <c r="N302" s="672">
        <v>1650</v>
      </c>
      <c r="O302" t="s">
        <v>222</v>
      </c>
    </row>
    <row r="303" spans="2:15" x14ac:dyDescent="0.2">
      <c r="B303" s="669"/>
      <c r="C303" s="669" t="s">
        <v>421</v>
      </c>
      <c r="D303" s="168" t="s">
        <v>262</v>
      </c>
      <c r="E303" s="841"/>
      <c r="F303" s="168">
        <v>1500</v>
      </c>
      <c r="G303" s="16" t="s">
        <v>422</v>
      </c>
      <c r="H303" s="165"/>
      <c r="I303" s="165"/>
      <c r="J303" s="165"/>
      <c r="K303" s="671"/>
      <c r="L303" s="671"/>
      <c r="M303" s="168"/>
      <c r="N303" s="672">
        <v>1500</v>
      </c>
      <c r="O303" t="s">
        <v>262</v>
      </c>
    </row>
    <row r="304" spans="2:15" x14ac:dyDescent="0.2">
      <c r="B304" s="168"/>
      <c r="C304" s="168"/>
      <c r="D304" s="679"/>
      <c r="E304" s="695"/>
      <c r="F304" s="168"/>
      <c r="G304" s="16"/>
      <c r="H304" s="165"/>
      <c r="I304" s="165"/>
      <c r="J304" s="165"/>
      <c r="K304" s="671"/>
      <c r="L304" s="671"/>
      <c r="M304" s="168"/>
      <c r="N304" s="672">
        <f>SUM(N300:N303)</f>
        <v>5450</v>
      </c>
    </row>
  </sheetData>
  <mergeCells count="46">
    <mergeCell ref="E291:E296"/>
    <mergeCell ref="E300:E303"/>
    <mergeCell ref="E285:E287"/>
    <mergeCell ref="E275:E279"/>
    <mergeCell ref="E220:E223"/>
    <mergeCell ref="E195:E200"/>
    <mergeCell ref="E204:E207"/>
    <mergeCell ref="E259:E264"/>
    <mergeCell ref="E269:E271"/>
    <mergeCell ref="E243:E246"/>
    <mergeCell ref="E252:E255"/>
    <mergeCell ref="E227:E232"/>
    <mergeCell ref="E237:E239"/>
    <mergeCell ref="E211:E214"/>
    <mergeCell ref="E215:E216"/>
    <mergeCell ref="E188:E191"/>
    <mergeCell ref="E163:E168"/>
    <mergeCell ref="E173:E174"/>
    <mergeCell ref="E2:E7"/>
    <mergeCell ref="E11:E14"/>
    <mergeCell ref="E34:E35"/>
    <mergeCell ref="E36:E39"/>
    <mergeCell ref="E27:E30"/>
    <mergeCell ref="E18:E19"/>
    <mergeCell ref="E20:E21"/>
    <mergeCell ref="E22:E23"/>
    <mergeCell ref="E44:E46"/>
    <mergeCell ref="E69:E70"/>
    <mergeCell ref="E66:E68"/>
    <mergeCell ref="E60:E62"/>
    <mergeCell ref="E147:E152"/>
    <mergeCell ref="E50:E53"/>
    <mergeCell ref="E83:E86"/>
    <mergeCell ref="E87:E88"/>
    <mergeCell ref="E77:E79"/>
    <mergeCell ref="E179:E184"/>
    <mergeCell ref="E156:E159"/>
    <mergeCell ref="E119:E120"/>
    <mergeCell ref="E131:E136"/>
    <mergeCell ref="E141:E143"/>
    <mergeCell ref="E124:E127"/>
    <mergeCell ref="E115:E118"/>
    <mergeCell ref="E92:E95"/>
    <mergeCell ref="E108:E111"/>
    <mergeCell ref="E99:E104"/>
    <mergeCell ref="E54:E55"/>
  </mergeCells>
  <pageMargins left="0.7" right="0.7" top="0.75" bottom="0.75" header="0.3" footer="0.3"/>
  <pageSetup paperSize="9" scale="8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CM132"/>
  <sheetViews>
    <sheetView topLeftCell="A29" workbookViewId="0">
      <selection activeCell="J46" sqref="A2:J46"/>
    </sheetView>
  </sheetViews>
  <sheetFormatPr baseColWidth="10" defaultColWidth="8.83203125" defaultRowHeight="15" x14ac:dyDescent="0.2"/>
  <cols>
    <col min="1" max="1" width="9.1640625" customWidth="1"/>
    <col min="2" max="2" width="25" customWidth="1"/>
    <col min="9" max="9" width="9.1640625" customWidth="1"/>
  </cols>
  <sheetData>
    <row r="2" spans="1:9" ht="18" x14ac:dyDescent="0.2">
      <c r="A2" s="685" t="s">
        <v>76</v>
      </c>
      <c r="B2" s="582"/>
      <c r="C2" s="800"/>
      <c r="D2" s="685" t="s">
        <v>83</v>
      </c>
      <c r="E2" s="685"/>
      <c r="F2" s="799"/>
      <c r="G2" s="799"/>
      <c r="H2" s="799"/>
      <c r="I2" s="799"/>
    </row>
    <row r="3" spans="1:9" ht="15" customHeight="1" x14ac:dyDescent="0.2">
      <c r="A3" s="804"/>
      <c r="B3" s="805"/>
      <c r="C3" s="800"/>
      <c r="D3" s="683" t="s">
        <v>93</v>
      </c>
      <c r="E3" s="683" t="s">
        <v>93</v>
      </c>
      <c r="F3" s="683"/>
      <c r="G3" s="806"/>
      <c r="H3" s="806"/>
      <c r="I3" s="806"/>
    </row>
    <row r="4" spans="1:9" ht="15" customHeight="1" x14ac:dyDescent="0.2">
      <c r="A4" s="804"/>
      <c r="B4" s="805"/>
      <c r="C4" s="800"/>
      <c r="D4" s="683" t="s">
        <v>94</v>
      </c>
      <c r="E4" s="683" t="s">
        <v>95</v>
      </c>
      <c r="F4" s="683" t="s">
        <v>96</v>
      </c>
      <c r="G4" s="806"/>
      <c r="H4" s="806"/>
      <c r="I4" s="806"/>
    </row>
    <row r="5" spans="1:9" ht="15" customHeight="1" x14ac:dyDescent="0.2">
      <c r="A5" s="804"/>
      <c r="B5" s="805"/>
      <c r="C5" s="800"/>
      <c r="D5" s="683"/>
      <c r="E5" s="683"/>
      <c r="F5" s="683"/>
      <c r="G5" s="806"/>
      <c r="H5" s="806"/>
      <c r="I5" s="806"/>
    </row>
    <row r="6" spans="1:9" ht="16" x14ac:dyDescent="0.2">
      <c r="A6" s="683"/>
      <c r="B6" s="583" t="s">
        <v>97</v>
      </c>
      <c r="C6" s="584"/>
      <c r="D6" s="581"/>
      <c r="E6" s="585"/>
      <c r="F6" s="585"/>
      <c r="G6" s="586"/>
      <c r="H6" s="586"/>
      <c r="I6" s="586"/>
    </row>
    <row r="7" spans="1:9" ht="26" x14ac:dyDescent="0.2">
      <c r="A7" s="804"/>
      <c r="B7" s="587"/>
      <c r="C7" s="588"/>
      <c r="D7" s="585" t="s">
        <v>383</v>
      </c>
      <c r="E7" s="585" t="s">
        <v>384</v>
      </c>
      <c r="F7" s="585" t="s">
        <v>385</v>
      </c>
      <c r="G7" s="585" t="s">
        <v>386</v>
      </c>
      <c r="H7" s="585" t="s">
        <v>387</v>
      </c>
      <c r="I7" s="585" t="s">
        <v>84</v>
      </c>
    </row>
    <row r="8" spans="1:9" x14ac:dyDescent="0.2">
      <c r="A8" s="804"/>
      <c r="B8" s="684" t="s">
        <v>167</v>
      </c>
      <c r="C8" s="588"/>
      <c r="D8" s="580"/>
      <c r="E8" s="579"/>
      <c r="F8" s="580"/>
      <c r="G8" s="580"/>
      <c r="H8" s="580"/>
      <c r="I8" s="580"/>
    </row>
    <row r="9" spans="1:9" x14ac:dyDescent="0.2">
      <c r="A9" s="804"/>
      <c r="B9" s="684" t="s">
        <v>207</v>
      </c>
      <c r="C9" s="588"/>
      <c r="D9" s="618"/>
      <c r="E9" s="619"/>
      <c r="F9" s="618"/>
      <c r="G9" s="618"/>
      <c r="H9" s="618"/>
      <c r="I9" s="618"/>
    </row>
    <row r="10" spans="1:9" x14ac:dyDescent="0.2">
      <c r="A10" s="804"/>
      <c r="B10" s="684" t="s">
        <v>98</v>
      </c>
      <c r="C10" s="588"/>
      <c r="D10" s="581"/>
      <c r="E10" s="581"/>
      <c r="F10" s="581"/>
      <c r="G10" s="581"/>
      <c r="H10" s="581"/>
      <c r="I10" s="581"/>
    </row>
    <row r="11" spans="1:9" x14ac:dyDescent="0.2">
      <c r="A11" s="683"/>
      <c r="B11" s="684" t="s">
        <v>99</v>
      </c>
      <c r="C11" s="588"/>
      <c r="D11" s="581"/>
      <c r="E11" s="581"/>
      <c r="F11" s="581"/>
      <c r="G11" s="581"/>
      <c r="H11" s="581"/>
      <c r="I11" s="581"/>
    </row>
    <row r="12" spans="1:9" x14ac:dyDescent="0.2">
      <c r="A12" s="683"/>
      <c r="B12" s="684" t="s">
        <v>100</v>
      </c>
      <c r="C12" s="588"/>
      <c r="D12" s="581"/>
      <c r="E12" s="581"/>
      <c r="F12" s="581"/>
      <c r="G12" s="581"/>
      <c r="H12" s="581"/>
      <c r="I12" s="581"/>
    </row>
    <row r="13" spans="1:9" x14ac:dyDescent="0.2">
      <c r="A13" s="683"/>
      <c r="B13" s="684" t="s">
        <v>101</v>
      </c>
      <c r="C13" s="588"/>
      <c r="D13" s="581"/>
      <c r="E13" s="581"/>
      <c r="F13" s="581"/>
      <c r="G13" s="581"/>
      <c r="H13" s="581"/>
      <c r="I13" s="581"/>
    </row>
    <row r="14" spans="1:9" ht="16" thickBot="1" x14ac:dyDescent="0.25">
      <c r="A14" s="683"/>
      <c r="B14" s="597" t="s">
        <v>102</v>
      </c>
      <c r="C14" s="598"/>
      <c r="D14" s="599"/>
      <c r="E14" s="600"/>
      <c r="F14" s="600"/>
      <c r="G14" s="600"/>
      <c r="H14" s="600"/>
      <c r="I14" s="600"/>
    </row>
    <row r="15" spans="1:9" ht="17" thickBot="1" x14ac:dyDescent="0.25">
      <c r="A15" s="605"/>
      <c r="B15" s="612" t="s">
        <v>84</v>
      </c>
      <c r="C15" s="613"/>
      <c r="D15" s="614"/>
      <c r="E15" s="615"/>
      <c r="F15" s="616"/>
      <c r="G15" s="615"/>
      <c r="H15" s="622"/>
      <c r="I15" s="617"/>
    </row>
    <row r="16" spans="1:9" ht="16" x14ac:dyDescent="0.2">
      <c r="A16" s="683"/>
      <c r="B16" s="608"/>
      <c r="C16" s="609"/>
      <c r="D16" s="610"/>
      <c r="E16" s="595"/>
      <c r="F16" s="611"/>
      <c r="G16" s="595"/>
      <c r="H16" s="595"/>
      <c r="I16" s="595"/>
    </row>
    <row r="17" spans="1:10" ht="16" thickBot="1" x14ac:dyDescent="0.25">
      <c r="A17" s="606" t="s">
        <v>388</v>
      </c>
      <c r="B17" s="607" t="s">
        <v>103</v>
      </c>
      <c r="C17" s="603" t="s">
        <v>84</v>
      </c>
      <c r="D17" s="602" t="s">
        <v>78</v>
      </c>
      <c r="E17" s="602" t="s">
        <v>79</v>
      </c>
      <c r="F17" s="602" t="s">
        <v>88</v>
      </c>
      <c r="G17" s="601" t="s">
        <v>87</v>
      </c>
      <c r="H17" s="601" t="s">
        <v>85</v>
      </c>
      <c r="I17" s="601" t="s">
        <v>84</v>
      </c>
      <c r="J17" s="174" t="s">
        <v>389</v>
      </c>
    </row>
    <row r="18" spans="1:10" x14ac:dyDescent="0.2">
      <c r="A18" s="589"/>
      <c r="B18" s="604" t="s">
        <v>105</v>
      </c>
      <c r="C18" s="591"/>
      <c r="D18" s="3"/>
      <c r="E18" s="3"/>
      <c r="F18" s="3"/>
      <c r="G18" s="3"/>
      <c r="H18" s="3"/>
      <c r="I18" s="54"/>
      <c r="J18" s="3"/>
    </row>
    <row r="19" spans="1:10" x14ac:dyDescent="0.2">
      <c r="A19" s="589"/>
      <c r="B19" s="590" t="s">
        <v>390</v>
      </c>
      <c r="C19" s="591"/>
      <c r="D19" s="3"/>
      <c r="E19" s="3"/>
      <c r="F19" s="3"/>
      <c r="G19" s="3"/>
      <c r="H19" s="3"/>
      <c r="I19" s="54"/>
      <c r="J19" s="3"/>
    </row>
    <row r="20" spans="1:10" x14ac:dyDescent="0.2">
      <c r="A20" s="589"/>
      <c r="B20" s="590" t="s">
        <v>391</v>
      </c>
      <c r="C20" s="591"/>
      <c r="D20" s="3"/>
      <c r="E20" s="3"/>
      <c r="F20" s="3"/>
      <c r="G20" s="3"/>
      <c r="H20" s="3"/>
      <c r="I20" s="54"/>
      <c r="J20" s="3"/>
    </row>
    <row r="21" spans="1:10" x14ac:dyDescent="0.2">
      <c r="A21" s="589"/>
      <c r="B21" s="590" t="s">
        <v>392</v>
      </c>
      <c r="C21" s="591"/>
      <c r="D21" s="3"/>
      <c r="E21" s="3"/>
      <c r="F21" s="3"/>
      <c r="G21" s="3"/>
      <c r="H21" s="3"/>
      <c r="I21" s="54"/>
      <c r="J21" s="3"/>
    </row>
    <row r="22" spans="1:10" x14ac:dyDescent="0.2">
      <c r="A22" s="589"/>
      <c r="B22" s="590"/>
      <c r="C22" s="591"/>
      <c r="D22" s="3"/>
      <c r="E22" s="3"/>
      <c r="F22" s="3"/>
      <c r="G22" s="3"/>
      <c r="H22" s="3"/>
      <c r="I22" s="54"/>
      <c r="J22" s="3"/>
    </row>
    <row r="23" spans="1:10" x14ac:dyDescent="0.2">
      <c r="A23" s="589"/>
      <c r="B23" s="590" t="s">
        <v>108</v>
      </c>
      <c r="C23" s="591"/>
      <c r="D23" s="3"/>
      <c r="E23" s="3"/>
      <c r="F23" s="3"/>
      <c r="G23" s="3"/>
      <c r="H23" s="3"/>
      <c r="I23" s="54"/>
      <c r="J23" s="3"/>
    </row>
    <row r="24" spans="1:10" x14ac:dyDescent="0.2">
      <c r="A24" s="589"/>
      <c r="B24" s="590" t="s">
        <v>393</v>
      </c>
      <c r="C24" s="591"/>
      <c r="D24" s="3"/>
      <c r="E24" s="3"/>
      <c r="F24" s="3"/>
      <c r="G24" s="3"/>
      <c r="H24" s="3"/>
      <c r="I24" s="54"/>
      <c r="J24" s="3"/>
    </row>
    <row r="25" spans="1:10" x14ac:dyDescent="0.2">
      <c r="A25" s="589"/>
      <c r="B25" s="590" t="s">
        <v>216</v>
      </c>
      <c r="C25" s="591"/>
      <c r="D25" s="3"/>
      <c r="E25" s="3"/>
      <c r="F25" s="3"/>
      <c r="G25" s="3"/>
      <c r="H25" s="3"/>
      <c r="I25" s="54"/>
      <c r="J25" s="3"/>
    </row>
    <row r="26" spans="1:10" x14ac:dyDescent="0.2">
      <c r="A26" s="589"/>
      <c r="B26" s="590"/>
      <c r="C26" s="591"/>
      <c r="D26" s="3"/>
      <c r="E26" s="3"/>
      <c r="F26" s="3"/>
      <c r="G26" s="3"/>
      <c r="H26" s="3"/>
      <c r="I26" s="54"/>
      <c r="J26" s="3"/>
    </row>
    <row r="27" spans="1:10" x14ac:dyDescent="0.2">
      <c r="A27" s="589"/>
      <c r="B27" s="590" t="s">
        <v>394</v>
      </c>
      <c r="C27" s="591"/>
      <c r="D27" s="3"/>
      <c r="E27" s="3"/>
      <c r="F27" s="3"/>
      <c r="G27" s="3"/>
      <c r="H27" s="3"/>
      <c r="I27" s="54"/>
      <c r="J27" s="3"/>
    </row>
    <row r="28" spans="1:10" x14ac:dyDescent="0.2">
      <c r="A28" s="589"/>
      <c r="B28" s="590" t="s">
        <v>110</v>
      </c>
      <c r="C28" s="591"/>
      <c r="D28" s="3"/>
      <c r="E28" s="3"/>
      <c r="F28" s="3"/>
      <c r="G28" s="3"/>
      <c r="H28" s="3"/>
      <c r="I28" s="54"/>
      <c r="J28" s="3"/>
    </row>
    <row r="29" spans="1:10" x14ac:dyDescent="0.2">
      <c r="A29" s="589"/>
      <c r="B29" s="590"/>
      <c r="C29" s="591"/>
      <c r="D29" s="3"/>
      <c r="E29" s="3"/>
      <c r="F29" s="3"/>
      <c r="G29" s="3"/>
      <c r="H29" s="3"/>
      <c r="I29" s="54"/>
      <c r="J29" s="3"/>
    </row>
    <row r="30" spans="1:10" x14ac:dyDescent="0.2">
      <c r="A30" s="589"/>
      <c r="B30" s="590" t="s">
        <v>381</v>
      </c>
      <c r="C30" s="591"/>
      <c r="D30" s="3"/>
      <c r="E30" s="3"/>
      <c r="F30" s="3"/>
      <c r="G30" s="3"/>
      <c r="H30" s="3"/>
      <c r="I30" s="54"/>
      <c r="J30" s="3"/>
    </row>
    <row r="31" spans="1:10" x14ac:dyDescent="0.2">
      <c r="A31" s="589"/>
      <c r="B31" s="590" t="s">
        <v>276</v>
      </c>
      <c r="C31" s="591"/>
      <c r="D31" s="3"/>
      <c r="E31" s="3"/>
      <c r="F31" s="3"/>
      <c r="G31" s="3"/>
      <c r="H31" s="3"/>
      <c r="I31" s="54"/>
      <c r="J31" s="3"/>
    </row>
    <row r="32" spans="1:10" x14ac:dyDescent="0.2">
      <c r="A32" s="589"/>
      <c r="B32" s="590"/>
      <c r="C32" s="591"/>
      <c r="D32" s="3"/>
      <c r="E32" s="3"/>
      <c r="F32" s="3"/>
      <c r="G32" s="3"/>
      <c r="H32" s="3"/>
      <c r="I32" s="54"/>
      <c r="J32" s="3"/>
    </row>
    <row r="33" spans="1:41" x14ac:dyDescent="0.2">
      <c r="A33" s="589"/>
      <c r="B33" s="590" t="s">
        <v>75</v>
      </c>
      <c r="C33" s="591"/>
      <c r="D33" s="3"/>
      <c r="E33" s="3"/>
      <c r="F33" s="3"/>
      <c r="G33" s="3"/>
      <c r="H33" s="3"/>
      <c r="I33" s="54"/>
      <c r="J33" s="3"/>
    </row>
    <row r="34" spans="1:41" x14ac:dyDescent="0.2">
      <c r="A34" s="589"/>
      <c r="B34" s="590" t="s">
        <v>278</v>
      </c>
      <c r="C34" s="591"/>
      <c r="D34" s="3"/>
      <c r="E34" s="3"/>
      <c r="F34" s="3"/>
      <c r="G34" s="3"/>
      <c r="H34" s="3"/>
      <c r="I34" s="54"/>
      <c r="J34" s="3"/>
    </row>
    <row r="35" spans="1:41" x14ac:dyDescent="0.2">
      <c r="A35" s="589"/>
      <c r="B35" s="590" t="s">
        <v>270</v>
      </c>
      <c r="C35" s="591"/>
      <c r="D35" s="3"/>
      <c r="E35" s="3"/>
      <c r="F35" s="3"/>
      <c r="G35" s="3"/>
      <c r="H35" s="3"/>
      <c r="I35" s="54"/>
      <c r="J35" s="3"/>
    </row>
    <row r="36" spans="1:41" x14ac:dyDescent="0.2">
      <c r="A36" s="589"/>
      <c r="B36" s="590" t="s">
        <v>274</v>
      </c>
      <c r="C36" s="591"/>
      <c r="D36" s="3"/>
      <c r="E36" s="3"/>
      <c r="F36" s="3"/>
      <c r="G36" s="3"/>
      <c r="H36" s="3"/>
      <c r="I36" s="54"/>
      <c r="J36" s="3"/>
    </row>
    <row r="37" spans="1:41" x14ac:dyDescent="0.2">
      <c r="A37" s="589"/>
      <c r="B37" s="590" t="s">
        <v>395</v>
      </c>
      <c r="C37" s="591"/>
      <c r="D37" s="3"/>
      <c r="E37" s="3"/>
      <c r="F37" s="3"/>
      <c r="G37" s="3"/>
      <c r="H37" s="3"/>
      <c r="I37" s="54"/>
      <c r="J37" s="3"/>
    </row>
    <row r="38" spans="1:41" x14ac:dyDescent="0.2">
      <c r="A38" s="683"/>
      <c r="B38" s="590" t="s">
        <v>112</v>
      </c>
      <c r="C38" s="591"/>
      <c r="D38" s="3"/>
      <c r="E38" s="3"/>
      <c r="F38" s="3"/>
      <c r="G38" s="3"/>
      <c r="H38" s="3"/>
      <c r="I38" s="54"/>
      <c r="J38" s="3"/>
    </row>
    <row r="39" spans="1:41" x14ac:dyDescent="0.2">
      <c r="A39" s="683"/>
      <c r="B39" s="590" t="s">
        <v>74</v>
      </c>
      <c r="C39" s="591"/>
      <c r="D39" s="3"/>
      <c r="E39" s="3"/>
      <c r="F39" s="3"/>
      <c r="G39" s="3"/>
      <c r="H39" s="3"/>
      <c r="I39" s="54"/>
      <c r="J39" s="3"/>
    </row>
    <row r="40" spans="1:41" x14ac:dyDescent="0.2">
      <c r="A40" s="683"/>
      <c r="B40" s="590" t="s">
        <v>72</v>
      </c>
      <c r="C40" s="591"/>
      <c r="D40" s="3"/>
      <c r="E40" s="3"/>
      <c r="F40" s="3"/>
      <c r="G40" s="3"/>
      <c r="H40" s="3"/>
      <c r="I40" s="54"/>
      <c r="J40" s="3"/>
    </row>
    <row r="41" spans="1:41" ht="16" thickBot="1" x14ac:dyDescent="0.25">
      <c r="A41" s="683"/>
      <c r="B41" s="590"/>
      <c r="C41" s="591"/>
      <c r="D41" s="3"/>
      <c r="E41" s="3"/>
      <c r="F41" s="3"/>
      <c r="G41" s="3"/>
      <c r="H41" s="3"/>
      <c r="I41" s="54"/>
      <c r="J41" s="3"/>
    </row>
    <row r="42" spans="1:41" ht="17" thickBot="1" x14ac:dyDescent="0.25">
      <c r="A42" s="683"/>
      <c r="B42" s="590" t="s">
        <v>187</v>
      </c>
      <c r="C42" s="592"/>
      <c r="D42" s="3"/>
      <c r="E42" s="3"/>
      <c r="F42" s="3"/>
      <c r="G42" s="3"/>
      <c r="H42" s="3"/>
      <c r="I42" s="54"/>
      <c r="J42" s="3"/>
      <c r="K42" s="789">
        <f>D42</f>
        <v>0</v>
      </c>
      <c r="L42" s="850"/>
      <c r="M42" s="850"/>
      <c r="N42" s="850"/>
      <c r="O42" s="850"/>
      <c r="P42" s="850"/>
      <c r="Q42" s="850"/>
      <c r="R42" s="850"/>
      <c r="S42" s="850"/>
      <c r="T42" s="790"/>
      <c r="U42" s="789">
        <f>K42</f>
        <v>0</v>
      </c>
      <c r="V42" s="850"/>
      <c r="W42" s="850"/>
      <c r="X42" s="850"/>
      <c r="Y42" s="850"/>
      <c r="Z42" s="850"/>
      <c r="AA42" s="850"/>
      <c r="AB42" s="850"/>
      <c r="AC42" s="850"/>
      <c r="AD42" s="790"/>
      <c r="AE42" s="789">
        <f>U42</f>
        <v>0</v>
      </c>
      <c r="AF42" s="850"/>
      <c r="AG42" s="850"/>
      <c r="AH42" s="850"/>
      <c r="AI42" s="850"/>
      <c r="AJ42" s="850"/>
      <c r="AK42" s="850"/>
      <c r="AL42" s="850"/>
      <c r="AM42" s="850"/>
      <c r="AN42" s="790"/>
    </row>
    <row r="43" spans="1:41" ht="17" thickBot="1" x14ac:dyDescent="0.25">
      <c r="A43" s="683"/>
      <c r="B43" s="590"/>
      <c r="C43" s="624"/>
      <c r="D43" s="69"/>
      <c r="E43" s="69"/>
      <c r="F43" s="69"/>
      <c r="G43" s="69"/>
      <c r="H43" s="69"/>
      <c r="I43" s="70"/>
      <c r="J43" s="3"/>
      <c r="K43" s="851" t="s">
        <v>83</v>
      </c>
      <c r="L43" s="851" t="s">
        <v>76</v>
      </c>
      <c r="M43" s="728" t="s">
        <v>215</v>
      </c>
      <c r="N43" s="730"/>
      <c r="O43" s="730"/>
      <c r="P43" s="730"/>
      <c r="Q43" s="730"/>
      <c r="R43" s="730"/>
      <c r="S43" s="730"/>
      <c r="T43" s="729"/>
      <c r="U43" s="851" t="s">
        <v>83</v>
      </c>
      <c r="V43" s="851" t="s">
        <v>76</v>
      </c>
      <c r="W43" s="728" t="s">
        <v>70</v>
      </c>
      <c r="X43" s="730"/>
      <c r="Y43" s="730"/>
      <c r="Z43" s="730"/>
      <c r="AA43" s="730"/>
      <c r="AB43" s="730"/>
      <c r="AC43" s="730"/>
      <c r="AD43" s="729"/>
      <c r="AE43" s="851" t="s">
        <v>83</v>
      </c>
      <c r="AF43" s="851" t="s">
        <v>76</v>
      </c>
      <c r="AG43" s="728" t="s">
        <v>107</v>
      </c>
      <c r="AH43" s="730"/>
      <c r="AI43" s="730"/>
      <c r="AJ43" s="730"/>
      <c r="AK43" s="730"/>
      <c r="AL43" s="730"/>
      <c r="AM43" s="730"/>
      <c r="AN43" s="729"/>
      <c r="AO43" s="125" t="s">
        <v>19</v>
      </c>
    </row>
    <row r="44" spans="1:41" ht="16" thickBot="1" x14ac:dyDescent="0.25">
      <c r="A44" s="596"/>
      <c r="B44" s="623" t="s">
        <v>19</v>
      </c>
      <c r="C44" s="625"/>
      <c r="D44" s="614"/>
      <c r="E44" s="614"/>
      <c r="F44" s="614"/>
      <c r="G44" s="614"/>
      <c r="H44" s="614"/>
      <c r="I44" s="626"/>
      <c r="J44" s="3"/>
      <c r="K44" s="853"/>
      <c r="L44" s="852"/>
      <c r="M44" s="110" t="s">
        <v>78</v>
      </c>
      <c r="N44" s="111" t="s">
        <v>79</v>
      </c>
      <c r="O44" s="111" t="s">
        <v>80</v>
      </c>
      <c r="P44" s="111" t="s">
        <v>81</v>
      </c>
      <c r="Q44" s="111" t="s">
        <v>85</v>
      </c>
      <c r="R44" s="111" t="s">
        <v>82</v>
      </c>
      <c r="S44" s="111" t="s">
        <v>209</v>
      </c>
      <c r="T44" s="112" t="s">
        <v>19</v>
      </c>
      <c r="U44" s="853"/>
      <c r="V44" s="852"/>
      <c r="W44" s="110" t="s">
        <v>78</v>
      </c>
      <c r="X44" s="111" t="s">
        <v>79</v>
      </c>
      <c r="Y44" s="111" t="s">
        <v>80</v>
      </c>
      <c r="Z44" s="111" t="s">
        <v>81</v>
      </c>
      <c r="AA44" s="111" t="s">
        <v>85</v>
      </c>
      <c r="AB44" s="111" t="s">
        <v>82</v>
      </c>
      <c r="AC44" s="111" t="s">
        <v>209</v>
      </c>
      <c r="AD44" s="112" t="s">
        <v>19</v>
      </c>
      <c r="AE44" s="853"/>
      <c r="AF44" s="852"/>
      <c r="AG44" s="110" t="s">
        <v>78</v>
      </c>
      <c r="AH44" s="111" t="s">
        <v>79</v>
      </c>
      <c r="AI44" s="111" t="s">
        <v>80</v>
      </c>
      <c r="AJ44" s="111" t="s">
        <v>81</v>
      </c>
      <c r="AK44" s="111" t="s">
        <v>85</v>
      </c>
      <c r="AL44" s="111" t="s">
        <v>82</v>
      </c>
      <c r="AM44" s="111" t="s">
        <v>209</v>
      </c>
      <c r="AN44" s="112" t="s">
        <v>19</v>
      </c>
    </row>
    <row r="45" spans="1:41" ht="16" thickBot="1" x14ac:dyDescent="0.25">
      <c r="A45" s="596"/>
      <c r="B45" s="593"/>
      <c r="C45" s="620"/>
      <c r="D45" s="610"/>
      <c r="E45" s="610"/>
      <c r="F45" s="610"/>
      <c r="G45" s="610"/>
      <c r="H45" s="610"/>
      <c r="I45" s="621"/>
      <c r="J45" s="3"/>
      <c r="K45" s="113" t="s">
        <v>20</v>
      </c>
      <c r="L45" s="16">
        <f>B45</f>
        <v>0</v>
      </c>
      <c r="M45" s="3"/>
      <c r="N45" s="3"/>
      <c r="O45" s="3"/>
      <c r="P45" s="3"/>
      <c r="Q45" s="3"/>
      <c r="R45" s="3"/>
      <c r="S45" s="3"/>
      <c r="T45" s="3">
        <f>(M45+N45+O45+P45+Q45+R45)*100+(S45*160)</f>
        <v>0</v>
      </c>
      <c r="U45" s="113" t="s">
        <v>20</v>
      </c>
      <c r="V45" s="16">
        <f>L45</f>
        <v>0</v>
      </c>
      <c r="W45" s="3"/>
      <c r="X45" s="3"/>
      <c r="Y45" s="3"/>
      <c r="Z45" s="3"/>
      <c r="AA45" s="3"/>
      <c r="AB45" s="3"/>
      <c r="AC45" s="3"/>
      <c r="AD45" s="3">
        <f>(W45+X45+Y45+Z45+AA45+AB45)*100+(AC45*160)</f>
        <v>0</v>
      </c>
      <c r="AE45" s="113" t="s">
        <v>20</v>
      </c>
      <c r="AF45" s="16">
        <f>V45</f>
        <v>0</v>
      </c>
      <c r="AG45" s="3"/>
      <c r="AH45" s="3"/>
      <c r="AI45" s="3"/>
      <c r="AJ45" s="3"/>
      <c r="AK45" s="3"/>
      <c r="AL45" s="3"/>
      <c r="AM45" s="3"/>
      <c r="AN45" s="3">
        <f>(AG45+AH45+AI45+AJ45+AK45+AL45)*100+(AM45*160)</f>
        <v>0</v>
      </c>
      <c r="AO45" s="125">
        <f>SUM(AN45,AD45,T45,J45)</f>
        <v>0</v>
      </c>
    </row>
    <row r="46" spans="1:41" ht="16" thickBot="1" x14ac:dyDescent="0.25">
      <c r="A46" s="683"/>
      <c r="B46" s="593" t="s">
        <v>113</v>
      </c>
      <c r="C46" s="594"/>
      <c r="D46" s="581"/>
      <c r="E46" s="581"/>
      <c r="F46" s="581"/>
      <c r="G46" s="581"/>
      <c r="H46" s="581"/>
      <c r="I46" s="627"/>
      <c r="J46" s="3" t="s">
        <v>437</v>
      </c>
      <c r="K46" s="3"/>
      <c r="L46" s="68" t="s">
        <v>210</v>
      </c>
      <c r="M46" s="69"/>
      <c r="N46" s="69"/>
      <c r="O46" s="69"/>
      <c r="P46" s="69"/>
      <c r="Q46" s="69"/>
      <c r="R46" s="69"/>
      <c r="S46" s="69"/>
      <c r="T46" s="69">
        <f>(M46+N46+O46+P46+Q46+R46)*100+(S46*160)</f>
        <v>0</v>
      </c>
      <c r="U46" s="3"/>
      <c r="V46" s="68" t="s">
        <v>210</v>
      </c>
      <c r="W46" s="69"/>
      <c r="X46" s="69"/>
      <c r="Y46" s="69"/>
      <c r="Z46" s="69"/>
      <c r="AA46" s="69"/>
      <c r="AB46" s="69"/>
      <c r="AC46" s="69"/>
      <c r="AD46" s="69">
        <f>(W46+X46+Y46+Z46+AA46+AB46)*100+(AC46*160)</f>
        <v>0</v>
      </c>
      <c r="AE46" s="3"/>
      <c r="AF46" s="68" t="s">
        <v>210</v>
      </c>
      <c r="AG46" s="69"/>
      <c r="AH46" s="69"/>
      <c r="AI46" s="69"/>
      <c r="AJ46" s="69"/>
      <c r="AK46" s="69"/>
      <c r="AL46" s="69"/>
      <c r="AM46" s="69"/>
      <c r="AN46" s="69">
        <f>(AG46+AH46+AI46+AJ46+AK46+AL46)*100+(AM46*160)</f>
        <v>0</v>
      </c>
    </row>
    <row r="47" spans="1:41" ht="16" thickBot="1" x14ac:dyDescent="0.25">
      <c r="A47" s="54"/>
      <c r="B47" s="114" t="s">
        <v>84</v>
      </c>
      <c r="C47" s="789" t="e">
        <f>J45-J46</f>
        <v>#VALUE!</v>
      </c>
      <c r="D47" s="850"/>
      <c r="E47" s="850"/>
      <c r="F47" s="850"/>
      <c r="G47" s="850"/>
      <c r="H47" s="850"/>
      <c r="I47" s="850"/>
      <c r="J47" s="790"/>
      <c r="K47" s="54"/>
      <c r="L47" s="114" t="s">
        <v>84</v>
      </c>
      <c r="M47" s="789">
        <f>T45-T46</f>
        <v>0</v>
      </c>
      <c r="N47" s="850"/>
      <c r="O47" s="850"/>
      <c r="P47" s="850"/>
      <c r="Q47" s="850"/>
      <c r="R47" s="850"/>
      <c r="S47" s="850"/>
      <c r="T47" s="790"/>
      <c r="U47" s="54"/>
      <c r="V47" s="114" t="s">
        <v>84</v>
      </c>
      <c r="W47" s="789">
        <f>AD45-AD46</f>
        <v>0</v>
      </c>
      <c r="X47" s="850"/>
      <c r="Y47" s="850"/>
      <c r="Z47" s="850"/>
      <c r="AA47" s="850"/>
      <c r="AB47" s="850"/>
      <c r="AC47" s="850"/>
      <c r="AD47" s="790"/>
      <c r="AE47" s="54"/>
      <c r="AF47" s="114" t="s">
        <v>84</v>
      </c>
      <c r="AG47" s="789">
        <f>AN45-AN46</f>
        <v>0</v>
      </c>
      <c r="AH47" s="850"/>
      <c r="AI47" s="850"/>
      <c r="AJ47" s="850"/>
      <c r="AK47" s="850"/>
      <c r="AL47" s="850"/>
      <c r="AM47" s="850"/>
      <c r="AN47" s="790"/>
    </row>
    <row r="48" spans="1:41" ht="16" thickBot="1" x14ac:dyDescent="0.25">
      <c r="A48" s="113" t="s">
        <v>90</v>
      </c>
      <c r="B48" s="74">
        <v>21</v>
      </c>
      <c r="C48" s="14"/>
      <c r="D48" s="14"/>
      <c r="E48" s="14"/>
      <c r="F48" s="14"/>
      <c r="G48" s="14"/>
      <c r="H48" s="14"/>
      <c r="I48" s="14"/>
      <c r="J48" s="14">
        <f>(C48+D48+E48+F48+G48+H48)*100+(I48*160)</f>
        <v>0</v>
      </c>
      <c r="K48" s="113" t="s">
        <v>90</v>
      </c>
      <c r="L48" s="74">
        <f>B48</f>
        <v>21</v>
      </c>
      <c r="M48" s="14"/>
      <c r="N48" s="14"/>
      <c r="O48" s="14"/>
      <c r="P48" s="14"/>
      <c r="Q48" s="14"/>
      <c r="R48" s="14"/>
      <c r="S48" s="14"/>
      <c r="T48" s="14">
        <f>(M48+N48+O48+P48+Q48+R48)*100+(S48*160)</f>
        <v>0</v>
      </c>
      <c r="U48" s="113" t="s">
        <v>90</v>
      </c>
      <c r="V48" s="74">
        <f>L48</f>
        <v>21</v>
      </c>
      <c r="W48" s="14"/>
      <c r="X48" s="14"/>
      <c r="Y48" s="14"/>
      <c r="Z48" s="14"/>
      <c r="AA48" s="14"/>
      <c r="AB48" s="14"/>
      <c r="AC48" s="14"/>
      <c r="AD48" s="14">
        <f>(W48+X48+Y48+Z48+AA48+AB48)*100+(AC48*160)</f>
        <v>0</v>
      </c>
      <c r="AE48" s="113" t="s">
        <v>90</v>
      </c>
      <c r="AF48" s="74">
        <f>V48</f>
        <v>21</v>
      </c>
      <c r="AG48" s="14"/>
      <c r="AH48" s="14"/>
      <c r="AI48" s="14"/>
      <c r="AJ48" s="14"/>
      <c r="AK48" s="14"/>
      <c r="AL48" s="14"/>
      <c r="AM48" s="14"/>
      <c r="AN48" s="14">
        <f>(AG48+AH48+AI48+AJ48+AK48+AL48)*100+(AM48*160)</f>
        <v>0</v>
      </c>
      <c r="AO48" s="125">
        <f>SUM(AN48,AD48,T48,J48)</f>
        <v>0</v>
      </c>
    </row>
    <row r="49" spans="1:41" ht="16" thickBot="1" x14ac:dyDescent="0.25">
      <c r="A49" s="3"/>
      <c r="B49" s="68" t="s">
        <v>210</v>
      </c>
      <c r="C49" s="69"/>
      <c r="D49" s="69"/>
      <c r="E49" s="69"/>
      <c r="F49" s="69"/>
      <c r="G49" s="69"/>
      <c r="H49" s="69"/>
      <c r="I49" s="69"/>
      <c r="J49" s="69">
        <f>(C49+D49+E49+F49+G49+H49)*100+(I49*160)</f>
        <v>0</v>
      </c>
      <c r="K49" s="3"/>
      <c r="L49" s="68" t="s">
        <v>210</v>
      </c>
      <c r="M49" s="69"/>
      <c r="N49" s="69"/>
      <c r="O49" s="69"/>
      <c r="P49" s="69"/>
      <c r="Q49" s="69"/>
      <c r="R49" s="69"/>
      <c r="S49" s="69"/>
      <c r="T49" s="69">
        <f>(M49+N49+O49+P49+Q49+R49)*100+(S49*160)</f>
        <v>0</v>
      </c>
      <c r="U49" s="3"/>
      <c r="V49" s="68" t="s">
        <v>210</v>
      </c>
      <c r="W49" s="69"/>
      <c r="X49" s="69"/>
      <c r="Y49" s="69"/>
      <c r="Z49" s="69"/>
      <c r="AA49" s="69"/>
      <c r="AB49" s="69"/>
      <c r="AC49" s="69"/>
      <c r="AD49" s="69">
        <f>(W49+X49+Y49+Z49+AA49+AB49)*100+(AC49*160)</f>
        <v>0</v>
      </c>
      <c r="AE49" s="3"/>
      <c r="AF49" s="68" t="s">
        <v>210</v>
      </c>
      <c r="AG49" s="69"/>
      <c r="AH49" s="69"/>
      <c r="AI49" s="69"/>
      <c r="AJ49" s="69"/>
      <c r="AK49" s="69"/>
      <c r="AL49" s="69"/>
      <c r="AM49" s="69"/>
      <c r="AN49" s="69">
        <f>(AG49+AH49+AI49+AJ49+AK49+AL49)*100+(AM49*160)</f>
        <v>0</v>
      </c>
    </row>
    <row r="50" spans="1:41" ht="16" thickBot="1" x14ac:dyDescent="0.25">
      <c r="A50" s="54"/>
      <c r="B50" s="114" t="s">
        <v>84</v>
      </c>
      <c r="C50" s="789">
        <f>J48-J49</f>
        <v>0</v>
      </c>
      <c r="D50" s="850"/>
      <c r="E50" s="850"/>
      <c r="F50" s="850"/>
      <c r="G50" s="850"/>
      <c r="H50" s="850"/>
      <c r="I50" s="850"/>
      <c r="J50" s="790"/>
      <c r="K50" s="54"/>
      <c r="L50" s="114" t="s">
        <v>84</v>
      </c>
      <c r="M50" s="789">
        <f>T48-T49</f>
        <v>0</v>
      </c>
      <c r="N50" s="850"/>
      <c r="O50" s="850"/>
      <c r="P50" s="850"/>
      <c r="Q50" s="850"/>
      <c r="R50" s="850"/>
      <c r="S50" s="850"/>
      <c r="T50" s="790"/>
      <c r="U50" s="54"/>
      <c r="V50" s="114" t="s">
        <v>84</v>
      </c>
      <c r="W50" s="789">
        <f>AD48-AD49</f>
        <v>0</v>
      </c>
      <c r="X50" s="850"/>
      <c r="Y50" s="850"/>
      <c r="Z50" s="850"/>
      <c r="AA50" s="850"/>
      <c r="AB50" s="850"/>
      <c r="AC50" s="850"/>
      <c r="AD50" s="790"/>
      <c r="AE50" s="54"/>
      <c r="AF50" s="114" t="s">
        <v>84</v>
      </c>
      <c r="AG50" s="789">
        <f>AN48-AN49</f>
        <v>0</v>
      </c>
      <c r="AH50" s="850"/>
      <c r="AI50" s="850"/>
      <c r="AJ50" s="850"/>
      <c r="AK50" s="850"/>
      <c r="AL50" s="850"/>
      <c r="AM50" s="850"/>
      <c r="AN50" s="790"/>
    </row>
    <row r="51" spans="1:41" ht="16" thickBot="1" x14ac:dyDescent="0.25">
      <c r="A51" s="113" t="s">
        <v>22</v>
      </c>
      <c r="B51" s="74">
        <v>22</v>
      </c>
      <c r="C51" s="14"/>
      <c r="D51" s="14"/>
      <c r="E51" s="14"/>
      <c r="F51" s="14"/>
      <c r="G51" s="14"/>
      <c r="H51" s="14"/>
      <c r="I51" s="14"/>
      <c r="J51" s="14">
        <f>(C51+D51+E51+F51+G51+H51)*100+(I51*160)</f>
        <v>0</v>
      </c>
      <c r="K51" s="113" t="s">
        <v>22</v>
      </c>
      <c r="L51" s="74">
        <f>B51</f>
        <v>22</v>
      </c>
      <c r="M51" s="14"/>
      <c r="N51" s="14"/>
      <c r="O51" s="14"/>
      <c r="P51" s="14"/>
      <c r="Q51" s="14"/>
      <c r="R51" s="14"/>
      <c r="S51" s="14"/>
      <c r="T51" s="14">
        <f>(M51+N51+O51+P51+Q51+R51)*100+(S51*160)</f>
        <v>0</v>
      </c>
      <c r="U51" s="113" t="s">
        <v>22</v>
      </c>
      <c r="V51" s="74">
        <f>L51</f>
        <v>22</v>
      </c>
      <c r="W51" s="14"/>
      <c r="X51" s="14"/>
      <c r="Y51" s="14"/>
      <c r="Z51" s="14"/>
      <c r="AA51" s="14"/>
      <c r="AB51" s="14"/>
      <c r="AC51" s="14"/>
      <c r="AD51" s="14">
        <f>(W51+X51+Y51+Z51+AA51+AB51)*100+(AC51*160)</f>
        <v>0</v>
      </c>
      <c r="AE51" s="113" t="s">
        <v>22</v>
      </c>
      <c r="AF51" s="74">
        <f>V51</f>
        <v>22</v>
      </c>
      <c r="AG51" s="14"/>
      <c r="AH51" s="14"/>
      <c r="AI51" s="14"/>
      <c r="AJ51" s="14"/>
      <c r="AK51" s="14"/>
      <c r="AL51" s="14"/>
      <c r="AM51" s="14"/>
      <c r="AN51" s="14">
        <f>(AG51+AH51+AI51+AJ51+AK51+AL51)*100+(AM51*160)</f>
        <v>0</v>
      </c>
      <c r="AO51" s="125">
        <f>SUM(AN51,AD51,T51,J51)</f>
        <v>0</v>
      </c>
    </row>
    <row r="52" spans="1:41" ht="16" thickBot="1" x14ac:dyDescent="0.25">
      <c r="A52" s="3"/>
      <c r="B52" s="68" t="s">
        <v>210</v>
      </c>
      <c r="C52" s="69"/>
      <c r="D52" s="69"/>
      <c r="E52" s="69"/>
      <c r="F52" s="69"/>
      <c r="G52" s="69"/>
      <c r="H52" s="69"/>
      <c r="I52" s="69"/>
      <c r="J52" s="69">
        <f>(C52+D52+E52+F52+G52+H52)*100+(I52*160)</f>
        <v>0</v>
      </c>
      <c r="K52" s="3"/>
      <c r="L52" s="68" t="s">
        <v>210</v>
      </c>
      <c r="M52" s="69"/>
      <c r="N52" s="69"/>
      <c r="O52" s="69"/>
      <c r="P52" s="69"/>
      <c r="Q52" s="69"/>
      <c r="R52" s="69"/>
      <c r="S52" s="69"/>
      <c r="T52" s="69">
        <f>(M52+N52+O52+P52+Q52+R52)*100+(S52*160)</f>
        <v>0</v>
      </c>
      <c r="U52" s="3"/>
      <c r="V52" s="68" t="s">
        <v>210</v>
      </c>
      <c r="W52" s="69"/>
      <c r="X52" s="69"/>
      <c r="Y52" s="69"/>
      <c r="Z52" s="69"/>
      <c r="AA52" s="69"/>
      <c r="AB52" s="69"/>
      <c r="AC52" s="69"/>
      <c r="AD52" s="69">
        <f>(W52+X52+Y52+Z52+AA52+AB52)*100+(AC52*160)</f>
        <v>0</v>
      </c>
      <c r="AE52" s="3"/>
      <c r="AF52" s="68" t="s">
        <v>210</v>
      </c>
      <c r="AG52" s="69"/>
      <c r="AH52" s="69"/>
      <c r="AI52" s="69"/>
      <c r="AJ52" s="69"/>
      <c r="AK52" s="69"/>
      <c r="AL52" s="69"/>
      <c r="AM52" s="69"/>
      <c r="AN52" s="69">
        <f>(AG52+AH52+AI52+AJ52+AK52+AL52)*100+(AM52*160)</f>
        <v>0</v>
      </c>
    </row>
    <row r="53" spans="1:41" ht="16" thickBot="1" x14ac:dyDescent="0.25">
      <c r="A53" s="54"/>
      <c r="B53" s="114" t="s">
        <v>84</v>
      </c>
      <c r="C53" s="789">
        <f>J51-J52</f>
        <v>0</v>
      </c>
      <c r="D53" s="850"/>
      <c r="E53" s="850"/>
      <c r="F53" s="850"/>
      <c r="G53" s="850"/>
      <c r="H53" s="850"/>
      <c r="I53" s="850"/>
      <c r="J53" s="790"/>
      <c r="K53" s="54"/>
      <c r="L53" s="114" t="s">
        <v>84</v>
      </c>
      <c r="M53" s="789">
        <f>T51-T52</f>
        <v>0</v>
      </c>
      <c r="N53" s="850"/>
      <c r="O53" s="850"/>
      <c r="P53" s="850"/>
      <c r="Q53" s="850"/>
      <c r="R53" s="850"/>
      <c r="S53" s="850"/>
      <c r="T53" s="790"/>
      <c r="U53" s="54"/>
      <c r="V53" s="114" t="s">
        <v>84</v>
      </c>
      <c r="W53" s="789">
        <f>AD51-AD52</f>
        <v>0</v>
      </c>
      <c r="X53" s="850"/>
      <c r="Y53" s="850"/>
      <c r="Z53" s="850"/>
      <c r="AA53" s="850"/>
      <c r="AB53" s="850"/>
      <c r="AC53" s="850"/>
      <c r="AD53" s="790"/>
      <c r="AE53" s="54"/>
      <c r="AF53" s="114" t="s">
        <v>84</v>
      </c>
      <c r="AG53" s="789">
        <f>AN51-AN52</f>
        <v>0</v>
      </c>
      <c r="AH53" s="850"/>
      <c r="AI53" s="850"/>
      <c r="AJ53" s="850"/>
      <c r="AK53" s="850"/>
      <c r="AL53" s="850"/>
      <c r="AM53" s="850"/>
      <c r="AN53" s="790"/>
    </row>
    <row r="54" spans="1:41" ht="16" thickBot="1" x14ac:dyDescent="0.25">
      <c r="A54" s="113" t="s">
        <v>23</v>
      </c>
      <c r="B54" s="74">
        <v>23</v>
      </c>
      <c r="C54" s="14"/>
      <c r="D54" s="14"/>
      <c r="E54" s="14"/>
      <c r="F54" s="14"/>
      <c r="G54" s="14"/>
      <c r="H54" s="14"/>
      <c r="I54" s="14"/>
      <c r="J54" s="14">
        <f>(C54+D54+E54+F54+G54+H54)*100+(I54*160)</f>
        <v>0</v>
      </c>
      <c r="K54" s="113" t="s">
        <v>23</v>
      </c>
      <c r="L54" s="74">
        <f>B54</f>
        <v>23</v>
      </c>
      <c r="M54" s="14"/>
      <c r="N54" s="14"/>
      <c r="O54" s="14"/>
      <c r="P54" s="14"/>
      <c r="Q54" s="14"/>
      <c r="R54" s="14"/>
      <c r="S54" s="14"/>
      <c r="T54" s="14">
        <f>(M54+N54+O54+P54+Q54+R54)*100+(S54*160)</f>
        <v>0</v>
      </c>
      <c r="U54" s="113" t="s">
        <v>23</v>
      </c>
      <c r="V54" s="74">
        <f>L54</f>
        <v>23</v>
      </c>
      <c r="W54" s="14"/>
      <c r="X54" s="14"/>
      <c r="Y54" s="14"/>
      <c r="Z54" s="14"/>
      <c r="AA54" s="14"/>
      <c r="AB54" s="14"/>
      <c r="AC54" s="14"/>
      <c r="AD54" s="14">
        <f>(W54+X54+Y54+Z54+AA54+AB54)*100+(AC54*160)</f>
        <v>0</v>
      </c>
      <c r="AE54" s="113" t="s">
        <v>23</v>
      </c>
      <c r="AF54" s="74">
        <f>V54</f>
        <v>23</v>
      </c>
      <c r="AG54" s="14"/>
      <c r="AH54" s="14"/>
      <c r="AI54" s="14"/>
      <c r="AJ54" s="14"/>
      <c r="AK54" s="14"/>
      <c r="AL54" s="14"/>
      <c r="AM54" s="14"/>
      <c r="AN54" s="14">
        <f>(AG54+AH54+AI54+AJ54+AK54+AL54)*100+(AM54*160)</f>
        <v>0</v>
      </c>
      <c r="AO54" s="125">
        <f>SUM(AN54,AD54,T54,J54)</f>
        <v>0</v>
      </c>
    </row>
    <row r="55" spans="1:41" ht="16" thickBot="1" x14ac:dyDescent="0.25">
      <c r="A55" s="3"/>
      <c r="B55" s="68" t="s">
        <v>210</v>
      </c>
      <c r="C55" s="69"/>
      <c r="D55" s="69"/>
      <c r="E55" s="69"/>
      <c r="F55" s="69"/>
      <c r="G55" s="69"/>
      <c r="H55" s="69"/>
      <c r="I55" s="69"/>
      <c r="J55" s="69">
        <f>(C55+D55+E55+F55+G55+H55)*100+(I55*160)</f>
        <v>0</v>
      </c>
      <c r="K55" s="3"/>
      <c r="L55" s="68" t="s">
        <v>210</v>
      </c>
      <c r="M55" s="69"/>
      <c r="N55" s="69"/>
      <c r="O55" s="69"/>
      <c r="P55" s="69"/>
      <c r="Q55" s="69"/>
      <c r="R55" s="69"/>
      <c r="S55" s="69"/>
      <c r="T55" s="69">
        <f>(M55+N55+O55+P55+Q55+R55)*100+(S55*160)</f>
        <v>0</v>
      </c>
      <c r="U55" s="3"/>
      <c r="V55" s="68" t="s">
        <v>210</v>
      </c>
      <c r="W55" s="69"/>
      <c r="X55" s="69"/>
      <c r="Y55" s="69"/>
      <c r="Z55" s="69"/>
      <c r="AA55" s="69"/>
      <c r="AB55" s="69"/>
      <c r="AC55" s="69"/>
      <c r="AD55" s="69">
        <f>(W55+X55+Y55+Z55+AA55+AB55)*100+(AC55*160)</f>
        <v>0</v>
      </c>
      <c r="AE55" s="3"/>
      <c r="AF55" s="68" t="s">
        <v>210</v>
      </c>
      <c r="AG55" s="69"/>
      <c r="AH55" s="69"/>
      <c r="AI55" s="69"/>
      <c r="AJ55" s="69"/>
      <c r="AK55" s="69"/>
      <c r="AL55" s="69"/>
      <c r="AM55" s="69"/>
      <c r="AN55" s="69">
        <f>(AG55+AH55+AI55+AJ55+AK55+AL55)*100+(AM55*160)</f>
        <v>0</v>
      </c>
    </row>
    <row r="56" spans="1:41" ht="16" thickBot="1" x14ac:dyDescent="0.25">
      <c r="A56" s="54"/>
      <c r="B56" s="114" t="s">
        <v>84</v>
      </c>
      <c r="C56" s="789">
        <f>J54-J55</f>
        <v>0</v>
      </c>
      <c r="D56" s="850"/>
      <c r="E56" s="850"/>
      <c r="F56" s="850"/>
      <c r="G56" s="850"/>
      <c r="H56" s="850"/>
      <c r="I56" s="850"/>
      <c r="J56" s="790"/>
      <c r="K56" s="54"/>
      <c r="L56" s="114" t="s">
        <v>84</v>
      </c>
      <c r="M56" s="789">
        <f>T54-T55</f>
        <v>0</v>
      </c>
      <c r="N56" s="850"/>
      <c r="O56" s="850"/>
      <c r="P56" s="850"/>
      <c r="Q56" s="850"/>
      <c r="R56" s="850"/>
      <c r="S56" s="850"/>
      <c r="T56" s="790"/>
      <c r="U56" s="54"/>
      <c r="V56" s="114" t="s">
        <v>84</v>
      </c>
      <c r="W56" s="789">
        <f>AD54-AD55</f>
        <v>0</v>
      </c>
      <c r="X56" s="850"/>
      <c r="Y56" s="850"/>
      <c r="Z56" s="850"/>
      <c r="AA56" s="850"/>
      <c r="AB56" s="850"/>
      <c r="AC56" s="850"/>
      <c r="AD56" s="790"/>
      <c r="AE56" s="54"/>
      <c r="AF56" s="114" t="s">
        <v>84</v>
      </c>
      <c r="AG56" s="789">
        <f>AN54-AN55</f>
        <v>0</v>
      </c>
      <c r="AH56" s="850"/>
      <c r="AI56" s="850"/>
      <c r="AJ56" s="850"/>
      <c r="AK56" s="850"/>
      <c r="AL56" s="850"/>
      <c r="AM56" s="850"/>
      <c r="AN56" s="790"/>
    </row>
    <row r="57" spans="1:41" ht="16" thickBot="1" x14ac:dyDescent="0.25">
      <c r="A57" s="113" t="s">
        <v>24</v>
      </c>
      <c r="B57" s="74">
        <v>24</v>
      </c>
      <c r="C57" s="14"/>
      <c r="D57" s="14"/>
      <c r="E57" s="14"/>
      <c r="F57" s="14"/>
      <c r="G57" s="14"/>
      <c r="H57" s="14"/>
      <c r="I57" s="14"/>
      <c r="J57" s="14">
        <f>(C57+D57+E57+F57+G57+H57)*100+(I57*160)</f>
        <v>0</v>
      </c>
      <c r="K57" s="113" t="s">
        <v>24</v>
      </c>
      <c r="L57" s="74">
        <f>B57</f>
        <v>24</v>
      </c>
      <c r="M57" s="14"/>
      <c r="N57" s="14"/>
      <c r="O57" s="14"/>
      <c r="P57" s="14"/>
      <c r="Q57" s="14"/>
      <c r="R57" s="14"/>
      <c r="S57" s="14"/>
      <c r="T57" s="14">
        <f>(M57+N57+O57+P57+Q57+R57)*100+(S57*160)</f>
        <v>0</v>
      </c>
      <c r="U57" s="113" t="s">
        <v>24</v>
      </c>
      <c r="V57" s="74">
        <f>L57</f>
        <v>24</v>
      </c>
      <c r="W57" s="14"/>
      <c r="X57" s="14"/>
      <c r="Y57" s="14"/>
      <c r="Z57" s="14"/>
      <c r="AA57" s="14"/>
      <c r="AB57" s="14"/>
      <c r="AC57" s="14"/>
      <c r="AD57" s="14">
        <f>(W57+X57+Y57+Z57+AA57+AB57)*100+(AC57*160)</f>
        <v>0</v>
      </c>
      <c r="AE57" s="113" t="s">
        <v>24</v>
      </c>
      <c r="AF57" s="74">
        <f>V57</f>
        <v>24</v>
      </c>
      <c r="AG57" s="14"/>
      <c r="AH57" s="14"/>
      <c r="AI57" s="14"/>
      <c r="AJ57" s="14"/>
      <c r="AK57" s="14"/>
      <c r="AL57" s="14"/>
      <c r="AM57" s="14"/>
      <c r="AN57" s="14">
        <f>(AG57+AH57+AI57+AJ57+AK57+AL57)*100+(AM57*160)</f>
        <v>0</v>
      </c>
      <c r="AO57" s="125">
        <f>SUM(AN57,AD57,T57,J57)</f>
        <v>0</v>
      </c>
    </row>
    <row r="58" spans="1:41" ht="16" thickBot="1" x14ac:dyDescent="0.25">
      <c r="A58" s="3"/>
      <c r="B58" s="68" t="s">
        <v>210</v>
      </c>
      <c r="C58" s="69"/>
      <c r="D58" s="69"/>
      <c r="E58" s="69"/>
      <c r="F58" s="69"/>
      <c r="G58" s="69"/>
      <c r="H58" s="69"/>
      <c r="I58" s="69"/>
      <c r="J58" s="69">
        <f>(C58+D58+E58+F58+G58+H58)*100+(I58*160)</f>
        <v>0</v>
      </c>
      <c r="K58" s="3"/>
      <c r="L58" s="68" t="s">
        <v>210</v>
      </c>
      <c r="M58" s="69"/>
      <c r="N58" s="69"/>
      <c r="O58" s="69"/>
      <c r="P58" s="69"/>
      <c r="Q58" s="69"/>
      <c r="R58" s="69"/>
      <c r="S58" s="69"/>
      <c r="T58" s="69">
        <f>(M58+N58+O58+P58+Q58+R58)*100+(S58*160)</f>
        <v>0</v>
      </c>
      <c r="U58" s="3"/>
      <c r="V58" s="68" t="s">
        <v>210</v>
      </c>
      <c r="W58" s="69"/>
      <c r="X58" s="69"/>
      <c r="Y58" s="69"/>
      <c r="Z58" s="69"/>
      <c r="AA58" s="69"/>
      <c r="AB58" s="69"/>
      <c r="AC58" s="69"/>
      <c r="AD58" s="69">
        <f>(W58+X58+Y58+Z58+AA58+AB58)*100+(AC58*160)</f>
        <v>0</v>
      </c>
      <c r="AE58" s="3"/>
      <c r="AF58" s="68" t="s">
        <v>210</v>
      </c>
      <c r="AG58" s="69"/>
      <c r="AH58" s="69"/>
      <c r="AI58" s="69"/>
      <c r="AJ58" s="69"/>
      <c r="AK58" s="69"/>
      <c r="AL58" s="69"/>
      <c r="AM58" s="69"/>
      <c r="AN58" s="69">
        <f>(AG58+AH58+AI58+AJ58+AK58+AL58)*100+(AM58*160)</f>
        <v>0</v>
      </c>
    </row>
    <row r="59" spans="1:41" ht="16" thickBot="1" x14ac:dyDescent="0.25">
      <c r="A59" s="54"/>
      <c r="B59" s="115" t="s">
        <v>84</v>
      </c>
      <c r="C59" s="789">
        <f>J57-J58</f>
        <v>0</v>
      </c>
      <c r="D59" s="850"/>
      <c r="E59" s="850"/>
      <c r="F59" s="850"/>
      <c r="G59" s="850"/>
      <c r="H59" s="850"/>
      <c r="I59" s="850"/>
      <c r="J59" s="790"/>
      <c r="K59" s="54"/>
      <c r="L59" s="115" t="s">
        <v>84</v>
      </c>
      <c r="M59" s="789">
        <f>T57-T58</f>
        <v>0</v>
      </c>
      <c r="N59" s="850"/>
      <c r="O59" s="850"/>
      <c r="P59" s="850"/>
      <c r="Q59" s="850"/>
      <c r="R59" s="850"/>
      <c r="S59" s="850"/>
      <c r="T59" s="790"/>
      <c r="U59" s="54"/>
      <c r="V59" s="115" t="s">
        <v>84</v>
      </c>
      <c r="W59" s="789">
        <f>AD57-AD58</f>
        <v>0</v>
      </c>
      <c r="X59" s="850"/>
      <c r="Y59" s="850"/>
      <c r="Z59" s="850"/>
      <c r="AA59" s="850"/>
      <c r="AB59" s="850"/>
      <c r="AC59" s="850"/>
      <c r="AD59" s="790"/>
      <c r="AE59" s="54"/>
      <c r="AF59" s="115" t="s">
        <v>84</v>
      </c>
      <c r="AG59" s="789">
        <f>AN57-AN58</f>
        <v>0</v>
      </c>
      <c r="AH59" s="850"/>
      <c r="AI59" s="850"/>
      <c r="AJ59" s="850"/>
      <c r="AK59" s="850"/>
      <c r="AL59" s="850"/>
      <c r="AM59" s="850"/>
      <c r="AN59" s="790"/>
    </row>
    <row r="60" spans="1:41" ht="16" thickBot="1" x14ac:dyDescent="0.25">
      <c r="A60" s="3" t="s">
        <v>25</v>
      </c>
      <c r="B60" s="74">
        <v>25</v>
      </c>
      <c r="C60" s="14"/>
      <c r="D60" s="14"/>
      <c r="E60" s="14"/>
      <c r="F60" s="14"/>
      <c r="G60" s="14"/>
      <c r="H60" s="14"/>
      <c r="I60" s="14"/>
      <c r="J60" s="14">
        <f>(C60+D60+E60+F60+G60+H60)*100+(I60*160)</f>
        <v>0</v>
      </c>
      <c r="K60" s="3" t="s">
        <v>25</v>
      </c>
      <c r="L60" s="74">
        <f>B60</f>
        <v>25</v>
      </c>
      <c r="M60" s="14"/>
      <c r="N60" s="14"/>
      <c r="O60" s="14"/>
      <c r="P60" s="14"/>
      <c r="Q60" s="14"/>
      <c r="R60" s="14"/>
      <c r="S60" s="14"/>
      <c r="T60" s="14">
        <f>(M60+N60+O60+P60+Q60+R60)*100+(S60*160)</f>
        <v>0</v>
      </c>
      <c r="U60" s="3" t="s">
        <v>25</v>
      </c>
      <c r="V60" s="74">
        <f>L60</f>
        <v>25</v>
      </c>
      <c r="W60" s="14"/>
      <c r="X60" s="14"/>
      <c r="Y60" s="14"/>
      <c r="Z60" s="14"/>
      <c r="AA60" s="14"/>
      <c r="AB60" s="14"/>
      <c r="AC60" s="14"/>
      <c r="AD60" s="14">
        <f>(W60+X60+Y60+Z60+AA60+AB60)*100+(AC60*160)</f>
        <v>0</v>
      </c>
      <c r="AE60" s="3" t="s">
        <v>25</v>
      </c>
      <c r="AF60" s="74">
        <f>V60</f>
        <v>25</v>
      </c>
      <c r="AG60" s="14"/>
      <c r="AH60" s="14"/>
      <c r="AI60" s="14"/>
      <c r="AJ60" s="14"/>
      <c r="AK60" s="14"/>
      <c r="AL60" s="14"/>
      <c r="AM60" s="14"/>
      <c r="AN60" s="14">
        <f>(AG60+AH60+AI60+AJ60+AK60+AL60)*100+(AM60*160)</f>
        <v>0</v>
      </c>
      <c r="AO60" s="125">
        <f>SUM(AN60,AD60,T60,J60)</f>
        <v>0</v>
      </c>
    </row>
    <row r="61" spans="1:41" ht="16" thickBot="1" x14ac:dyDescent="0.25">
      <c r="A61" s="3"/>
      <c r="B61" s="68" t="s">
        <v>210</v>
      </c>
      <c r="C61" s="69"/>
      <c r="D61" s="69"/>
      <c r="E61" s="69"/>
      <c r="F61" s="69"/>
      <c r="G61" s="69"/>
      <c r="H61" s="69"/>
      <c r="I61" s="69"/>
      <c r="J61" s="69">
        <f>(C61+D61+E61+F61+G61+H61)*100+(I61*160)</f>
        <v>0</v>
      </c>
      <c r="K61" s="3"/>
      <c r="L61" s="68" t="s">
        <v>210</v>
      </c>
      <c r="M61" s="69"/>
      <c r="N61" s="69"/>
      <c r="O61" s="69"/>
      <c r="P61" s="69"/>
      <c r="Q61" s="69"/>
      <c r="R61" s="69"/>
      <c r="S61" s="69"/>
      <c r="T61" s="69">
        <f>(M61+N61+O61+P61+Q61+R61)*100+(S61*160)</f>
        <v>0</v>
      </c>
      <c r="U61" s="3"/>
      <c r="V61" s="68" t="s">
        <v>210</v>
      </c>
      <c r="W61" s="69"/>
      <c r="X61" s="69"/>
      <c r="Y61" s="69"/>
      <c r="Z61" s="69"/>
      <c r="AA61" s="69"/>
      <c r="AB61" s="69"/>
      <c r="AC61" s="69"/>
      <c r="AD61" s="69">
        <f>(W61+X61+Y61+Z61+AA61+AB61)*100+(AC61*160)</f>
        <v>0</v>
      </c>
      <c r="AE61" s="3"/>
      <c r="AF61" s="68" t="s">
        <v>210</v>
      </c>
      <c r="AG61" s="69"/>
      <c r="AH61" s="69"/>
      <c r="AI61" s="69"/>
      <c r="AJ61" s="69"/>
      <c r="AK61" s="69"/>
      <c r="AL61" s="69"/>
      <c r="AM61" s="69"/>
      <c r="AN61" s="69">
        <f>(AG61+AH61+AI61+AJ61+AK61+AL61)*100+(AM61*160)</f>
        <v>0</v>
      </c>
    </row>
    <row r="62" spans="1:41" ht="16" thickBot="1" x14ac:dyDescent="0.25">
      <c r="A62" s="54"/>
      <c r="B62" s="114" t="s">
        <v>84</v>
      </c>
      <c r="C62" s="789">
        <f>J60-J61</f>
        <v>0</v>
      </c>
      <c r="D62" s="850"/>
      <c r="E62" s="850"/>
      <c r="F62" s="850"/>
      <c r="G62" s="850"/>
      <c r="H62" s="850"/>
      <c r="I62" s="850"/>
      <c r="J62" s="790"/>
      <c r="K62" s="54"/>
      <c r="L62" s="114" t="s">
        <v>84</v>
      </c>
      <c r="M62" s="789">
        <f>T60-T61</f>
        <v>0</v>
      </c>
      <c r="N62" s="850"/>
      <c r="O62" s="850"/>
      <c r="P62" s="850"/>
      <c r="Q62" s="850"/>
      <c r="R62" s="850"/>
      <c r="S62" s="850"/>
      <c r="T62" s="790"/>
      <c r="U62" s="54"/>
      <c r="V62" s="114" t="s">
        <v>84</v>
      </c>
      <c r="W62" s="789">
        <f>AD60-AD61</f>
        <v>0</v>
      </c>
      <c r="X62" s="850"/>
      <c r="Y62" s="850"/>
      <c r="Z62" s="850"/>
      <c r="AA62" s="850"/>
      <c r="AB62" s="850"/>
      <c r="AC62" s="850"/>
      <c r="AD62" s="790"/>
      <c r="AE62" s="54"/>
      <c r="AF62" s="114" t="s">
        <v>84</v>
      </c>
      <c r="AG62" s="789">
        <f>AN60-AN61</f>
        <v>0</v>
      </c>
      <c r="AH62" s="850"/>
      <c r="AI62" s="850"/>
      <c r="AJ62" s="850"/>
      <c r="AK62" s="850"/>
      <c r="AL62" s="850"/>
      <c r="AM62" s="850"/>
      <c r="AN62" s="790"/>
    </row>
    <row r="63" spans="1:41" ht="16" thickBot="1" x14ac:dyDescent="0.25">
      <c r="A63" s="3" t="s">
        <v>26</v>
      </c>
      <c r="B63" s="74">
        <v>26</v>
      </c>
      <c r="C63" s="14"/>
      <c r="D63" s="14"/>
      <c r="E63" s="14"/>
      <c r="F63" s="14"/>
      <c r="G63" s="14"/>
      <c r="H63" s="14"/>
      <c r="I63" s="14"/>
      <c r="J63" s="14">
        <f>(C63+D63+E63+F63+G63+H63)*100+(I63*160)</f>
        <v>0</v>
      </c>
      <c r="K63" s="3" t="s">
        <v>26</v>
      </c>
      <c r="L63" s="74">
        <f>B63</f>
        <v>26</v>
      </c>
      <c r="M63" s="14"/>
      <c r="N63" s="14"/>
      <c r="O63" s="14"/>
      <c r="P63" s="14"/>
      <c r="Q63" s="14"/>
      <c r="R63" s="14"/>
      <c r="S63" s="14"/>
      <c r="T63" s="14">
        <f>(M63+N63+O63+P63+Q63+R63)*100+(S63*160)</f>
        <v>0</v>
      </c>
      <c r="U63" s="3" t="s">
        <v>26</v>
      </c>
      <c r="V63" s="74">
        <f>L63</f>
        <v>26</v>
      </c>
      <c r="W63" s="14"/>
      <c r="X63" s="14"/>
      <c r="Y63" s="14"/>
      <c r="Z63" s="14"/>
      <c r="AA63" s="14"/>
      <c r="AB63" s="14"/>
      <c r="AC63" s="14"/>
      <c r="AD63" s="14">
        <f>(W63+X63+Y63+Z63+AA63+AB63)*100+(AC63*160)</f>
        <v>0</v>
      </c>
      <c r="AE63" s="3" t="s">
        <v>26</v>
      </c>
      <c r="AF63" s="74">
        <f>V63</f>
        <v>26</v>
      </c>
      <c r="AG63" s="14"/>
      <c r="AH63" s="14"/>
      <c r="AI63" s="14"/>
      <c r="AJ63" s="14"/>
      <c r="AK63" s="14"/>
      <c r="AL63" s="14"/>
      <c r="AM63" s="14"/>
      <c r="AN63" s="14">
        <f>(AG63+AH63+AI63+AJ63+AK63+AL63)*100+(AM63*160)</f>
        <v>0</v>
      </c>
      <c r="AO63" s="125">
        <f>SUM(AN63,AD63,T63,J63)</f>
        <v>0</v>
      </c>
    </row>
    <row r="64" spans="1:41" ht="16" thickBot="1" x14ac:dyDescent="0.25">
      <c r="A64" s="3"/>
      <c r="B64" s="68" t="s">
        <v>210</v>
      </c>
      <c r="C64" s="69"/>
      <c r="D64" s="69"/>
      <c r="E64" s="69"/>
      <c r="F64" s="69"/>
      <c r="G64" s="69"/>
      <c r="H64" s="69"/>
      <c r="I64" s="69"/>
      <c r="J64" s="69">
        <f>(C64+D64+E64+F64+G64+H64)*100+(I64*160)</f>
        <v>0</v>
      </c>
      <c r="K64" s="3"/>
      <c r="L64" s="68" t="s">
        <v>210</v>
      </c>
      <c r="M64" s="69"/>
      <c r="N64" s="69"/>
      <c r="O64" s="69"/>
      <c r="P64" s="69"/>
      <c r="Q64" s="69"/>
      <c r="R64" s="69"/>
      <c r="S64" s="69"/>
      <c r="T64" s="69">
        <f>(M64+N64+O64+P64+Q64+R64)*100+(S64*160)</f>
        <v>0</v>
      </c>
      <c r="U64" s="3"/>
      <c r="V64" s="68" t="s">
        <v>210</v>
      </c>
      <c r="W64" s="69"/>
      <c r="X64" s="69"/>
      <c r="Y64" s="69"/>
      <c r="Z64" s="69"/>
      <c r="AA64" s="69"/>
      <c r="AB64" s="69"/>
      <c r="AC64" s="69"/>
      <c r="AD64" s="69">
        <f>(W64+X64+Y64+Z64+AA64+AB64)*100+(AC64*160)</f>
        <v>0</v>
      </c>
      <c r="AE64" s="3"/>
      <c r="AF64" s="68" t="s">
        <v>210</v>
      </c>
      <c r="AG64" s="69"/>
      <c r="AH64" s="69"/>
      <c r="AI64" s="69"/>
      <c r="AJ64" s="69"/>
      <c r="AK64" s="69"/>
      <c r="AL64" s="69"/>
      <c r="AM64" s="69"/>
      <c r="AN64" s="69">
        <f>(AG64+AH64+AI64+AJ64+AK64+AL64)*100+(AM64*160)</f>
        <v>0</v>
      </c>
    </row>
    <row r="65" spans="1:91" ht="16" thickBot="1" x14ac:dyDescent="0.25">
      <c r="A65" s="54"/>
      <c r="B65" s="114" t="s">
        <v>84</v>
      </c>
      <c r="C65" s="789">
        <f>J63-J64</f>
        <v>0</v>
      </c>
      <c r="D65" s="850"/>
      <c r="E65" s="850"/>
      <c r="F65" s="850"/>
      <c r="G65" s="850"/>
      <c r="H65" s="850"/>
      <c r="I65" s="850"/>
      <c r="J65" s="790"/>
      <c r="K65" s="54"/>
      <c r="L65" s="114" t="s">
        <v>84</v>
      </c>
      <c r="M65" s="789">
        <f>T63-T64</f>
        <v>0</v>
      </c>
      <c r="N65" s="850"/>
      <c r="O65" s="850"/>
      <c r="P65" s="850"/>
      <c r="Q65" s="850"/>
      <c r="R65" s="850"/>
      <c r="S65" s="850"/>
      <c r="T65" s="790"/>
      <c r="U65" s="54"/>
      <c r="V65" s="114" t="s">
        <v>84</v>
      </c>
      <c r="W65" s="789">
        <f>AD63-AD64</f>
        <v>0</v>
      </c>
      <c r="X65" s="850"/>
      <c r="Y65" s="850"/>
      <c r="Z65" s="850"/>
      <c r="AA65" s="850"/>
      <c r="AB65" s="850"/>
      <c r="AC65" s="850"/>
      <c r="AD65" s="790"/>
      <c r="AE65" s="54"/>
      <c r="AF65" s="114" t="s">
        <v>84</v>
      </c>
      <c r="AG65" s="789">
        <f>AN63-AN64</f>
        <v>0</v>
      </c>
      <c r="AH65" s="850"/>
      <c r="AI65" s="850"/>
      <c r="AJ65" s="850"/>
      <c r="AK65" s="850"/>
      <c r="AL65" s="850"/>
      <c r="AM65" s="850"/>
      <c r="AN65" s="790"/>
    </row>
    <row r="66" spans="1:91" ht="16" thickBot="1" x14ac:dyDescent="0.25">
      <c r="A66" s="3" t="s">
        <v>211</v>
      </c>
      <c r="B66" s="850">
        <f>SUM(J45,J48,J51,J54,J57,J60,J63)</f>
        <v>0</v>
      </c>
      <c r="C66" s="850"/>
      <c r="D66" s="850"/>
      <c r="E66" s="850"/>
      <c r="F66" s="850"/>
      <c r="G66" s="850"/>
      <c r="H66" s="850"/>
      <c r="I66" s="850"/>
      <c r="J66" s="790"/>
      <c r="K66" s="3" t="s">
        <v>211</v>
      </c>
      <c r="L66" s="850">
        <f>SUM(T45,T48,T51,T54,T57,T60,T63)</f>
        <v>0</v>
      </c>
      <c r="M66" s="850"/>
      <c r="N66" s="850"/>
      <c r="O66" s="850"/>
      <c r="P66" s="850"/>
      <c r="Q66" s="850"/>
      <c r="R66" s="850"/>
      <c r="S66" s="850"/>
      <c r="T66" s="790"/>
      <c r="U66" s="3" t="s">
        <v>211</v>
      </c>
      <c r="V66" s="850">
        <f>SUM(AD45,AD48,AD51,AD54,AD57,AD60,AD63)</f>
        <v>0</v>
      </c>
      <c r="W66" s="850"/>
      <c r="X66" s="850"/>
      <c r="Y66" s="850"/>
      <c r="Z66" s="850"/>
      <c r="AA66" s="850"/>
      <c r="AB66" s="850"/>
      <c r="AC66" s="850"/>
      <c r="AD66" s="790"/>
      <c r="AE66" s="3" t="s">
        <v>211</v>
      </c>
      <c r="AF66" s="850">
        <f>SUM(AN45,AN48,AN51,AN54,AN57,AN60,AN63)</f>
        <v>0</v>
      </c>
      <c r="AG66" s="850"/>
      <c r="AH66" s="850"/>
      <c r="AI66" s="850"/>
      <c r="AJ66" s="850"/>
      <c r="AK66" s="850"/>
      <c r="AL66" s="850"/>
      <c r="AM66" s="850"/>
      <c r="AN66" s="790"/>
      <c r="AO66" s="125">
        <f>SUM(AO45,AO48,AO51,AO54,AO57,AO60,AO63)</f>
        <v>0</v>
      </c>
    </row>
    <row r="67" spans="1:91" ht="16" thickBot="1" x14ac:dyDescent="0.25">
      <c r="A67" s="69" t="s">
        <v>89</v>
      </c>
      <c r="B67" s="850">
        <f>SUM(J46,J49,J52,J55,J58,J61,J64)</f>
        <v>0</v>
      </c>
      <c r="C67" s="850"/>
      <c r="D67" s="850"/>
      <c r="E67" s="850"/>
      <c r="F67" s="850"/>
      <c r="G67" s="850"/>
      <c r="H67" s="850"/>
      <c r="I67" s="850"/>
      <c r="J67" s="790"/>
      <c r="K67" s="69" t="s">
        <v>89</v>
      </c>
      <c r="L67" s="850">
        <f>SUM(T46,T49,T52,T55,T58,T61,T64)</f>
        <v>0</v>
      </c>
      <c r="M67" s="850"/>
      <c r="N67" s="850"/>
      <c r="O67" s="850"/>
      <c r="P67" s="850"/>
      <c r="Q67" s="850"/>
      <c r="R67" s="850"/>
      <c r="S67" s="850"/>
      <c r="T67" s="790"/>
      <c r="U67" s="69" t="s">
        <v>89</v>
      </c>
      <c r="V67" s="850">
        <f>SUM(AD46,AD49,AD52,AD55,AD58,AD61,AD64)</f>
        <v>0</v>
      </c>
      <c r="W67" s="850"/>
      <c r="X67" s="850"/>
      <c r="Y67" s="850"/>
      <c r="Z67" s="850"/>
      <c r="AA67" s="850"/>
      <c r="AB67" s="850"/>
      <c r="AC67" s="850"/>
      <c r="AD67" s="790"/>
      <c r="AE67" s="69" t="s">
        <v>89</v>
      </c>
      <c r="AF67" s="850">
        <f>SUM(AN46,AN49,AN52,AN55,AN58,AN61,AN64)</f>
        <v>0</v>
      </c>
      <c r="AG67" s="850"/>
      <c r="AH67" s="850"/>
      <c r="AI67" s="850"/>
      <c r="AJ67" s="850"/>
      <c r="AK67" s="850"/>
      <c r="AL67" s="850"/>
      <c r="AM67" s="850"/>
      <c r="AN67" s="790"/>
      <c r="AO67" s="125">
        <f>SUM(AF67,V67,L67,B67)</f>
        <v>0</v>
      </c>
    </row>
    <row r="68" spans="1:91" ht="16" thickBot="1" x14ac:dyDescent="0.25">
      <c r="A68" s="116" t="s">
        <v>212</v>
      </c>
      <c r="B68" s="848">
        <f>B66-B67</f>
        <v>0</v>
      </c>
      <c r="C68" s="848"/>
      <c r="D68" s="848"/>
      <c r="E68" s="848"/>
      <c r="F68" s="848"/>
      <c r="G68" s="848"/>
      <c r="H68" s="848"/>
      <c r="I68" s="848"/>
      <c r="J68" s="849"/>
      <c r="K68" s="116" t="s">
        <v>212</v>
      </c>
      <c r="L68" s="848">
        <f>L66-L67</f>
        <v>0</v>
      </c>
      <c r="M68" s="848"/>
      <c r="N68" s="848"/>
      <c r="O68" s="848"/>
      <c r="P68" s="848"/>
      <c r="Q68" s="848"/>
      <c r="R68" s="848"/>
      <c r="S68" s="848"/>
      <c r="T68" s="849"/>
      <c r="U68" s="116" t="s">
        <v>212</v>
      </c>
      <c r="V68" s="848">
        <f>V66-V67</f>
        <v>0</v>
      </c>
      <c r="W68" s="848"/>
      <c r="X68" s="848"/>
      <c r="Y68" s="848"/>
      <c r="Z68" s="848"/>
      <c r="AA68" s="848"/>
      <c r="AB68" s="848"/>
      <c r="AC68" s="848"/>
      <c r="AD68" s="849"/>
      <c r="AE68" s="116" t="s">
        <v>212</v>
      </c>
      <c r="AF68" s="848">
        <f>AF66-AF67</f>
        <v>0</v>
      </c>
      <c r="AG68" s="848"/>
      <c r="AH68" s="848"/>
      <c r="AI68" s="848"/>
      <c r="AJ68" s="848"/>
      <c r="AK68" s="848"/>
      <c r="AL68" s="848"/>
      <c r="AM68" s="848"/>
      <c r="AN68" s="849"/>
      <c r="AO68" s="125">
        <f>SUM(AF68,V68,L68,B68)</f>
        <v>0</v>
      </c>
    </row>
    <row r="69" spans="1:91" ht="16" thickBot="1" x14ac:dyDescent="0.25"/>
    <row r="70" spans="1:91" ht="16" thickBot="1" x14ac:dyDescent="0.25">
      <c r="A70" s="789">
        <f>D42</f>
        <v>0</v>
      </c>
      <c r="B70" s="850"/>
      <c r="C70" s="850"/>
      <c r="D70" s="850"/>
      <c r="E70" s="850"/>
      <c r="F70" s="850"/>
      <c r="G70" s="850"/>
      <c r="H70" s="850"/>
      <c r="I70" s="850"/>
      <c r="J70" s="790"/>
      <c r="K70" s="789">
        <f>K42</f>
        <v>0</v>
      </c>
      <c r="L70" s="850"/>
      <c r="M70" s="850"/>
      <c r="N70" s="850"/>
      <c r="O70" s="850"/>
      <c r="P70" s="850"/>
      <c r="Q70" s="850"/>
      <c r="R70" s="850"/>
      <c r="S70" s="850"/>
      <c r="T70" s="790"/>
      <c r="U70" s="789">
        <f>K70</f>
        <v>0</v>
      </c>
      <c r="V70" s="850"/>
      <c r="W70" s="850"/>
      <c r="X70" s="850"/>
      <c r="Y70" s="850"/>
      <c r="Z70" s="850"/>
      <c r="AA70" s="850"/>
      <c r="AB70" s="850"/>
      <c r="AC70" s="850"/>
      <c r="AD70" s="790"/>
      <c r="AE70" s="789">
        <f>U70</f>
        <v>0</v>
      </c>
      <c r="AF70" s="850"/>
      <c r="AG70" s="850"/>
      <c r="AH70" s="850"/>
      <c r="AI70" s="850"/>
      <c r="AJ70" s="850"/>
      <c r="AK70" s="850"/>
      <c r="AL70" s="850"/>
      <c r="AM70" s="850"/>
      <c r="AN70" s="790"/>
      <c r="AO70" s="789">
        <f>AE70</f>
        <v>0</v>
      </c>
      <c r="AP70" s="850"/>
      <c r="AQ70" s="850"/>
      <c r="AR70" s="850"/>
      <c r="AS70" s="850"/>
      <c r="AT70" s="850"/>
      <c r="AU70" s="850"/>
      <c r="AV70" s="850"/>
      <c r="AW70" s="850"/>
      <c r="AX70" s="790"/>
      <c r="AY70" s="789">
        <f>AO70</f>
        <v>0</v>
      </c>
      <c r="AZ70" s="850"/>
      <c r="BA70" s="850"/>
      <c r="BB70" s="850"/>
      <c r="BC70" s="850"/>
      <c r="BD70" s="850"/>
      <c r="BE70" s="850"/>
      <c r="BF70" s="850"/>
      <c r="BG70" s="850"/>
      <c r="BH70" s="790"/>
      <c r="BI70" s="789">
        <f>AY70</f>
        <v>0</v>
      </c>
      <c r="BJ70" s="850"/>
      <c r="BK70" s="850"/>
      <c r="BL70" s="850"/>
      <c r="BM70" s="850"/>
      <c r="BN70" s="850"/>
      <c r="BO70" s="850"/>
      <c r="BP70" s="850"/>
      <c r="BQ70" s="850"/>
      <c r="BR70" s="790"/>
      <c r="BS70" s="789">
        <f>BI70</f>
        <v>0</v>
      </c>
      <c r="BT70" s="850"/>
      <c r="BU70" s="850"/>
      <c r="BV70" s="850"/>
      <c r="BW70" s="850"/>
      <c r="BX70" s="850"/>
      <c r="BY70" s="850"/>
      <c r="BZ70" s="850"/>
      <c r="CA70" s="850"/>
      <c r="CB70" s="790"/>
      <c r="CC70" s="789">
        <f>BS70</f>
        <v>0</v>
      </c>
      <c r="CD70" s="850"/>
      <c r="CE70" s="850"/>
      <c r="CF70" s="850"/>
      <c r="CG70" s="850"/>
      <c r="CH70" s="850"/>
      <c r="CI70" s="850"/>
      <c r="CJ70" s="850"/>
      <c r="CK70" s="850"/>
      <c r="CL70" s="790"/>
    </row>
    <row r="71" spans="1:91" ht="16" thickBot="1" x14ac:dyDescent="0.25">
      <c r="A71" s="851" t="s">
        <v>83</v>
      </c>
      <c r="B71" s="851" t="s">
        <v>76</v>
      </c>
      <c r="C71" s="728" t="s">
        <v>106</v>
      </c>
      <c r="D71" s="730"/>
      <c r="E71" s="730"/>
      <c r="F71" s="730"/>
      <c r="G71" s="730"/>
      <c r="H71" s="730"/>
      <c r="I71" s="730"/>
      <c r="J71" s="729"/>
      <c r="K71" s="851" t="s">
        <v>83</v>
      </c>
      <c r="L71" s="851" t="s">
        <v>76</v>
      </c>
      <c r="M71" s="728" t="s">
        <v>115</v>
      </c>
      <c r="N71" s="730"/>
      <c r="O71" s="730"/>
      <c r="P71" s="730"/>
      <c r="Q71" s="730"/>
      <c r="R71" s="730"/>
      <c r="S71" s="730"/>
      <c r="T71" s="729"/>
      <c r="U71" s="851" t="s">
        <v>83</v>
      </c>
      <c r="V71" s="851" t="s">
        <v>76</v>
      </c>
      <c r="W71" s="728" t="s">
        <v>216</v>
      </c>
      <c r="X71" s="730"/>
      <c r="Y71" s="730"/>
      <c r="Z71" s="730"/>
      <c r="AA71" s="730"/>
      <c r="AB71" s="730"/>
      <c r="AC71" s="730"/>
      <c r="AD71" s="729"/>
      <c r="AE71" s="851" t="s">
        <v>83</v>
      </c>
      <c r="AF71" s="851" t="s">
        <v>76</v>
      </c>
      <c r="AG71" s="728" t="s">
        <v>217</v>
      </c>
      <c r="AH71" s="730"/>
      <c r="AI71" s="730"/>
      <c r="AJ71" s="730"/>
      <c r="AK71" s="730"/>
      <c r="AL71" s="730"/>
      <c r="AM71" s="730"/>
      <c r="AN71" s="729"/>
      <c r="AO71" s="851" t="s">
        <v>83</v>
      </c>
      <c r="AP71" s="851" t="s">
        <v>76</v>
      </c>
      <c r="AQ71" s="728" t="s">
        <v>71</v>
      </c>
      <c r="AR71" s="730"/>
      <c r="AS71" s="730"/>
      <c r="AT71" s="730"/>
      <c r="AU71" s="730"/>
      <c r="AV71" s="730"/>
      <c r="AW71" s="730"/>
      <c r="AX71" s="729"/>
      <c r="AY71" s="851" t="s">
        <v>83</v>
      </c>
      <c r="AZ71" s="851" t="s">
        <v>76</v>
      </c>
      <c r="BA71" s="728" t="s">
        <v>218</v>
      </c>
      <c r="BB71" s="730"/>
      <c r="BC71" s="730"/>
      <c r="BD71" s="730"/>
      <c r="BE71" s="730"/>
      <c r="BF71" s="730"/>
      <c r="BG71" s="730"/>
      <c r="BH71" s="729"/>
      <c r="BI71" s="851" t="s">
        <v>83</v>
      </c>
      <c r="BJ71" s="851" t="s">
        <v>76</v>
      </c>
      <c r="BK71" s="728" t="s">
        <v>219</v>
      </c>
      <c r="BL71" s="730"/>
      <c r="BM71" s="730"/>
      <c r="BN71" s="730"/>
      <c r="BO71" s="730"/>
      <c r="BP71" s="730"/>
      <c r="BQ71" s="730"/>
      <c r="BR71" s="729"/>
      <c r="BS71" s="851" t="s">
        <v>83</v>
      </c>
      <c r="BT71" s="851" t="s">
        <v>76</v>
      </c>
      <c r="BU71" s="728" t="s">
        <v>220</v>
      </c>
      <c r="BV71" s="730"/>
      <c r="BW71" s="730"/>
      <c r="BX71" s="730"/>
      <c r="BY71" s="730"/>
      <c r="BZ71" s="730"/>
      <c r="CA71" s="730"/>
      <c r="CB71" s="729"/>
      <c r="CC71" s="851" t="s">
        <v>83</v>
      </c>
      <c r="CD71" s="851" t="s">
        <v>76</v>
      </c>
      <c r="CE71" s="728" t="s">
        <v>221</v>
      </c>
      <c r="CF71" s="730"/>
      <c r="CG71" s="730"/>
      <c r="CH71" s="730"/>
      <c r="CI71" s="730"/>
      <c r="CJ71" s="730"/>
      <c r="CK71" s="730"/>
      <c r="CL71" s="729"/>
      <c r="CM71" s="125" t="s">
        <v>19</v>
      </c>
    </row>
    <row r="72" spans="1:91" ht="16" thickBot="1" x14ac:dyDescent="0.25">
      <c r="A72" s="853"/>
      <c r="B72" s="852"/>
      <c r="C72" s="110" t="s">
        <v>78</v>
      </c>
      <c r="D72" s="111" t="s">
        <v>79</v>
      </c>
      <c r="E72" s="111" t="s">
        <v>80</v>
      </c>
      <c r="F72" s="111" t="s">
        <v>81</v>
      </c>
      <c r="G72" s="111" t="s">
        <v>85</v>
      </c>
      <c r="H72" s="111" t="s">
        <v>82</v>
      </c>
      <c r="I72" s="111" t="s">
        <v>209</v>
      </c>
      <c r="J72" s="112" t="s">
        <v>19</v>
      </c>
      <c r="K72" s="853"/>
      <c r="L72" s="852"/>
      <c r="M72" s="110" t="s">
        <v>78</v>
      </c>
      <c r="N72" s="111" t="s">
        <v>79</v>
      </c>
      <c r="O72" s="111" t="s">
        <v>80</v>
      </c>
      <c r="P72" s="111" t="s">
        <v>81</v>
      </c>
      <c r="Q72" s="111" t="s">
        <v>85</v>
      </c>
      <c r="R72" s="111" t="s">
        <v>82</v>
      </c>
      <c r="S72" s="111" t="s">
        <v>209</v>
      </c>
      <c r="T72" s="112" t="s">
        <v>19</v>
      </c>
      <c r="U72" s="853"/>
      <c r="V72" s="852"/>
      <c r="W72" s="110" t="s">
        <v>78</v>
      </c>
      <c r="X72" s="111" t="s">
        <v>79</v>
      </c>
      <c r="Y72" s="111" t="s">
        <v>80</v>
      </c>
      <c r="Z72" s="111" t="s">
        <v>81</v>
      </c>
      <c r="AA72" s="111" t="s">
        <v>85</v>
      </c>
      <c r="AB72" s="111" t="s">
        <v>82</v>
      </c>
      <c r="AC72" s="111" t="s">
        <v>209</v>
      </c>
      <c r="AD72" s="112" t="s">
        <v>19</v>
      </c>
      <c r="AE72" s="853"/>
      <c r="AF72" s="852"/>
      <c r="AG72" s="110" t="s">
        <v>78</v>
      </c>
      <c r="AH72" s="111" t="s">
        <v>79</v>
      </c>
      <c r="AI72" s="111" t="s">
        <v>80</v>
      </c>
      <c r="AJ72" s="111" t="s">
        <v>81</v>
      </c>
      <c r="AK72" s="111" t="s">
        <v>85</v>
      </c>
      <c r="AL72" s="111" t="s">
        <v>82</v>
      </c>
      <c r="AM72" s="111" t="s">
        <v>209</v>
      </c>
      <c r="AN72" s="112" t="s">
        <v>19</v>
      </c>
      <c r="AO72" s="853"/>
      <c r="AP72" s="852"/>
      <c r="AQ72" s="110" t="s">
        <v>78</v>
      </c>
      <c r="AR72" s="111" t="s">
        <v>79</v>
      </c>
      <c r="AS72" s="111" t="s">
        <v>80</v>
      </c>
      <c r="AT72" s="111" t="s">
        <v>81</v>
      </c>
      <c r="AU72" s="111" t="s">
        <v>85</v>
      </c>
      <c r="AV72" s="111" t="s">
        <v>82</v>
      </c>
      <c r="AW72" s="111" t="s">
        <v>209</v>
      </c>
      <c r="AX72" s="112" t="s">
        <v>19</v>
      </c>
      <c r="AY72" s="853"/>
      <c r="AZ72" s="852"/>
      <c r="BA72" s="110" t="s">
        <v>78</v>
      </c>
      <c r="BB72" s="111" t="s">
        <v>79</v>
      </c>
      <c r="BC72" s="111" t="s">
        <v>80</v>
      </c>
      <c r="BD72" s="111" t="s">
        <v>81</v>
      </c>
      <c r="BE72" s="111" t="s">
        <v>85</v>
      </c>
      <c r="BF72" s="111" t="s">
        <v>82</v>
      </c>
      <c r="BG72" s="111" t="s">
        <v>209</v>
      </c>
      <c r="BH72" s="112" t="s">
        <v>19</v>
      </c>
      <c r="BI72" s="853"/>
      <c r="BJ72" s="852"/>
      <c r="BK72" s="110" t="s">
        <v>78</v>
      </c>
      <c r="BL72" s="111" t="s">
        <v>79</v>
      </c>
      <c r="BM72" s="111" t="s">
        <v>80</v>
      </c>
      <c r="BN72" s="111" t="s">
        <v>81</v>
      </c>
      <c r="BO72" s="111" t="s">
        <v>85</v>
      </c>
      <c r="BP72" s="111" t="s">
        <v>82</v>
      </c>
      <c r="BQ72" s="111" t="s">
        <v>209</v>
      </c>
      <c r="BR72" s="112" t="s">
        <v>19</v>
      </c>
      <c r="BS72" s="853"/>
      <c r="BT72" s="852"/>
      <c r="BU72" s="110" t="s">
        <v>78</v>
      </c>
      <c r="BV72" s="111" t="s">
        <v>79</v>
      </c>
      <c r="BW72" s="111" t="s">
        <v>80</v>
      </c>
      <c r="BX72" s="111" t="s">
        <v>81</v>
      </c>
      <c r="BY72" s="111" t="s">
        <v>85</v>
      </c>
      <c r="BZ72" s="111" t="s">
        <v>82</v>
      </c>
      <c r="CA72" s="111" t="s">
        <v>209</v>
      </c>
      <c r="CB72" s="112" t="s">
        <v>19</v>
      </c>
      <c r="CC72" s="853"/>
      <c r="CD72" s="852"/>
      <c r="CE72" s="110" t="s">
        <v>78</v>
      </c>
      <c r="CF72" s="111" t="s">
        <v>79</v>
      </c>
      <c r="CG72" s="111" t="s">
        <v>80</v>
      </c>
      <c r="CH72" s="111" t="s">
        <v>81</v>
      </c>
      <c r="CI72" s="111" t="s">
        <v>85</v>
      </c>
      <c r="CJ72" s="111" t="s">
        <v>82</v>
      </c>
      <c r="CK72" s="111" t="s">
        <v>209</v>
      </c>
      <c r="CL72" s="112" t="s">
        <v>19</v>
      </c>
    </row>
    <row r="73" spans="1:91" ht="16" thickBot="1" x14ac:dyDescent="0.25">
      <c r="A73" s="113" t="s">
        <v>20</v>
      </c>
      <c r="B73" s="16">
        <v>20</v>
      </c>
      <c r="C73" s="3"/>
      <c r="D73" s="3"/>
      <c r="E73" s="3"/>
      <c r="F73" s="3"/>
      <c r="G73" s="3"/>
      <c r="H73" s="3"/>
      <c r="I73" s="3"/>
      <c r="J73" s="3">
        <f>(C73+D73+E73+F73+G73+H73)*100+(I73*160)</f>
        <v>0</v>
      </c>
      <c r="K73" s="113" t="s">
        <v>20</v>
      </c>
      <c r="L73" s="16">
        <f>B73</f>
        <v>20</v>
      </c>
      <c r="M73" s="3"/>
      <c r="N73" s="3"/>
      <c r="O73" s="3"/>
      <c r="P73" s="3"/>
      <c r="Q73" s="3"/>
      <c r="R73" s="3"/>
      <c r="S73" s="3"/>
      <c r="T73" s="3">
        <f>(M73+N73+O73+P73+Q73+R73)*100+(S73*160)</f>
        <v>0</v>
      </c>
      <c r="U73" s="113" t="s">
        <v>20</v>
      </c>
      <c r="V73" s="16">
        <f>L73</f>
        <v>20</v>
      </c>
      <c r="W73" s="3"/>
      <c r="X73" s="3"/>
      <c r="Y73" s="3"/>
      <c r="Z73" s="3"/>
      <c r="AA73" s="3"/>
      <c r="AB73" s="3"/>
      <c r="AC73" s="3"/>
      <c r="AD73" s="3">
        <f>(W73+X73+Y73+Z73+AA73+AB73)*100+(AC73*160)</f>
        <v>0</v>
      </c>
      <c r="AE73" s="113" t="s">
        <v>20</v>
      </c>
      <c r="AF73" s="16">
        <f>V73</f>
        <v>20</v>
      </c>
      <c r="AG73" s="3"/>
      <c r="AH73" s="3"/>
      <c r="AI73" s="3"/>
      <c r="AJ73" s="3"/>
      <c r="AK73" s="3"/>
      <c r="AL73" s="3"/>
      <c r="AM73" s="3"/>
      <c r="AN73" s="3">
        <f>(AG73+AH73+AI73+AJ73+AK73+AL73)*100+(AM73*160)</f>
        <v>0</v>
      </c>
      <c r="AO73" s="113" t="s">
        <v>20</v>
      </c>
      <c r="AP73" s="16">
        <f>AF73</f>
        <v>20</v>
      </c>
      <c r="AQ73" s="3"/>
      <c r="AR73" s="3"/>
      <c r="AS73" s="3"/>
      <c r="AT73" s="3"/>
      <c r="AU73" s="3"/>
      <c r="AV73" s="3"/>
      <c r="AW73" s="3"/>
      <c r="AX73" s="3">
        <f>(AQ73+AR73+AS73+AT73+AU73+AV73)*100+(AW73*160)</f>
        <v>0</v>
      </c>
      <c r="AY73" s="113" t="s">
        <v>20</v>
      </c>
      <c r="AZ73" s="16">
        <f>AP73</f>
        <v>20</v>
      </c>
      <c r="BA73" s="3"/>
      <c r="BB73" s="3"/>
      <c r="BC73" s="3"/>
      <c r="BD73" s="3"/>
      <c r="BE73" s="3"/>
      <c r="BF73" s="3"/>
      <c r="BG73" s="3"/>
      <c r="BH73" s="3">
        <f>(BA73+BB73+BC73+BD73+BE73+BF73)*100+(BG73*160)</f>
        <v>0</v>
      </c>
      <c r="BI73" s="113" t="s">
        <v>20</v>
      </c>
      <c r="BJ73" s="16">
        <f>AZ73</f>
        <v>20</v>
      </c>
      <c r="BK73" s="3"/>
      <c r="BL73" s="3"/>
      <c r="BM73" s="3"/>
      <c r="BN73" s="3"/>
      <c r="BO73" s="3"/>
      <c r="BP73" s="3"/>
      <c r="BQ73" s="3"/>
      <c r="BR73" s="3">
        <f>(BK73+BL73+BM73+BN73+BO73+BP73)*100+(BQ73*160)</f>
        <v>0</v>
      </c>
      <c r="BS73" s="113" t="s">
        <v>20</v>
      </c>
      <c r="BT73" s="16">
        <f>BJ73</f>
        <v>20</v>
      </c>
      <c r="BU73" s="3"/>
      <c r="BV73" s="3"/>
      <c r="BW73" s="3"/>
      <c r="BX73" s="3"/>
      <c r="BY73" s="3"/>
      <c r="BZ73" s="3"/>
      <c r="CA73" s="3"/>
      <c r="CB73" s="3">
        <f>(BU73+BV73+BW73+BX73+BY73+BZ73)*100+(CA73*160)</f>
        <v>0</v>
      </c>
      <c r="CC73" s="113" t="s">
        <v>20</v>
      </c>
      <c r="CD73" s="16">
        <f>BT73</f>
        <v>20</v>
      </c>
      <c r="CE73" s="3"/>
      <c r="CF73" s="3"/>
      <c r="CG73" s="3"/>
      <c r="CH73" s="3"/>
      <c r="CI73" s="3"/>
      <c r="CJ73" s="3"/>
      <c r="CK73" s="3"/>
      <c r="CL73" s="3">
        <f>(CE73+CF73+CG73+CH73+CI73+CJ73)*100+(CK73*160)</f>
        <v>0</v>
      </c>
      <c r="CM73" s="125">
        <f>SUM(CL73,CB73,BR73,BH73)</f>
        <v>0</v>
      </c>
    </row>
    <row r="74" spans="1:91" ht="16" thickBot="1" x14ac:dyDescent="0.25">
      <c r="A74" s="3"/>
      <c r="B74" s="68" t="s">
        <v>210</v>
      </c>
      <c r="C74" s="69"/>
      <c r="D74" s="69"/>
      <c r="E74" s="69"/>
      <c r="F74" s="69"/>
      <c r="G74" s="69"/>
      <c r="H74" s="69"/>
      <c r="I74" s="69"/>
      <c r="J74" s="69">
        <f>(C74+D74+E74+F74+G74+H74)*100+(I74*160)</f>
        <v>0</v>
      </c>
      <c r="K74" s="3"/>
      <c r="L74" s="68" t="s">
        <v>210</v>
      </c>
      <c r="M74" s="69"/>
      <c r="N74" s="69"/>
      <c r="O74" s="69"/>
      <c r="P74" s="69"/>
      <c r="Q74" s="69"/>
      <c r="R74" s="69"/>
      <c r="S74" s="69"/>
      <c r="T74" s="69">
        <f>(M74+N74+O74+P74+Q74+R74)*100+(S74*160)</f>
        <v>0</v>
      </c>
      <c r="U74" s="3"/>
      <c r="V74" s="68" t="s">
        <v>210</v>
      </c>
      <c r="W74" s="69"/>
      <c r="X74" s="69"/>
      <c r="Y74" s="69"/>
      <c r="Z74" s="69"/>
      <c r="AA74" s="69"/>
      <c r="AB74" s="69"/>
      <c r="AC74" s="69"/>
      <c r="AD74" s="69">
        <f>(W74+X74+Y74+Z74+AA74+AB74)*100+(AC74*160)</f>
        <v>0</v>
      </c>
      <c r="AE74" s="3"/>
      <c r="AF74" s="68" t="s">
        <v>210</v>
      </c>
      <c r="AG74" s="69"/>
      <c r="AH74" s="69"/>
      <c r="AI74" s="69"/>
      <c r="AJ74" s="69"/>
      <c r="AK74" s="69"/>
      <c r="AL74" s="69"/>
      <c r="AM74" s="69"/>
      <c r="AN74" s="69">
        <f>(AG74+AH74+AI74+AJ74+AK74+AL74)*100+(AM74*160)</f>
        <v>0</v>
      </c>
      <c r="AO74" s="3"/>
      <c r="AP74" s="68" t="s">
        <v>210</v>
      </c>
      <c r="AQ74" s="69"/>
      <c r="AR74" s="69"/>
      <c r="AS74" s="69"/>
      <c r="AT74" s="69"/>
      <c r="AU74" s="69"/>
      <c r="AV74" s="69"/>
      <c r="AW74" s="69"/>
      <c r="AX74" s="69">
        <f>(AQ74+AR74+AS74+AT74+AU74+AV74)*100+(AW74*160)</f>
        <v>0</v>
      </c>
      <c r="AY74" s="3"/>
      <c r="AZ74" s="68" t="s">
        <v>210</v>
      </c>
      <c r="BA74" s="69"/>
      <c r="BB74" s="69"/>
      <c r="BC74" s="69"/>
      <c r="BD74" s="69"/>
      <c r="BE74" s="69"/>
      <c r="BF74" s="69"/>
      <c r="BG74" s="69"/>
      <c r="BH74" s="69">
        <f>(BA74+BB74+BC74+BD74+BE74+BF74)*100+(BG74*160)</f>
        <v>0</v>
      </c>
      <c r="BI74" s="3"/>
      <c r="BJ74" s="68" t="s">
        <v>210</v>
      </c>
      <c r="BK74" s="69"/>
      <c r="BL74" s="69"/>
      <c r="BM74" s="69"/>
      <c r="BN74" s="69"/>
      <c r="BO74" s="69"/>
      <c r="BP74" s="69"/>
      <c r="BQ74" s="69"/>
      <c r="BR74" s="69">
        <f>(BK74+BL74+BM74+BN74+BO74+BP74)*100+(BQ74*160)</f>
        <v>0</v>
      </c>
      <c r="BS74" s="3"/>
      <c r="BT74" s="68" t="s">
        <v>210</v>
      </c>
      <c r="BU74" s="69"/>
      <c r="BV74" s="69"/>
      <c r="BW74" s="69"/>
      <c r="BX74" s="69"/>
      <c r="BY74" s="69"/>
      <c r="BZ74" s="69"/>
      <c r="CA74" s="69"/>
      <c r="CB74" s="69">
        <f>(BU74+BV74+BW74+BX74+BY74+BZ74)*100+(CA74*160)</f>
        <v>0</v>
      </c>
      <c r="CC74" s="3"/>
      <c r="CD74" s="68" t="s">
        <v>210</v>
      </c>
      <c r="CE74" s="69"/>
      <c r="CF74" s="69"/>
      <c r="CG74" s="69"/>
      <c r="CH74" s="69"/>
      <c r="CI74" s="69"/>
      <c r="CJ74" s="69"/>
      <c r="CK74" s="69"/>
      <c r="CL74" s="69">
        <f>(CE74+CF74+CG74+CH74+CI74+CJ74)*100+(CK74*160)</f>
        <v>0</v>
      </c>
    </row>
    <row r="75" spans="1:91" ht="16" thickBot="1" x14ac:dyDescent="0.25">
      <c r="A75" s="54"/>
      <c r="B75" s="114" t="s">
        <v>84</v>
      </c>
      <c r="C75" s="789">
        <f>J73-J74</f>
        <v>0</v>
      </c>
      <c r="D75" s="850"/>
      <c r="E75" s="850"/>
      <c r="F75" s="850"/>
      <c r="G75" s="850"/>
      <c r="H75" s="850"/>
      <c r="I75" s="850"/>
      <c r="J75" s="790"/>
      <c r="K75" s="54"/>
      <c r="L75" s="114" t="s">
        <v>84</v>
      </c>
      <c r="M75" s="789">
        <f>T73-T74</f>
        <v>0</v>
      </c>
      <c r="N75" s="850"/>
      <c r="O75" s="850"/>
      <c r="P75" s="850"/>
      <c r="Q75" s="850"/>
      <c r="R75" s="850"/>
      <c r="S75" s="850"/>
      <c r="T75" s="790"/>
      <c r="U75" s="54"/>
      <c r="V75" s="114" t="s">
        <v>84</v>
      </c>
      <c r="W75" s="789">
        <f>AD73-AD74</f>
        <v>0</v>
      </c>
      <c r="X75" s="850"/>
      <c r="Y75" s="850"/>
      <c r="Z75" s="850"/>
      <c r="AA75" s="850"/>
      <c r="AB75" s="850"/>
      <c r="AC75" s="850"/>
      <c r="AD75" s="790"/>
      <c r="AE75" s="54"/>
      <c r="AF75" s="114" t="s">
        <v>84</v>
      </c>
      <c r="AG75" s="789">
        <f>AN73-AN74</f>
        <v>0</v>
      </c>
      <c r="AH75" s="850"/>
      <c r="AI75" s="850"/>
      <c r="AJ75" s="850"/>
      <c r="AK75" s="850"/>
      <c r="AL75" s="850"/>
      <c r="AM75" s="850"/>
      <c r="AN75" s="790"/>
      <c r="AO75" s="54"/>
      <c r="AP75" s="114" t="s">
        <v>84</v>
      </c>
      <c r="AQ75" s="789">
        <f>AX73-AX74</f>
        <v>0</v>
      </c>
      <c r="AR75" s="850"/>
      <c r="AS75" s="850"/>
      <c r="AT75" s="850"/>
      <c r="AU75" s="850"/>
      <c r="AV75" s="850"/>
      <c r="AW75" s="850"/>
      <c r="AX75" s="790"/>
      <c r="AY75" s="54"/>
      <c r="AZ75" s="114" t="s">
        <v>84</v>
      </c>
      <c r="BA75" s="789">
        <f>BH73-BH74</f>
        <v>0</v>
      </c>
      <c r="BB75" s="850"/>
      <c r="BC75" s="850"/>
      <c r="BD75" s="850"/>
      <c r="BE75" s="850"/>
      <c r="BF75" s="850"/>
      <c r="BG75" s="850"/>
      <c r="BH75" s="790"/>
      <c r="BI75" s="54"/>
      <c r="BJ75" s="114" t="s">
        <v>84</v>
      </c>
      <c r="BK75" s="789">
        <f>BR73-BR74</f>
        <v>0</v>
      </c>
      <c r="BL75" s="850"/>
      <c r="BM75" s="850"/>
      <c r="BN75" s="850"/>
      <c r="BO75" s="850"/>
      <c r="BP75" s="850"/>
      <c r="BQ75" s="850"/>
      <c r="BR75" s="790"/>
      <c r="BS75" s="54"/>
      <c r="BT75" s="114" t="s">
        <v>84</v>
      </c>
      <c r="BU75" s="789">
        <f>CB73-CB74</f>
        <v>0</v>
      </c>
      <c r="BV75" s="850"/>
      <c r="BW75" s="850"/>
      <c r="BX75" s="850"/>
      <c r="BY75" s="850"/>
      <c r="BZ75" s="850"/>
      <c r="CA75" s="850"/>
      <c r="CB75" s="790"/>
      <c r="CC75" s="54"/>
      <c r="CD75" s="114" t="s">
        <v>84</v>
      </c>
      <c r="CE75" s="789">
        <f>CL73-CL74</f>
        <v>0</v>
      </c>
      <c r="CF75" s="850"/>
      <c r="CG75" s="850"/>
      <c r="CH75" s="850"/>
      <c r="CI75" s="850"/>
      <c r="CJ75" s="850"/>
      <c r="CK75" s="850"/>
      <c r="CL75" s="790"/>
    </row>
    <row r="76" spans="1:91" ht="16" thickBot="1" x14ac:dyDescent="0.25">
      <c r="A76" s="113" t="s">
        <v>90</v>
      </c>
      <c r="B76" s="74">
        <v>21</v>
      </c>
      <c r="C76" s="14"/>
      <c r="D76" s="14"/>
      <c r="E76" s="14"/>
      <c r="F76" s="14"/>
      <c r="G76" s="14"/>
      <c r="H76" s="14"/>
      <c r="I76" s="14"/>
      <c r="J76" s="14">
        <f>(C76+D76+E76+F76+G76+H76)*100+(I76*160)</f>
        <v>0</v>
      </c>
      <c r="K76" s="113" t="s">
        <v>90</v>
      </c>
      <c r="L76" s="74">
        <f>B76</f>
        <v>21</v>
      </c>
      <c r="M76" s="14"/>
      <c r="N76" s="14"/>
      <c r="O76" s="14"/>
      <c r="P76" s="14"/>
      <c r="Q76" s="14"/>
      <c r="R76" s="14"/>
      <c r="S76" s="14"/>
      <c r="T76" s="14">
        <f>(M76+N76+O76+P76+Q76+R76)*100+(S76*160)</f>
        <v>0</v>
      </c>
      <c r="U76" s="113" t="s">
        <v>90</v>
      </c>
      <c r="V76" s="74">
        <f>L76</f>
        <v>21</v>
      </c>
      <c r="W76" s="14"/>
      <c r="X76" s="14"/>
      <c r="Y76" s="14"/>
      <c r="Z76" s="14"/>
      <c r="AA76" s="14"/>
      <c r="AB76" s="14"/>
      <c r="AC76" s="14"/>
      <c r="AD76" s="14">
        <f>(W76+X76+Y76+Z76+AA76+AB76)*100+(AC76*160)</f>
        <v>0</v>
      </c>
      <c r="AE76" s="113" t="s">
        <v>90</v>
      </c>
      <c r="AF76" s="74">
        <f>V76</f>
        <v>21</v>
      </c>
      <c r="AG76" s="14"/>
      <c r="AH76" s="14"/>
      <c r="AI76" s="14"/>
      <c r="AJ76" s="14"/>
      <c r="AK76" s="14"/>
      <c r="AL76" s="14"/>
      <c r="AM76" s="14"/>
      <c r="AN76" s="14">
        <f>(AG76+AH76+AI76+AJ76+AK76+AL76)*100+(AM76*160)</f>
        <v>0</v>
      </c>
      <c r="AO76" s="113" t="s">
        <v>90</v>
      </c>
      <c r="AP76" s="74">
        <f>AF76</f>
        <v>21</v>
      </c>
      <c r="AQ76" s="14"/>
      <c r="AR76" s="14"/>
      <c r="AS76" s="14"/>
      <c r="AT76" s="14"/>
      <c r="AU76" s="14"/>
      <c r="AV76" s="14"/>
      <c r="AW76" s="14"/>
      <c r="AX76" s="14">
        <f>(AQ76+AR76+AS76+AT76+AU76+AV76)*100+(AW76*160)</f>
        <v>0</v>
      </c>
      <c r="AY76" s="113" t="s">
        <v>90</v>
      </c>
      <c r="AZ76" s="74">
        <f>AP76</f>
        <v>21</v>
      </c>
      <c r="BA76" s="14"/>
      <c r="BB76" s="14"/>
      <c r="BC76" s="14"/>
      <c r="BD76" s="14"/>
      <c r="BE76" s="14"/>
      <c r="BF76" s="14"/>
      <c r="BG76" s="14"/>
      <c r="BH76" s="14">
        <f>(BA76+BB76+BC76+BD76+BE76+BF76)*100+(BG76*160)</f>
        <v>0</v>
      </c>
      <c r="BI76" s="113" t="s">
        <v>90</v>
      </c>
      <c r="BJ76" s="74">
        <f>AZ76</f>
        <v>21</v>
      </c>
      <c r="BK76" s="14"/>
      <c r="BL76" s="14"/>
      <c r="BM76" s="14"/>
      <c r="BN76" s="14"/>
      <c r="BO76" s="14"/>
      <c r="BP76" s="14"/>
      <c r="BQ76" s="14"/>
      <c r="BR76" s="14">
        <f>(BK76+BL76+BM76+BN76+BO76+BP76)*100+(BQ76*160)</f>
        <v>0</v>
      </c>
      <c r="BS76" s="113" t="s">
        <v>90</v>
      </c>
      <c r="BT76" s="74">
        <f>BJ76</f>
        <v>21</v>
      </c>
      <c r="BU76" s="14"/>
      <c r="BV76" s="14"/>
      <c r="BW76" s="14"/>
      <c r="BX76" s="14"/>
      <c r="BY76" s="14"/>
      <c r="BZ76" s="14"/>
      <c r="CA76" s="14"/>
      <c r="CB76" s="14">
        <f>(BU76+BV76+BW76+BX76+BY76+BZ76)*100+(CA76*160)</f>
        <v>0</v>
      </c>
      <c r="CC76" s="113" t="s">
        <v>90</v>
      </c>
      <c r="CD76" s="74">
        <f>BT76</f>
        <v>21</v>
      </c>
      <c r="CE76" s="14"/>
      <c r="CF76" s="14"/>
      <c r="CG76" s="14"/>
      <c r="CH76" s="14"/>
      <c r="CI76" s="14"/>
      <c r="CJ76" s="14"/>
      <c r="CK76" s="14"/>
      <c r="CL76" s="14">
        <f>(CE76+CF76+CG76+CH76+CI76+CJ76)*100+(CK76*160)</f>
        <v>0</v>
      </c>
      <c r="CM76" s="125">
        <f>SUM(CL76,CB76,BR76,BH76)</f>
        <v>0</v>
      </c>
    </row>
    <row r="77" spans="1:91" ht="16" thickBot="1" x14ac:dyDescent="0.25">
      <c r="A77" s="3"/>
      <c r="B77" s="68" t="s">
        <v>210</v>
      </c>
      <c r="C77" s="69"/>
      <c r="D77" s="69"/>
      <c r="E77" s="69"/>
      <c r="F77" s="69"/>
      <c r="G77" s="69"/>
      <c r="H77" s="69"/>
      <c r="I77" s="69"/>
      <c r="J77" s="69">
        <f>(C77+D77+E77+F77+G77+H77)*100+(I77*160)</f>
        <v>0</v>
      </c>
      <c r="K77" s="3"/>
      <c r="L77" s="68" t="s">
        <v>210</v>
      </c>
      <c r="M77" s="69"/>
      <c r="N77" s="69"/>
      <c r="O77" s="69"/>
      <c r="P77" s="69"/>
      <c r="Q77" s="69"/>
      <c r="R77" s="69"/>
      <c r="S77" s="69"/>
      <c r="T77" s="69">
        <f>(M77+N77+O77+P77+Q77+R77)*100+(S77*160)</f>
        <v>0</v>
      </c>
      <c r="U77" s="3"/>
      <c r="V77" s="68" t="s">
        <v>210</v>
      </c>
      <c r="W77" s="69"/>
      <c r="X77" s="69"/>
      <c r="Y77" s="69"/>
      <c r="Z77" s="69"/>
      <c r="AA77" s="69"/>
      <c r="AB77" s="69"/>
      <c r="AC77" s="69"/>
      <c r="AD77" s="69">
        <f>(W77+X77+Y77+Z77+AA77+AB77)*100+(AC77*160)</f>
        <v>0</v>
      </c>
      <c r="AE77" s="3"/>
      <c r="AF77" s="68" t="s">
        <v>210</v>
      </c>
      <c r="AG77" s="69"/>
      <c r="AH77" s="69"/>
      <c r="AI77" s="69"/>
      <c r="AJ77" s="69"/>
      <c r="AK77" s="69"/>
      <c r="AL77" s="69"/>
      <c r="AM77" s="69"/>
      <c r="AN77" s="69">
        <f>(AG77+AH77+AI77+AJ77+AK77+AL77)*100+(AM77*160)</f>
        <v>0</v>
      </c>
      <c r="AO77" s="3"/>
      <c r="AP77" s="68" t="s">
        <v>210</v>
      </c>
      <c r="AQ77" s="69"/>
      <c r="AR77" s="69"/>
      <c r="AS77" s="69"/>
      <c r="AT77" s="69"/>
      <c r="AU77" s="69"/>
      <c r="AV77" s="69"/>
      <c r="AW77" s="69"/>
      <c r="AX77" s="69">
        <f>(AQ77+AR77+AS77+AT77+AU77+AV77)*100+(AW77*160)</f>
        <v>0</v>
      </c>
      <c r="AY77" s="3"/>
      <c r="AZ77" s="68" t="s">
        <v>210</v>
      </c>
      <c r="BA77" s="69"/>
      <c r="BB77" s="69"/>
      <c r="BC77" s="69"/>
      <c r="BD77" s="69"/>
      <c r="BE77" s="69"/>
      <c r="BF77" s="69"/>
      <c r="BG77" s="69"/>
      <c r="BH77" s="69">
        <f>(BA77+BB77+BC77+BD77+BE77+BF77)*100+(BG77*160)</f>
        <v>0</v>
      </c>
      <c r="BI77" s="3"/>
      <c r="BJ77" s="68" t="s">
        <v>210</v>
      </c>
      <c r="BK77" s="69"/>
      <c r="BL77" s="69"/>
      <c r="BM77" s="69"/>
      <c r="BN77" s="69"/>
      <c r="BO77" s="69"/>
      <c r="BP77" s="69"/>
      <c r="BQ77" s="69"/>
      <c r="BR77" s="69">
        <f>(BK77+BL77+BM77+BN77+BO77+BP77)*100+(BQ77*160)</f>
        <v>0</v>
      </c>
      <c r="BS77" s="3"/>
      <c r="BT77" s="68" t="s">
        <v>210</v>
      </c>
      <c r="BU77" s="69"/>
      <c r="BV77" s="69"/>
      <c r="BW77" s="69"/>
      <c r="BX77" s="69"/>
      <c r="BY77" s="69"/>
      <c r="BZ77" s="69"/>
      <c r="CA77" s="69"/>
      <c r="CB77" s="69">
        <f>(BU77+BV77+BW77+BX77+BY77+BZ77)*100+(CA77*160)</f>
        <v>0</v>
      </c>
      <c r="CC77" s="3"/>
      <c r="CD77" s="68" t="s">
        <v>210</v>
      </c>
      <c r="CE77" s="69"/>
      <c r="CF77" s="69"/>
      <c r="CG77" s="69"/>
      <c r="CH77" s="69"/>
      <c r="CI77" s="69"/>
      <c r="CJ77" s="69"/>
      <c r="CK77" s="69"/>
      <c r="CL77" s="69">
        <f>(CE77+CF77+CG77+CH77+CI77+CJ77)*100+(CK77*160)</f>
        <v>0</v>
      </c>
    </row>
    <row r="78" spans="1:91" ht="16" thickBot="1" x14ac:dyDescent="0.25">
      <c r="A78" s="54"/>
      <c r="B78" s="114" t="s">
        <v>84</v>
      </c>
      <c r="C78" s="789">
        <f>J76-J77</f>
        <v>0</v>
      </c>
      <c r="D78" s="850"/>
      <c r="E78" s="850"/>
      <c r="F78" s="850"/>
      <c r="G78" s="850"/>
      <c r="H78" s="850"/>
      <c r="I78" s="850"/>
      <c r="J78" s="790"/>
      <c r="K78" s="54"/>
      <c r="L78" s="114" t="s">
        <v>84</v>
      </c>
      <c r="M78" s="789">
        <f>T76-T77</f>
        <v>0</v>
      </c>
      <c r="N78" s="850"/>
      <c r="O78" s="850"/>
      <c r="P78" s="850"/>
      <c r="Q78" s="850"/>
      <c r="R78" s="850"/>
      <c r="S78" s="850"/>
      <c r="T78" s="790"/>
      <c r="U78" s="54"/>
      <c r="V78" s="114" t="s">
        <v>84</v>
      </c>
      <c r="W78" s="789">
        <f>AD76-AD77</f>
        <v>0</v>
      </c>
      <c r="X78" s="850"/>
      <c r="Y78" s="850"/>
      <c r="Z78" s="850"/>
      <c r="AA78" s="850"/>
      <c r="AB78" s="850"/>
      <c r="AC78" s="850"/>
      <c r="AD78" s="790"/>
      <c r="AE78" s="54"/>
      <c r="AF78" s="114" t="s">
        <v>84</v>
      </c>
      <c r="AG78" s="789">
        <f>AN76-AN77</f>
        <v>0</v>
      </c>
      <c r="AH78" s="850"/>
      <c r="AI78" s="850"/>
      <c r="AJ78" s="850"/>
      <c r="AK78" s="850"/>
      <c r="AL78" s="850"/>
      <c r="AM78" s="850"/>
      <c r="AN78" s="790"/>
      <c r="AO78" s="54"/>
      <c r="AP78" s="114" t="s">
        <v>84</v>
      </c>
      <c r="AQ78" s="789">
        <f>AX76-AX77</f>
        <v>0</v>
      </c>
      <c r="AR78" s="850"/>
      <c r="AS78" s="850"/>
      <c r="AT78" s="850"/>
      <c r="AU78" s="850"/>
      <c r="AV78" s="850"/>
      <c r="AW78" s="850"/>
      <c r="AX78" s="790"/>
      <c r="AY78" s="54"/>
      <c r="AZ78" s="114" t="s">
        <v>84</v>
      </c>
      <c r="BA78" s="789">
        <f>BH76-BH77</f>
        <v>0</v>
      </c>
      <c r="BB78" s="850"/>
      <c r="BC78" s="850"/>
      <c r="BD78" s="850"/>
      <c r="BE78" s="850"/>
      <c r="BF78" s="850"/>
      <c r="BG78" s="850"/>
      <c r="BH78" s="790"/>
      <c r="BI78" s="54"/>
      <c r="BJ78" s="114" t="s">
        <v>84</v>
      </c>
      <c r="BK78" s="789">
        <f>BR76-BR77</f>
        <v>0</v>
      </c>
      <c r="BL78" s="850"/>
      <c r="BM78" s="850"/>
      <c r="BN78" s="850"/>
      <c r="BO78" s="850"/>
      <c r="BP78" s="850"/>
      <c r="BQ78" s="850"/>
      <c r="BR78" s="790"/>
      <c r="BS78" s="54"/>
      <c r="BT78" s="114" t="s">
        <v>84</v>
      </c>
      <c r="BU78" s="789">
        <f>CB76-CB77</f>
        <v>0</v>
      </c>
      <c r="BV78" s="850"/>
      <c r="BW78" s="850"/>
      <c r="BX78" s="850"/>
      <c r="BY78" s="850"/>
      <c r="BZ78" s="850"/>
      <c r="CA78" s="850"/>
      <c r="CB78" s="790"/>
      <c r="CC78" s="54"/>
      <c r="CD78" s="114" t="s">
        <v>84</v>
      </c>
      <c r="CE78" s="789">
        <f>CL76-CL77</f>
        <v>0</v>
      </c>
      <c r="CF78" s="850"/>
      <c r="CG78" s="850"/>
      <c r="CH78" s="850"/>
      <c r="CI78" s="850"/>
      <c r="CJ78" s="850"/>
      <c r="CK78" s="850"/>
      <c r="CL78" s="790"/>
    </row>
    <row r="79" spans="1:91" ht="16" thickBot="1" x14ac:dyDescent="0.25">
      <c r="A79" s="113" t="s">
        <v>22</v>
      </c>
      <c r="B79" s="74">
        <v>22</v>
      </c>
      <c r="C79" s="14"/>
      <c r="D79" s="14"/>
      <c r="E79" s="14"/>
      <c r="F79" s="14"/>
      <c r="G79" s="14"/>
      <c r="H79" s="14"/>
      <c r="I79" s="14"/>
      <c r="J79" s="14">
        <f>(C79+D79+E79+F79+G79+H79)*100+(I79*160)</f>
        <v>0</v>
      </c>
      <c r="K79" s="113" t="s">
        <v>22</v>
      </c>
      <c r="L79" s="74">
        <f>B79</f>
        <v>22</v>
      </c>
      <c r="M79" s="14"/>
      <c r="N79" s="14"/>
      <c r="O79" s="14"/>
      <c r="P79" s="14"/>
      <c r="Q79" s="14"/>
      <c r="R79" s="14"/>
      <c r="S79" s="14"/>
      <c r="T79" s="14">
        <f>(M79+N79+O79+P79+Q79+R79)*100+(S79*160)</f>
        <v>0</v>
      </c>
      <c r="U79" s="113" t="s">
        <v>22</v>
      </c>
      <c r="V79" s="74">
        <f>L79</f>
        <v>22</v>
      </c>
      <c r="W79" s="14"/>
      <c r="X79" s="14"/>
      <c r="Y79" s="14"/>
      <c r="Z79" s="14"/>
      <c r="AA79" s="14"/>
      <c r="AB79" s="14"/>
      <c r="AC79" s="14"/>
      <c r="AD79" s="14">
        <f>(W79+X79+Y79+Z79+AA79+AB79)*100+(AC79*160)</f>
        <v>0</v>
      </c>
      <c r="AE79" s="113" t="s">
        <v>22</v>
      </c>
      <c r="AF79" s="74">
        <f>V79</f>
        <v>22</v>
      </c>
      <c r="AG79" s="14"/>
      <c r="AH79" s="14"/>
      <c r="AI79" s="14"/>
      <c r="AJ79" s="14"/>
      <c r="AK79" s="14"/>
      <c r="AL79" s="14"/>
      <c r="AM79" s="14"/>
      <c r="AN79" s="14">
        <f>(AG79+AH79+AI79+AJ79+AK79+AL79)*100+(AM79*160)</f>
        <v>0</v>
      </c>
      <c r="AO79" s="113" t="s">
        <v>22</v>
      </c>
      <c r="AP79" s="74">
        <f>AF79</f>
        <v>22</v>
      </c>
      <c r="AQ79" s="14"/>
      <c r="AR79" s="14"/>
      <c r="AS79" s="14"/>
      <c r="AT79" s="14"/>
      <c r="AU79" s="14"/>
      <c r="AV79" s="14"/>
      <c r="AW79" s="14"/>
      <c r="AX79" s="14">
        <f>(AQ79+AR79+AS79+AT79+AU79+AV79)*100+(AW79*160)</f>
        <v>0</v>
      </c>
      <c r="AY79" s="113" t="s">
        <v>22</v>
      </c>
      <c r="AZ79" s="74">
        <f>AP79</f>
        <v>22</v>
      </c>
      <c r="BA79" s="14"/>
      <c r="BB79" s="14"/>
      <c r="BC79" s="14"/>
      <c r="BD79" s="14"/>
      <c r="BE79" s="14"/>
      <c r="BF79" s="14"/>
      <c r="BG79" s="14"/>
      <c r="BH79" s="14">
        <f>(BA79+BB79+BC79+BD79+BE79+BF79)*100+(BG79*160)</f>
        <v>0</v>
      </c>
      <c r="BI79" s="113" t="s">
        <v>22</v>
      </c>
      <c r="BJ79" s="74">
        <f>AZ79</f>
        <v>22</v>
      </c>
      <c r="BK79" s="14"/>
      <c r="BL79" s="14"/>
      <c r="BM79" s="14"/>
      <c r="BN79" s="14"/>
      <c r="BO79" s="14"/>
      <c r="BP79" s="14"/>
      <c r="BQ79" s="14"/>
      <c r="BR79" s="14">
        <f>(BK79+BL79+BM79+BN79+BO79+BP79)*100+(BQ79*160)</f>
        <v>0</v>
      </c>
      <c r="BS79" s="113" t="s">
        <v>22</v>
      </c>
      <c r="BT79" s="74">
        <f>BJ79</f>
        <v>22</v>
      </c>
      <c r="BU79" s="14"/>
      <c r="BV79" s="14"/>
      <c r="BW79" s="14"/>
      <c r="BX79" s="14"/>
      <c r="BY79" s="14"/>
      <c r="BZ79" s="14"/>
      <c r="CA79" s="14"/>
      <c r="CB79" s="14">
        <f>(BU79+BV79+BW79+BX79+BY79+BZ79)*100+(CA79*160)</f>
        <v>0</v>
      </c>
      <c r="CC79" s="113" t="s">
        <v>22</v>
      </c>
      <c r="CD79" s="74">
        <f>BT79</f>
        <v>22</v>
      </c>
      <c r="CE79" s="14"/>
      <c r="CF79" s="14"/>
      <c r="CG79" s="14"/>
      <c r="CH79" s="14"/>
      <c r="CI79" s="14"/>
      <c r="CJ79" s="14"/>
      <c r="CK79" s="14"/>
      <c r="CL79" s="14">
        <f>(CE79+CF79+CG79+CH79+CI79+CJ79)*100+(CK79*160)</f>
        <v>0</v>
      </c>
      <c r="CM79" s="125">
        <f>SUM(CL79,CB79,BR79,BH79)</f>
        <v>0</v>
      </c>
    </row>
    <row r="80" spans="1:91" ht="16" thickBot="1" x14ac:dyDescent="0.25">
      <c r="A80" s="3"/>
      <c r="B80" s="68" t="s">
        <v>210</v>
      </c>
      <c r="C80" s="69"/>
      <c r="D80" s="69"/>
      <c r="E80" s="69"/>
      <c r="F80" s="69"/>
      <c r="G80" s="69"/>
      <c r="H80" s="69"/>
      <c r="I80" s="69"/>
      <c r="J80" s="69">
        <f>(C80+D80+E80+F80+G80+H80)*100+(I80*160)</f>
        <v>0</v>
      </c>
      <c r="K80" s="3"/>
      <c r="L80" s="68" t="s">
        <v>210</v>
      </c>
      <c r="M80" s="69"/>
      <c r="N80" s="69"/>
      <c r="O80" s="69"/>
      <c r="P80" s="69"/>
      <c r="Q80" s="69"/>
      <c r="R80" s="69"/>
      <c r="S80" s="69"/>
      <c r="T80" s="69">
        <f>(M80+N80+O80+P80+Q80+R80)*100+(S80*160)</f>
        <v>0</v>
      </c>
      <c r="U80" s="3"/>
      <c r="V80" s="68" t="s">
        <v>210</v>
      </c>
      <c r="W80" s="69"/>
      <c r="X80" s="69"/>
      <c r="Y80" s="69"/>
      <c r="Z80" s="69"/>
      <c r="AA80" s="69"/>
      <c r="AB80" s="69"/>
      <c r="AC80" s="69"/>
      <c r="AD80" s="69">
        <f>(W80+X80+Y80+Z80+AA80+AB80)*100+(AC80*160)</f>
        <v>0</v>
      </c>
      <c r="AE80" s="3"/>
      <c r="AF80" s="68" t="s">
        <v>210</v>
      </c>
      <c r="AG80" s="69"/>
      <c r="AH80" s="69"/>
      <c r="AI80" s="69"/>
      <c r="AJ80" s="69"/>
      <c r="AK80" s="69"/>
      <c r="AL80" s="69"/>
      <c r="AM80" s="69"/>
      <c r="AN80" s="69">
        <f>(AG80+AH80+AI80+AJ80+AK80+AL80)*100+(AM80*160)</f>
        <v>0</v>
      </c>
      <c r="AO80" s="3"/>
      <c r="AP80" s="68" t="s">
        <v>210</v>
      </c>
      <c r="AQ80" s="69"/>
      <c r="AR80" s="69"/>
      <c r="AS80" s="69"/>
      <c r="AT80" s="69"/>
      <c r="AU80" s="69"/>
      <c r="AV80" s="69"/>
      <c r="AW80" s="69"/>
      <c r="AX80" s="69">
        <f>(AQ80+AR80+AS80+AT80+AU80+AV80)*100+(AW80*160)</f>
        <v>0</v>
      </c>
      <c r="AY80" s="3"/>
      <c r="AZ80" s="68" t="s">
        <v>210</v>
      </c>
      <c r="BA80" s="69"/>
      <c r="BB80" s="69"/>
      <c r="BC80" s="69"/>
      <c r="BD80" s="69"/>
      <c r="BE80" s="69"/>
      <c r="BF80" s="69"/>
      <c r="BG80" s="69"/>
      <c r="BH80" s="69">
        <f>(BA80+BB80+BC80+BD80+BE80+BF80)*100+(BG80*160)</f>
        <v>0</v>
      </c>
      <c r="BI80" s="3"/>
      <c r="BJ80" s="68" t="s">
        <v>210</v>
      </c>
      <c r="BK80" s="69"/>
      <c r="BL80" s="69"/>
      <c r="BM80" s="69"/>
      <c r="BN80" s="69"/>
      <c r="BO80" s="69"/>
      <c r="BP80" s="69"/>
      <c r="BQ80" s="69"/>
      <c r="BR80" s="69">
        <f>(BK80+BL80+BM80+BN80+BO80+BP80)*100+(BQ80*160)</f>
        <v>0</v>
      </c>
      <c r="BS80" s="3"/>
      <c r="BT80" s="68" t="s">
        <v>210</v>
      </c>
      <c r="BU80" s="69"/>
      <c r="BV80" s="69"/>
      <c r="BW80" s="69"/>
      <c r="BX80" s="69"/>
      <c r="BY80" s="69"/>
      <c r="BZ80" s="69"/>
      <c r="CA80" s="69"/>
      <c r="CB80" s="69">
        <f>(BU80+BV80+BW80+BX80+BY80+BZ80)*100+(CA80*160)</f>
        <v>0</v>
      </c>
      <c r="CC80" s="3"/>
      <c r="CD80" s="68" t="s">
        <v>210</v>
      </c>
      <c r="CE80" s="69"/>
      <c r="CF80" s="69"/>
      <c r="CG80" s="69"/>
      <c r="CH80" s="69"/>
      <c r="CI80" s="69"/>
      <c r="CJ80" s="69"/>
      <c r="CK80" s="69"/>
      <c r="CL80" s="69">
        <f>(CE80+CF80+CG80+CH80+CI80+CJ80)*100+(CK80*160)</f>
        <v>0</v>
      </c>
    </row>
    <row r="81" spans="1:91" ht="16" thickBot="1" x14ac:dyDescent="0.25">
      <c r="A81" s="54"/>
      <c r="B81" s="114" t="s">
        <v>84</v>
      </c>
      <c r="C81" s="789">
        <f>J79-J80</f>
        <v>0</v>
      </c>
      <c r="D81" s="850"/>
      <c r="E81" s="850"/>
      <c r="F81" s="850"/>
      <c r="G81" s="850"/>
      <c r="H81" s="850"/>
      <c r="I81" s="850"/>
      <c r="J81" s="790"/>
      <c r="K81" s="54"/>
      <c r="L81" s="114" t="s">
        <v>84</v>
      </c>
      <c r="M81" s="789">
        <f>T79-T80</f>
        <v>0</v>
      </c>
      <c r="N81" s="850"/>
      <c r="O81" s="850"/>
      <c r="P81" s="850"/>
      <c r="Q81" s="850"/>
      <c r="R81" s="850"/>
      <c r="S81" s="850"/>
      <c r="T81" s="790"/>
      <c r="U81" s="54"/>
      <c r="V81" s="114" t="s">
        <v>84</v>
      </c>
      <c r="W81" s="789">
        <f>AD79-AD80</f>
        <v>0</v>
      </c>
      <c r="X81" s="850"/>
      <c r="Y81" s="850"/>
      <c r="Z81" s="850"/>
      <c r="AA81" s="850"/>
      <c r="AB81" s="850"/>
      <c r="AC81" s="850"/>
      <c r="AD81" s="790"/>
      <c r="AE81" s="54"/>
      <c r="AF81" s="114" t="s">
        <v>84</v>
      </c>
      <c r="AG81" s="789">
        <f>AN79-AN80</f>
        <v>0</v>
      </c>
      <c r="AH81" s="850"/>
      <c r="AI81" s="850"/>
      <c r="AJ81" s="850"/>
      <c r="AK81" s="850"/>
      <c r="AL81" s="850"/>
      <c r="AM81" s="850"/>
      <c r="AN81" s="790"/>
      <c r="AO81" s="54"/>
      <c r="AP81" s="114" t="s">
        <v>84</v>
      </c>
      <c r="AQ81" s="789">
        <f>AX79-AX80</f>
        <v>0</v>
      </c>
      <c r="AR81" s="850"/>
      <c r="AS81" s="850"/>
      <c r="AT81" s="850"/>
      <c r="AU81" s="850"/>
      <c r="AV81" s="850"/>
      <c r="AW81" s="850"/>
      <c r="AX81" s="790"/>
      <c r="AY81" s="54"/>
      <c r="AZ81" s="114" t="s">
        <v>84</v>
      </c>
      <c r="BA81" s="789">
        <f>BH79-BH80</f>
        <v>0</v>
      </c>
      <c r="BB81" s="850"/>
      <c r="BC81" s="850"/>
      <c r="BD81" s="850"/>
      <c r="BE81" s="850"/>
      <c r="BF81" s="850"/>
      <c r="BG81" s="850"/>
      <c r="BH81" s="790"/>
      <c r="BI81" s="54"/>
      <c r="BJ81" s="114" t="s">
        <v>84</v>
      </c>
      <c r="BK81" s="789">
        <f>BR79-BR80</f>
        <v>0</v>
      </c>
      <c r="BL81" s="850"/>
      <c r="BM81" s="850"/>
      <c r="BN81" s="850"/>
      <c r="BO81" s="850"/>
      <c r="BP81" s="850"/>
      <c r="BQ81" s="850"/>
      <c r="BR81" s="790"/>
      <c r="BS81" s="54"/>
      <c r="BT81" s="114" t="s">
        <v>84</v>
      </c>
      <c r="BU81" s="789">
        <f>CB79-CB80</f>
        <v>0</v>
      </c>
      <c r="BV81" s="850"/>
      <c r="BW81" s="850"/>
      <c r="BX81" s="850"/>
      <c r="BY81" s="850"/>
      <c r="BZ81" s="850"/>
      <c r="CA81" s="850"/>
      <c r="CB81" s="790"/>
      <c r="CC81" s="54"/>
      <c r="CD81" s="114" t="s">
        <v>84</v>
      </c>
      <c r="CE81" s="789">
        <f>CL79-CL80</f>
        <v>0</v>
      </c>
      <c r="CF81" s="850"/>
      <c r="CG81" s="850"/>
      <c r="CH81" s="850"/>
      <c r="CI81" s="850"/>
      <c r="CJ81" s="850"/>
      <c r="CK81" s="850"/>
      <c r="CL81" s="790"/>
    </row>
    <row r="82" spans="1:91" ht="16" thickBot="1" x14ac:dyDescent="0.25">
      <c r="A82" s="113" t="s">
        <v>23</v>
      </c>
      <c r="B82" s="74">
        <v>23</v>
      </c>
      <c r="C82" s="14"/>
      <c r="D82" s="14"/>
      <c r="E82" s="14"/>
      <c r="F82" s="14"/>
      <c r="G82" s="14"/>
      <c r="H82" s="14"/>
      <c r="I82" s="14"/>
      <c r="J82" s="14">
        <f>(C82+D82+E82+F82+G82+H82)*100+(I82*160)</f>
        <v>0</v>
      </c>
      <c r="K82" s="113" t="s">
        <v>23</v>
      </c>
      <c r="L82" s="74">
        <f>B82</f>
        <v>23</v>
      </c>
      <c r="M82" s="14"/>
      <c r="N82" s="14"/>
      <c r="O82" s="14"/>
      <c r="P82" s="14"/>
      <c r="Q82" s="14"/>
      <c r="R82" s="14"/>
      <c r="S82" s="14"/>
      <c r="T82" s="14">
        <f>(M82+N82+O82+P82+Q82+R82)*100+(S82*160)</f>
        <v>0</v>
      </c>
      <c r="U82" s="113" t="s">
        <v>23</v>
      </c>
      <c r="V82" s="74">
        <f>L82</f>
        <v>23</v>
      </c>
      <c r="W82" s="14"/>
      <c r="X82" s="14"/>
      <c r="Y82" s="14"/>
      <c r="Z82" s="14"/>
      <c r="AA82" s="14"/>
      <c r="AB82" s="14"/>
      <c r="AC82" s="14"/>
      <c r="AD82" s="14">
        <f>(W82+X82+Y82+Z82+AA82+AB82)*100+(AC82*160)</f>
        <v>0</v>
      </c>
      <c r="AE82" s="113" t="s">
        <v>23</v>
      </c>
      <c r="AF82" s="74">
        <f>V82</f>
        <v>23</v>
      </c>
      <c r="AG82" s="14"/>
      <c r="AH82" s="14"/>
      <c r="AI82" s="14"/>
      <c r="AJ82" s="14"/>
      <c r="AK82" s="14"/>
      <c r="AL82" s="14"/>
      <c r="AM82" s="14"/>
      <c r="AN82" s="14">
        <f>(AG82+AH82+AI82+AJ82+AK82+AL82)*100+(AM82*160)</f>
        <v>0</v>
      </c>
      <c r="AO82" s="113" t="s">
        <v>23</v>
      </c>
      <c r="AP82" s="74">
        <f>AF82</f>
        <v>23</v>
      </c>
      <c r="AQ82" s="14"/>
      <c r="AR82" s="14"/>
      <c r="AS82" s="14"/>
      <c r="AT82" s="14"/>
      <c r="AU82" s="14"/>
      <c r="AV82" s="14"/>
      <c r="AW82" s="14"/>
      <c r="AX82" s="14">
        <f>(AQ82+AR82+AS82+AT82+AU82+AV82)*100+(AW82*160)</f>
        <v>0</v>
      </c>
      <c r="AY82" s="113" t="s">
        <v>23</v>
      </c>
      <c r="AZ82" s="74">
        <f>AP82</f>
        <v>23</v>
      </c>
      <c r="BA82" s="14"/>
      <c r="BB82" s="14"/>
      <c r="BC82" s="14"/>
      <c r="BD82" s="14"/>
      <c r="BE82" s="14"/>
      <c r="BF82" s="14"/>
      <c r="BG82" s="14"/>
      <c r="BH82" s="14">
        <f>(BA82+BB82+BC82+BD82+BE82+BF82)*100+(BG82*160)</f>
        <v>0</v>
      </c>
      <c r="BI82" s="113" t="s">
        <v>23</v>
      </c>
      <c r="BJ82" s="74">
        <f>AZ82</f>
        <v>23</v>
      </c>
      <c r="BK82" s="14"/>
      <c r="BL82" s="14"/>
      <c r="BM82" s="14"/>
      <c r="BN82" s="14"/>
      <c r="BO82" s="14"/>
      <c r="BP82" s="14"/>
      <c r="BQ82" s="14"/>
      <c r="BR82" s="14">
        <f>(BK82+BL82+BM82+BN82+BO82+BP82)*100+(BQ82*160)</f>
        <v>0</v>
      </c>
      <c r="BS82" s="113" t="s">
        <v>23</v>
      </c>
      <c r="BT82" s="74">
        <f>BJ82</f>
        <v>23</v>
      </c>
      <c r="BU82" s="14"/>
      <c r="BV82" s="14"/>
      <c r="BW82" s="14"/>
      <c r="BX82" s="14"/>
      <c r="BY82" s="14"/>
      <c r="BZ82" s="14"/>
      <c r="CA82" s="14"/>
      <c r="CB82" s="14">
        <f>(BU82+BV82+BW82+BX82+BY82+BZ82)*100+(CA82*160)</f>
        <v>0</v>
      </c>
      <c r="CC82" s="113" t="s">
        <v>23</v>
      </c>
      <c r="CD82" s="74">
        <f>BT82</f>
        <v>23</v>
      </c>
      <c r="CE82" s="14"/>
      <c r="CF82" s="14"/>
      <c r="CG82" s="14"/>
      <c r="CH82" s="14"/>
      <c r="CI82" s="14"/>
      <c r="CJ82" s="14"/>
      <c r="CK82" s="14"/>
      <c r="CL82" s="14">
        <f>(CE82+CF82+CG82+CH82+CI82+CJ82)*100+(CK82*160)</f>
        <v>0</v>
      </c>
      <c r="CM82" s="125">
        <f>SUM(CL82,CB82,BR82,BH82)</f>
        <v>0</v>
      </c>
    </row>
    <row r="83" spans="1:91" ht="16" thickBot="1" x14ac:dyDescent="0.25">
      <c r="A83" s="3"/>
      <c r="B83" s="68" t="s">
        <v>210</v>
      </c>
      <c r="C83" s="69"/>
      <c r="D83" s="69"/>
      <c r="E83" s="69"/>
      <c r="F83" s="69"/>
      <c r="G83" s="69"/>
      <c r="H83" s="69"/>
      <c r="I83" s="69"/>
      <c r="J83" s="69">
        <f>(C83+D83+E83+F83+G83+H83)*100+(I83*160)</f>
        <v>0</v>
      </c>
      <c r="K83" s="3"/>
      <c r="L83" s="68" t="s">
        <v>210</v>
      </c>
      <c r="M83" s="69"/>
      <c r="N83" s="69"/>
      <c r="O83" s="69"/>
      <c r="P83" s="69"/>
      <c r="Q83" s="69"/>
      <c r="R83" s="69"/>
      <c r="S83" s="69"/>
      <c r="T83" s="69">
        <f>(M83+N83+O83+P83+Q83+R83)*100+(S83*160)</f>
        <v>0</v>
      </c>
      <c r="U83" s="3"/>
      <c r="V83" s="68" t="s">
        <v>210</v>
      </c>
      <c r="W83" s="69"/>
      <c r="X83" s="69"/>
      <c r="Y83" s="69"/>
      <c r="Z83" s="69"/>
      <c r="AA83" s="69"/>
      <c r="AB83" s="69"/>
      <c r="AC83" s="69"/>
      <c r="AD83" s="69">
        <f>(W83+X83+Y83+Z83+AA83+AB83)*100+(AC83*160)</f>
        <v>0</v>
      </c>
      <c r="AE83" s="3"/>
      <c r="AF83" s="68" t="s">
        <v>210</v>
      </c>
      <c r="AG83" s="69"/>
      <c r="AH83" s="69"/>
      <c r="AI83" s="69"/>
      <c r="AJ83" s="69"/>
      <c r="AK83" s="69"/>
      <c r="AL83" s="69"/>
      <c r="AM83" s="69"/>
      <c r="AN83" s="69">
        <f>(AG83+AH83+AI83+AJ83+AK83+AL83)*100+(AM83*160)</f>
        <v>0</v>
      </c>
      <c r="AO83" s="3"/>
      <c r="AP83" s="68" t="s">
        <v>210</v>
      </c>
      <c r="AQ83" s="69"/>
      <c r="AR83" s="69"/>
      <c r="AS83" s="69"/>
      <c r="AT83" s="69"/>
      <c r="AU83" s="69"/>
      <c r="AV83" s="69"/>
      <c r="AW83" s="69"/>
      <c r="AX83" s="69">
        <f>(AQ83+AR83+AS83+AT83+AU83+AV83)*100+(AW83*160)</f>
        <v>0</v>
      </c>
      <c r="AY83" s="3"/>
      <c r="AZ83" s="68" t="s">
        <v>210</v>
      </c>
      <c r="BA83" s="69"/>
      <c r="BB83" s="69"/>
      <c r="BC83" s="69"/>
      <c r="BD83" s="69"/>
      <c r="BE83" s="69"/>
      <c r="BF83" s="69"/>
      <c r="BG83" s="69"/>
      <c r="BH83" s="69">
        <f>(BA83+BB83+BC83+BD83+BE83+BF83)*100+(BG83*160)</f>
        <v>0</v>
      </c>
      <c r="BI83" s="3"/>
      <c r="BJ83" s="68" t="s">
        <v>210</v>
      </c>
      <c r="BK83" s="69"/>
      <c r="BL83" s="69"/>
      <c r="BM83" s="69"/>
      <c r="BN83" s="69"/>
      <c r="BO83" s="69"/>
      <c r="BP83" s="69"/>
      <c r="BQ83" s="69"/>
      <c r="BR83" s="69">
        <f>(BK83+BL83+BM83+BN83+BO83+BP83)*100+(BQ83*160)</f>
        <v>0</v>
      </c>
      <c r="BS83" s="3"/>
      <c r="BT83" s="68" t="s">
        <v>210</v>
      </c>
      <c r="BU83" s="69"/>
      <c r="BV83" s="69"/>
      <c r="BW83" s="69"/>
      <c r="BX83" s="69"/>
      <c r="BY83" s="69"/>
      <c r="BZ83" s="69"/>
      <c r="CA83" s="69"/>
      <c r="CB83" s="69">
        <f>(BU83+BV83+BW83+BX83+BY83+BZ83)*100+(CA83*160)</f>
        <v>0</v>
      </c>
      <c r="CC83" s="3"/>
      <c r="CD83" s="68" t="s">
        <v>210</v>
      </c>
      <c r="CE83" s="69"/>
      <c r="CF83" s="69"/>
      <c r="CG83" s="69"/>
      <c r="CH83" s="69"/>
      <c r="CI83" s="69"/>
      <c r="CJ83" s="69"/>
      <c r="CK83" s="69"/>
      <c r="CL83" s="69">
        <f>(CE83+CF83+CG83+CH83+CI83+CJ83)*100+(CK83*160)</f>
        <v>0</v>
      </c>
    </row>
    <row r="84" spans="1:91" ht="16" thickBot="1" x14ac:dyDescent="0.25">
      <c r="A84" s="54"/>
      <c r="B84" s="114" t="s">
        <v>84</v>
      </c>
      <c r="C84" s="789">
        <f>J82-J83</f>
        <v>0</v>
      </c>
      <c r="D84" s="850"/>
      <c r="E84" s="850"/>
      <c r="F84" s="850"/>
      <c r="G84" s="850"/>
      <c r="H84" s="850"/>
      <c r="I84" s="850"/>
      <c r="J84" s="790"/>
      <c r="K84" s="54"/>
      <c r="L84" s="114" t="s">
        <v>84</v>
      </c>
      <c r="M84" s="789">
        <f>T82-T83</f>
        <v>0</v>
      </c>
      <c r="N84" s="850"/>
      <c r="O84" s="850"/>
      <c r="P84" s="850"/>
      <c r="Q84" s="850"/>
      <c r="R84" s="850"/>
      <c r="S84" s="850"/>
      <c r="T84" s="790"/>
      <c r="U84" s="54"/>
      <c r="V84" s="114" t="s">
        <v>84</v>
      </c>
      <c r="W84" s="789">
        <f>AD82-AD83</f>
        <v>0</v>
      </c>
      <c r="X84" s="850"/>
      <c r="Y84" s="850"/>
      <c r="Z84" s="850"/>
      <c r="AA84" s="850"/>
      <c r="AB84" s="850"/>
      <c r="AC84" s="850"/>
      <c r="AD84" s="790"/>
      <c r="AE84" s="54"/>
      <c r="AF84" s="114" t="s">
        <v>84</v>
      </c>
      <c r="AG84" s="789">
        <f>AN82-AN83</f>
        <v>0</v>
      </c>
      <c r="AH84" s="850"/>
      <c r="AI84" s="850"/>
      <c r="AJ84" s="850"/>
      <c r="AK84" s="850"/>
      <c r="AL84" s="850"/>
      <c r="AM84" s="850"/>
      <c r="AN84" s="790"/>
      <c r="AO84" s="54"/>
      <c r="AP84" s="114" t="s">
        <v>84</v>
      </c>
      <c r="AQ84" s="789">
        <f>AX82-AX83</f>
        <v>0</v>
      </c>
      <c r="AR84" s="850"/>
      <c r="AS84" s="850"/>
      <c r="AT84" s="850"/>
      <c r="AU84" s="850"/>
      <c r="AV84" s="850"/>
      <c r="AW84" s="850"/>
      <c r="AX84" s="790"/>
      <c r="AY84" s="54"/>
      <c r="AZ84" s="114" t="s">
        <v>84</v>
      </c>
      <c r="BA84" s="789">
        <f>BH82-BH83</f>
        <v>0</v>
      </c>
      <c r="BB84" s="850"/>
      <c r="BC84" s="850"/>
      <c r="BD84" s="850"/>
      <c r="BE84" s="850"/>
      <c r="BF84" s="850"/>
      <c r="BG84" s="850"/>
      <c r="BH84" s="790"/>
      <c r="BI84" s="54"/>
      <c r="BJ84" s="114" t="s">
        <v>84</v>
      </c>
      <c r="BK84" s="789">
        <f>BR82-BR83</f>
        <v>0</v>
      </c>
      <c r="BL84" s="850"/>
      <c r="BM84" s="850"/>
      <c r="BN84" s="850"/>
      <c r="BO84" s="850"/>
      <c r="BP84" s="850"/>
      <c r="BQ84" s="850"/>
      <c r="BR84" s="790"/>
      <c r="BS84" s="54"/>
      <c r="BT84" s="114" t="s">
        <v>84</v>
      </c>
      <c r="BU84" s="789">
        <f>CB82-CB83</f>
        <v>0</v>
      </c>
      <c r="BV84" s="850"/>
      <c r="BW84" s="850"/>
      <c r="BX84" s="850"/>
      <c r="BY84" s="850"/>
      <c r="BZ84" s="850"/>
      <c r="CA84" s="850"/>
      <c r="CB84" s="790"/>
      <c r="CC84" s="54"/>
      <c r="CD84" s="114" t="s">
        <v>84</v>
      </c>
      <c r="CE84" s="789">
        <f>CL82-CL83</f>
        <v>0</v>
      </c>
      <c r="CF84" s="850"/>
      <c r="CG84" s="850"/>
      <c r="CH84" s="850"/>
      <c r="CI84" s="850"/>
      <c r="CJ84" s="850"/>
      <c r="CK84" s="850"/>
      <c r="CL84" s="790"/>
    </row>
    <row r="85" spans="1:91" ht="16" thickBot="1" x14ac:dyDescent="0.25">
      <c r="A85" s="113" t="s">
        <v>24</v>
      </c>
      <c r="B85" s="74">
        <v>24</v>
      </c>
      <c r="C85" s="14"/>
      <c r="D85" s="14"/>
      <c r="E85" s="14"/>
      <c r="F85" s="14"/>
      <c r="G85" s="14"/>
      <c r="H85" s="14"/>
      <c r="I85" s="14"/>
      <c r="J85" s="14">
        <f>(C85+D85+E85+F85+G85+H85)*100+(I85*160)</f>
        <v>0</v>
      </c>
      <c r="K85" s="113" t="s">
        <v>24</v>
      </c>
      <c r="L85" s="74">
        <f>B85</f>
        <v>24</v>
      </c>
      <c r="M85" s="14"/>
      <c r="N85" s="14"/>
      <c r="O85" s="14"/>
      <c r="P85" s="14"/>
      <c r="Q85" s="14"/>
      <c r="R85" s="14"/>
      <c r="S85" s="14"/>
      <c r="T85" s="14">
        <f>(M85+N85+O85+P85+Q85+R85)*100+(S85*160)</f>
        <v>0</v>
      </c>
      <c r="U85" s="113" t="s">
        <v>24</v>
      </c>
      <c r="V85" s="74">
        <f>L85</f>
        <v>24</v>
      </c>
      <c r="W85" s="14"/>
      <c r="X85" s="14"/>
      <c r="Y85" s="14"/>
      <c r="Z85" s="14"/>
      <c r="AA85" s="14"/>
      <c r="AB85" s="14"/>
      <c r="AC85" s="14"/>
      <c r="AD85" s="14">
        <f>(W85+X85+Y85+Z85+AA85+AB85)*100+(AC85*160)</f>
        <v>0</v>
      </c>
      <c r="AE85" s="113" t="s">
        <v>24</v>
      </c>
      <c r="AF85" s="74">
        <f>V85</f>
        <v>24</v>
      </c>
      <c r="AG85" s="14"/>
      <c r="AH85" s="14"/>
      <c r="AI85" s="14"/>
      <c r="AJ85" s="14"/>
      <c r="AK85" s="14"/>
      <c r="AL85" s="14"/>
      <c r="AM85" s="14"/>
      <c r="AN85" s="14">
        <f>(AG85+AH85+AI85+AJ85+AK85+AL85)*100+(AM85*160)</f>
        <v>0</v>
      </c>
      <c r="AO85" s="113" t="s">
        <v>24</v>
      </c>
      <c r="AP85" s="74">
        <f>AF85</f>
        <v>24</v>
      </c>
      <c r="AQ85" s="14"/>
      <c r="AR85" s="14"/>
      <c r="AS85" s="14"/>
      <c r="AT85" s="14"/>
      <c r="AU85" s="14"/>
      <c r="AV85" s="14"/>
      <c r="AW85" s="14"/>
      <c r="AX85" s="14">
        <f>(AQ85+AR85+AS85+AT85+AU85+AV85)*100+(AW85*160)</f>
        <v>0</v>
      </c>
      <c r="AY85" s="113" t="s">
        <v>24</v>
      </c>
      <c r="AZ85" s="74">
        <f>AP85</f>
        <v>24</v>
      </c>
      <c r="BA85" s="14"/>
      <c r="BB85" s="14"/>
      <c r="BC85" s="14"/>
      <c r="BD85" s="14"/>
      <c r="BE85" s="14"/>
      <c r="BF85" s="14"/>
      <c r="BG85" s="14"/>
      <c r="BH85" s="14">
        <f>(BA85+BB85+BC85+BD85+BE85+BF85)*100+(BG85*160)</f>
        <v>0</v>
      </c>
      <c r="BI85" s="113" t="s">
        <v>24</v>
      </c>
      <c r="BJ85" s="74">
        <f>AZ85</f>
        <v>24</v>
      </c>
      <c r="BK85" s="14"/>
      <c r="BL85" s="14"/>
      <c r="BM85" s="14"/>
      <c r="BN85" s="14"/>
      <c r="BO85" s="14"/>
      <c r="BP85" s="14"/>
      <c r="BQ85" s="14"/>
      <c r="BR85" s="14">
        <f>(BK85+BL85+BM85+BN85+BO85+BP85)*100+(BQ85*160)</f>
        <v>0</v>
      </c>
      <c r="BS85" s="113" t="s">
        <v>24</v>
      </c>
      <c r="BT85" s="74">
        <f>BJ85</f>
        <v>24</v>
      </c>
      <c r="BU85" s="14"/>
      <c r="BV85" s="14"/>
      <c r="BW85" s="14"/>
      <c r="BX85" s="14"/>
      <c r="BY85" s="14"/>
      <c r="BZ85" s="14"/>
      <c r="CA85" s="14"/>
      <c r="CB85" s="14">
        <f>(BU85+BV85+BW85+BX85+BY85+BZ85)*100+(CA85*160)</f>
        <v>0</v>
      </c>
      <c r="CC85" s="113" t="s">
        <v>24</v>
      </c>
      <c r="CD85" s="74">
        <f>BT85</f>
        <v>24</v>
      </c>
      <c r="CE85" s="14"/>
      <c r="CF85" s="14"/>
      <c r="CG85" s="14"/>
      <c r="CH85" s="14"/>
      <c r="CI85" s="14"/>
      <c r="CJ85" s="14"/>
      <c r="CK85" s="14"/>
      <c r="CL85" s="14">
        <f>(CE85+CF85+CG85+CH85+CI85+CJ85)*100+(CK85*160)</f>
        <v>0</v>
      </c>
      <c r="CM85" s="125">
        <f>SUM(CL85,CB85,BR85,BH85)</f>
        <v>0</v>
      </c>
    </row>
    <row r="86" spans="1:91" ht="16" thickBot="1" x14ac:dyDescent="0.25">
      <c r="A86" s="3"/>
      <c r="B86" s="68" t="s">
        <v>210</v>
      </c>
      <c r="C86" s="69"/>
      <c r="D86" s="69"/>
      <c r="E86" s="69"/>
      <c r="F86" s="69"/>
      <c r="G86" s="69"/>
      <c r="H86" s="69"/>
      <c r="I86" s="69"/>
      <c r="J86" s="69">
        <f>(C86+D86+E86+F86+G86+H86)*100+(I86*160)</f>
        <v>0</v>
      </c>
      <c r="K86" s="3"/>
      <c r="L86" s="68" t="s">
        <v>210</v>
      </c>
      <c r="M86" s="69"/>
      <c r="N86" s="69"/>
      <c r="O86" s="69"/>
      <c r="P86" s="69"/>
      <c r="Q86" s="69"/>
      <c r="R86" s="69"/>
      <c r="S86" s="69"/>
      <c r="T86" s="69">
        <f>(M86+N86+O86+P86+Q86+R86)*100+(S86*160)</f>
        <v>0</v>
      </c>
      <c r="U86" s="3"/>
      <c r="V86" s="68" t="s">
        <v>210</v>
      </c>
      <c r="W86" s="69"/>
      <c r="X86" s="69"/>
      <c r="Y86" s="69"/>
      <c r="Z86" s="69"/>
      <c r="AA86" s="69"/>
      <c r="AB86" s="69"/>
      <c r="AC86" s="69"/>
      <c r="AD86" s="69">
        <f>(W86+X86+Y86+Z86+AA86+AB86)*100+(AC86*160)</f>
        <v>0</v>
      </c>
      <c r="AE86" s="3"/>
      <c r="AF86" s="68" t="s">
        <v>210</v>
      </c>
      <c r="AG86" s="69"/>
      <c r="AH86" s="69"/>
      <c r="AI86" s="69"/>
      <c r="AJ86" s="69"/>
      <c r="AK86" s="69"/>
      <c r="AL86" s="69"/>
      <c r="AM86" s="69"/>
      <c r="AN86" s="69">
        <f>(AG86+AH86+AI86+AJ86+AK86+AL86)*100+(AM86*160)</f>
        <v>0</v>
      </c>
      <c r="AO86" s="3"/>
      <c r="AP86" s="68" t="s">
        <v>210</v>
      </c>
      <c r="AQ86" s="69"/>
      <c r="AR86" s="69"/>
      <c r="AS86" s="69"/>
      <c r="AT86" s="69"/>
      <c r="AU86" s="69"/>
      <c r="AV86" s="69"/>
      <c r="AW86" s="69"/>
      <c r="AX86" s="69">
        <f>(AQ86+AR86+AS86+AT86+AU86+AV86)*100+(AW86*160)</f>
        <v>0</v>
      </c>
      <c r="AY86" s="3"/>
      <c r="AZ86" s="68" t="s">
        <v>210</v>
      </c>
      <c r="BA86" s="69"/>
      <c r="BB86" s="69"/>
      <c r="BC86" s="69"/>
      <c r="BD86" s="69"/>
      <c r="BE86" s="69"/>
      <c r="BF86" s="69"/>
      <c r="BG86" s="69"/>
      <c r="BH86" s="69">
        <f>(BA86+BB86+BC86+BD86+BE86+BF86)*100+(BG86*160)</f>
        <v>0</v>
      </c>
      <c r="BI86" s="3"/>
      <c r="BJ86" s="68" t="s">
        <v>210</v>
      </c>
      <c r="BK86" s="69"/>
      <c r="BL86" s="69"/>
      <c r="BM86" s="69"/>
      <c r="BN86" s="69"/>
      <c r="BO86" s="69"/>
      <c r="BP86" s="69"/>
      <c r="BQ86" s="69"/>
      <c r="BR86" s="69">
        <f>(BK86+BL86+BM86+BN86+BO86+BP86)*100+(BQ86*160)</f>
        <v>0</v>
      </c>
      <c r="BS86" s="3"/>
      <c r="BT86" s="68" t="s">
        <v>210</v>
      </c>
      <c r="BU86" s="69"/>
      <c r="BV86" s="69"/>
      <c r="BW86" s="69"/>
      <c r="BX86" s="69"/>
      <c r="BY86" s="69"/>
      <c r="BZ86" s="69"/>
      <c r="CA86" s="69"/>
      <c r="CB86" s="69">
        <f>(BU86+BV86+BW86+BX86+BY86+BZ86)*100+(CA86*160)</f>
        <v>0</v>
      </c>
      <c r="CC86" s="3"/>
      <c r="CD86" s="68" t="s">
        <v>210</v>
      </c>
      <c r="CE86" s="69"/>
      <c r="CF86" s="69"/>
      <c r="CG86" s="69"/>
      <c r="CH86" s="69"/>
      <c r="CI86" s="69"/>
      <c r="CJ86" s="69"/>
      <c r="CK86" s="69"/>
      <c r="CL86" s="69">
        <f>(CE86+CF86+CG86+CH86+CI86+CJ86)*100+(CK86*160)</f>
        <v>0</v>
      </c>
    </row>
    <row r="87" spans="1:91" ht="16" thickBot="1" x14ac:dyDescent="0.25">
      <c r="A87" s="54"/>
      <c r="B87" s="115" t="s">
        <v>84</v>
      </c>
      <c r="C87" s="789">
        <f>J85-J86</f>
        <v>0</v>
      </c>
      <c r="D87" s="850"/>
      <c r="E87" s="850"/>
      <c r="F87" s="850"/>
      <c r="G87" s="850"/>
      <c r="H87" s="850"/>
      <c r="I87" s="850"/>
      <c r="J87" s="790"/>
      <c r="K87" s="54"/>
      <c r="L87" s="115" t="s">
        <v>84</v>
      </c>
      <c r="M87" s="789">
        <f>T85-T86</f>
        <v>0</v>
      </c>
      <c r="N87" s="850"/>
      <c r="O87" s="850"/>
      <c r="P87" s="850"/>
      <c r="Q87" s="850"/>
      <c r="R87" s="850"/>
      <c r="S87" s="850"/>
      <c r="T87" s="790"/>
      <c r="U87" s="54"/>
      <c r="V87" s="115" t="s">
        <v>84</v>
      </c>
      <c r="W87" s="789">
        <f>AD85-AD86</f>
        <v>0</v>
      </c>
      <c r="X87" s="850"/>
      <c r="Y87" s="850"/>
      <c r="Z87" s="850"/>
      <c r="AA87" s="850"/>
      <c r="AB87" s="850"/>
      <c r="AC87" s="850"/>
      <c r="AD87" s="790"/>
      <c r="AE87" s="54"/>
      <c r="AF87" s="115" t="s">
        <v>84</v>
      </c>
      <c r="AG87" s="789">
        <f>AN85-AN86</f>
        <v>0</v>
      </c>
      <c r="AH87" s="850"/>
      <c r="AI87" s="850"/>
      <c r="AJ87" s="850"/>
      <c r="AK87" s="850"/>
      <c r="AL87" s="850"/>
      <c r="AM87" s="850"/>
      <c r="AN87" s="790"/>
      <c r="AO87" s="54"/>
      <c r="AP87" s="115" t="s">
        <v>84</v>
      </c>
      <c r="AQ87" s="789">
        <f>AX85-AX86</f>
        <v>0</v>
      </c>
      <c r="AR87" s="850"/>
      <c r="AS87" s="850"/>
      <c r="AT87" s="850"/>
      <c r="AU87" s="850"/>
      <c r="AV87" s="850"/>
      <c r="AW87" s="850"/>
      <c r="AX87" s="790"/>
      <c r="AY87" s="54"/>
      <c r="AZ87" s="115" t="s">
        <v>84</v>
      </c>
      <c r="BA87" s="789">
        <f>BH85-BH86</f>
        <v>0</v>
      </c>
      <c r="BB87" s="850"/>
      <c r="BC87" s="850"/>
      <c r="BD87" s="850"/>
      <c r="BE87" s="850"/>
      <c r="BF87" s="850"/>
      <c r="BG87" s="850"/>
      <c r="BH87" s="790"/>
      <c r="BI87" s="54"/>
      <c r="BJ87" s="115" t="s">
        <v>84</v>
      </c>
      <c r="BK87" s="789">
        <f>BR85-BR86</f>
        <v>0</v>
      </c>
      <c r="BL87" s="850"/>
      <c r="BM87" s="850"/>
      <c r="BN87" s="850"/>
      <c r="BO87" s="850"/>
      <c r="BP87" s="850"/>
      <c r="BQ87" s="850"/>
      <c r="BR87" s="790"/>
      <c r="BS87" s="54"/>
      <c r="BT87" s="115" t="s">
        <v>84</v>
      </c>
      <c r="BU87" s="789">
        <f>CB85-CB86</f>
        <v>0</v>
      </c>
      <c r="BV87" s="850"/>
      <c r="BW87" s="850"/>
      <c r="BX87" s="850"/>
      <c r="BY87" s="850"/>
      <c r="BZ87" s="850"/>
      <c r="CA87" s="850"/>
      <c r="CB87" s="790"/>
      <c r="CC87" s="54"/>
      <c r="CD87" s="115" t="s">
        <v>84</v>
      </c>
      <c r="CE87" s="789">
        <f>CL85-CL86</f>
        <v>0</v>
      </c>
      <c r="CF87" s="850"/>
      <c r="CG87" s="850"/>
      <c r="CH87" s="850"/>
      <c r="CI87" s="850"/>
      <c r="CJ87" s="850"/>
      <c r="CK87" s="850"/>
      <c r="CL87" s="790"/>
    </row>
    <row r="88" spans="1:91" ht="16" thickBot="1" x14ac:dyDescent="0.25">
      <c r="A88" s="3" t="s">
        <v>25</v>
      </c>
      <c r="B88" s="74">
        <v>25</v>
      </c>
      <c r="C88" s="14"/>
      <c r="D88" s="14"/>
      <c r="E88" s="14"/>
      <c r="F88" s="14"/>
      <c r="G88" s="14"/>
      <c r="H88" s="14"/>
      <c r="I88" s="14"/>
      <c r="J88" s="14">
        <f>(C88+D88+E88+F88+G88+H88)*100+(I88*160)</f>
        <v>0</v>
      </c>
      <c r="K88" s="3" t="s">
        <v>25</v>
      </c>
      <c r="L88" s="74">
        <f>B88</f>
        <v>25</v>
      </c>
      <c r="M88" s="14"/>
      <c r="N88" s="14"/>
      <c r="O88" s="14"/>
      <c r="P88" s="14"/>
      <c r="Q88" s="14"/>
      <c r="R88" s="14"/>
      <c r="S88" s="14"/>
      <c r="T88" s="14">
        <f>(M88+N88+O88+P88+Q88+R88)*100+(S88*160)</f>
        <v>0</v>
      </c>
      <c r="U88" s="3" t="s">
        <v>25</v>
      </c>
      <c r="V88" s="74">
        <f>L88</f>
        <v>25</v>
      </c>
      <c r="W88" s="14"/>
      <c r="X88" s="14"/>
      <c r="Y88" s="14"/>
      <c r="Z88" s="14"/>
      <c r="AA88" s="14"/>
      <c r="AB88" s="14"/>
      <c r="AC88" s="14"/>
      <c r="AD88" s="14">
        <f>(W88+X88+Y88+Z88+AA88+AB88)*100+(AC88*160)</f>
        <v>0</v>
      </c>
      <c r="AE88" s="3" t="s">
        <v>25</v>
      </c>
      <c r="AF88" s="74">
        <f>V88</f>
        <v>25</v>
      </c>
      <c r="AG88" s="14"/>
      <c r="AH88" s="14"/>
      <c r="AI88" s="14"/>
      <c r="AJ88" s="14"/>
      <c r="AK88" s="14"/>
      <c r="AL88" s="14"/>
      <c r="AM88" s="14"/>
      <c r="AN88" s="14">
        <f>(AG88+AH88+AI88+AJ88+AK88+AL88)*100+(AM88*160)</f>
        <v>0</v>
      </c>
      <c r="AO88" s="3" t="s">
        <v>25</v>
      </c>
      <c r="AP88" s="74">
        <f>AF88</f>
        <v>25</v>
      </c>
      <c r="AQ88" s="14"/>
      <c r="AR88" s="14"/>
      <c r="AS88" s="14"/>
      <c r="AT88" s="14"/>
      <c r="AU88" s="14"/>
      <c r="AV88" s="14"/>
      <c r="AW88" s="14"/>
      <c r="AX88" s="14">
        <f>(AQ88+AR88+AS88+AT88+AU88+AV88)*100+(AW88*160)</f>
        <v>0</v>
      </c>
      <c r="AY88" s="3" t="s">
        <v>25</v>
      </c>
      <c r="AZ88" s="74">
        <f>AP88</f>
        <v>25</v>
      </c>
      <c r="BA88" s="14"/>
      <c r="BB88" s="14"/>
      <c r="BC88" s="14"/>
      <c r="BD88" s="14"/>
      <c r="BE88" s="14"/>
      <c r="BF88" s="14"/>
      <c r="BG88" s="14"/>
      <c r="BH88" s="14">
        <f>(BA88+BB88+BC88+BD88+BE88+BF88)*100+(BG88*160)</f>
        <v>0</v>
      </c>
      <c r="BI88" s="3" t="s">
        <v>25</v>
      </c>
      <c r="BJ88" s="74">
        <f>AZ88</f>
        <v>25</v>
      </c>
      <c r="BK88" s="14"/>
      <c r="BL88" s="14"/>
      <c r="BM88" s="14"/>
      <c r="BN88" s="14"/>
      <c r="BO88" s="14"/>
      <c r="BP88" s="14"/>
      <c r="BQ88" s="14"/>
      <c r="BR88" s="14">
        <f>(BK88+BL88+BM88+BN88+BO88+BP88)*100+(BQ88*160)</f>
        <v>0</v>
      </c>
      <c r="BS88" s="3" t="s">
        <v>25</v>
      </c>
      <c r="BT88" s="74">
        <f>BJ88</f>
        <v>25</v>
      </c>
      <c r="BU88" s="14"/>
      <c r="BV88" s="14"/>
      <c r="BW88" s="14"/>
      <c r="BX88" s="14"/>
      <c r="BY88" s="14"/>
      <c r="BZ88" s="14"/>
      <c r="CA88" s="14"/>
      <c r="CB88" s="14">
        <f>(BU88+BV88+BW88+BX88+BY88+BZ88)*100+(CA88*160)</f>
        <v>0</v>
      </c>
      <c r="CC88" s="3" t="s">
        <v>25</v>
      </c>
      <c r="CD88" s="74">
        <f>BT88</f>
        <v>25</v>
      </c>
      <c r="CE88" s="14"/>
      <c r="CF88" s="14"/>
      <c r="CG88" s="14"/>
      <c r="CH88" s="14"/>
      <c r="CI88" s="14"/>
      <c r="CJ88" s="14"/>
      <c r="CK88" s="14"/>
      <c r="CL88" s="14">
        <f>(CE88+CF88+CG88+CH88+CI88+CJ88)*100+(CK88*160)</f>
        <v>0</v>
      </c>
      <c r="CM88" s="125">
        <f>SUM(CL88,CB88,BR88,BH88)</f>
        <v>0</v>
      </c>
    </row>
    <row r="89" spans="1:91" ht="16" thickBot="1" x14ac:dyDescent="0.25">
      <c r="A89" s="3"/>
      <c r="B89" s="68" t="s">
        <v>210</v>
      </c>
      <c r="C89" s="69"/>
      <c r="D89" s="69"/>
      <c r="E89" s="69"/>
      <c r="F89" s="69"/>
      <c r="G89" s="69"/>
      <c r="H89" s="69"/>
      <c r="I89" s="69"/>
      <c r="J89" s="69">
        <f>(C89+D89+E89+F89+G89+H89)*100+(I89*160)</f>
        <v>0</v>
      </c>
      <c r="K89" s="3"/>
      <c r="L89" s="68" t="s">
        <v>210</v>
      </c>
      <c r="M89" s="69"/>
      <c r="N89" s="69"/>
      <c r="O89" s="69"/>
      <c r="P89" s="69"/>
      <c r="Q89" s="69"/>
      <c r="R89" s="69"/>
      <c r="S89" s="69"/>
      <c r="T89" s="69">
        <f>(M89+N89+O89+P89+Q89+R89)*100+(S89*160)</f>
        <v>0</v>
      </c>
      <c r="U89" s="3"/>
      <c r="V89" s="68" t="s">
        <v>210</v>
      </c>
      <c r="W89" s="69"/>
      <c r="X89" s="69"/>
      <c r="Y89" s="69"/>
      <c r="Z89" s="69"/>
      <c r="AA89" s="69"/>
      <c r="AB89" s="69"/>
      <c r="AC89" s="69"/>
      <c r="AD89" s="69">
        <f>(W89+X89+Y89+Z89+AA89+AB89)*100+(AC89*160)</f>
        <v>0</v>
      </c>
      <c r="AE89" s="3"/>
      <c r="AF89" s="68" t="s">
        <v>210</v>
      </c>
      <c r="AG89" s="69"/>
      <c r="AH89" s="69"/>
      <c r="AI89" s="69"/>
      <c r="AJ89" s="69"/>
      <c r="AK89" s="69"/>
      <c r="AL89" s="69"/>
      <c r="AM89" s="69"/>
      <c r="AN89" s="69">
        <f>(AG89+AH89+AI89+AJ89+AK89+AL89)*100+(AM89*160)</f>
        <v>0</v>
      </c>
      <c r="AO89" s="3"/>
      <c r="AP89" s="68" t="s">
        <v>210</v>
      </c>
      <c r="AQ89" s="69"/>
      <c r="AR89" s="69"/>
      <c r="AS89" s="69"/>
      <c r="AT89" s="69"/>
      <c r="AU89" s="69"/>
      <c r="AV89" s="69"/>
      <c r="AW89" s="69"/>
      <c r="AX89" s="69">
        <f>(AQ89+AR89+AS89+AT89+AU89+AV89)*100+(AW89*160)</f>
        <v>0</v>
      </c>
      <c r="AY89" s="3"/>
      <c r="AZ89" s="68" t="s">
        <v>210</v>
      </c>
      <c r="BA89" s="69"/>
      <c r="BB89" s="69"/>
      <c r="BC89" s="69"/>
      <c r="BD89" s="69"/>
      <c r="BE89" s="69"/>
      <c r="BF89" s="69"/>
      <c r="BG89" s="69"/>
      <c r="BH89" s="69">
        <f>(BA89+BB89+BC89+BD89+BE89+BF89)*100+(BG89*160)</f>
        <v>0</v>
      </c>
      <c r="BI89" s="3"/>
      <c r="BJ89" s="68" t="s">
        <v>210</v>
      </c>
      <c r="BK89" s="69"/>
      <c r="BL89" s="69"/>
      <c r="BM89" s="69"/>
      <c r="BN89" s="69"/>
      <c r="BO89" s="69"/>
      <c r="BP89" s="69"/>
      <c r="BQ89" s="69"/>
      <c r="BR89" s="69">
        <f>(BK89+BL89+BM89+BN89+BO89+BP89)*100+(BQ89*160)</f>
        <v>0</v>
      </c>
      <c r="BS89" s="3"/>
      <c r="BT89" s="68" t="s">
        <v>210</v>
      </c>
      <c r="BU89" s="69"/>
      <c r="BV89" s="69"/>
      <c r="BW89" s="69"/>
      <c r="BX89" s="69"/>
      <c r="BY89" s="69"/>
      <c r="BZ89" s="69"/>
      <c r="CA89" s="69"/>
      <c r="CB89" s="69">
        <f>(BU89+BV89+BW89+BX89+BY89+BZ89)*100+(CA89*160)</f>
        <v>0</v>
      </c>
      <c r="CC89" s="3"/>
      <c r="CD89" s="68" t="s">
        <v>210</v>
      </c>
      <c r="CE89" s="69"/>
      <c r="CF89" s="69"/>
      <c r="CG89" s="69"/>
      <c r="CH89" s="69"/>
      <c r="CI89" s="69"/>
      <c r="CJ89" s="69"/>
      <c r="CK89" s="69"/>
      <c r="CL89" s="69">
        <f>(CE89+CF89+CG89+CH89+CI89+CJ89)*100+(CK89*160)</f>
        <v>0</v>
      </c>
    </row>
    <row r="90" spans="1:91" ht="16" thickBot="1" x14ac:dyDescent="0.25">
      <c r="A90" s="54"/>
      <c r="B90" s="114" t="s">
        <v>84</v>
      </c>
      <c r="C90" s="789">
        <f>J88-J89</f>
        <v>0</v>
      </c>
      <c r="D90" s="850"/>
      <c r="E90" s="850"/>
      <c r="F90" s="850"/>
      <c r="G90" s="850"/>
      <c r="H90" s="850"/>
      <c r="I90" s="850"/>
      <c r="J90" s="790"/>
      <c r="K90" s="54"/>
      <c r="L90" s="114" t="s">
        <v>84</v>
      </c>
      <c r="M90" s="789">
        <f>T88-T89</f>
        <v>0</v>
      </c>
      <c r="N90" s="850"/>
      <c r="O90" s="850"/>
      <c r="P90" s="850"/>
      <c r="Q90" s="850"/>
      <c r="R90" s="850"/>
      <c r="S90" s="850"/>
      <c r="T90" s="790"/>
      <c r="U90" s="54"/>
      <c r="V90" s="114" t="s">
        <v>84</v>
      </c>
      <c r="W90" s="789">
        <f>AD88-AD89</f>
        <v>0</v>
      </c>
      <c r="X90" s="850"/>
      <c r="Y90" s="850"/>
      <c r="Z90" s="850"/>
      <c r="AA90" s="850"/>
      <c r="AB90" s="850"/>
      <c r="AC90" s="850"/>
      <c r="AD90" s="790"/>
      <c r="AE90" s="54"/>
      <c r="AF90" s="114" t="s">
        <v>84</v>
      </c>
      <c r="AG90" s="789">
        <f>AN88-AN89</f>
        <v>0</v>
      </c>
      <c r="AH90" s="850"/>
      <c r="AI90" s="850"/>
      <c r="AJ90" s="850"/>
      <c r="AK90" s="850"/>
      <c r="AL90" s="850"/>
      <c r="AM90" s="850"/>
      <c r="AN90" s="790"/>
      <c r="AO90" s="54"/>
      <c r="AP90" s="114" t="s">
        <v>84</v>
      </c>
      <c r="AQ90" s="789">
        <f>AX88-AX89</f>
        <v>0</v>
      </c>
      <c r="AR90" s="850"/>
      <c r="AS90" s="850"/>
      <c r="AT90" s="850"/>
      <c r="AU90" s="850"/>
      <c r="AV90" s="850"/>
      <c r="AW90" s="850"/>
      <c r="AX90" s="790"/>
      <c r="AY90" s="54"/>
      <c r="AZ90" s="114" t="s">
        <v>84</v>
      </c>
      <c r="BA90" s="789">
        <f>BH88-BH89</f>
        <v>0</v>
      </c>
      <c r="BB90" s="850"/>
      <c r="BC90" s="850"/>
      <c r="BD90" s="850"/>
      <c r="BE90" s="850"/>
      <c r="BF90" s="850"/>
      <c r="BG90" s="850"/>
      <c r="BH90" s="790"/>
      <c r="BI90" s="54"/>
      <c r="BJ90" s="114" t="s">
        <v>84</v>
      </c>
      <c r="BK90" s="789">
        <f>BR88-BR89</f>
        <v>0</v>
      </c>
      <c r="BL90" s="850"/>
      <c r="BM90" s="850"/>
      <c r="BN90" s="850"/>
      <c r="BO90" s="850"/>
      <c r="BP90" s="850"/>
      <c r="BQ90" s="850"/>
      <c r="BR90" s="790"/>
      <c r="BS90" s="54"/>
      <c r="BT90" s="114" t="s">
        <v>84</v>
      </c>
      <c r="BU90" s="789">
        <f>CB88-CB89</f>
        <v>0</v>
      </c>
      <c r="BV90" s="850"/>
      <c r="BW90" s="850"/>
      <c r="BX90" s="850"/>
      <c r="BY90" s="850"/>
      <c r="BZ90" s="850"/>
      <c r="CA90" s="850"/>
      <c r="CB90" s="790"/>
      <c r="CC90" s="54"/>
      <c r="CD90" s="114" t="s">
        <v>84</v>
      </c>
      <c r="CE90" s="789">
        <f>CL88-CL89</f>
        <v>0</v>
      </c>
      <c r="CF90" s="850"/>
      <c r="CG90" s="850"/>
      <c r="CH90" s="850"/>
      <c r="CI90" s="850"/>
      <c r="CJ90" s="850"/>
      <c r="CK90" s="850"/>
      <c r="CL90" s="790"/>
    </row>
    <row r="91" spans="1:91" ht="16" thickBot="1" x14ac:dyDescent="0.25">
      <c r="A91" s="3" t="s">
        <v>26</v>
      </c>
      <c r="B91" s="74">
        <v>26</v>
      </c>
      <c r="C91" s="14"/>
      <c r="D91" s="14"/>
      <c r="E91" s="14"/>
      <c r="F91" s="14"/>
      <c r="G91" s="14"/>
      <c r="H91" s="14"/>
      <c r="I91" s="14"/>
      <c r="J91" s="14">
        <f>(C91+D91+E91+F91+G91+H91)*100+(I91*160)</f>
        <v>0</v>
      </c>
      <c r="K91" s="3" t="s">
        <v>26</v>
      </c>
      <c r="L91" s="74">
        <f>B91</f>
        <v>26</v>
      </c>
      <c r="M91" s="14"/>
      <c r="N91" s="14"/>
      <c r="O91" s="14"/>
      <c r="P91" s="14"/>
      <c r="Q91" s="14"/>
      <c r="R91" s="14"/>
      <c r="S91" s="14"/>
      <c r="T91" s="14">
        <f>(M91+N91+O91+P91+Q91+R91)*100+(S91*160)</f>
        <v>0</v>
      </c>
      <c r="U91" s="3" t="s">
        <v>26</v>
      </c>
      <c r="V91" s="74">
        <f>L91</f>
        <v>26</v>
      </c>
      <c r="W91" s="14"/>
      <c r="X91" s="14"/>
      <c r="Y91" s="14"/>
      <c r="Z91" s="14"/>
      <c r="AA91" s="14"/>
      <c r="AB91" s="14"/>
      <c r="AC91" s="14"/>
      <c r="AD91" s="14">
        <f>(W91+X91+Y91+Z91+AA91+AB91)*100+(AC91*160)</f>
        <v>0</v>
      </c>
      <c r="AE91" s="3" t="s">
        <v>26</v>
      </c>
      <c r="AF91" s="74">
        <f>V91</f>
        <v>26</v>
      </c>
      <c r="AG91" s="14"/>
      <c r="AH91" s="14"/>
      <c r="AI91" s="14"/>
      <c r="AJ91" s="14"/>
      <c r="AK91" s="14"/>
      <c r="AL91" s="14"/>
      <c r="AM91" s="14"/>
      <c r="AN91" s="14">
        <f>(AG91+AH91+AI91+AJ91+AK91+AL91)*100+(AM91*160)</f>
        <v>0</v>
      </c>
      <c r="AO91" s="3" t="s">
        <v>26</v>
      </c>
      <c r="AP91" s="74">
        <f>AF91</f>
        <v>26</v>
      </c>
      <c r="AQ91" s="14"/>
      <c r="AR91" s="14"/>
      <c r="AS91" s="14"/>
      <c r="AT91" s="14"/>
      <c r="AU91" s="14"/>
      <c r="AV91" s="14"/>
      <c r="AW91" s="14"/>
      <c r="AX91" s="14">
        <f>(AQ91+AR91+AS91+AT91+AU91+AV91)*100+(AW91*160)</f>
        <v>0</v>
      </c>
      <c r="AY91" s="3" t="s">
        <v>26</v>
      </c>
      <c r="AZ91" s="74">
        <f>AP91</f>
        <v>26</v>
      </c>
      <c r="BA91" s="14"/>
      <c r="BB91" s="14"/>
      <c r="BC91" s="14"/>
      <c r="BD91" s="14"/>
      <c r="BE91" s="14"/>
      <c r="BF91" s="14"/>
      <c r="BG91" s="14"/>
      <c r="BH91" s="14">
        <f>(BA91+BB91+BC91+BD91+BE91+BF91)*100+(BG91*160)</f>
        <v>0</v>
      </c>
      <c r="BI91" s="3" t="s">
        <v>26</v>
      </c>
      <c r="BJ91" s="74">
        <f>AZ91</f>
        <v>26</v>
      </c>
      <c r="BK91" s="14"/>
      <c r="BL91" s="14"/>
      <c r="BM91" s="14"/>
      <c r="BN91" s="14"/>
      <c r="BO91" s="14"/>
      <c r="BP91" s="14"/>
      <c r="BQ91" s="14"/>
      <c r="BR91" s="14">
        <f>(BK91+BL91+BM91+BN91+BO91+BP91)*100+(BQ91*160)</f>
        <v>0</v>
      </c>
      <c r="BS91" s="3" t="s">
        <v>26</v>
      </c>
      <c r="BT91" s="74">
        <f>BJ91</f>
        <v>26</v>
      </c>
      <c r="BU91" s="14"/>
      <c r="BV91" s="14"/>
      <c r="BW91" s="14"/>
      <c r="BX91" s="14"/>
      <c r="BY91" s="14"/>
      <c r="BZ91" s="14"/>
      <c r="CA91" s="14"/>
      <c r="CB91" s="14">
        <f>(BU91+BV91+BW91+BX91+BY91+BZ91)*100+(CA91*160)</f>
        <v>0</v>
      </c>
      <c r="CC91" s="3" t="s">
        <v>26</v>
      </c>
      <c r="CD91" s="74">
        <f>BT91</f>
        <v>26</v>
      </c>
      <c r="CE91" s="14"/>
      <c r="CF91" s="14"/>
      <c r="CG91" s="14"/>
      <c r="CH91" s="14"/>
      <c r="CI91" s="14"/>
      <c r="CJ91" s="14"/>
      <c r="CK91" s="14"/>
      <c r="CL91" s="14">
        <f>(CE91+CF91+CG91+CH91+CI91+CJ91)*100+(CK91*160)</f>
        <v>0</v>
      </c>
      <c r="CM91" s="125">
        <f>SUM(CL91,CB91,BR91,BH91)</f>
        <v>0</v>
      </c>
    </row>
    <row r="92" spans="1:91" ht="16" thickBot="1" x14ac:dyDescent="0.25">
      <c r="A92" s="3"/>
      <c r="B92" s="68" t="s">
        <v>210</v>
      </c>
      <c r="C92" s="69"/>
      <c r="D92" s="69"/>
      <c r="E92" s="69"/>
      <c r="F92" s="69"/>
      <c r="G92" s="69"/>
      <c r="H92" s="69"/>
      <c r="I92" s="69"/>
      <c r="J92" s="69">
        <f>(C92+D92+E92+F92+G92+H92)*100+(I92*160)</f>
        <v>0</v>
      </c>
      <c r="K92" s="3"/>
      <c r="L92" s="68" t="s">
        <v>210</v>
      </c>
      <c r="M92" s="69"/>
      <c r="N92" s="69"/>
      <c r="O92" s="69"/>
      <c r="P92" s="69"/>
      <c r="Q92" s="69"/>
      <c r="R92" s="69"/>
      <c r="S92" s="69"/>
      <c r="T92" s="69">
        <f>(M92+N92+O92+P92+Q92+R92)*100+(S92*160)</f>
        <v>0</v>
      </c>
      <c r="U92" s="3"/>
      <c r="V92" s="68" t="s">
        <v>210</v>
      </c>
      <c r="W92" s="69"/>
      <c r="X92" s="69"/>
      <c r="Y92" s="69"/>
      <c r="Z92" s="69"/>
      <c r="AA92" s="69"/>
      <c r="AB92" s="69"/>
      <c r="AC92" s="69"/>
      <c r="AD92" s="69">
        <f>(W92+X92+Y92+Z92+AA92+AB92)*100+(AC92*160)</f>
        <v>0</v>
      </c>
      <c r="AE92" s="3"/>
      <c r="AF92" s="68" t="s">
        <v>210</v>
      </c>
      <c r="AG92" s="69"/>
      <c r="AH92" s="69"/>
      <c r="AI92" s="69"/>
      <c r="AJ92" s="69"/>
      <c r="AK92" s="69"/>
      <c r="AL92" s="69"/>
      <c r="AM92" s="69"/>
      <c r="AN92" s="69">
        <f>(AG92+AH92+AI92+AJ92+AK92+AL92)*100+(AM92*160)</f>
        <v>0</v>
      </c>
      <c r="AO92" s="3"/>
      <c r="AP92" s="68" t="s">
        <v>210</v>
      </c>
      <c r="AQ92" s="69"/>
      <c r="AR92" s="69"/>
      <c r="AS92" s="69"/>
      <c r="AT92" s="69"/>
      <c r="AU92" s="69"/>
      <c r="AV92" s="69"/>
      <c r="AW92" s="69"/>
      <c r="AX92" s="69">
        <f>(AQ92+AR92+AS92+AT92+AU92+AV92)*100+(AW92*160)</f>
        <v>0</v>
      </c>
      <c r="AY92" s="3"/>
      <c r="AZ92" s="68" t="s">
        <v>210</v>
      </c>
      <c r="BA92" s="69"/>
      <c r="BB92" s="69"/>
      <c r="BC92" s="69"/>
      <c r="BD92" s="69"/>
      <c r="BE92" s="69"/>
      <c r="BF92" s="69"/>
      <c r="BG92" s="69"/>
      <c r="BH92" s="69">
        <f>(BA92+BB92+BC92+BD92+BE92+BF92)*100+(BG92*160)</f>
        <v>0</v>
      </c>
      <c r="BI92" s="3"/>
      <c r="BJ92" s="68" t="s">
        <v>210</v>
      </c>
      <c r="BK92" s="69"/>
      <c r="BL92" s="69"/>
      <c r="BM92" s="69"/>
      <c r="BN92" s="69"/>
      <c r="BO92" s="69"/>
      <c r="BP92" s="69"/>
      <c r="BQ92" s="69"/>
      <c r="BR92" s="69">
        <f>(BK92+BL92+BM92+BN92+BO92+BP92)*100+(BQ92*160)</f>
        <v>0</v>
      </c>
      <c r="BS92" s="3"/>
      <c r="BT92" s="68" t="s">
        <v>210</v>
      </c>
      <c r="BU92" s="69"/>
      <c r="BV92" s="69"/>
      <c r="BW92" s="69"/>
      <c r="BX92" s="69"/>
      <c r="BY92" s="69"/>
      <c r="BZ92" s="69"/>
      <c r="CA92" s="69"/>
      <c r="CB92" s="69">
        <f>(BU92+BV92+BW92+BX92+BY92+BZ92)*100+(CA92*160)</f>
        <v>0</v>
      </c>
      <c r="CC92" s="3"/>
      <c r="CD92" s="68" t="s">
        <v>210</v>
      </c>
      <c r="CE92" s="69"/>
      <c r="CF92" s="69"/>
      <c r="CG92" s="69"/>
      <c r="CH92" s="69"/>
      <c r="CI92" s="69"/>
      <c r="CJ92" s="69"/>
      <c r="CK92" s="69"/>
      <c r="CL92" s="69">
        <f>(CE92+CF92+CG92+CH92+CI92+CJ92)*100+(CK92*160)</f>
        <v>0</v>
      </c>
    </row>
    <row r="93" spans="1:91" ht="16" thickBot="1" x14ac:dyDescent="0.25">
      <c r="A93" s="54"/>
      <c r="B93" s="114" t="s">
        <v>84</v>
      </c>
      <c r="C93" s="789">
        <f>J91-J92</f>
        <v>0</v>
      </c>
      <c r="D93" s="850"/>
      <c r="E93" s="850"/>
      <c r="F93" s="850"/>
      <c r="G93" s="850"/>
      <c r="H93" s="850"/>
      <c r="I93" s="850"/>
      <c r="J93" s="790"/>
      <c r="K93" s="54"/>
      <c r="L93" s="114" t="s">
        <v>84</v>
      </c>
      <c r="M93" s="789">
        <f>T91-T92</f>
        <v>0</v>
      </c>
      <c r="N93" s="850"/>
      <c r="O93" s="850"/>
      <c r="P93" s="850"/>
      <c r="Q93" s="850"/>
      <c r="R93" s="850"/>
      <c r="S93" s="850"/>
      <c r="T93" s="790"/>
      <c r="U93" s="54"/>
      <c r="V93" s="114" t="s">
        <v>84</v>
      </c>
      <c r="W93" s="789">
        <f>AD91-AD92</f>
        <v>0</v>
      </c>
      <c r="X93" s="850"/>
      <c r="Y93" s="850"/>
      <c r="Z93" s="850"/>
      <c r="AA93" s="850"/>
      <c r="AB93" s="850"/>
      <c r="AC93" s="850"/>
      <c r="AD93" s="790"/>
      <c r="AE93" s="54"/>
      <c r="AF93" s="114" t="s">
        <v>84</v>
      </c>
      <c r="AG93" s="789">
        <f>AN91-AN92</f>
        <v>0</v>
      </c>
      <c r="AH93" s="850"/>
      <c r="AI93" s="850"/>
      <c r="AJ93" s="850"/>
      <c r="AK93" s="850"/>
      <c r="AL93" s="850"/>
      <c r="AM93" s="850"/>
      <c r="AN93" s="790"/>
      <c r="AO93" s="54"/>
      <c r="AP93" s="114" t="s">
        <v>84</v>
      </c>
      <c r="AQ93" s="789">
        <f>AX91-AX92</f>
        <v>0</v>
      </c>
      <c r="AR93" s="850"/>
      <c r="AS93" s="850"/>
      <c r="AT93" s="850"/>
      <c r="AU93" s="850"/>
      <c r="AV93" s="850"/>
      <c r="AW93" s="850"/>
      <c r="AX93" s="790"/>
      <c r="AY93" s="54"/>
      <c r="AZ93" s="114" t="s">
        <v>84</v>
      </c>
      <c r="BA93" s="789">
        <f>BH91-BH92</f>
        <v>0</v>
      </c>
      <c r="BB93" s="850"/>
      <c r="BC93" s="850"/>
      <c r="BD93" s="850"/>
      <c r="BE93" s="850"/>
      <c r="BF93" s="850"/>
      <c r="BG93" s="850"/>
      <c r="BH93" s="790"/>
      <c r="BI93" s="54"/>
      <c r="BJ93" s="114" t="s">
        <v>84</v>
      </c>
      <c r="BK93" s="789">
        <f>BR91-BR92</f>
        <v>0</v>
      </c>
      <c r="BL93" s="850"/>
      <c r="BM93" s="850"/>
      <c r="BN93" s="850"/>
      <c r="BO93" s="850"/>
      <c r="BP93" s="850"/>
      <c r="BQ93" s="850"/>
      <c r="BR93" s="790"/>
      <c r="BS93" s="54"/>
      <c r="BT93" s="114" t="s">
        <v>84</v>
      </c>
      <c r="BU93" s="789">
        <f>CB91-CB92</f>
        <v>0</v>
      </c>
      <c r="BV93" s="850"/>
      <c r="BW93" s="850"/>
      <c r="BX93" s="850"/>
      <c r="BY93" s="850"/>
      <c r="BZ93" s="850"/>
      <c r="CA93" s="850"/>
      <c r="CB93" s="790"/>
      <c r="CC93" s="54"/>
      <c r="CD93" s="114" t="s">
        <v>84</v>
      </c>
      <c r="CE93" s="789">
        <f>CL91-CL92</f>
        <v>0</v>
      </c>
      <c r="CF93" s="850"/>
      <c r="CG93" s="850"/>
      <c r="CH93" s="850"/>
      <c r="CI93" s="850"/>
      <c r="CJ93" s="850"/>
      <c r="CK93" s="850"/>
      <c r="CL93" s="790"/>
    </row>
    <row r="94" spans="1:91" ht="16" thickBot="1" x14ac:dyDescent="0.25">
      <c r="A94" s="3" t="s">
        <v>211</v>
      </c>
      <c r="B94" s="850">
        <f>SUM(J73,J76,J79,J82,J85,J88,J91)</f>
        <v>0</v>
      </c>
      <c r="C94" s="850"/>
      <c r="D94" s="850"/>
      <c r="E94" s="850"/>
      <c r="F94" s="850"/>
      <c r="G94" s="850"/>
      <c r="H94" s="850"/>
      <c r="I94" s="850"/>
      <c r="J94" s="790"/>
      <c r="K94" s="3" t="s">
        <v>211</v>
      </c>
      <c r="L94" s="850">
        <f>SUM(T73,T76,T79,T82,T85,T88,T91)</f>
        <v>0</v>
      </c>
      <c r="M94" s="850"/>
      <c r="N94" s="850"/>
      <c r="O94" s="850"/>
      <c r="P94" s="850"/>
      <c r="Q94" s="850"/>
      <c r="R94" s="850"/>
      <c r="S94" s="850"/>
      <c r="T94" s="790"/>
      <c r="U94" s="3" t="s">
        <v>211</v>
      </c>
      <c r="V94" s="850">
        <f>SUM(AD73,AD76,AD79,AD82,AD85,AD88,AD91)</f>
        <v>0</v>
      </c>
      <c r="W94" s="850"/>
      <c r="X94" s="850"/>
      <c r="Y94" s="850"/>
      <c r="Z94" s="850"/>
      <c r="AA94" s="850"/>
      <c r="AB94" s="850"/>
      <c r="AC94" s="850"/>
      <c r="AD94" s="790"/>
      <c r="AE94" s="3" t="s">
        <v>211</v>
      </c>
      <c r="AF94" s="850">
        <f>SUM(AN73,AN76,AN79,AN82,AN85,AN88,AN91)</f>
        <v>0</v>
      </c>
      <c r="AG94" s="850"/>
      <c r="AH94" s="850"/>
      <c r="AI94" s="850"/>
      <c r="AJ94" s="850"/>
      <c r="AK94" s="850"/>
      <c r="AL94" s="850"/>
      <c r="AM94" s="850"/>
      <c r="AN94" s="790"/>
      <c r="AO94" s="3" t="s">
        <v>211</v>
      </c>
      <c r="AP94" s="850">
        <f>SUM(AX73,AX76,AX79,AX82,AX85,AX88,AX91)</f>
        <v>0</v>
      </c>
      <c r="AQ94" s="850"/>
      <c r="AR94" s="850"/>
      <c r="AS94" s="850"/>
      <c r="AT94" s="850"/>
      <c r="AU94" s="850"/>
      <c r="AV94" s="850"/>
      <c r="AW94" s="850"/>
      <c r="AX94" s="790"/>
      <c r="AY94" s="3" t="s">
        <v>211</v>
      </c>
      <c r="AZ94" s="850">
        <f>SUM(BH73,BH76,BH79,BH82,BH85,BH88,BH91)</f>
        <v>0</v>
      </c>
      <c r="BA94" s="850"/>
      <c r="BB94" s="850"/>
      <c r="BC94" s="850"/>
      <c r="BD94" s="850"/>
      <c r="BE94" s="850"/>
      <c r="BF94" s="850"/>
      <c r="BG94" s="850"/>
      <c r="BH94" s="790"/>
      <c r="BI94" s="3" t="s">
        <v>211</v>
      </c>
      <c r="BJ94" s="850">
        <f>SUM(BR73,BR76,BR79,BR82,BR85,BR88,BR91)</f>
        <v>0</v>
      </c>
      <c r="BK94" s="850"/>
      <c r="BL94" s="850"/>
      <c r="BM94" s="850"/>
      <c r="BN94" s="850"/>
      <c r="BO94" s="850"/>
      <c r="BP94" s="850"/>
      <c r="BQ94" s="850"/>
      <c r="BR94" s="790"/>
      <c r="BS94" s="3" t="s">
        <v>211</v>
      </c>
      <c r="BT94" s="850">
        <f>SUM(CB73,CB76,CB79,CB82,CB85,CB88,CB91)</f>
        <v>0</v>
      </c>
      <c r="BU94" s="850"/>
      <c r="BV94" s="850"/>
      <c r="BW94" s="850"/>
      <c r="BX94" s="850"/>
      <c r="BY94" s="850"/>
      <c r="BZ94" s="850"/>
      <c r="CA94" s="850"/>
      <c r="CB94" s="790"/>
      <c r="CC94" s="3" t="s">
        <v>211</v>
      </c>
      <c r="CD94" s="850">
        <f>SUM(CL73,CL76,CL79,CL82,CL85,CL88,CL91)</f>
        <v>0</v>
      </c>
      <c r="CE94" s="850"/>
      <c r="CF94" s="850"/>
      <c r="CG94" s="850"/>
      <c r="CH94" s="850"/>
      <c r="CI94" s="850"/>
      <c r="CJ94" s="850"/>
      <c r="CK94" s="850"/>
      <c r="CL94" s="790"/>
      <c r="CM94" s="125">
        <f>SUM(CM91,CM88,CM85,CM82,CM79,CM76,CM73)</f>
        <v>0</v>
      </c>
    </row>
    <row r="95" spans="1:91" ht="16" thickBot="1" x14ac:dyDescent="0.25">
      <c r="A95" s="69" t="s">
        <v>89</v>
      </c>
      <c r="B95" s="850">
        <f>SUM(J74,J77,J80,J83,J86,J89,J92)</f>
        <v>0</v>
      </c>
      <c r="C95" s="850"/>
      <c r="D95" s="850"/>
      <c r="E95" s="850"/>
      <c r="F95" s="850"/>
      <c r="G95" s="850"/>
      <c r="H95" s="850"/>
      <c r="I95" s="850"/>
      <c r="J95" s="790"/>
      <c r="K95" s="69" t="s">
        <v>89</v>
      </c>
      <c r="L95" s="850">
        <f>SUM(T74,T77,T80,T83,T86,T89,T92)</f>
        <v>0</v>
      </c>
      <c r="M95" s="850"/>
      <c r="N95" s="850"/>
      <c r="O95" s="850"/>
      <c r="P95" s="850"/>
      <c r="Q95" s="850"/>
      <c r="R95" s="850"/>
      <c r="S95" s="850"/>
      <c r="T95" s="790"/>
      <c r="U95" s="69" t="s">
        <v>89</v>
      </c>
      <c r="V95" s="850">
        <f>SUM(AD74,AD77,AD80,AD83,AD86,AD89,AD92)</f>
        <v>0</v>
      </c>
      <c r="W95" s="850"/>
      <c r="X95" s="850"/>
      <c r="Y95" s="850"/>
      <c r="Z95" s="850"/>
      <c r="AA95" s="850"/>
      <c r="AB95" s="850"/>
      <c r="AC95" s="850"/>
      <c r="AD95" s="790"/>
      <c r="AE95" s="69" t="s">
        <v>89</v>
      </c>
      <c r="AF95" s="850">
        <f>SUM(AN74,AN77,AN80,AN83,AN86,AN89,AN92)</f>
        <v>0</v>
      </c>
      <c r="AG95" s="850"/>
      <c r="AH95" s="850"/>
      <c r="AI95" s="850"/>
      <c r="AJ95" s="850"/>
      <c r="AK95" s="850"/>
      <c r="AL95" s="850"/>
      <c r="AM95" s="850"/>
      <c r="AN95" s="790"/>
      <c r="AO95" s="69" t="s">
        <v>89</v>
      </c>
      <c r="AP95" s="850">
        <f>SUM(AX74,AX77,AX80,AX83,AX86,AX89,AX92)</f>
        <v>0</v>
      </c>
      <c r="AQ95" s="850"/>
      <c r="AR95" s="850"/>
      <c r="AS95" s="850"/>
      <c r="AT95" s="850"/>
      <c r="AU95" s="850"/>
      <c r="AV95" s="850"/>
      <c r="AW95" s="850"/>
      <c r="AX95" s="790"/>
      <c r="AY95" s="69" t="s">
        <v>89</v>
      </c>
      <c r="AZ95" s="850">
        <f>SUM(BH74,BH77,BH80,BH83,BH86,BH89,BH92)</f>
        <v>0</v>
      </c>
      <c r="BA95" s="850"/>
      <c r="BB95" s="850"/>
      <c r="BC95" s="850"/>
      <c r="BD95" s="850"/>
      <c r="BE95" s="850"/>
      <c r="BF95" s="850"/>
      <c r="BG95" s="850"/>
      <c r="BH95" s="790"/>
      <c r="BI95" s="69" t="s">
        <v>89</v>
      </c>
      <c r="BJ95" s="850">
        <f>SUM(BR74,BR77,BR80,BR83,BR86,BR89,BR92)</f>
        <v>0</v>
      </c>
      <c r="BK95" s="850"/>
      <c r="BL95" s="850"/>
      <c r="BM95" s="850"/>
      <c r="BN95" s="850"/>
      <c r="BO95" s="850"/>
      <c r="BP95" s="850"/>
      <c r="BQ95" s="850"/>
      <c r="BR95" s="790"/>
      <c r="BS95" s="69" t="s">
        <v>89</v>
      </c>
      <c r="BT95" s="850">
        <f>SUM(CB74,CB77,CB80,CB83,CB86,CB89,CB92)</f>
        <v>0</v>
      </c>
      <c r="BU95" s="850"/>
      <c r="BV95" s="850"/>
      <c r="BW95" s="850"/>
      <c r="BX95" s="850"/>
      <c r="BY95" s="850"/>
      <c r="BZ95" s="850"/>
      <c r="CA95" s="850"/>
      <c r="CB95" s="790"/>
      <c r="CC95" s="69" t="s">
        <v>89</v>
      </c>
      <c r="CD95" s="850">
        <f>SUM(CL74,CL77,CL80,CL83,CL86,CL89,CL92)</f>
        <v>0</v>
      </c>
      <c r="CE95" s="850"/>
      <c r="CF95" s="850"/>
      <c r="CG95" s="850"/>
      <c r="CH95" s="850"/>
      <c r="CI95" s="850"/>
      <c r="CJ95" s="850"/>
      <c r="CK95" s="850"/>
      <c r="CL95" s="790"/>
      <c r="CM95" s="125">
        <f>SUM(CD95,BT95,BJ95,AZ95,AP95,AF95,V95,L95,B95)</f>
        <v>0</v>
      </c>
    </row>
    <row r="96" spans="1:91" ht="16" thickBot="1" x14ac:dyDescent="0.25">
      <c r="A96" s="116" t="s">
        <v>212</v>
      </c>
      <c r="B96" s="848">
        <f>B94-B95</f>
        <v>0</v>
      </c>
      <c r="C96" s="848"/>
      <c r="D96" s="848"/>
      <c r="E96" s="848"/>
      <c r="F96" s="848"/>
      <c r="G96" s="848"/>
      <c r="H96" s="848"/>
      <c r="I96" s="848"/>
      <c r="J96" s="849"/>
      <c r="K96" s="116" t="s">
        <v>212</v>
      </c>
      <c r="L96" s="848">
        <f>L94-L95</f>
        <v>0</v>
      </c>
      <c r="M96" s="848"/>
      <c r="N96" s="848"/>
      <c r="O96" s="848"/>
      <c r="P96" s="848"/>
      <c r="Q96" s="848"/>
      <c r="R96" s="848"/>
      <c r="S96" s="848"/>
      <c r="T96" s="849"/>
      <c r="U96" s="116" t="s">
        <v>212</v>
      </c>
      <c r="V96" s="848">
        <f>V94-V95</f>
        <v>0</v>
      </c>
      <c r="W96" s="848"/>
      <c r="X96" s="848"/>
      <c r="Y96" s="848"/>
      <c r="Z96" s="848"/>
      <c r="AA96" s="848"/>
      <c r="AB96" s="848"/>
      <c r="AC96" s="848"/>
      <c r="AD96" s="849"/>
      <c r="AE96" s="116" t="s">
        <v>212</v>
      </c>
      <c r="AF96" s="848">
        <f>AF94-AF95</f>
        <v>0</v>
      </c>
      <c r="AG96" s="848"/>
      <c r="AH96" s="848"/>
      <c r="AI96" s="848"/>
      <c r="AJ96" s="848"/>
      <c r="AK96" s="848"/>
      <c r="AL96" s="848"/>
      <c r="AM96" s="848"/>
      <c r="AN96" s="849"/>
      <c r="AO96" s="116" t="s">
        <v>212</v>
      </c>
      <c r="AP96" s="848">
        <f>AP94-AP95</f>
        <v>0</v>
      </c>
      <c r="AQ96" s="848"/>
      <c r="AR96" s="848"/>
      <c r="AS96" s="848"/>
      <c r="AT96" s="848"/>
      <c r="AU96" s="848"/>
      <c r="AV96" s="848"/>
      <c r="AW96" s="848"/>
      <c r="AX96" s="849"/>
      <c r="AY96" s="116" t="s">
        <v>212</v>
      </c>
      <c r="AZ96" s="848">
        <f>AZ94-AZ95</f>
        <v>0</v>
      </c>
      <c r="BA96" s="848"/>
      <c r="BB96" s="848"/>
      <c r="BC96" s="848"/>
      <c r="BD96" s="848"/>
      <c r="BE96" s="848"/>
      <c r="BF96" s="848"/>
      <c r="BG96" s="848"/>
      <c r="BH96" s="849"/>
      <c r="BI96" s="116" t="s">
        <v>212</v>
      </c>
      <c r="BJ96" s="848">
        <f>BJ94-BJ95</f>
        <v>0</v>
      </c>
      <c r="BK96" s="848"/>
      <c r="BL96" s="848"/>
      <c r="BM96" s="848"/>
      <c r="BN96" s="848"/>
      <c r="BO96" s="848"/>
      <c r="BP96" s="848"/>
      <c r="BQ96" s="848"/>
      <c r="BR96" s="849"/>
      <c r="BS96" s="116" t="s">
        <v>212</v>
      </c>
      <c r="BT96" s="848">
        <f>BT94-BT95</f>
        <v>0</v>
      </c>
      <c r="BU96" s="848"/>
      <c r="BV96" s="848"/>
      <c r="BW96" s="848"/>
      <c r="BX96" s="848"/>
      <c r="BY96" s="848"/>
      <c r="BZ96" s="848"/>
      <c r="CA96" s="848"/>
      <c r="CB96" s="849"/>
      <c r="CC96" s="116" t="s">
        <v>212</v>
      </c>
      <c r="CD96" s="848">
        <f>CD94-CD95</f>
        <v>0</v>
      </c>
      <c r="CE96" s="848"/>
      <c r="CF96" s="848"/>
      <c r="CG96" s="848"/>
      <c r="CH96" s="848"/>
      <c r="CI96" s="848"/>
      <c r="CJ96" s="848"/>
      <c r="CK96" s="848"/>
      <c r="CL96" s="849"/>
      <c r="CM96" s="125">
        <f>SUM(B96,L96,V96,AF96,AP96,AZ96,BJ96,BT96,CD96)</f>
        <v>0</v>
      </c>
    </row>
    <row r="97" spans="3:17" ht="16" thickBot="1" x14ac:dyDescent="0.25"/>
    <row r="98" spans="3:17" ht="17" thickBot="1" x14ac:dyDescent="0.25">
      <c r="C98" s="17" t="s">
        <v>378</v>
      </c>
      <c r="D98" s="169" t="s">
        <v>83</v>
      </c>
      <c r="E98" s="854"/>
      <c r="F98" s="819"/>
      <c r="G98" s="819"/>
      <c r="H98" s="819"/>
      <c r="I98" s="855"/>
      <c r="J98" s="169" t="s">
        <v>76</v>
      </c>
      <c r="K98" s="856"/>
      <c r="L98" s="821"/>
      <c r="M98" s="821"/>
      <c r="N98" s="821"/>
      <c r="O98" s="822"/>
    </row>
    <row r="99" spans="3:17" ht="17" thickBot="1" x14ac:dyDescent="0.25">
      <c r="C99" s="18"/>
      <c r="D99" s="121" t="s">
        <v>122</v>
      </c>
      <c r="E99" s="122" t="s">
        <v>122</v>
      </c>
      <c r="F99" s="122" t="s">
        <v>104</v>
      </c>
      <c r="G99" s="122" t="s">
        <v>86</v>
      </c>
      <c r="H99" s="122" t="s">
        <v>88</v>
      </c>
      <c r="I99" s="122" t="s">
        <v>87</v>
      </c>
      <c r="J99" s="122" t="s">
        <v>85</v>
      </c>
      <c r="K99" s="122" t="s">
        <v>123</v>
      </c>
      <c r="L99" s="122" t="s">
        <v>124</v>
      </c>
      <c r="M99" s="122" t="s">
        <v>100</v>
      </c>
      <c r="N99" s="123" t="s">
        <v>213</v>
      </c>
      <c r="O99" s="124" t="s">
        <v>125</v>
      </c>
    </row>
    <row r="100" spans="3:17" ht="16" thickBot="1" x14ac:dyDescent="0.25">
      <c r="C100" s="117" t="s">
        <v>77</v>
      </c>
      <c r="D100" s="19" t="s">
        <v>126</v>
      </c>
      <c r="E100" s="20" t="s">
        <v>127</v>
      </c>
      <c r="F100" s="21"/>
      <c r="G100" s="21"/>
      <c r="H100" s="21"/>
      <c r="I100" s="21"/>
      <c r="J100" s="21"/>
      <c r="K100" s="21"/>
      <c r="L100" s="21"/>
      <c r="M100" s="21"/>
      <c r="N100" s="22"/>
      <c r="O100" s="23"/>
    </row>
    <row r="101" spans="3:17" ht="16" x14ac:dyDescent="0.2">
      <c r="C101" s="118">
        <v>1</v>
      </c>
      <c r="D101" s="24"/>
      <c r="E101" s="25"/>
      <c r="F101" s="26"/>
      <c r="G101" s="26"/>
      <c r="H101" s="26"/>
      <c r="I101" s="26"/>
      <c r="J101" s="26"/>
      <c r="K101" s="26"/>
      <c r="L101" s="26"/>
      <c r="M101" s="26"/>
      <c r="N101" s="27"/>
      <c r="O101" s="28"/>
    </row>
    <row r="102" spans="3:17" ht="16" x14ac:dyDescent="0.2">
      <c r="C102" s="119">
        <v>2</v>
      </c>
      <c r="D102" s="24"/>
      <c r="E102" s="25"/>
      <c r="F102" s="26"/>
      <c r="G102" s="26"/>
      <c r="H102" s="26"/>
      <c r="I102" s="26"/>
      <c r="J102" s="26"/>
      <c r="K102" s="26"/>
      <c r="L102" s="26"/>
      <c r="M102" s="26"/>
      <c r="N102" s="27"/>
      <c r="O102" s="28"/>
      <c r="Q102" t="s">
        <v>398</v>
      </c>
    </row>
    <row r="103" spans="3:17" ht="16" x14ac:dyDescent="0.2">
      <c r="C103" s="119">
        <v>3</v>
      </c>
      <c r="D103" s="24"/>
      <c r="E103" s="25"/>
      <c r="F103" s="26"/>
      <c r="G103" s="26"/>
      <c r="H103" s="26"/>
      <c r="I103" s="26"/>
      <c r="J103" s="26"/>
      <c r="K103" s="26"/>
      <c r="L103" s="29"/>
      <c r="M103" s="26"/>
      <c r="N103" s="27"/>
      <c r="O103" s="28"/>
    </row>
    <row r="104" spans="3:17" ht="16" x14ac:dyDescent="0.2">
      <c r="C104" s="119">
        <v>4</v>
      </c>
      <c r="D104" s="24"/>
      <c r="E104" s="25"/>
      <c r="F104" s="26"/>
      <c r="G104" s="26"/>
      <c r="H104" s="26"/>
      <c r="I104" s="26"/>
      <c r="J104" s="26"/>
      <c r="K104" s="27"/>
      <c r="L104" s="30"/>
      <c r="M104" s="31"/>
      <c r="N104" s="27"/>
      <c r="O104" s="28"/>
    </row>
    <row r="105" spans="3:17" ht="16" x14ac:dyDescent="0.2">
      <c r="C105" s="119">
        <v>5</v>
      </c>
      <c r="D105" s="24"/>
      <c r="E105" s="25"/>
      <c r="F105" s="26"/>
      <c r="G105" s="26"/>
      <c r="H105" s="26"/>
      <c r="I105" s="26"/>
      <c r="J105" s="26"/>
      <c r="K105" s="26"/>
      <c r="L105" s="32"/>
      <c r="M105" s="26"/>
      <c r="N105" s="27"/>
      <c r="O105" s="28"/>
    </row>
    <row r="106" spans="3:17" ht="16" x14ac:dyDescent="0.2">
      <c r="C106" s="119">
        <v>6</v>
      </c>
      <c r="D106" s="24"/>
      <c r="E106" s="25"/>
      <c r="F106" s="26"/>
      <c r="G106" s="26"/>
      <c r="H106" s="26"/>
      <c r="I106" s="26"/>
      <c r="J106" s="26"/>
      <c r="K106" s="26"/>
      <c r="L106" s="32"/>
      <c r="M106" s="26"/>
      <c r="N106" s="27"/>
      <c r="O106" s="28"/>
    </row>
    <row r="107" spans="3:17" ht="16" x14ac:dyDescent="0.2">
      <c r="C107" s="119">
        <v>7</v>
      </c>
      <c r="D107" s="24"/>
      <c r="E107" s="25"/>
      <c r="F107" s="26"/>
      <c r="G107" s="26"/>
      <c r="H107" s="26"/>
      <c r="I107" s="26"/>
      <c r="J107" s="26"/>
      <c r="K107" s="26"/>
      <c r="L107" s="32"/>
      <c r="M107" s="26"/>
      <c r="N107" s="27"/>
      <c r="O107" s="28"/>
    </row>
    <row r="108" spans="3:17" ht="16" x14ac:dyDescent="0.2">
      <c r="C108" s="119">
        <v>8</v>
      </c>
      <c r="D108" s="24"/>
      <c r="E108" s="25"/>
      <c r="F108" s="26"/>
      <c r="G108" s="26"/>
      <c r="H108" s="26"/>
      <c r="I108" s="26"/>
      <c r="J108" s="26"/>
      <c r="K108" s="26"/>
      <c r="L108" s="26"/>
      <c r="M108" s="26"/>
      <c r="N108" s="27"/>
      <c r="O108" s="28"/>
    </row>
    <row r="109" spans="3:17" ht="16" x14ac:dyDescent="0.2">
      <c r="C109" s="119">
        <v>9</v>
      </c>
      <c r="D109" s="24"/>
      <c r="E109" s="25"/>
      <c r="F109" s="26"/>
      <c r="G109" s="26"/>
      <c r="H109" s="26"/>
      <c r="I109" s="26"/>
      <c r="J109" s="26"/>
      <c r="K109" s="26"/>
      <c r="L109" s="26"/>
      <c r="M109" s="26"/>
      <c r="N109" s="27"/>
      <c r="O109" s="28"/>
    </row>
    <row r="110" spans="3:17" ht="16" x14ac:dyDescent="0.2">
      <c r="C110" s="119">
        <v>10</v>
      </c>
      <c r="D110" s="24"/>
      <c r="E110" s="25"/>
      <c r="F110" s="26"/>
      <c r="G110" s="26"/>
      <c r="H110" s="26"/>
      <c r="I110" s="33"/>
      <c r="J110" s="26"/>
      <c r="K110" s="26"/>
      <c r="L110" s="26"/>
      <c r="M110" s="26"/>
      <c r="N110" s="27"/>
      <c r="O110" s="28"/>
    </row>
    <row r="111" spans="3:17" ht="16" x14ac:dyDescent="0.2">
      <c r="C111" s="119">
        <v>11</v>
      </c>
      <c r="D111" s="24"/>
      <c r="E111" s="25"/>
      <c r="F111" s="26"/>
      <c r="G111" s="26"/>
      <c r="H111" s="26"/>
      <c r="I111" s="26"/>
      <c r="J111" s="26"/>
      <c r="K111" s="26"/>
      <c r="L111" s="26"/>
      <c r="M111" s="26"/>
      <c r="N111" s="27"/>
      <c r="O111" s="28"/>
    </row>
    <row r="112" spans="3:17" ht="16" x14ac:dyDescent="0.2">
      <c r="C112" s="119">
        <v>12</v>
      </c>
      <c r="D112" s="24"/>
      <c r="E112" s="25"/>
      <c r="F112" s="26"/>
      <c r="G112" s="26"/>
      <c r="H112" s="26"/>
      <c r="I112" s="26"/>
      <c r="J112" s="26"/>
      <c r="K112" s="26"/>
      <c r="L112" s="26"/>
      <c r="M112" s="26"/>
      <c r="N112" s="27"/>
      <c r="O112" s="28"/>
    </row>
    <row r="113" spans="3:15" ht="16" x14ac:dyDescent="0.2">
      <c r="C113" s="119">
        <v>13</v>
      </c>
      <c r="D113" s="24"/>
      <c r="E113" s="25"/>
      <c r="F113" s="26"/>
      <c r="G113" s="26"/>
      <c r="H113" s="26"/>
      <c r="I113" s="26"/>
      <c r="J113" s="26"/>
      <c r="K113" s="26"/>
      <c r="L113" s="26"/>
      <c r="M113" s="26"/>
      <c r="N113" s="27"/>
      <c r="O113" s="28"/>
    </row>
    <row r="114" spans="3:15" ht="16" x14ac:dyDescent="0.2">
      <c r="C114" s="119">
        <v>14</v>
      </c>
      <c r="D114" s="24"/>
      <c r="E114" s="25"/>
      <c r="F114" s="26"/>
      <c r="G114" s="26"/>
      <c r="H114" s="26"/>
      <c r="I114" s="26"/>
      <c r="J114" s="26"/>
      <c r="K114" s="26"/>
      <c r="L114" s="26"/>
      <c r="M114" s="26"/>
      <c r="N114" s="27"/>
      <c r="O114" s="28"/>
    </row>
    <row r="115" spans="3:15" ht="16" x14ac:dyDescent="0.2">
      <c r="C115" s="119">
        <v>15</v>
      </c>
      <c r="D115" s="24"/>
      <c r="E115" s="25"/>
      <c r="F115" s="26"/>
      <c r="G115" s="26"/>
      <c r="H115" s="26"/>
      <c r="I115" s="26"/>
      <c r="J115" s="26"/>
      <c r="K115" s="26"/>
      <c r="L115" s="26"/>
      <c r="M115" s="26"/>
      <c r="N115" s="27"/>
      <c r="O115" s="28"/>
    </row>
    <row r="116" spans="3:15" ht="16" x14ac:dyDescent="0.2">
      <c r="C116" s="119">
        <v>16</v>
      </c>
      <c r="D116" s="24"/>
      <c r="E116" s="25"/>
      <c r="F116" s="29"/>
      <c r="G116" s="33"/>
      <c r="H116" s="29"/>
      <c r="I116" s="26"/>
      <c r="J116" s="26"/>
      <c r="K116" s="26"/>
      <c r="L116" s="26"/>
      <c r="M116" s="26"/>
      <c r="N116" s="27"/>
      <c r="O116" s="28"/>
    </row>
    <row r="117" spans="3:15" ht="16" x14ac:dyDescent="0.2">
      <c r="C117" s="119">
        <v>17</v>
      </c>
      <c r="D117" s="24"/>
      <c r="E117" s="25"/>
      <c r="F117" s="168"/>
      <c r="G117" s="168"/>
      <c r="H117" s="168"/>
      <c r="I117" s="26"/>
      <c r="J117" s="26"/>
      <c r="K117" s="26"/>
      <c r="L117" s="26"/>
      <c r="M117" s="26"/>
      <c r="N117" s="27"/>
      <c r="O117" s="28"/>
    </row>
    <row r="118" spans="3:15" ht="16" x14ac:dyDescent="0.2">
      <c r="C118" s="119">
        <v>18</v>
      </c>
      <c r="D118" s="24"/>
      <c r="E118" s="25"/>
      <c r="F118" s="26"/>
      <c r="G118" s="26"/>
      <c r="H118" s="26"/>
      <c r="I118" s="26"/>
      <c r="J118" s="26"/>
      <c r="K118" s="26"/>
      <c r="L118" s="34"/>
      <c r="M118" s="26"/>
      <c r="N118" s="27"/>
      <c r="O118" s="28"/>
    </row>
    <row r="119" spans="3:15" ht="16" x14ac:dyDescent="0.2">
      <c r="C119" s="119">
        <v>19</v>
      </c>
      <c r="D119" s="24"/>
      <c r="E119" s="25"/>
      <c r="F119" s="26"/>
      <c r="G119" s="26"/>
      <c r="H119" s="26"/>
      <c r="I119" s="26"/>
      <c r="J119" s="26"/>
      <c r="K119" s="26"/>
      <c r="L119" s="34"/>
      <c r="M119" s="26"/>
      <c r="N119" s="27"/>
      <c r="O119" s="28"/>
    </row>
    <row r="120" spans="3:15" ht="16" x14ac:dyDescent="0.2">
      <c r="C120" s="119">
        <v>20</v>
      </c>
      <c r="D120" s="24"/>
      <c r="E120" s="25"/>
      <c r="F120" s="26"/>
      <c r="G120" s="26"/>
      <c r="H120" s="26"/>
      <c r="I120" s="26"/>
      <c r="J120" s="26"/>
      <c r="K120" s="26"/>
      <c r="L120" s="26"/>
      <c r="M120" s="26"/>
      <c r="N120" s="27"/>
      <c r="O120" s="28"/>
    </row>
    <row r="121" spans="3:15" ht="16" x14ac:dyDescent="0.2">
      <c r="C121" s="119">
        <v>21</v>
      </c>
      <c r="D121" s="24"/>
      <c r="E121" s="25"/>
      <c r="F121" s="26"/>
      <c r="G121" s="26"/>
      <c r="H121" s="26"/>
      <c r="I121" s="26"/>
      <c r="J121" s="26"/>
      <c r="K121" s="26"/>
      <c r="L121" s="26"/>
      <c r="M121" s="26"/>
      <c r="N121" s="27"/>
      <c r="O121" s="28"/>
    </row>
    <row r="122" spans="3:15" ht="16" x14ac:dyDescent="0.2">
      <c r="C122" s="119">
        <v>22</v>
      </c>
      <c r="D122" s="24"/>
      <c r="E122" s="25"/>
      <c r="F122" s="26"/>
      <c r="G122" s="26"/>
      <c r="H122" s="26"/>
      <c r="I122" s="26"/>
      <c r="J122" s="26"/>
      <c r="K122" s="26"/>
      <c r="L122" s="26"/>
      <c r="M122" s="26"/>
      <c r="N122" s="27"/>
      <c r="O122" s="28"/>
    </row>
    <row r="123" spans="3:15" ht="16" x14ac:dyDescent="0.2">
      <c r="C123" s="119">
        <v>23</v>
      </c>
      <c r="D123" s="24"/>
      <c r="E123" s="25"/>
      <c r="F123" s="26"/>
      <c r="G123" s="26"/>
      <c r="H123" s="26"/>
      <c r="I123" s="26"/>
      <c r="J123" s="26"/>
      <c r="K123" s="26"/>
      <c r="L123" s="26"/>
      <c r="M123" s="26"/>
      <c r="N123" s="27"/>
      <c r="O123" s="28"/>
    </row>
    <row r="124" spans="3:15" ht="16" x14ac:dyDescent="0.2">
      <c r="C124" s="119">
        <v>24</v>
      </c>
      <c r="D124" s="24"/>
      <c r="E124" s="25"/>
      <c r="F124" s="26"/>
      <c r="G124" s="26"/>
      <c r="H124" s="26"/>
      <c r="I124" s="26"/>
      <c r="J124" s="26"/>
      <c r="K124" s="26"/>
      <c r="L124" s="26"/>
      <c r="M124" s="26"/>
      <c r="N124" s="27"/>
      <c r="O124" s="28"/>
    </row>
    <row r="125" spans="3:15" ht="16" x14ac:dyDescent="0.2">
      <c r="C125" s="119">
        <v>25</v>
      </c>
      <c r="D125" s="24"/>
      <c r="E125" s="25"/>
      <c r="F125" s="26"/>
      <c r="G125" s="26"/>
      <c r="H125" s="26"/>
      <c r="I125" s="26"/>
      <c r="J125" s="26"/>
      <c r="K125" s="26"/>
      <c r="L125" s="26"/>
      <c r="M125" s="26"/>
      <c r="N125" s="27"/>
      <c r="O125" s="28"/>
    </row>
    <row r="126" spans="3:15" ht="16" x14ac:dyDescent="0.2">
      <c r="C126" s="119">
        <v>26</v>
      </c>
      <c r="D126" s="24"/>
      <c r="E126" s="25"/>
      <c r="F126" s="26"/>
      <c r="G126" s="26"/>
      <c r="H126" s="26"/>
      <c r="I126" s="26"/>
      <c r="J126" s="26"/>
      <c r="K126" s="26"/>
      <c r="L126" s="26"/>
      <c r="M126" s="26"/>
      <c r="N126" s="27"/>
      <c r="O126" s="28"/>
    </row>
    <row r="127" spans="3:15" ht="16" x14ac:dyDescent="0.2">
      <c r="C127" s="119">
        <v>27</v>
      </c>
      <c r="D127" s="24"/>
      <c r="E127" s="25"/>
      <c r="F127" s="26"/>
      <c r="G127" s="26"/>
      <c r="H127" s="26"/>
      <c r="I127" s="26"/>
      <c r="J127" s="26"/>
      <c r="K127" s="26"/>
      <c r="L127" s="26"/>
      <c r="M127" s="26"/>
      <c r="N127" s="27"/>
      <c r="O127" s="28"/>
    </row>
    <row r="128" spans="3:15" ht="16" x14ac:dyDescent="0.2">
      <c r="C128" s="120">
        <v>28</v>
      </c>
      <c r="D128" s="35"/>
      <c r="E128" s="36"/>
      <c r="F128" s="29"/>
      <c r="G128" s="29"/>
      <c r="H128" s="29"/>
      <c r="I128" s="29"/>
      <c r="J128" s="29"/>
      <c r="K128" s="29"/>
      <c r="L128" s="29"/>
      <c r="M128" s="29"/>
      <c r="N128" s="37"/>
      <c r="O128" s="28"/>
    </row>
    <row r="129" spans="3:15" ht="16" x14ac:dyDescent="0.2">
      <c r="C129" s="120">
        <v>29</v>
      </c>
      <c r="D129" s="35"/>
      <c r="E129" s="36"/>
      <c r="F129" s="29"/>
      <c r="G129" s="29"/>
      <c r="H129" s="29"/>
      <c r="I129" s="29"/>
      <c r="J129" s="29"/>
      <c r="K129" s="29"/>
      <c r="L129" s="29"/>
      <c r="M129" s="29"/>
      <c r="N129" s="37"/>
      <c r="O129" s="28"/>
    </row>
    <row r="130" spans="3:15" ht="17" thickBot="1" x14ac:dyDescent="0.25">
      <c r="C130" s="120">
        <v>30</v>
      </c>
      <c r="D130" s="35"/>
      <c r="E130" s="36"/>
      <c r="F130" s="29"/>
      <c r="G130" s="29"/>
      <c r="H130" s="29"/>
      <c r="I130" s="29"/>
      <c r="J130" s="29"/>
      <c r="K130" s="29"/>
      <c r="L130" s="29"/>
      <c r="M130" s="29"/>
      <c r="N130" s="37"/>
      <c r="O130" s="28"/>
    </row>
    <row r="131" spans="3:15" ht="17" thickBot="1" x14ac:dyDescent="0.25">
      <c r="C131" s="825" t="s">
        <v>19</v>
      </c>
      <c r="D131" s="857"/>
      <c r="E131" s="38"/>
      <c r="F131" s="39"/>
      <c r="G131" s="39"/>
      <c r="H131" s="40"/>
      <c r="I131" s="39"/>
      <c r="J131" s="39"/>
      <c r="K131" s="39"/>
      <c r="L131" s="39"/>
      <c r="M131" s="39"/>
      <c r="N131" s="40"/>
      <c r="O131" s="41"/>
    </row>
    <row r="132" spans="3:15" ht="17" thickBot="1" x14ac:dyDescent="0.25">
      <c r="C132" s="825" t="s">
        <v>91</v>
      </c>
      <c r="D132" s="858"/>
      <c r="E132" s="15"/>
    </row>
  </sheetData>
  <mergeCells count="188">
    <mergeCell ref="E98:I98"/>
    <mergeCell ref="K98:O98"/>
    <mergeCell ref="C131:D131"/>
    <mergeCell ref="C132:D132"/>
    <mergeCell ref="AE42:AN42"/>
    <mergeCell ref="A7:A10"/>
    <mergeCell ref="C2:C5"/>
    <mergeCell ref="A3:A5"/>
    <mergeCell ref="B3:B5"/>
    <mergeCell ref="K43:K44"/>
    <mergeCell ref="L43:L44"/>
    <mergeCell ref="K42:T42"/>
    <mergeCell ref="U42:AD42"/>
    <mergeCell ref="AF43:AF44"/>
    <mergeCell ref="AG43:AN43"/>
    <mergeCell ref="C47:J47"/>
    <mergeCell ref="M47:T47"/>
    <mergeCell ref="W47:AD47"/>
    <mergeCell ref="AG47:AN47"/>
    <mergeCell ref="M43:T43"/>
    <mergeCell ref="U43:U44"/>
    <mergeCell ref="V43:V44"/>
    <mergeCell ref="W43:AD43"/>
    <mergeCell ref="AE43:AE44"/>
    <mergeCell ref="C56:J56"/>
    <mergeCell ref="M56:T56"/>
    <mergeCell ref="W56:AD56"/>
    <mergeCell ref="AG56:AN56"/>
    <mergeCell ref="C59:J59"/>
    <mergeCell ref="M59:T59"/>
    <mergeCell ref="W59:AD59"/>
    <mergeCell ref="AG59:AN59"/>
    <mergeCell ref="C50:J50"/>
    <mergeCell ref="M50:T50"/>
    <mergeCell ref="W50:AD50"/>
    <mergeCell ref="AG50:AN50"/>
    <mergeCell ref="C53:J53"/>
    <mergeCell ref="M53:T53"/>
    <mergeCell ref="W53:AD53"/>
    <mergeCell ref="AG53:AN53"/>
    <mergeCell ref="B66:J66"/>
    <mergeCell ref="L66:T66"/>
    <mergeCell ref="V66:AD66"/>
    <mergeCell ref="AF66:AN66"/>
    <mergeCell ref="B67:J67"/>
    <mergeCell ref="L67:T67"/>
    <mergeCell ref="V67:AD67"/>
    <mergeCell ref="AF67:AN67"/>
    <mergeCell ref="C62:J62"/>
    <mergeCell ref="M62:T62"/>
    <mergeCell ref="W62:AD62"/>
    <mergeCell ref="AG62:AN62"/>
    <mergeCell ref="C65:J65"/>
    <mergeCell ref="M65:T65"/>
    <mergeCell ref="W65:AD65"/>
    <mergeCell ref="AG65:AN65"/>
    <mergeCell ref="AO70:AX70"/>
    <mergeCell ref="AY70:BH70"/>
    <mergeCell ref="BI70:BR70"/>
    <mergeCell ref="BS70:CB70"/>
    <mergeCell ref="CC70:CL70"/>
    <mergeCell ref="B68:J68"/>
    <mergeCell ref="L68:T68"/>
    <mergeCell ref="V68:AD68"/>
    <mergeCell ref="AF68:AN68"/>
    <mergeCell ref="A70:J70"/>
    <mergeCell ref="K70:T70"/>
    <mergeCell ref="U70:AD70"/>
    <mergeCell ref="AE70:AN70"/>
    <mergeCell ref="AP71:AP72"/>
    <mergeCell ref="AQ71:AX71"/>
    <mergeCell ref="M71:T71"/>
    <mergeCell ref="U71:U72"/>
    <mergeCell ref="V71:V72"/>
    <mergeCell ref="W71:AD71"/>
    <mergeCell ref="AE71:AE72"/>
    <mergeCell ref="A71:A72"/>
    <mergeCell ref="B71:B72"/>
    <mergeCell ref="C71:J71"/>
    <mergeCell ref="K71:K72"/>
    <mergeCell ref="L71:L72"/>
    <mergeCell ref="CD71:CD72"/>
    <mergeCell ref="CE71:CL71"/>
    <mergeCell ref="C75:J75"/>
    <mergeCell ref="M75:T75"/>
    <mergeCell ref="W75:AD75"/>
    <mergeCell ref="AG75:AN75"/>
    <mergeCell ref="AQ75:AX75"/>
    <mergeCell ref="BA75:BH75"/>
    <mergeCell ref="BK75:BR75"/>
    <mergeCell ref="BU75:CB75"/>
    <mergeCell ref="CE75:CL75"/>
    <mergeCell ref="BK71:BR71"/>
    <mergeCell ref="BS71:BS72"/>
    <mergeCell ref="BT71:BT72"/>
    <mergeCell ref="BU71:CB71"/>
    <mergeCell ref="CC71:CC72"/>
    <mergeCell ref="AY71:AY72"/>
    <mergeCell ref="AZ71:AZ72"/>
    <mergeCell ref="BA71:BH71"/>
    <mergeCell ref="BI71:BI72"/>
    <mergeCell ref="BJ71:BJ72"/>
    <mergeCell ref="AF71:AF72"/>
    <mergeCell ref="AG71:AN71"/>
    <mergeCell ref="AO71:AO72"/>
    <mergeCell ref="BA78:BH78"/>
    <mergeCell ref="BK78:BR78"/>
    <mergeCell ref="BU78:CB78"/>
    <mergeCell ref="CE78:CL78"/>
    <mergeCell ref="C81:J81"/>
    <mergeCell ref="M81:T81"/>
    <mergeCell ref="W81:AD81"/>
    <mergeCell ref="AG81:AN81"/>
    <mergeCell ref="AQ81:AX81"/>
    <mergeCell ref="BA81:BH81"/>
    <mergeCell ref="BK81:BR81"/>
    <mergeCell ref="BU81:CB81"/>
    <mergeCell ref="CE81:CL81"/>
    <mergeCell ref="C78:J78"/>
    <mergeCell ref="M78:T78"/>
    <mergeCell ref="W78:AD78"/>
    <mergeCell ref="AG78:AN78"/>
    <mergeCell ref="AQ78:AX78"/>
    <mergeCell ref="BA84:BH84"/>
    <mergeCell ref="BK84:BR84"/>
    <mergeCell ref="BU84:CB84"/>
    <mergeCell ref="CE84:CL84"/>
    <mergeCell ref="C87:J87"/>
    <mergeCell ref="M87:T87"/>
    <mergeCell ref="W87:AD87"/>
    <mergeCell ref="AG87:AN87"/>
    <mergeCell ref="AQ87:AX87"/>
    <mergeCell ref="BA87:BH87"/>
    <mergeCell ref="BK87:BR87"/>
    <mergeCell ref="BU87:CB87"/>
    <mergeCell ref="CE87:CL87"/>
    <mergeCell ref="C84:J84"/>
    <mergeCell ref="M84:T84"/>
    <mergeCell ref="W84:AD84"/>
    <mergeCell ref="AG84:AN84"/>
    <mergeCell ref="AQ84:AX84"/>
    <mergeCell ref="B94:J94"/>
    <mergeCell ref="L94:T94"/>
    <mergeCell ref="V94:AD94"/>
    <mergeCell ref="AF94:AN94"/>
    <mergeCell ref="AP94:AX94"/>
    <mergeCell ref="BA90:BH90"/>
    <mergeCell ref="BK90:BR90"/>
    <mergeCell ref="BU90:CB90"/>
    <mergeCell ref="CE90:CL90"/>
    <mergeCell ref="C93:J93"/>
    <mergeCell ref="M93:T93"/>
    <mergeCell ref="W93:AD93"/>
    <mergeCell ref="AG93:AN93"/>
    <mergeCell ref="AQ93:AX93"/>
    <mergeCell ref="BA93:BH93"/>
    <mergeCell ref="BK93:BR93"/>
    <mergeCell ref="BU93:CB93"/>
    <mergeCell ref="CE93:CL93"/>
    <mergeCell ref="C90:J90"/>
    <mergeCell ref="M90:T90"/>
    <mergeCell ref="W90:AD90"/>
    <mergeCell ref="AG90:AN90"/>
    <mergeCell ref="AQ90:AX90"/>
    <mergeCell ref="F2:I2"/>
    <mergeCell ref="G3:I5"/>
    <mergeCell ref="AZ96:BH96"/>
    <mergeCell ref="BJ96:BR96"/>
    <mergeCell ref="BT96:CB96"/>
    <mergeCell ref="CD96:CL96"/>
    <mergeCell ref="B96:J96"/>
    <mergeCell ref="L96:T96"/>
    <mergeCell ref="V96:AD96"/>
    <mergeCell ref="AF96:AN96"/>
    <mergeCell ref="AP96:AX96"/>
    <mergeCell ref="AZ94:BH94"/>
    <mergeCell ref="BJ94:BR94"/>
    <mergeCell ref="BT94:CB94"/>
    <mergeCell ref="CD94:CL94"/>
    <mergeCell ref="B95:J95"/>
    <mergeCell ref="L95:T95"/>
    <mergeCell ref="V95:AD95"/>
    <mergeCell ref="AF95:AN95"/>
    <mergeCell ref="AP95:AX95"/>
    <mergeCell ref="AZ95:BH95"/>
    <mergeCell ref="BJ95:BR95"/>
    <mergeCell ref="BT95:CB95"/>
    <mergeCell ref="CD95:CL95"/>
  </mergeCells>
  <pageMargins left="0.7" right="0.7" top="0.75" bottom="0.75" header="0.3" footer="0.3"/>
  <pageSetup paperSize="9" scale="8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E27"/>
  <sheetViews>
    <sheetView topLeftCell="E1" workbookViewId="0">
      <selection activeCell="AC15" sqref="AC15"/>
    </sheetView>
  </sheetViews>
  <sheetFormatPr baseColWidth="10" defaultColWidth="8.83203125" defaultRowHeight="15" x14ac:dyDescent="0.2"/>
  <cols>
    <col min="2" max="2" width="31" bestFit="1" customWidth="1"/>
    <col min="3" max="3" width="6" customWidth="1"/>
    <col min="4" max="4" width="5" customWidth="1"/>
    <col min="5" max="5" width="4.5" customWidth="1"/>
    <col min="6" max="6" width="6" bestFit="1" customWidth="1"/>
    <col min="7" max="7" width="5" bestFit="1" customWidth="1"/>
    <col min="8" max="8" width="4.5" customWidth="1"/>
    <col min="9" max="9" width="6" customWidth="1"/>
    <col min="10" max="10" width="5" bestFit="1" customWidth="1"/>
    <col min="11" max="11" width="4.5" customWidth="1"/>
    <col min="12" max="13" width="6" bestFit="1" customWidth="1"/>
    <col min="14" max="14" width="5" bestFit="1" customWidth="1"/>
    <col min="15" max="15" width="6" bestFit="1" customWidth="1"/>
    <col min="16" max="16" width="5" bestFit="1" customWidth="1"/>
    <col min="17" max="17" width="4.5" bestFit="1" customWidth="1"/>
    <col min="18" max="18" width="5.5" customWidth="1"/>
    <col min="19" max="19" width="4.6640625" customWidth="1"/>
    <col min="20" max="21" width="4.5" customWidth="1"/>
    <col min="22" max="22" width="3.6640625" customWidth="1"/>
    <col min="23" max="23" width="5.83203125" customWidth="1"/>
    <col min="24" max="26" width="4.5" customWidth="1"/>
    <col min="27" max="27" width="3.6640625" customWidth="1"/>
    <col min="29" max="29" width="12.6640625" bestFit="1" customWidth="1"/>
    <col min="30" max="30" width="10" bestFit="1" customWidth="1"/>
  </cols>
  <sheetData>
    <row r="1" spans="2:31" ht="16" thickBot="1" x14ac:dyDescent="0.25">
      <c r="AD1" s="125" t="s">
        <v>268</v>
      </c>
      <c r="AE1" s="125" t="s">
        <v>84</v>
      </c>
    </row>
    <row r="2" spans="2:31" ht="16" thickBot="1" x14ac:dyDescent="0.25">
      <c r="B2" s="125"/>
      <c r="C2" s="859" t="s">
        <v>20</v>
      </c>
      <c r="D2" s="859"/>
      <c r="E2" s="859"/>
      <c r="F2" s="859" t="s">
        <v>90</v>
      </c>
      <c r="G2" s="859"/>
      <c r="H2" s="859"/>
      <c r="I2" s="859" t="s">
        <v>22</v>
      </c>
      <c r="J2" s="859"/>
      <c r="K2" s="859"/>
      <c r="L2" s="859" t="s">
        <v>23</v>
      </c>
      <c r="M2" s="859"/>
      <c r="N2" s="859"/>
      <c r="O2" s="859" t="s">
        <v>24</v>
      </c>
      <c r="P2" s="859"/>
      <c r="Q2" s="859"/>
      <c r="AC2" s="125" t="s">
        <v>3</v>
      </c>
      <c r="AD2" s="205">
        <v>1</v>
      </c>
      <c r="AE2" s="125">
        <f>AD2*1500</f>
        <v>1500</v>
      </c>
    </row>
    <row r="3" spans="2:31" ht="16" thickBot="1" x14ac:dyDescent="0.25">
      <c r="B3" s="195"/>
      <c r="C3" s="195" t="s">
        <v>78</v>
      </c>
      <c r="D3" s="195" t="s">
        <v>79</v>
      </c>
      <c r="E3" s="195" t="s">
        <v>316</v>
      </c>
      <c r="F3" s="195" t="s">
        <v>78</v>
      </c>
      <c r="G3" s="195" t="s">
        <v>79</v>
      </c>
      <c r="H3" s="195" t="s">
        <v>316</v>
      </c>
      <c r="I3" s="195" t="s">
        <v>78</v>
      </c>
      <c r="J3" s="195" t="s">
        <v>79</v>
      </c>
      <c r="K3" s="195" t="s">
        <v>316</v>
      </c>
      <c r="L3" s="195" t="s">
        <v>78</v>
      </c>
      <c r="M3" s="195" t="s">
        <v>79</v>
      </c>
      <c r="N3" s="195" t="s">
        <v>316</v>
      </c>
      <c r="O3" s="195" t="s">
        <v>78</v>
      </c>
      <c r="P3" s="195" t="s">
        <v>79</v>
      </c>
      <c r="Q3" s="195" t="s">
        <v>316</v>
      </c>
      <c r="AC3" s="125" t="s">
        <v>414</v>
      </c>
      <c r="AD3" s="125">
        <v>8</v>
      </c>
      <c r="AE3" s="125">
        <f>AD3*140</f>
        <v>1120</v>
      </c>
    </row>
    <row r="4" spans="2:31" ht="16" thickBot="1" x14ac:dyDescent="0.25">
      <c r="B4" s="125" t="s">
        <v>115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AC4" s="125" t="s">
        <v>431</v>
      </c>
      <c r="AD4" s="125">
        <v>5</v>
      </c>
      <c r="AE4" s="125">
        <f>AD4*43</f>
        <v>215</v>
      </c>
    </row>
    <row r="5" spans="2:31" ht="16" thickBot="1" x14ac:dyDescent="0.25">
      <c r="B5" s="125" t="s">
        <v>393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AC5" s="125" t="s">
        <v>419</v>
      </c>
      <c r="AD5" s="125"/>
      <c r="AE5" s="125">
        <f>AD5*10</f>
        <v>0</v>
      </c>
    </row>
    <row r="6" spans="2:31" ht="16" thickBot="1" x14ac:dyDescent="0.25">
      <c r="B6" s="125" t="s">
        <v>216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AC6" s="125" t="s">
        <v>432</v>
      </c>
      <c r="AD6" s="125">
        <v>2</v>
      </c>
      <c r="AE6" s="125">
        <f>AD6*182</f>
        <v>364</v>
      </c>
    </row>
    <row r="7" spans="2:31" ht="16" thickBot="1" x14ac:dyDescent="0.25">
      <c r="B7" s="125" t="s">
        <v>110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AC7" s="125" t="s">
        <v>433</v>
      </c>
      <c r="AD7" s="125">
        <v>2</v>
      </c>
      <c r="AE7" s="125">
        <f>AD7*205</f>
        <v>410</v>
      </c>
    </row>
    <row r="8" spans="2:31" ht="16" thickBot="1" x14ac:dyDescent="0.25">
      <c r="B8" s="125" t="s">
        <v>276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AC8" s="125" t="s">
        <v>338</v>
      </c>
      <c r="AD8" s="125">
        <v>8</v>
      </c>
      <c r="AE8" s="125">
        <f>AD8*145</f>
        <v>1160</v>
      </c>
    </row>
    <row r="9" spans="2:31" ht="16" thickBot="1" x14ac:dyDescent="0.25">
      <c r="B9" s="125" t="s">
        <v>71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AC9" s="125" t="s">
        <v>434</v>
      </c>
      <c r="AD9" s="125">
        <v>1</v>
      </c>
      <c r="AE9" s="125">
        <f>AD9*75</f>
        <v>75</v>
      </c>
    </row>
    <row r="10" spans="2:31" ht="16" thickBot="1" x14ac:dyDescent="0.25">
      <c r="B10" s="125" t="s">
        <v>428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AC10" s="125" t="s">
        <v>374</v>
      </c>
      <c r="AD10" s="125">
        <v>4</v>
      </c>
      <c r="AE10" s="125">
        <f>AD10*99</f>
        <v>396</v>
      </c>
    </row>
    <row r="11" spans="2:31" ht="16" thickBot="1" x14ac:dyDescent="0.25">
      <c r="B11" s="125" t="s">
        <v>218</v>
      </c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AC11" s="125" t="s">
        <v>337</v>
      </c>
      <c r="AD11" s="125">
        <v>1</v>
      </c>
      <c r="AE11" s="125">
        <f>AD11*27</f>
        <v>27</v>
      </c>
    </row>
    <row r="12" spans="2:31" ht="16" thickBot="1" x14ac:dyDescent="0.25">
      <c r="B12" s="125" t="s">
        <v>219</v>
      </c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AC12" s="125" t="s">
        <v>423</v>
      </c>
      <c r="AD12" s="125"/>
      <c r="AE12" s="125">
        <f>AD12*135</f>
        <v>0</v>
      </c>
    </row>
    <row r="13" spans="2:31" ht="16" thickBot="1" x14ac:dyDescent="0.25">
      <c r="B13" s="125" t="s">
        <v>429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AC13" s="125" t="s">
        <v>339</v>
      </c>
      <c r="AD13" s="125">
        <v>5</v>
      </c>
      <c r="AE13" s="125">
        <f>AD13*42</f>
        <v>210</v>
      </c>
    </row>
    <row r="14" spans="2:31" ht="16" thickBot="1" x14ac:dyDescent="0.25">
      <c r="B14" s="195" t="s">
        <v>91</v>
      </c>
      <c r="C14" s="125">
        <f>SUM(C4:C13)</f>
        <v>0</v>
      </c>
      <c r="D14" s="125">
        <f t="shared" ref="D14:Q14" si="0">SUM(D4:D13)</f>
        <v>0</v>
      </c>
      <c r="E14" s="125">
        <f t="shared" si="0"/>
        <v>0</v>
      </c>
      <c r="F14" s="125">
        <f t="shared" si="0"/>
        <v>0</v>
      </c>
      <c r="G14" s="125">
        <f t="shared" si="0"/>
        <v>0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0</v>
      </c>
      <c r="L14" s="125">
        <f t="shared" si="0"/>
        <v>0</v>
      </c>
      <c r="M14" s="125">
        <f t="shared" si="0"/>
        <v>0</v>
      </c>
      <c r="N14" s="125">
        <f t="shared" si="0"/>
        <v>0</v>
      </c>
      <c r="O14" s="125">
        <f t="shared" si="0"/>
        <v>0</v>
      </c>
      <c r="P14" s="125">
        <f t="shared" si="0"/>
        <v>0</v>
      </c>
      <c r="Q14" s="125">
        <f t="shared" si="0"/>
        <v>0</v>
      </c>
      <c r="AC14" s="125" t="s">
        <v>415</v>
      </c>
      <c r="AD14" s="125">
        <v>7</v>
      </c>
      <c r="AE14" s="125">
        <f>AD14*40</f>
        <v>280</v>
      </c>
    </row>
    <row r="15" spans="2:31" ht="16" thickBot="1" x14ac:dyDescent="0.25">
      <c r="B15" s="561" t="s">
        <v>430</v>
      </c>
      <c r="C15" s="326">
        <f>C14/7</f>
        <v>0</v>
      </c>
      <c r="D15" s="326">
        <f>D14/7</f>
        <v>0</v>
      </c>
      <c r="E15" s="326">
        <f>E14/11</f>
        <v>0</v>
      </c>
      <c r="F15" s="326">
        <f>F14/7</f>
        <v>0</v>
      </c>
      <c r="G15" s="326">
        <f>G14/7</f>
        <v>0</v>
      </c>
      <c r="H15" s="326">
        <f>H14/11</f>
        <v>0</v>
      </c>
      <c r="I15" s="326">
        <f>I14/7</f>
        <v>0</v>
      </c>
      <c r="J15" s="326">
        <f>J14/7</f>
        <v>0</v>
      </c>
      <c r="K15" s="326">
        <f>K14/11</f>
        <v>0</v>
      </c>
      <c r="L15" s="326">
        <f>L14/7</f>
        <v>0</v>
      </c>
      <c r="M15" s="326">
        <f>M14/7</f>
        <v>0</v>
      </c>
      <c r="N15" s="326">
        <f>N14/11</f>
        <v>0</v>
      </c>
      <c r="O15" s="326">
        <f>O14/7</f>
        <v>0</v>
      </c>
      <c r="P15" s="326">
        <f>P14/7</f>
        <v>0</v>
      </c>
      <c r="Q15" s="326">
        <f>Q14/11</f>
        <v>0</v>
      </c>
      <c r="AC15" s="125" t="s">
        <v>84</v>
      </c>
      <c r="AD15" s="125"/>
      <c r="AE15" s="125">
        <f>SUM(AE2:AE14)</f>
        <v>5757</v>
      </c>
    </row>
    <row r="16" spans="2:31" ht="16" thickBot="1" x14ac:dyDescent="0.25">
      <c r="B16" s="125"/>
      <c r="C16" s="859" t="s">
        <v>20</v>
      </c>
      <c r="D16" s="859"/>
      <c r="E16" s="859"/>
      <c r="F16" s="859"/>
      <c r="G16" s="859"/>
      <c r="H16" s="859" t="s">
        <v>90</v>
      </c>
      <c r="I16" s="859"/>
      <c r="J16" s="859"/>
      <c r="K16" s="859"/>
      <c r="L16" s="859"/>
      <c r="M16" s="859" t="s">
        <v>22</v>
      </c>
      <c r="N16" s="859"/>
      <c r="O16" s="859"/>
      <c r="P16" s="859"/>
      <c r="Q16" s="859"/>
      <c r="R16" s="859" t="s">
        <v>23</v>
      </c>
      <c r="S16" s="859"/>
      <c r="T16" s="859"/>
      <c r="U16" s="859"/>
      <c r="V16" s="859"/>
      <c r="W16" s="859" t="s">
        <v>24</v>
      </c>
      <c r="X16" s="859"/>
      <c r="Y16" s="859"/>
      <c r="Z16" s="859"/>
      <c r="AA16" s="859"/>
    </row>
    <row r="17" spans="2:27" ht="16" thickBot="1" x14ac:dyDescent="0.25">
      <c r="B17" s="195"/>
      <c r="C17" s="195" t="s">
        <v>78</v>
      </c>
      <c r="D17" s="195" t="s">
        <v>79</v>
      </c>
      <c r="E17" s="195" t="s">
        <v>81</v>
      </c>
      <c r="F17" s="195" t="s">
        <v>316</v>
      </c>
      <c r="G17" s="195" t="s">
        <v>85</v>
      </c>
      <c r="H17" s="195" t="s">
        <v>78</v>
      </c>
      <c r="I17" s="195" t="s">
        <v>79</v>
      </c>
      <c r="J17" s="195" t="s">
        <v>81</v>
      </c>
      <c r="K17" s="195" t="s">
        <v>316</v>
      </c>
      <c r="L17" s="195" t="s">
        <v>85</v>
      </c>
      <c r="M17" s="195" t="s">
        <v>78</v>
      </c>
      <c r="N17" s="195" t="s">
        <v>79</v>
      </c>
      <c r="O17" s="195" t="s">
        <v>81</v>
      </c>
      <c r="P17" s="195" t="s">
        <v>316</v>
      </c>
      <c r="Q17" s="195" t="s">
        <v>85</v>
      </c>
      <c r="R17" s="195" t="s">
        <v>78</v>
      </c>
      <c r="S17" s="195" t="s">
        <v>79</v>
      </c>
      <c r="T17" s="195" t="s">
        <v>81</v>
      </c>
      <c r="U17" s="195" t="s">
        <v>316</v>
      </c>
      <c r="V17" s="195" t="s">
        <v>85</v>
      </c>
      <c r="W17" s="195" t="s">
        <v>78</v>
      </c>
      <c r="X17" s="195" t="s">
        <v>79</v>
      </c>
      <c r="Y17" s="195" t="s">
        <v>81</v>
      </c>
      <c r="Z17" s="195" t="s">
        <v>316</v>
      </c>
      <c r="AA17" s="195" t="s">
        <v>85</v>
      </c>
    </row>
    <row r="18" spans="2:27" ht="16" thickBot="1" x14ac:dyDescent="0.25">
      <c r="B18" s="125" t="s">
        <v>105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 spans="2:27" ht="16" thickBot="1" x14ac:dyDescent="0.25">
      <c r="B19" s="125" t="s">
        <v>70</v>
      </c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 spans="2:27" ht="16" thickBot="1" x14ac:dyDescent="0.25">
      <c r="B20" s="125" t="s">
        <v>200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 spans="2:27" ht="16" thickBot="1" x14ac:dyDescent="0.25">
      <c r="B21" s="125" t="s">
        <v>382</v>
      </c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 spans="2:27" ht="16" thickBot="1" x14ac:dyDescent="0.25">
      <c r="B22" s="125" t="s">
        <v>269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 spans="2:27" ht="16" thickBot="1" x14ac:dyDescent="0.25">
      <c r="B23" s="125" t="s">
        <v>381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 spans="2:27" ht="16" thickBot="1" x14ac:dyDescent="0.25">
      <c r="B24" s="125" t="s">
        <v>75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 spans="2:27" ht="16" thickBot="1" x14ac:dyDescent="0.25">
      <c r="B25" s="125" t="s">
        <v>278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 spans="2:27" ht="16" thickBot="1" x14ac:dyDescent="0.25">
      <c r="B26" s="195" t="s">
        <v>91</v>
      </c>
      <c r="C26" s="125">
        <f>SUM(C19:C25)</f>
        <v>0</v>
      </c>
      <c r="D26" s="125">
        <f t="shared" ref="D26:AA26" si="1">SUM(D19:D25)</f>
        <v>0</v>
      </c>
      <c r="E26" s="125">
        <f t="shared" si="1"/>
        <v>0</v>
      </c>
      <c r="F26" s="125">
        <f t="shared" si="1"/>
        <v>0</v>
      </c>
      <c r="G26" s="125">
        <f t="shared" si="1"/>
        <v>0</v>
      </c>
      <c r="H26" s="125">
        <f t="shared" si="1"/>
        <v>0</v>
      </c>
      <c r="I26" s="125">
        <f t="shared" si="1"/>
        <v>0</v>
      </c>
      <c r="J26" s="125">
        <f t="shared" si="1"/>
        <v>0</v>
      </c>
      <c r="K26" s="125">
        <f t="shared" si="1"/>
        <v>0</v>
      </c>
      <c r="L26" s="125">
        <f t="shared" si="1"/>
        <v>0</v>
      </c>
      <c r="M26" s="125">
        <f t="shared" si="1"/>
        <v>0</v>
      </c>
      <c r="N26" s="125">
        <f t="shared" si="1"/>
        <v>0</v>
      </c>
      <c r="O26" s="125">
        <f t="shared" si="1"/>
        <v>0</v>
      </c>
      <c r="P26" s="125">
        <f t="shared" si="1"/>
        <v>0</v>
      </c>
      <c r="Q26" s="125">
        <f t="shared" si="1"/>
        <v>0</v>
      </c>
      <c r="R26" s="125">
        <f t="shared" si="1"/>
        <v>0</v>
      </c>
      <c r="S26" s="125">
        <f t="shared" si="1"/>
        <v>0</v>
      </c>
      <c r="T26" s="125">
        <f t="shared" si="1"/>
        <v>0</v>
      </c>
      <c r="U26" s="125">
        <f t="shared" si="1"/>
        <v>0</v>
      </c>
      <c r="V26" s="125">
        <f t="shared" si="1"/>
        <v>0</v>
      </c>
      <c r="W26" s="125">
        <f t="shared" si="1"/>
        <v>0</v>
      </c>
      <c r="X26" s="125">
        <f t="shared" si="1"/>
        <v>0</v>
      </c>
      <c r="Y26" s="125">
        <f t="shared" si="1"/>
        <v>0</v>
      </c>
      <c r="Z26" s="125">
        <f t="shared" si="1"/>
        <v>0</v>
      </c>
      <c r="AA26" s="125">
        <f t="shared" si="1"/>
        <v>0</v>
      </c>
    </row>
    <row r="27" spans="2:27" ht="16" thickBot="1" x14ac:dyDescent="0.25">
      <c r="B27" s="195" t="s">
        <v>430</v>
      </c>
      <c r="C27" s="125">
        <f>C26/7</f>
        <v>0</v>
      </c>
      <c r="D27" s="125">
        <f>D26/7</f>
        <v>0</v>
      </c>
      <c r="E27" s="125">
        <f>E26/7</f>
        <v>0</v>
      </c>
      <c r="F27" s="125">
        <f>F26/11</f>
        <v>0</v>
      </c>
      <c r="G27" s="125">
        <f>G26/9</f>
        <v>0</v>
      </c>
      <c r="H27" s="125">
        <f>H26/7</f>
        <v>0</v>
      </c>
      <c r="I27" s="125">
        <f>I26/7</f>
        <v>0</v>
      </c>
      <c r="J27" s="125">
        <f>J26/7</f>
        <v>0</v>
      </c>
      <c r="K27" s="125">
        <f>K26/11</f>
        <v>0</v>
      </c>
      <c r="L27" s="125">
        <f>L26/9</f>
        <v>0</v>
      </c>
      <c r="M27" s="125">
        <f>M26/7</f>
        <v>0</v>
      </c>
      <c r="N27" s="125">
        <f>N26/7</f>
        <v>0</v>
      </c>
      <c r="O27" s="125">
        <f>O26/7</f>
        <v>0</v>
      </c>
      <c r="P27" s="125">
        <f>P26/11</f>
        <v>0</v>
      </c>
      <c r="Q27" s="125">
        <f>Q26/9</f>
        <v>0</v>
      </c>
      <c r="R27" s="125">
        <f>R26/7</f>
        <v>0</v>
      </c>
      <c r="S27" s="125">
        <f>S26/7</f>
        <v>0</v>
      </c>
      <c r="T27" s="125">
        <f>T26/7</f>
        <v>0</v>
      </c>
      <c r="U27" s="125">
        <f>U26/11</f>
        <v>0</v>
      </c>
      <c r="V27" s="125">
        <f>V26/9</f>
        <v>0</v>
      </c>
      <c r="W27" s="125">
        <f>W26/7</f>
        <v>0</v>
      </c>
      <c r="X27" s="125">
        <f>X26/7</f>
        <v>0</v>
      </c>
      <c r="Y27" s="125">
        <f>Y26/7</f>
        <v>0</v>
      </c>
      <c r="Z27" s="125">
        <f>Z26/11</f>
        <v>0</v>
      </c>
      <c r="AA27" s="125">
        <f>AA26/9</f>
        <v>0</v>
      </c>
    </row>
  </sheetData>
  <mergeCells count="10">
    <mergeCell ref="R16:V16"/>
    <mergeCell ref="W16:AA16"/>
    <mergeCell ref="C2:E2"/>
    <mergeCell ref="F2:H2"/>
    <mergeCell ref="I2:K2"/>
    <mergeCell ref="L2:N2"/>
    <mergeCell ref="O2:Q2"/>
    <mergeCell ref="C16:G16"/>
    <mergeCell ref="H16:L16"/>
    <mergeCell ref="M16:Q16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35"/>
  <sheetViews>
    <sheetView workbookViewId="0">
      <selection activeCell="L22" sqref="L22"/>
    </sheetView>
  </sheetViews>
  <sheetFormatPr baseColWidth="10" defaultColWidth="8.83203125" defaultRowHeight="15" x14ac:dyDescent="0.2"/>
  <cols>
    <col min="2" max="3" width="16.83203125" customWidth="1"/>
    <col min="4" max="4" width="13.6640625" customWidth="1"/>
    <col min="5" max="5" width="13.83203125" customWidth="1"/>
  </cols>
  <sheetData>
    <row r="2" spans="2:5" x14ac:dyDescent="0.2">
      <c r="B2" s="174" t="s">
        <v>257</v>
      </c>
      <c r="C2" s="174" t="s">
        <v>258</v>
      </c>
      <c r="D2" s="174" t="s">
        <v>259</v>
      </c>
      <c r="E2" s="174" t="s">
        <v>260</v>
      </c>
    </row>
    <row r="3" spans="2:5" x14ac:dyDescent="0.2">
      <c r="B3" s="3" t="s">
        <v>188</v>
      </c>
      <c r="C3" s="3" t="s">
        <v>253</v>
      </c>
      <c r="D3" s="3">
        <v>1236902254</v>
      </c>
      <c r="E3" s="3">
        <v>470010</v>
      </c>
    </row>
    <row r="4" spans="2:5" x14ac:dyDescent="0.2">
      <c r="B4" s="3" t="s">
        <v>191</v>
      </c>
      <c r="C4" s="3" t="s">
        <v>253</v>
      </c>
      <c r="D4" s="3">
        <v>1767726501</v>
      </c>
      <c r="E4" s="3">
        <v>470010</v>
      </c>
    </row>
    <row r="5" spans="2:5" x14ac:dyDescent="0.2">
      <c r="B5" s="3" t="s">
        <v>192</v>
      </c>
      <c r="C5" s="3" t="s">
        <v>261</v>
      </c>
      <c r="D5" s="3">
        <v>51045667992</v>
      </c>
      <c r="E5" s="3">
        <v>678910</v>
      </c>
    </row>
    <row r="6" spans="2:5" x14ac:dyDescent="0.2">
      <c r="B6" s="3" t="s">
        <v>273</v>
      </c>
      <c r="C6" s="3" t="s">
        <v>253</v>
      </c>
      <c r="D6" s="3">
        <v>1293053757</v>
      </c>
      <c r="E6" s="3">
        <v>470010</v>
      </c>
    </row>
    <row r="7" spans="2:5" x14ac:dyDescent="0.2">
      <c r="B7" s="3" t="s">
        <v>193</v>
      </c>
      <c r="C7" s="3" t="s">
        <v>253</v>
      </c>
      <c r="D7" s="3">
        <v>1371610019</v>
      </c>
      <c r="E7" s="3">
        <v>470010</v>
      </c>
    </row>
    <row r="8" spans="2:5" x14ac:dyDescent="0.2">
      <c r="B8" s="3" t="s">
        <v>196</v>
      </c>
      <c r="C8" s="3" t="s">
        <v>253</v>
      </c>
      <c r="D8" s="3">
        <v>1277114178</v>
      </c>
      <c r="E8" s="3">
        <v>470010</v>
      </c>
    </row>
    <row r="9" spans="2:5" x14ac:dyDescent="0.2">
      <c r="B9" s="3" t="s">
        <v>197</v>
      </c>
      <c r="C9" s="3" t="s">
        <v>253</v>
      </c>
      <c r="D9" s="3">
        <v>1277114178</v>
      </c>
      <c r="E9" s="3">
        <v>470010</v>
      </c>
    </row>
    <row r="10" spans="2:5" x14ac:dyDescent="0.2">
      <c r="B10" s="3" t="s">
        <v>198</v>
      </c>
      <c r="C10" s="3" t="s">
        <v>253</v>
      </c>
      <c r="D10" s="3">
        <v>1299672742</v>
      </c>
      <c r="E10" s="3">
        <v>470010</v>
      </c>
    </row>
    <row r="11" spans="2:5" x14ac:dyDescent="0.2">
      <c r="B11" s="3" t="s">
        <v>252</v>
      </c>
      <c r="C11" s="3" t="s">
        <v>253</v>
      </c>
      <c r="D11" s="3">
        <v>1865867517</v>
      </c>
      <c r="E11" s="3">
        <v>470010</v>
      </c>
    </row>
    <row r="12" spans="2:5" x14ac:dyDescent="0.2">
      <c r="B12" s="3" t="s">
        <v>199</v>
      </c>
      <c r="C12" s="3" t="s">
        <v>253</v>
      </c>
      <c r="D12" s="3">
        <v>1517673400</v>
      </c>
      <c r="E12" s="3">
        <v>470010</v>
      </c>
    </row>
    <row r="13" spans="2:5" x14ac:dyDescent="0.2">
      <c r="B13" s="3" t="s">
        <v>256</v>
      </c>
      <c r="C13" s="3" t="s">
        <v>253</v>
      </c>
      <c r="D13" s="3">
        <v>1699410443</v>
      </c>
      <c r="E13" s="3">
        <v>470010</v>
      </c>
    </row>
    <row r="14" spans="2:5" x14ac:dyDescent="0.2">
      <c r="B14" s="3" t="s">
        <v>222</v>
      </c>
      <c r="C14" s="3" t="s">
        <v>261</v>
      </c>
      <c r="D14" s="3">
        <v>51016354078</v>
      </c>
      <c r="E14" s="3">
        <v>678910</v>
      </c>
    </row>
    <row r="15" spans="2:5" x14ac:dyDescent="0.2">
      <c r="B15" s="3" t="s">
        <v>223</v>
      </c>
      <c r="C15" s="3" t="s">
        <v>253</v>
      </c>
      <c r="D15" s="3">
        <v>1600939803</v>
      </c>
      <c r="E15" s="3">
        <v>470010</v>
      </c>
    </row>
    <row r="16" spans="2:5" x14ac:dyDescent="0.2">
      <c r="B16" s="3" t="s">
        <v>194</v>
      </c>
      <c r="C16" s="3" t="s">
        <v>253</v>
      </c>
      <c r="D16" s="3">
        <v>1194227382</v>
      </c>
      <c r="E16" s="3">
        <v>470010</v>
      </c>
    </row>
    <row r="17" spans="2:5" x14ac:dyDescent="0.2">
      <c r="B17" s="3" t="s">
        <v>262</v>
      </c>
      <c r="C17" s="3" t="s">
        <v>253</v>
      </c>
      <c r="D17" s="3">
        <v>1166111367</v>
      </c>
      <c r="E17" s="3">
        <v>470010</v>
      </c>
    </row>
    <row r="19" spans="2:5" x14ac:dyDescent="0.2">
      <c r="B19" s="174" t="s">
        <v>189</v>
      </c>
      <c r="C19" s="174" t="s">
        <v>255</v>
      </c>
    </row>
    <row r="20" spans="2:5" x14ac:dyDescent="0.2">
      <c r="B20" s="3" t="s">
        <v>196</v>
      </c>
      <c r="C20" s="166">
        <f>1500+1260+1260</f>
        <v>4020</v>
      </c>
    </row>
    <row r="21" spans="2:5" x14ac:dyDescent="0.2">
      <c r="B21" s="3" t="s">
        <v>198</v>
      </c>
      <c r="C21" s="166">
        <f>1000+720+1180</f>
        <v>2900</v>
      </c>
    </row>
    <row r="22" spans="2:5" x14ac:dyDescent="0.2">
      <c r="B22" s="3" t="s">
        <v>197</v>
      </c>
      <c r="C22" s="166">
        <f>1125+960+960</f>
        <v>3045</v>
      </c>
    </row>
    <row r="23" spans="2:5" x14ac:dyDescent="0.2">
      <c r="B23" s="3" t="s">
        <v>199</v>
      </c>
      <c r="C23" s="166">
        <f>1250+1060+1060</f>
        <v>3370</v>
      </c>
    </row>
    <row r="24" spans="2:5" x14ac:dyDescent="0.2">
      <c r="B24" s="3" t="s">
        <v>252</v>
      </c>
      <c r="C24" s="166">
        <f>900+900+960</f>
        <v>2760</v>
      </c>
    </row>
    <row r="25" spans="2:5" x14ac:dyDescent="0.2">
      <c r="B25" s="3" t="s">
        <v>188</v>
      </c>
      <c r="C25" s="166">
        <f>1100+720+1070</f>
        <v>2890</v>
      </c>
    </row>
    <row r="26" spans="2:5" x14ac:dyDescent="0.2">
      <c r="B26" s="3" t="s">
        <v>275</v>
      </c>
      <c r="C26" s="166">
        <f>720+900+1175</f>
        <v>2795</v>
      </c>
    </row>
    <row r="27" spans="2:5" x14ac:dyDescent="0.2">
      <c r="B27" s="3" t="s">
        <v>254</v>
      </c>
      <c r="C27" s="166">
        <f>1000+1430+720</f>
        <v>3150</v>
      </c>
    </row>
    <row r="28" spans="2:5" x14ac:dyDescent="0.2">
      <c r="B28" s="3" t="s">
        <v>193</v>
      </c>
      <c r="C28" s="166">
        <f>900+960+960</f>
        <v>2820</v>
      </c>
    </row>
    <row r="29" spans="2:5" x14ac:dyDescent="0.2">
      <c r="B29" s="3" t="s">
        <v>192</v>
      </c>
      <c r="C29" s="166">
        <f>1620+1080</f>
        <v>2700</v>
      </c>
    </row>
    <row r="30" spans="2:5" x14ac:dyDescent="0.2">
      <c r="B30" s="3" t="s">
        <v>194</v>
      </c>
      <c r="C30" s="166">
        <f>1500+1800+1150+1500</f>
        <v>5950</v>
      </c>
    </row>
    <row r="31" spans="2:5" x14ac:dyDescent="0.2">
      <c r="B31" s="3" t="s">
        <v>222</v>
      </c>
      <c r="C31" s="166">
        <f>1800*4</f>
        <v>7200</v>
      </c>
    </row>
    <row r="32" spans="2:5" x14ac:dyDescent="0.2">
      <c r="B32" s="3" t="s">
        <v>256</v>
      </c>
      <c r="C32" s="166">
        <f>600*4</f>
        <v>2400</v>
      </c>
    </row>
    <row r="33" spans="2:3" x14ac:dyDescent="0.2">
      <c r="B33" s="3" t="s">
        <v>223</v>
      </c>
      <c r="C33" s="166">
        <f>1200*4</f>
        <v>4800</v>
      </c>
    </row>
    <row r="34" spans="2:3" x14ac:dyDescent="0.2">
      <c r="B34" s="3" t="s">
        <v>225</v>
      </c>
      <c r="C34" s="166">
        <f>1250*4</f>
        <v>5000</v>
      </c>
    </row>
    <row r="35" spans="2:3" x14ac:dyDescent="0.2">
      <c r="B35" s="174" t="s">
        <v>84</v>
      </c>
      <c r="C35" s="167">
        <f>SUM(C20:C34)</f>
        <v>55800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T167"/>
  <sheetViews>
    <sheetView workbookViewId="0">
      <selection activeCell="H34" sqref="H34"/>
    </sheetView>
  </sheetViews>
  <sheetFormatPr baseColWidth="10" defaultColWidth="8.83203125" defaultRowHeight="15" x14ac:dyDescent="0.2"/>
  <cols>
    <col min="1" max="1" width="15.33203125" customWidth="1"/>
    <col min="9" max="9" width="9.1640625" customWidth="1"/>
  </cols>
  <sheetData>
    <row r="2" spans="1:9" x14ac:dyDescent="0.2">
      <c r="B2" s="860" t="s">
        <v>203</v>
      </c>
      <c r="C2" s="860"/>
      <c r="D2" s="860"/>
      <c r="E2" s="860"/>
      <c r="F2" s="860"/>
      <c r="G2" s="860"/>
      <c r="H2" s="860"/>
      <c r="I2" s="860"/>
    </row>
    <row r="3" spans="1:9" x14ac:dyDescent="0.2">
      <c r="B3" s="860"/>
      <c r="C3" s="860"/>
      <c r="D3" s="860"/>
      <c r="E3" s="860"/>
      <c r="F3" s="860"/>
      <c r="G3" s="860"/>
      <c r="H3" s="860"/>
      <c r="I3" s="860"/>
    </row>
    <row r="4" spans="1:9" ht="16" thickBot="1" x14ac:dyDescent="0.25"/>
    <row r="5" spans="1:9" ht="16" thickBot="1" x14ac:dyDescent="0.25">
      <c r="A5" s="177" t="s">
        <v>241</v>
      </c>
      <c r="B5" s="861" t="s">
        <v>174</v>
      </c>
      <c r="C5" s="862"/>
      <c r="D5" s="862"/>
      <c r="E5" s="862"/>
      <c r="F5" s="862"/>
      <c r="G5" s="862"/>
      <c r="H5" s="862"/>
      <c r="I5" s="863"/>
    </row>
    <row r="6" spans="1:9" ht="16" thickBot="1" x14ac:dyDescent="0.25">
      <c r="A6" s="177" t="s">
        <v>242</v>
      </c>
      <c r="B6" s="78" t="s">
        <v>29</v>
      </c>
      <c r="C6" s="79">
        <v>145.99</v>
      </c>
      <c r="D6" s="80" t="s">
        <v>175</v>
      </c>
      <c r="E6" s="81">
        <v>84</v>
      </c>
      <c r="F6" s="82">
        <v>0.21428571428571427</v>
      </c>
      <c r="G6" s="83">
        <v>18</v>
      </c>
      <c r="H6" s="84" t="s">
        <v>168</v>
      </c>
      <c r="I6" s="73">
        <v>31.283571428571427</v>
      </c>
    </row>
    <row r="7" spans="1:9" x14ac:dyDescent="0.2">
      <c r="B7" s="85" t="s">
        <v>251</v>
      </c>
      <c r="C7" s="86">
        <v>1000</v>
      </c>
      <c r="D7" s="87" t="s">
        <v>55</v>
      </c>
      <c r="E7" s="88">
        <v>1111</v>
      </c>
      <c r="F7" s="89">
        <v>4.5004500450045006E-3</v>
      </c>
      <c r="G7" s="90">
        <v>5</v>
      </c>
      <c r="H7" s="91" t="s">
        <v>169</v>
      </c>
      <c r="I7" s="53">
        <v>4.5004500450045004</v>
      </c>
    </row>
    <row r="8" spans="1:9" x14ac:dyDescent="0.2">
      <c r="B8" s="85" t="s">
        <v>42</v>
      </c>
      <c r="C8" s="92">
        <v>5</v>
      </c>
      <c r="D8" s="87" t="s">
        <v>58</v>
      </c>
      <c r="E8" s="88">
        <v>142</v>
      </c>
      <c r="F8" s="89">
        <v>7.0422535211267607E-3</v>
      </c>
      <c r="G8" s="90">
        <v>1</v>
      </c>
      <c r="H8" s="91" t="s">
        <v>170</v>
      </c>
      <c r="I8" s="53">
        <v>3.5211267605633804E-2</v>
      </c>
    </row>
    <row r="9" spans="1:9" x14ac:dyDescent="0.2">
      <c r="B9" s="85" t="s">
        <v>154</v>
      </c>
      <c r="C9" s="86">
        <v>4358.8</v>
      </c>
      <c r="D9" s="87" t="s">
        <v>54</v>
      </c>
      <c r="E9" s="88">
        <v>312</v>
      </c>
      <c r="F9" s="89">
        <v>9.6153846153846159E-3</v>
      </c>
      <c r="G9" s="90">
        <v>3</v>
      </c>
      <c r="H9" s="91" t="s">
        <v>168</v>
      </c>
      <c r="I9" s="53">
        <v>41.911538461538463</v>
      </c>
    </row>
    <row r="10" spans="1:9" x14ac:dyDescent="0.2">
      <c r="B10" s="85" t="s">
        <v>153</v>
      </c>
      <c r="C10" s="86">
        <v>772.8</v>
      </c>
      <c r="D10" s="87" t="s">
        <v>54</v>
      </c>
      <c r="E10" s="88">
        <v>1000</v>
      </c>
      <c r="F10" s="89">
        <v>5.0000000000000001E-3</v>
      </c>
      <c r="G10" s="90">
        <v>5</v>
      </c>
      <c r="H10" s="91" t="s">
        <v>169</v>
      </c>
      <c r="I10" s="53">
        <v>3.8639999999999999</v>
      </c>
    </row>
    <row r="11" spans="1:9" x14ac:dyDescent="0.2">
      <c r="B11" s="85" t="s">
        <v>33</v>
      </c>
      <c r="C11" s="86">
        <v>449.99</v>
      </c>
      <c r="D11" s="87">
        <v>180</v>
      </c>
      <c r="E11" s="88">
        <v>60</v>
      </c>
      <c r="F11" s="89">
        <v>0.3</v>
      </c>
      <c r="G11" s="90">
        <v>18</v>
      </c>
      <c r="H11" s="91">
        <v>1</v>
      </c>
      <c r="I11" s="53">
        <v>134.99699999999999</v>
      </c>
    </row>
    <row r="12" spans="1:9" x14ac:dyDescent="0.2">
      <c r="B12" s="85" t="s">
        <v>31</v>
      </c>
      <c r="C12" s="86">
        <v>172.99</v>
      </c>
      <c r="D12" s="87" t="s">
        <v>51</v>
      </c>
      <c r="E12" s="88">
        <v>46</v>
      </c>
      <c r="F12" s="89">
        <v>0.39130434782608697</v>
      </c>
      <c r="G12" s="90">
        <v>18</v>
      </c>
      <c r="H12" s="91" t="s">
        <v>168</v>
      </c>
      <c r="I12" s="53">
        <v>67.691739130434783</v>
      </c>
    </row>
    <row r="13" spans="1:9" x14ac:dyDescent="0.2">
      <c r="B13" s="85" t="s">
        <v>30</v>
      </c>
      <c r="C13" s="86">
        <v>200</v>
      </c>
      <c r="D13" s="87" t="s">
        <v>51</v>
      </c>
      <c r="E13" s="88">
        <v>46</v>
      </c>
      <c r="F13" s="89">
        <v>0</v>
      </c>
      <c r="G13" s="90">
        <v>0</v>
      </c>
      <c r="H13" s="91" t="s">
        <v>168</v>
      </c>
      <c r="I13" s="53">
        <v>0</v>
      </c>
    </row>
    <row r="14" spans="1:9" x14ac:dyDescent="0.2">
      <c r="B14" s="85" t="s">
        <v>32</v>
      </c>
      <c r="C14" s="86">
        <v>118</v>
      </c>
      <c r="D14" s="87" t="s">
        <v>176</v>
      </c>
      <c r="E14" s="88">
        <v>20</v>
      </c>
      <c r="F14" s="89">
        <v>0.25</v>
      </c>
      <c r="G14" s="90">
        <v>5</v>
      </c>
      <c r="H14" s="91" t="s">
        <v>168</v>
      </c>
      <c r="I14" s="53">
        <v>29.5</v>
      </c>
    </row>
    <row r="15" spans="1:9" x14ac:dyDescent="0.2">
      <c r="B15" s="85" t="s">
        <v>43</v>
      </c>
      <c r="C15" s="86">
        <v>142.94999999999999</v>
      </c>
      <c r="D15" s="87" t="s">
        <v>177</v>
      </c>
      <c r="E15" s="88">
        <v>37.5</v>
      </c>
      <c r="F15" s="89">
        <v>0</v>
      </c>
      <c r="G15" s="90">
        <v>0</v>
      </c>
      <c r="H15" s="91" t="s">
        <v>173</v>
      </c>
      <c r="I15" s="3">
        <v>0</v>
      </c>
    </row>
    <row r="16" spans="1:9" x14ac:dyDescent="0.2">
      <c r="B16" s="85" t="s">
        <v>304</v>
      </c>
      <c r="C16" s="86">
        <v>74.989999999999995</v>
      </c>
      <c r="D16" s="87" t="s">
        <v>58</v>
      </c>
      <c r="E16" s="88">
        <v>25</v>
      </c>
      <c r="F16" s="89">
        <v>0</v>
      </c>
      <c r="G16" s="90">
        <v>0</v>
      </c>
      <c r="H16" s="91" t="s">
        <v>173</v>
      </c>
      <c r="I16" s="53">
        <v>0</v>
      </c>
    </row>
    <row r="17" spans="2:9" x14ac:dyDescent="0.2">
      <c r="B17" s="85" t="s">
        <v>39</v>
      </c>
      <c r="C17" s="86">
        <v>91.99</v>
      </c>
      <c r="D17" s="87" t="s">
        <v>178</v>
      </c>
      <c r="E17" s="88">
        <v>6</v>
      </c>
      <c r="F17" s="89">
        <v>0.375</v>
      </c>
      <c r="G17" s="90">
        <v>2.25</v>
      </c>
      <c r="H17" s="91" t="s">
        <v>171</v>
      </c>
      <c r="I17" s="53">
        <v>34.496249999999996</v>
      </c>
    </row>
    <row r="18" spans="2:9" x14ac:dyDescent="0.2">
      <c r="B18" s="85" t="s">
        <v>150</v>
      </c>
      <c r="C18" s="86">
        <v>500</v>
      </c>
      <c r="D18" s="87" t="s">
        <v>57</v>
      </c>
      <c r="E18" s="88">
        <v>1000</v>
      </c>
      <c r="F18" s="89">
        <v>0</v>
      </c>
      <c r="G18" s="90">
        <v>0</v>
      </c>
      <c r="H18" s="91" t="s">
        <v>169</v>
      </c>
      <c r="I18" s="53">
        <v>0</v>
      </c>
    </row>
    <row r="19" spans="2:9" x14ac:dyDescent="0.2">
      <c r="B19" s="85" t="s">
        <v>40</v>
      </c>
      <c r="C19" s="86">
        <v>29.99</v>
      </c>
      <c r="D19" s="87" t="s">
        <v>305</v>
      </c>
      <c r="E19" s="88">
        <v>3</v>
      </c>
      <c r="F19" s="89">
        <v>0</v>
      </c>
      <c r="G19" s="90">
        <v>0</v>
      </c>
      <c r="H19" s="91" t="s">
        <v>58</v>
      </c>
      <c r="I19" s="53">
        <v>0</v>
      </c>
    </row>
    <row r="20" spans="2:9" x14ac:dyDescent="0.2">
      <c r="B20" s="85" t="s">
        <v>45</v>
      </c>
      <c r="C20" s="86">
        <v>26.99</v>
      </c>
      <c r="D20" s="87" t="s">
        <v>176</v>
      </c>
      <c r="E20" s="88">
        <v>83</v>
      </c>
      <c r="F20" s="89">
        <v>1.2048192771084338E-2</v>
      </c>
      <c r="G20" s="90">
        <v>1</v>
      </c>
      <c r="H20" s="91" t="s">
        <v>306</v>
      </c>
      <c r="I20" s="53">
        <v>0.32518072289156624</v>
      </c>
    </row>
    <row r="21" spans="2:9" x14ac:dyDescent="0.2">
      <c r="B21" s="85" t="s">
        <v>214</v>
      </c>
      <c r="C21" s="86">
        <v>0</v>
      </c>
      <c r="D21" s="87"/>
      <c r="E21" s="88"/>
      <c r="F21" s="93">
        <v>8</v>
      </c>
      <c r="G21" s="90">
        <v>2</v>
      </c>
      <c r="H21" s="91" t="s">
        <v>171</v>
      </c>
      <c r="I21" s="3"/>
    </row>
    <row r="22" spans="2:9" ht="16" thickBot="1" x14ac:dyDescent="0.25">
      <c r="B22" s="94" t="s">
        <v>247</v>
      </c>
      <c r="C22" s="95">
        <v>109.99</v>
      </c>
      <c r="D22" s="96" t="s">
        <v>142</v>
      </c>
      <c r="E22" s="97">
        <v>30</v>
      </c>
      <c r="F22" s="98">
        <v>6.6666666666666666E-2</v>
      </c>
      <c r="G22" s="99">
        <v>0</v>
      </c>
      <c r="H22" s="100" t="s">
        <v>173</v>
      </c>
      <c r="I22" s="67">
        <v>0</v>
      </c>
    </row>
    <row r="23" spans="2:9" ht="16" thickBot="1" x14ac:dyDescent="0.25">
      <c r="B23" s="861" t="s">
        <v>179</v>
      </c>
      <c r="C23" s="862"/>
      <c r="D23" s="862"/>
      <c r="E23" s="862"/>
      <c r="F23" s="862"/>
      <c r="G23" s="862"/>
      <c r="H23" s="862"/>
      <c r="I23" s="221"/>
    </row>
    <row r="24" spans="2:9" x14ac:dyDescent="0.2">
      <c r="B24" s="78" t="s">
        <v>172</v>
      </c>
      <c r="C24" s="79">
        <v>239</v>
      </c>
      <c r="D24" s="80">
        <v>100</v>
      </c>
      <c r="E24" s="81">
        <v>100</v>
      </c>
      <c r="F24" s="82">
        <v>0.09</v>
      </c>
      <c r="G24" s="83">
        <v>9</v>
      </c>
      <c r="H24" s="84">
        <v>1</v>
      </c>
      <c r="I24" s="73"/>
    </row>
    <row r="25" spans="2:9" x14ac:dyDescent="0.2">
      <c r="B25" s="209" t="s">
        <v>160</v>
      </c>
      <c r="C25" s="210">
        <v>90</v>
      </c>
      <c r="D25" s="211">
        <v>75</v>
      </c>
      <c r="E25" s="212">
        <v>75</v>
      </c>
      <c r="F25" s="213">
        <v>0.12</v>
      </c>
      <c r="G25" s="214">
        <v>9</v>
      </c>
      <c r="H25" s="215">
        <v>1</v>
      </c>
      <c r="I25" s="216"/>
    </row>
    <row r="26" spans="2:9" x14ac:dyDescent="0.2">
      <c r="B26" s="94" t="s">
        <v>250</v>
      </c>
      <c r="C26" s="95">
        <v>239</v>
      </c>
      <c r="D26" s="96">
        <v>100</v>
      </c>
      <c r="E26" s="97">
        <v>100</v>
      </c>
      <c r="F26" s="98">
        <v>0.09</v>
      </c>
      <c r="G26" s="99">
        <v>9</v>
      </c>
      <c r="H26" s="100">
        <v>1</v>
      </c>
      <c r="I26" s="67"/>
    </row>
    <row r="27" spans="2:9" x14ac:dyDescent="0.2">
      <c r="B27" s="217" t="s">
        <v>322</v>
      </c>
      <c r="C27" s="86">
        <v>550</v>
      </c>
      <c r="D27" s="87" t="s">
        <v>54</v>
      </c>
      <c r="E27" s="218"/>
      <c r="F27" s="219"/>
      <c r="G27" s="218"/>
      <c r="H27" s="220"/>
      <c r="I27" s="53"/>
    </row>
    <row r="28" spans="2:9" x14ac:dyDescent="0.2">
      <c r="B28" s="217" t="s">
        <v>323</v>
      </c>
      <c r="C28" s="86"/>
      <c r="D28" s="87"/>
      <c r="E28" s="218"/>
      <c r="F28" s="219"/>
      <c r="G28" s="218"/>
      <c r="H28" s="220"/>
      <c r="I28" s="53"/>
    </row>
    <row r="29" spans="2:9" x14ac:dyDescent="0.2">
      <c r="B29" s="217" t="s">
        <v>324</v>
      </c>
      <c r="C29" s="86"/>
      <c r="D29" s="87"/>
      <c r="E29" s="218"/>
      <c r="F29" s="219">
        <v>7</v>
      </c>
      <c r="G29" s="218">
        <v>9</v>
      </c>
      <c r="H29" s="220"/>
      <c r="I29" s="53"/>
    </row>
    <row r="30" spans="2:9" ht="16" thickBot="1" x14ac:dyDescent="0.25">
      <c r="B30" s="222" t="s">
        <v>180</v>
      </c>
      <c r="C30" s="223" t="s">
        <v>181</v>
      </c>
      <c r="D30" s="224" t="s">
        <v>182</v>
      </c>
      <c r="E30" s="223" t="s">
        <v>183</v>
      </c>
      <c r="F30" s="224" t="s">
        <v>60</v>
      </c>
      <c r="G30" s="223" t="s">
        <v>184</v>
      </c>
      <c r="H30" s="225" t="s">
        <v>185</v>
      </c>
      <c r="I30" s="226">
        <f>SUM(I6:I28)</f>
        <v>348.6049410560463</v>
      </c>
    </row>
    <row r="32" spans="2:9" x14ac:dyDescent="0.2">
      <c r="B32" s="101" t="s">
        <v>201</v>
      </c>
      <c r="C32" s="101"/>
      <c r="D32" s="101"/>
      <c r="E32" s="101"/>
      <c r="F32" s="101"/>
      <c r="G32" s="101"/>
      <c r="H32" s="102">
        <f>I30</f>
        <v>348.6049410560463</v>
      </c>
    </row>
    <row r="33" spans="1:9" x14ac:dyDescent="0.2">
      <c r="B33" s="101"/>
      <c r="C33" s="101"/>
      <c r="D33" s="101"/>
      <c r="E33" s="101"/>
      <c r="F33" s="101"/>
      <c r="G33" s="101"/>
      <c r="H33" s="101"/>
    </row>
    <row r="34" spans="1:9" x14ac:dyDescent="0.2">
      <c r="B34" s="101" t="s">
        <v>375</v>
      </c>
      <c r="C34" s="101"/>
      <c r="D34" s="101"/>
      <c r="E34" s="101"/>
      <c r="F34" s="101"/>
      <c r="G34" s="101"/>
      <c r="H34" s="102">
        <f>H32/9</f>
        <v>38.733882339560701</v>
      </c>
    </row>
    <row r="36" spans="1:9" x14ac:dyDescent="0.2">
      <c r="B36" s="860" t="s">
        <v>226</v>
      </c>
      <c r="C36" s="860"/>
      <c r="D36" s="860"/>
      <c r="E36" s="860"/>
      <c r="F36" s="860"/>
      <c r="G36" s="860"/>
      <c r="H36" s="860"/>
      <c r="I36" s="860"/>
    </row>
    <row r="37" spans="1:9" x14ac:dyDescent="0.2">
      <c r="B37" s="860"/>
      <c r="C37" s="860"/>
      <c r="D37" s="860"/>
      <c r="E37" s="860"/>
      <c r="F37" s="860"/>
      <c r="G37" s="860"/>
      <c r="H37" s="860"/>
      <c r="I37" s="860"/>
    </row>
    <row r="38" spans="1:9" ht="16" thickBot="1" x14ac:dyDescent="0.25"/>
    <row r="39" spans="1:9" ht="16" thickBot="1" x14ac:dyDescent="0.25">
      <c r="A39" s="177" t="s">
        <v>241</v>
      </c>
      <c r="B39" s="861" t="s">
        <v>174</v>
      </c>
      <c r="C39" s="862"/>
      <c r="D39" s="862"/>
      <c r="E39" s="862"/>
      <c r="F39" s="862"/>
      <c r="G39" s="862"/>
      <c r="H39" s="862"/>
      <c r="I39" s="863"/>
    </row>
    <row r="40" spans="1:9" ht="16" thickBot="1" x14ac:dyDescent="0.25">
      <c r="A40" s="177" t="s">
        <v>246</v>
      </c>
      <c r="B40" s="78" t="s">
        <v>29</v>
      </c>
      <c r="C40" s="79">
        <v>142.99</v>
      </c>
      <c r="D40" s="80" t="s">
        <v>175</v>
      </c>
      <c r="E40" s="81">
        <f>(E6)</f>
        <v>84</v>
      </c>
      <c r="F40" s="82">
        <v>0.31506849315068491</v>
      </c>
      <c r="G40" s="83">
        <v>23</v>
      </c>
      <c r="H40" s="84" t="s">
        <v>168</v>
      </c>
      <c r="I40" s="73">
        <v>43.476301369863016</v>
      </c>
    </row>
    <row r="41" spans="1:9" x14ac:dyDescent="0.2">
      <c r="B41" s="85" t="s">
        <v>251</v>
      </c>
      <c r="C41" s="86">
        <v>1173</v>
      </c>
      <c r="D41" s="87" t="s">
        <v>55</v>
      </c>
      <c r="E41" s="88">
        <v>1111</v>
      </c>
      <c r="F41" s="89">
        <v>8.1008100810081012E-3</v>
      </c>
      <c r="G41" s="90">
        <v>9</v>
      </c>
      <c r="H41" s="91" t="s">
        <v>169</v>
      </c>
      <c r="I41" s="53">
        <v>9.5022502250225021</v>
      </c>
    </row>
    <row r="42" spans="1:9" x14ac:dyDescent="0.2">
      <c r="B42" s="85" t="s">
        <v>42</v>
      </c>
      <c r="C42" s="92">
        <v>5</v>
      </c>
      <c r="D42" s="87" t="s">
        <v>58</v>
      </c>
      <c r="E42" s="88">
        <v>142</v>
      </c>
      <c r="F42" s="89">
        <v>7.0422535211267607E-3</v>
      </c>
      <c r="G42" s="90">
        <v>1</v>
      </c>
      <c r="H42" s="91" t="s">
        <v>170</v>
      </c>
      <c r="I42" s="53">
        <v>3.5211267605633804E-2</v>
      </c>
    </row>
    <row r="43" spans="1:9" x14ac:dyDescent="0.2">
      <c r="B43" s="85" t="s">
        <v>154</v>
      </c>
      <c r="C43" s="86">
        <v>3450</v>
      </c>
      <c r="D43" s="87" t="s">
        <v>54</v>
      </c>
      <c r="E43" s="88">
        <v>312</v>
      </c>
      <c r="F43" s="89">
        <v>0</v>
      </c>
      <c r="G43" s="90">
        <v>0</v>
      </c>
      <c r="H43" s="91" t="s">
        <v>168</v>
      </c>
      <c r="I43" s="53">
        <v>0</v>
      </c>
    </row>
    <row r="44" spans="1:9" x14ac:dyDescent="0.2">
      <c r="B44" s="85" t="s">
        <v>153</v>
      </c>
      <c r="C44" s="86">
        <v>772.8</v>
      </c>
      <c r="D44" s="87" t="s">
        <v>54</v>
      </c>
      <c r="E44" s="88">
        <v>1000</v>
      </c>
      <c r="F44" s="89">
        <v>5.0000000000000001E-3</v>
      </c>
      <c r="G44" s="90">
        <v>5</v>
      </c>
      <c r="H44" s="91" t="s">
        <v>169</v>
      </c>
      <c r="I44" s="53">
        <v>3.8639999999999999</v>
      </c>
    </row>
    <row r="45" spans="1:9" x14ac:dyDescent="0.2">
      <c r="B45" s="85" t="s">
        <v>33</v>
      </c>
      <c r="C45" s="86">
        <v>430</v>
      </c>
      <c r="D45" s="87">
        <v>180</v>
      </c>
      <c r="E45" s="88">
        <v>60</v>
      </c>
      <c r="F45" s="89">
        <v>0.46666666666666667</v>
      </c>
      <c r="G45" s="90">
        <v>28</v>
      </c>
      <c r="H45" s="91">
        <v>1</v>
      </c>
      <c r="I45" s="53">
        <v>163.32866666666666</v>
      </c>
    </row>
    <row r="46" spans="1:9" x14ac:dyDescent="0.2">
      <c r="B46" s="85" t="s">
        <v>31</v>
      </c>
      <c r="C46" s="86">
        <v>174.99</v>
      </c>
      <c r="D46" s="87" t="s">
        <v>51</v>
      </c>
      <c r="E46" s="88">
        <v>46</v>
      </c>
      <c r="F46" s="89">
        <v>0.4</v>
      </c>
      <c r="G46" s="90">
        <v>16</v>
      </c>
      <c r="H46" s="91" t="s">
        <v>168</v>
      </c>
      <c r="I46" s="53">
        <v>65.996000000000009</v>
      </c>
    </row>
    <row r="47" spans="1:9" x14ac:dyDescent="0.2">
      <c r="B47" s="85" t="s">
        <v>30</v>
      </c>
      <c r="C47" s="86">
        <v>199.99</v>
      </c>
      <c r="D47" s="87" t="s">
        <v>51</v>
      </c>
      <c r="E47" s="88">
        <v>46</v>
      </c>
      <c r="F47" s="89">
        <v>0</v>
      </c>
      <c r="G47" s="90">
        <v>0</v>
      </c>
      <c r="H47" s="91" t="s">
        <v>168</v>
      </c>
      <c r="I47" s="53">
        <v>0</v>
      </c>
    </row>
    <row r="48" spans="1:9" x14ac:dyDescent="0.2">
      <c r="B48" s="85" t="s">
        <v>32</v>
      </c>
      <c r="C48" s="86">
        <v>129.99</v>
      </c>
      <c r="D48" s="87" t="s">
        <v>176</v>
      </c>
      <c r="E48" s="88">
        <v>20</v>
      </c>
      <c r="F48" s="89">
        <v>0.4</v>
      </c>
      <c r="G48" s="90">
        <v>8</v>
      </c>
      <c r="H48" s="91" t="s">
        <v>168</v>
      </c>
      <c r="I48" s="53">
        <v>51.996000000000009</v>
      </c>
    </row>
    <row r="49" spans="2:9" x14ac:dyDescent="0.2">
      <c r="B49" s="85" t="s">
        <v>43</v>
      </c>
      <c r="C49" s="86">
        <v>142.94999999999999</v>
      </c>
      <c r="D49" s="87" t="s">
        <v>177</v>
      </c>
      <c r="E49" s="88">
        <v>37.5</v>
      </c>
      <c r="F49" s="89">
        <v>0</v>
      </c>
      <c r="G49" s="90">
        <v>0</v>
      </c>
      <c r="H49" s="91" t="s">
        <v>173</v>
      </c>
      <c r="I49" s="3">
        <v>0</v>
      </c>
    </row>
    <row r="50" spans="2:9" x14ac:dyDescent="0.2">
      <c r="B50" s="85" t="s">
        <v>304</v>
      </c>
      <c r="C50" s="86">
        <v>69.989999999999995</v>
      </c>
      <c r="D50" s="87" t="s">
        <v>58</v>
      </c>
      <c r="E50" s="88">
        <v>25</v>
      </c>
      <c r="F50" s="89">
        <v>0</v>
      </c>
      <c r="G50" s="90">
        <v>0</v>
      </c>
      <c r="H50" s="91" t="s">
        <v>173</v>
      </c>
      <c r="I50" s="53">
        <v>0</v>
      </c>
    </row>
    <row r="51" spans="2:9" x14ac:dyDescent="0.2">
      <c r="B51" s="85" t="s">
        <v>39</v>
      </c>
      <c r="C51" s="86">
        <v>99.99</v>
      </c>
      <c r="D51" s="87" t="s">
        <v>178</v>
      </c>
      <c r="E51" s="88">
        <v>6</v>
      </c>
      <c r="F51" s="89">
        <v>0</v>
      </c>
      <c r="G51" s="90">
        <v>0</v>
      </c>
      <c r="H51" s="91" t="s">
        <v>171</v>
      </c>
      <c r="I51" s="53">
        <v>0</v>
      </c>
    </row>
    <row r="52" spans="2:9" x14ac:dyDescent="0.2">
      <c r="B52" s="85" t="s">
        <v>150</v>
      </c>
      <c r="C52" s="86">
        <v>500</v>
      </c>
      <c r="D52" s="87" t="s">
        <v>57</v>
      </c>
      <c r="E52" s="88">
        <v>1000</v>
      </c>
      <c r="F52" s="89">
        <v>5.0000000000000001E-3</v>
      </c>
      <c r="G52" s="90">
        <v>5</v>
      </c>
      <c r="H52" s="91" t="s">
        <v>169</v>
      </c>
      <c r="I52" s="53">
        <v>2.5</v>
      </c>
    </row>
    <row r="53" spans="2:9" x14ac:dyDescent="0.2">
      <c r="B53" s="85" t="s">
        <v>40</v>
      </c>
      <c r="C53" s="86">
        <v>29.99</v>
      </c>
      <c r="D53" s="87" t="s">
        <v>305</v>
      </c>
      <c r="E53" s="88">
        <v>3</v>
      </c>
      <c r="F53" s="89">
        <v>1.6666666666666667</v>
      </c>
      <c r="G53" s="90">
        <v>5</v>
      </c>
      <c r="H53" s="91" t="s">
        <v>58</v>
      </c>
      <c r="I53" s="53">
        <v>49.983333333333334</v>
      </c>
    </row>
    <row r="54" spans="2:9" x14ac:dyDescent="0.2">
      <c r="B54" s="85" t="s">
        <v>45</v>
      </c>
      <c r="C54" s="86">
        <v>26.99</v>
      </c>
      <c r="D54" s="87" t="s">
        <v>176</v>
      </c>
      <c r="E54" s="88">
        <v>83</v>
      </c>
      <c r="F54" s="89">
        <v>1.2048192771084338E-2</v>
      </c>
      <c r="G54" s="90">
        <v>1</v>
      </c>
      <c r="H54" s="91" t="s">
        <v>306</v>
      </c>
      <c r="I54" s="53">
        <v>0.32518072289156624</v>
      </c>
    </row>
    <row r="55" spans="2:9" x14ac:dyDescent="0.2">
      <c r="B55" s="85" t="s">
        <v>214</v>
      </c>
      <c r="C55" s="86">
        <v>0</v>
      </c>
      <c r="D55" s="87"/>
      <c r="E55" s="88"/>
      <c r="F55" s="93">
        <v>2</v>
      </c>
      <c r="G55" s="90">
        <v>0.5</v>
      </c>
      <c r="H55" s="91" t="s">
        <v>171</v>
      </c>
      <c r="I55" s="3"/>
    </row>
    <row r="56" spans="2:9" x14ac:dyDescent="0.2">
      <c r="B56" s="94" t="s">
        <v>247</v>
      </c>
      <c r="C56" s="86">
        <v>134.99</v>
      </c>
      <c r="D56" s="96" t="s">
        <v>142</v>
      </c>
      <c r="E56" s="97">
        <v>30</v>
      </c>
      <c r="F56" s="98">
        <v>0</v>
      </c>
      <c r="G56" s="99">
        <v>0</v>
      </c>
      <c r="H56" s="100" t="s">
        <v>173</v>
      </c>
      <c r="I56" s="67">
        <v>0</v>
      </c>
    </row>
    <row r="57" spans="2:9" x14ac:dyDescent="0.2">
      <c r="B57" s="217" t="s">
        <v>321</v>
      </c>
      <c r="C57" s="86">
        <v>160</v>
      </c>
      <c r="D57" s="87" t="s">
        <v>58</v>
      </c>
      <c r="E57" s="218"/>
      <c r="F57" s="219"/>
      <c r="G57" s="218"/>
      <c r="H57" s="220"/>
      <c r="I57" s="53">
        <f>(C57/10)</f>
        <v>16</v>
      </c>
    </row>
    <row r="58" spans="2:9" ht="16" thickBot="1" x14ac:dyDescent="0.25">
      <c r="B58" s="864" t="s">
        <v>179</v>
      </c>
      <c r="C58" s="865"/>
      <c r="D58" s="865"/>
      <c r="E58" s="865"/>
      <c r="F58" s="865"/>
      <c r="G58" s="865"/>
      <c r="H58" s="865"/>
      <c r="I58" s="866"/>
    </row>
    <row r="59" spans="2:9" x14ac:dyDescent="0.2">
      <c r="B59" s="78" t="s">
        <v>172</v>
      </c>
      <c r="C59" s="79">
        <f>(C24)</f>
        <v>239</v>
      </c>
      <c r="D59" s="80">
        <v>100</v>
      </c>
      <c r="E59" s="81">
        <v>100</v>
      </c>
      <c r="F59" s="82">
        <v>0.11</v>
      </c>
      <c r="G59" s="83">
        <v>11</v>
      </c>
      <c r="H59" s="84">
        <v>1</v>
      </c>
      <c r="I59" s="73">
        <v>28.189699999999998</v>
      </c>
    </row>
    <row r="60" spans="2:9" x14ac:dyDescent="0.2">
      <c r="B60" s="209" t="s">
        <v>160</v>
      </c>
      <c r="C60" s="79">
        <f>(C25)</f>
        <v>90</v>
      </c>
      <c r="D60" s="211">
        <v>75</v>
      </c>
      <c r="E60" s="212">
        <v>75</v>
      </c>
      <c r="F60" s="213">
        <v>0.14666666666666667</v>
      </c>
      <c r="G60" s="214">
        <v>11</v>
      </c>
      <c r="H60" s="215">
        <v>1</v>
      </c>
      <c r="I60" s="216">
        <v>13.2</v>
      </c>
    </row>
    <row r="61" spans="2:9" x14ac:dyDescent="0.2">
      <c r="B61" s="94" t="s">
        <v>250</v>
      </c>
      <c r="C61" s="79">
        <f>(C26)</f>
        <v>239</v>
      </c>
      <c r="D61" s="96">
        <v>100</v>
      </c>
      <c r="E61" s="97">
        <v>100</v>
      </c>
      <c r="F61" s="98">
        <v>0.11</v>
      </c>
      <c r="G61" s="99">
        <v>11</v>
      </c>
      <c r="H61" s="100">
        <v>1</v>
      </c>
      <c r="I61" s="67">
        <v>28.189699999999998</v>
      </c>
    </row>
    <row r="62" spans="2:9" x14ac:dyDescent="0.2">
      <c r="B62" s="217" t="s">
        <v>325</v>
      </c>
      <c r="C62" s="79">
        <f>(C27)</f>
        <v>550</v>
      </c>
      <c r="D62" s="87"/>
      <c r="E62" s="218"/>
      <c r="F62" s="219"/>
      <c r="G62" s="218">
        <v>11</v>
      </c>
      <c r="H62" s="220"/>
      <c r="I62" s="53">
        <v>110</v>
      </c>
    </row>
    <row r="63" spans="2:9" x14ac:dyDescent="0.2">
      <c r="B63" s="217" t="s">
        <v>323</v>
      </c>
      <c r="C63" s="79">
        <f>(C28)</f>
        <v>0</v>
      </c>
      <c r="D63" s="87"/>
      <c r="E63" s="218"/>
      <c r="F63" s="219"/>
      <c r="G63" s="218">
        <v>11</v>
      </c>
      <c r="H63" s="220"/>
      <c r="I63" s="53">
        <v>55</v>
      </c>
    </row>
    <row r="64" spans="2:9" ht="16" thickBot="1" x14ac:dyDescent="0.25">
      <c r="B64" s="222" t="s">
        <v>180</v>
      </c>
      <c r="C64" s="223" t="s">
        <v>181</v>
      </c>
      <c r="D64" s="224" t="s">
        <v>182</v>
      </c>
      <c r="E64" s="223" t="s">
        <v>183</v>
      </c>
      <c r="F64" s="224" t="s">
        <v>60</v>
      </c>
      <c r="G64" s="223" t="s">
        <v>184</v>
      </c>
      <c r="H64" s="225" t="s">
        <v>185</v>
      </c>
      <c r="I64" s="226">
        <f>SUM(I40:I56)+(I59+I61+I57+I60+I62+I63)</f>
        <v>641.58634358538279</v>
      </c>
    </row>
    <row r="66" spans="1:9" x14ac:dyDescent="0.2">
      <c r="B66" s="101" t="s">
        <v>201</v>
      </c>
      <c r="C66" s="101"/>
      <c r="D66" s="101"/>
      <c r="E66" s="101"/>
      <c r="F66" s="101"/>
      <c r="G66" s="101"/>
      <c r="H66" s="102">
        <f>I64</f>
        <v>641.58634358538279</v>
      </c>
    </row>
    <row r="67" spans="1:9" x14ac:dyDescent="0.2">
      <c r="B67" s="101"/>
      <c r="C67" s="101"/>
      <c r="D67" s="101"/>
      <c r="E67" s="101"/>
      <c r="F67" s="101"/>
      <c r="G67" s="101"/>
      <c r="H67" s="101"/>
    </row>
    <row r="68" spans="1:9" x14ac:dyDescent="0.2">
      <c r="B68" s="101" t="s">
        <v>375</v>
      </c>
      <c r="C68" s="101"/>
      <c r="D68" s="101"/>
      <c r="E68" s="101"/>
      <c r="F68" s="101"/>
      <c r="G68" s="101"/>
      <c r="H68" s="102">
        <f>H66/9</f>
        <v>71.287371509486974</v>
      </c>
    </row>
    <row r="70" spans="1:9" x14ac:dyDescent="0.2">
      <c r="B70" s="860" t="s">
        <v>227</v>
      </c>
      <c r="C70" s="860"/>
      <c r="D70" s="860"/>
      <c r="E70" s="860"/>
      <c r="F70" s="860"/>
      <c r="G70" s="860"/>
      <c r="H70" s="860"/>
      <c r="I70" s="860"/>
    </row>
    <row r="71" spans="1:9" x14ac:dyDescent="0.2">
      <c r="B71" s="860"/>
      <c r="C71" s="860"/>
      <c r="D71" s="860"/>
      <c r="E71" s="860"/>
      <c r="F71" s="860"/>
      <c r="G71" s="860"/>
      <c r="H71" s="860"/>
      <c r="I71" s="860"/>
    </row>
    <row r="72" spans="1:9" ht="16" thickBot="1" x14ac:dyDescent="0.25"/>
    <row r="73" spans="1:9" ht="16" thickBot="1" x14ac:dyDescent="0.25">
      <c r="A73" s="177" t="s">
        <v>241</v>
      </c>
      <c r="B73" s="861" t="s">
        <v>174</v>
      </c>
      <c r="C73" s="862"/>
      <c r="D73" s="862"/>
      <c r="E73" s="862"/>
      <c r="F73" s="862"/>
      <c r="G73" s="862"/>
      <c r="H73" s="862"/>
      <c r="I73" s="863"/>
    </row>
    <row r="74" spans="1:9" ht="16" thickBot="1" x14ac:dyDescent="0.25">
      <c r="A74" s="177" t="s">
        <v>245</v>
      </c>
      <c r="B74" s="78" t="s">
        <v>29</v>
      </c>
      <c r="C74" s="79">
        <v>142.99</v>
      </c>
      <c r="D74" s="80" t="s">
        <v>175</v>
      </c>
      <c r="E74" s="81">
        <v>86</v>
      </c>
      <c r="F74" s="82">
        <v>0.21917808219178081</v>
      </c>
      <c r="G74" s="83">
        <v>16</v>
      </c>
      <c r="H74" s="84" t="s">
        <v>168</v>
      </c>
      <c r="I74" s="73">
        <v>30.244383561643836</v>
      </c>
    </row>
    <row r="75" spans="1:9" x14ac:dyDescent="0.2">
      <c r="B75" s="85" t="s">
        <v>251</v>
      </c>
      <c r="C75" s="79">
        <v>1173</v>
      </c>
      <c r="D75" s="87" t="s">
        <v>55</v>
      </c>
      <c r="E75" s="88">
        <v>1111</v>
      </c>
      <c r="F75" s="89">
        <v>5.4005400540054005E-3</v>
      </c>
      <c r="G75" s="90">
        <v>6</v>
      </c>
      <c r="H75" s="91" t="s">
        <v>169</v>
      </c>
      <c r="I75" s="53">
        <v>6.3348334833483344</v>
      </c>
    </row>
    <row r="76" spans="1:9" x14ac:dyDescent="0.2">
      <c r="B76" s="85" t="s">
        <v>42</v>
      </c>
      <c r="C76" s="79">
        <v>5</v>
      </c>
      <c r="D76" s="87" t="s">
        <v>58</v>
      </c>
      <c r="E76" s="88">
        <v>142</v>
      </c>
      <c r="F76" s="89">
        <v>7.0422535211267607E-3</v>
      </c>
      <c r="G76" s="90">
        <v>1</v>
      </c>
      <c r="H76" s="91" t="s">
        <v>170</v>
      </c>
      <c r="I76" s="53">
        <v>3.5211267605633804E-2</v>
      </c>
    </row>
    <row r="77" spans="1:9" x14ac:dyDescent="0.2">
      <c r="B77" s="85" t="s">
        <v>154</v>
      </c>
      <c r="C77" s="79">
        <v>3450</v>
      </c>
      <c r="D77" s="87" t="s">
        <v>54</v>
      </c>
      <c r="E77" s="88">
        <v>312</v>
      </c>
      <c r="F77" s="89">
        <v>0</v>
      </c>
      <c r="G77" s="90">
        <v>0</v>
      </c>
      <c r="H77" s="91" t="s">
        <v>168</v>
      </c>
      <c r="I77" s="53">
        <v>0</v>
      </c>
    </row>
    <row r="78" spans="1:9" x14ac:dyDescent="0.2">
      <c r="B78" s="85" t="s">
        <v>153</v>
      </c>
      <c r="C78" s="79">
        <v>772.8</v>
      </c>
      <c r="D78" s="87" t="s">
        <v>54</v>
      </c>
      <c r="E78" s="88">
        <v>1000</v>
      </c>
      <c r="F78" s="89">
        <v>0</v>
      </c>
      <c r="G78" s="90">
        <v>0</v>
      </c>
      <c r="H78" s="91" t="s">
        <v>169</v>
      </c>
      <c r="I78" s="53">
        <v>0</v>
      </c>
    </row>
    <row r="79" spans="1:9" x14ac:dyDescent="0.2">
      <c r="B79" s="85" t="s">
        <v>33</v>
      </c>
      <c r="C79" s="79">
        <v>430</v>
      </c>
      <c r="D79" s="87">
        <v>180</v>
      </c>
      <c r="E79" s="88">
        <v>60</v>
      </c>
      <c r="F79" s="89">
        <v>0.46666666666666667</v>
      </c>
      <c r="G79" s="90">
        <v>28</v>
      </c>
      <c r="H79" s="91">
        <v>1</v>
      </c>
      <c r="I79" s="53">
        <v>163.32866666666666</v>
      </c>
    </row>
    <row r="80" spans="1:9" x14ac:dyDescent="0.2">
      <c r="B80" s="85" t="s">
        <v>31</v>
      </c>
      <c r="C80" s="79">
        <v>174.99</v>
      </c>
      <c r="D80" s="87" t="s">
        <v>51</v>
      </c>
      <c r="E80" s="88">
        <v>46</v>
      </c>
      <c r="F80" s="89">
        <v>0</v>
      </c>
      <c r="G80" s="90">
        <v>0</v>
      </c>
      <c r="H80" s="91" t="s">
        <v>168</v>
      </c>
      <c r="I80" s="53">
        <v>0</v>
      </c>
    </row>
    <row r="81" spans="2:9" x14ac:dyDescent="0.2">
      <c r="B81" s="85" t="s">
        <v>30</v>
      </c>
      <c r="C81" s="79">
        <v>199.99</v>
      </c>
      <c r="D81" s="87" t="s">
        <v>51</v>
      </c>
      <c r="E81" s="88">
        <v>46</v>
      </c>
      <c r="F81" s="89">
        <v>0.26315789473684209</v>
      </c>
      <c r="G81" s="90">
        <v>10</v>
      </c>
      <c r="H81" s="91" t="s">
        <v>168</v>
      </c>
      <c r="I81" s="53">
        <v>48.681578947368422</v>
      </c>
    </row>
    <row r="82" spans="2:9" x14ac:dyDescent="0.2">
      <c r="B82" s="85" t="s">
        <v>32</v>
      </c>
      <c r="C82" s="79">
        <v>129.99</v>
      </c>
      <c r="D82" s="87" t="s">
        <v>176</v>
      </c>
      <c r="E82" s="88">
        <v>20</v>
      </c>
      <c r="F82" s="89">
        <v>0.2</v>
      </c>
      <c r="G82" s="90">
        <v>4</v>
      </c>
      <c r="H82" s="91" t="s">
        <v>168</v>
      </c>
      <c r="I82" s="53">
        <v>25.998000000000005</v>
      </c>
    </row>
    <row r="83" spans="2:9" x14ac:dyDescent="0.2">
      <c r="B83" s="85" t="s">
        <v>43</v>
      </c>
      <c r="C83" s="79">
        <v>142.94999999999999</v>
      </c>
      <c r="D83" s="87" t="s">
        <v>177</v>
      </c>
      <c r="E83" s="88">
        <v>37.5</v>
      </c>
      <c r="F83" s="89">
        <v>2.6666666666666668E-2</v>
      </c>
      <c r="G83" s="90">
        <v>1</v>
      </c>
      <c r="H83" s="91" t="s">
        <v>173</v>
      </c>
      <c r="I83" s="3">
        <v>3.8119999999999998</v>
      </c>
    </row>
    <row r="84" spans="2:9" x14ac:dyDescent="0.2">
      <c r="B84" s="85" t="s">
        <v>304</v>
      </c>
      <c r="C84" s="79">
        <v>69.989999999999995</v>
      </c>
      <c r="D84" s="87" t="s">
        <v>58</v>
      </c>
      <c r="E84" s="88">
        <v>25</v>
      </c>
      <c r="F84" s="89">
        <v>0.04</v>
      </c>
      <c r="G84" s="90">
        <v>1</v>
      </c>
      <c r="H84" s="91" t="s">
        <v>173</v>
      </c>
      <c r="I84" s="53">
        <v>2.7995999999999999</v>
      </c>
    </row>
    <row r="85" spans="2:9" x14ac:dyDescent="0.2">
      <c r="B85" s="85" t="s">
        <v>39</v>
      </c>
      <c r="C85" s="79">
        <v>99.99</v>
      </c>
      <c r="D85" s="87" t="s">
        <v>178</v>
      </c>
      <c r="E85" s="88">
        <v>6</v>
      </c>
      <c r="F85" s="89">
        <v>0</v>
      </c>
      <c r="G85" s="90">
        <v>0</v>
      </c>
      <c r="H85" s="91" t="s">
        <v>171</v>
      </c>
      <c r="I85" s="53">
        <v>0</v>
      </c>
    </row>
    <row r="86" spans="2:9" x14ac:dyDescent="0.2">
      <c r="B86" s="85" t="s">
        <v>150</v>
      </c>
      <c r="C86" s="79">
        <v>500</v>
      </c>
      <c r="D86" s="87" t="s">
        <v>57</v>
      </c>
      <c r="E86" s="88">
        <v>1000</v>
      </c>
      <c r="F86" s="89">
        <v>0</v>
      </c>
      <c r="G86" s="90">
        <v>0</v>
      </c>
      <c r="H86" s="91" t="s">
        <v>169</v>
      </c>
      <c r="I86" s="53">
        <v>0</v>
      </c>
    </row>
    <row r="87" spans="2:9" x14ac:dyDescent="0.2">
      <c r="B87" s="85" t="s">
        <v>40</v>
      </c>
      <c r="C87" s="79">
        <v>29.99</v>
      </c>
      <c r="D87" s="87" t="s">
        <v>305</v>
      </c>
      <c r="E87" s="88">
        <v>3</v>
      </c>
      <c r="F87" s="89">
        <v>0</v>
      </c>
      <c r="G87" s="90">
        <v>0</v>
      </c>
      <c r="H87" s="91" t="s">
        <v>58</v>
      </c>
      <c r="I87" s="53">
        <v>0</v>
      </c>
    </row>
    <row r="88" spans="2:9" x14ac:dyDescent="0.2">
      <c r="B88" s="85" t="s">
        <v>45</v>
      </c>
      <c r="C88" s="79">
        <v>26.99</v>
      </c>
      <c r="D88" s="87" t="s">
        <v>176</v>
      </c>
      <c r="E88" s="88">
        <v>83</v>
      </c>
      <c r="F88" s="89">
        <v>0</v>
      </c>
      <c r="G88" s="90">
        <v>0</v>
      </c>
      <c r="H88" s="91" t="s">
        <v>306</v>
      </c>
      <c r="I88" s="53">
        <v>0</v>
      </c>
    </row>
    <row r="89" spans="2:9" x14ac:dyDescent="0.2">
      <c r="B89" s="85" t="s">
        <v>214</v>
      </c>
      <c r="C89" s="79">
        <v>0</v>
      </c>
      <c r="D89" s="87"/>
      <c r="E89" s="88"/>
      <c r="F89" s="93">
        <v>6</v>
      </c>
      <c r="G89" s="90">
        <v>1.5</v>
      </c>
      <c r="H89" s="91" t="s">
        <v>171</v>
      </c>
      <c r="I89" s="3"/>
    </row>
    <row r="90" spans="2:9" ht="16" thickBot="1" x14ac:dyDescent="0.25">
      <c r="B90" s="94" t="s">
        <v>247</v>
      </c>
      <c r="C90" s="79">
        <v>134.99</v>
      </c>
      <c r="D90" s="96" t="s">
        <v>142</v>
      </c>
      <c r="E90" s="97">
        <v>30</v>
      </c>
      <c r="F90" s="98">
        <v>0.16666666666666666</v>
      </c>
      <c r="G90" s="99">
        <v>5</v>
      </c>
      <c r="H90" s="100" t="s">
        <v>173</v>
      </c>
      <c r="I90" s="67">
        <v>17.498333333333331</v>
      </c>
    </row>
    <row r="91" spans="2:9" ht="16" thickBot="1" x14ac:dyDescent="0.25">
      <c r="B91" s="861" t="s">
        <v>179</v>
      </c>
      <c r="C91" s="862"/>
      <c r="D91" s="862"/>
      <c r="E91" s="862"/>
      <c r="F91" s="862"/>
      <c r="G91" s="862"/>
      <c r="H91" s="862"/>
      <c r="I91" s="227"/>
    </row>
    <row r="92" spans="2:9" x14ac:dyDescent="0.2">
      <c r="B92" s="78" t="s">
        <v>172</v>
      </c>
      <c r="C92" s="79">
        <f>(C24)</f>
        <v>239</v>
      </c>
      <c r="D92" s="80">
        <v>100</v>
      </c>
      <c r="E92" s="81">
        <v>100</v>
      </c>
      <c r="F92" s="82">
        <v>7.0000000000000007E-2</v>
      </c>
      <c r="G92" s="83">
        <v>7</v>
      </c>
      <c r="H92" s="84">
        <v>1</v>
      </c>
      <c r="I92" s="73">
        <v>17.9389</v>
      </c>
    </row>
    <row r="93" spans="2:9" x14ac:dyDescent="0.2">
      <c r="B93" s="209" t="s">
        <v>160</v>
      </c>
      <c r="C93" s="79">
        <f>(C25)</f>
        <v>90</v>
      </c>
      <c r="D93" s="211">
        <v>75</v>
      </c>
      <c r="E93" s="212">
        <v>75</v>
      </c>
      <c r="F93" s="213">
        <v>9.3333333333333338E-2</v>
      </c>
      <c r="G93" s="214">
        <v>7</v>
      </c>
      <c r="H93" s="215">
        <v>1</v>
      </c>
      <c r="I93" s="216">
        <v>8.4</v>
      </c>
    </row>
    <row r="94" spans="2:9" x14ac:dyDescent="0.2">
      <c r="B94" s="94" t="s">
        <v>250</v>
      </c>
      <c r="C94" s="79">
        <f>(C26)</f>
        <v>239</v>
      </c>
      <c r="D94" s="96">
        <v>100</v>
      </c>
      <c r="E94" s="97">
        <v>100</v>
      </c>
      <c r="F94" s="98">
        <v>7.0000000000000007E-2</v>
      </c>
      <c r="G94" s="99">
        <v>7</v>
      </c>
      <c r="H94" s="100">
        <v>1</v>
      </c>
      <c r="I94" s="67">
        <v>17.9389</v>
      </c>
    </row>
    <row r="95" spans="2:9" x14ac:dyDescent="0.2">
      <c r="B95" s="217" t="s">
        <v>325</v>
      </c>
      <c r="C95" s="79">
        <f>(C27)</f>
        <v>550</v>
      </c>
      <c r="D95" s="87"/>
      <c r="E95" s="218"/>
      <c r="F95" s="219"/>
      <c r="G95" s="218"/>
      <c r="H95" s="220"/>
      <c r="I95" s="53">
        <v>70</v>
      </c>
    </row>
    <row r="96" spans="2:9" x14ac:dyDescent="0.2">
      <c r="B96" s="217" t="s">
        <v>376</v>
      </c>
      <c r="C96" s="79">
        <f>(C28)</f>
        <v>0</v>
      </c>
      <c r="D96" s="87"/>
      <c r="E96" s="218"/>
      <c r="F96" s="219"/>
      <c r="G96" s="218"/>
      <c r="H96" s="220"/>
      <c r="I96" s="53">
        <v>35</v>
      </c>
    </row>
    <row r="97" spans="1:9" ht="16" thickBot="1" x14ac:dyDescent="0.25">
      <c r="B97" s="222" t="s">
        <v>180</v>
      </c>
      <c r="C97" s="223" t="s">
        <v>181</v>
      </c>
      <c r="D97" s="224" t="s">
        <v>182</v>
      </c>
      <c r="E97" s="223" t="s">
        <v>183</v>
      </c>
      <c r="F97" s="224" t="s">
        <v>60</v>
      </c>
      <c r="G97" s="223" t="s">
        <v>184</v>
      </c>
      <c r="H97" s="225" t="s">
        <v>185</v>
      </c>
      <c r="I97" s="226">
        <f>SUM(I74:I96)</f>
        <v>448.0104072599662</v>
      </c>
    </row>
    <row r="99" spans="1:9" x14ac:dyDescent="0.2">
      <c r="B99" s="101" t="s">
        <v>201</v>
      </c>
      <c r="C99" s="101"/>
      <c r="D99" s="101"/>
      <c r="E99" s="101"/>
      <c r="F99" s="101"/>
      <c r="G99" s="101"/>
      <c r="H99" s="102">
        <f>I97</f>
        <v>448.0104072599662</v>
      </c>
    </row>
    <row r="100" spans="1:9" x14ac:dyDescent="0.2">
      <c r="B100" s="101"/>
      <c r="C100" s="101"/>
      <c r="D100" s="101"/>
      <c r="E100" s="101"/>
      <c r="F100" s="101"/>
      <c r="G100" s="101"/>
      <c r="H100" s="101"/>
    </row>
    <row r="101" spans="1:9" x14ac:dyDescent="0.2">
      <c r="B101" s="101" t="s">
        <v>375</v>
      </c>
      <c r="C101" s="101"/>
      <c r="D101" s="101"/>
      <c r="E101" s="101"/>
      <c r="F101" s="101"/>
      <c r="G101" s="101"/>
      <c r="H101" s="102">
        <f>H99/9</f>
        <v>49.778934139996245</v>
      </c>
    </row>
    <row r="103" spans="1:9" x14ac:dyDescent="0.2">
      <c r="B103" s="860" t="s">
        <v>228</v>
      </c>
      <c r="C103" s="860"/>
      <c r="D103" s="860"/>
      <c r="E103" s="860"/>
      <c r="F103" s="860"/>
      <c r="G103" s="860"/>
      <c r="H103" s="860"/>
      <c r="I103" s="860"/>
    </row>
    <row r="104" spans="1:9" x14ac:dyDescent="0.2">
      <c r="B104" s="860"/>
      <c r="C104" s="860"/>
      <c r="D104" s="860"/>
      <c r="E104" s="860"/>
      <c r="F104" s="860"/>
      <c r="G104" s="860"/>
      <c r="H104" s="860"/>
      <c r="I104" s="860"/>
    </row>
    <row r="105" spans="1:9" ht="16" thickBot="1" x14ac:dyDescent="0.25"/>
    <row r="106" spans="1:9" ht="16" thickBot="1" x14ac:dyDescent="0.25">
      <c r="A106" s="177" t="s">
        <v>241</v>
      </c>
      <c r="B106" s="861" t="s">
        <v>174</v>
      </c>
      <c r="C106" s="862"/>
      <c r="D106" s="862"/>
      <c r="E106" s="862"/>
      <c r="F106" s="862"/>
      <c r="G106" s="862"/>
      <c r="H106" s="862"/>
      <c r="I106" s="863"/>
    </row>
    <row r="107" spans="1:9" ht="16" thickBot="1" x14ac:dyDescent="0.25">
      <c r="A107" s="177" t="s">
        <v>244</v>
      </c>
      <c r="B107" s="78" t="s">
        <v>29</v>
      </c>
      <c r="C107" s="79">
        <v>145.99</v>
      </c>
      <c r="D107" s="80" t="s">
        <v>175</v>
      </c>
      <c r="E107" s="81">
        <v>84</v>
      </c>
      <c r="F107" s="82">
        <v>0.19047619047619047</v>
      </c>
      <c r="G107" s="83">
        <v>16</v>
      </c>
      <c r="H107" s="84" t="s">
        <v>168</v>
      </c>
      <c r="I107" s="73">
        <v>27.807619047619049</v>
      </c>
    </row>
    <row r="108" spans="1:9" x14ac:dyDescent="0.2">
      <c r="B108" s="85" t="s">
        <v>251</v>
      </c>
      <c r="C108" s="79">
        <v>1000</v>
      </c>
      <c r="D108" s="87" t="s">
        <v>55</v>
      </c>
      <c r="E108" s="88">
        <v>1111</v>
      </c>
      <c r="F108" s="89">
        <v>5.4005400540054005E-3</v>
      </c>
      <c r="G108" s="90">
        <v>6</v>
      </c>
      <c r="H108" s="91" t="s">
        <v>169</v>
      </c>
      <c r="I108" s="53">
        <v>5.4005400540054005</v>
      </c>
    </row>
    <row r="109" spans="1:9" x14ac:dyDescent="0.2">
      <c r="B109" s="85" t="s">
        <v>42</v>
      </c>
      <c r="C109" s="79">
        <v>5</v>
      </c>
      <c r="D109" s="87" t="s">
        <v>58</v>
      </c>
      <c r="E109" s="88">
        <v>142</v>
      </c>
      <c r="F109" s="89">
        <v>7.0422535211267607E-3</v>
      </c>
      <c r="G109" s="90">
        <v>1</v>
      </c>
      <c r="H109" s="91" t="s">
        <v>170</v>
      </c>
      <c r="I109" s="53">
        <v>3.5211267605633804E-2</v>
      </c>
    </row>
    <row r="110" spans="1:9" x14ac:dyDescent="0.2">
      <c r="B110" s="85" t="s">
        <v>154</v>
      </c>
      <c r="C110" s="79">
        <v>4358.8</v>
      </c>
      <c r="D110" s="87" t="s">
        <v>54</v>
      </c>
      <c r="E110" s="88">
        <v>312</v>
      </c>
      <c r="F110" s="89">
        <v>0</v>
      </c>
      <c r="G110" s="90">
        <v>0</v>
      </c>
      <c r="H110" s="91" t="s">
        <v>168</v>
      </c>
      <c r="I110" s="53">
        <v>0</v>
      </c>
    </row>
    <row r="111" spans="1:9" x14ac:dyDescent="0.2">
      <c r="B111" s="85" t="s">
        <v>153</v>
      </c>
      <c r="C111" s="79">
        <v>772.8</v>
      </c>
      <c r="D111" s="87" t="s">
        <v>54</v>
      </c>
      <c r="E111" s="88">
        <v>1000</v>
      </c>
      <c r="F111" s="89">
        <v>0</v>
      </c>
      <c r="G111" s="90">
        <v>0</v>
      </c>
      <c r="H111" s="91" t="s">
        <v>169</v>
      </c>
      <c r="I111" s="53">
        <v>0</v>
      </c>
    </row>
    <row r="112" spans="1:9" x14ac:dyDescent="0.2">
      <c r="B112" s="85" t="s">
        <v>33</v>
      </c>
      <c r="C112" s="79">
        <v>449.99</v>
      </c>
      <c r="D112" s="87">
        <v>180</v>
      </c>
      <c r="E112" s="88">
        <v>60</v>
      </c>
      <c r="F112" s="89">
        <v>0.46666666666666667</v>
      </c>
      <c r="G112" s="90">
        <v>28</v>
      </c>
      <c r="H112" s="91">
        <v>1</v>
      </c>
      <c r="I112" s="53">
        <v>209.99533333333335</v>
      </c>
    </row>
    <row r="113" spans="2:9" x14ac:dyDescent="0.2">
      <c r="B113" s="85" t="s">
        <v>31</v>
      </c>
      <c r="C113" s="79">
        <v>172.99</v>
      </c>
      <c r="D113" s="87" t="s">
        <v>51</v>
      </c>
      <c r="E113" s="88">
        <v>46</v>
      </c>
      <c r="F113" s="89">
        <v>0</v>
      </c>
      <c r="G113" s="90">
        <v>0</v>
      </c>
      <c r="H113" s="91" t="s">
        <v>168</v>
      </c>
      <c r="I113" s="53">
        <v>0</v>
      </c>
    </row>
    <row r="114" spans="2:9" x14ac:dyDescent="0.2">
      <c r="B114" s="85" t="s">
        <v>30</v>
      </c>
      <c r="C114" s="79">
        <v>200</v>
      </c>
      <c r="D114" s="87" t="s">
        <v>51</v>
      </c>
      <c r="E114" s="88">
        <v>46</v>
      </c>
      <c r="F114" s="89">
        <v>0.21739130434782608</v>
      </c>
      <c r="G114" s="90">
        <v>10</v>
      </c>
      <c r="H114" s="91" t="s">
        <v>168</v>
      </c>
      <c r="I114" s="53">
        <v>43.478260869565219</v>
      </c>
    </row>
    <row r="115" spans="2:9" x14ac:dyDescent="0.2">
      <c r="B115" s="85" t="s">
        <v>32</v>
      </c>
      <c r="C115" s="79">
        <v>118</v>
      </c>
      <c r="D115" s="87" t="s">
        <v>176</v>
      </c>
      <c r="E115" s="88">
        <v>20</v>
      </c>
      <c r="F115" s="89">
        <v>0.2</v>
      </c>
      <c r="G115" s="90">
        <v>4</v>
      </c>
      <c r="H115" s="91" t="s">
        <v>168</v>
      </c>
      <c r="I115" s="53">
        <v>23.6</v>
      </c>
    </row>
    <row r="116" spans="2:9" x14ac:dyDescent="0.2">
      <c r="B116" s="85" t="s">
        <v>43</v>
      </c>
      <c r="C116" s="79">
        <v>142.94999999999999</v>
      </c>
      <c r="D116" s="87" t="s">
        <v>177</v>
      </c>
      <c r="E116" s="88">
        <v>37.5</v>
      </c>
      <c r="F116" s="89">
        <v>2.6666666666666668E-2</v>
      </c>
      <c r="G116" s="90">
        <v>1</v>
      </c>
      <c r="H116" s="91" t="s">
        <v>173</v>
      </c>
      <c r="I116" s="3">
        <v>3.8119999999999998</v>
      </c>
    </row>
    <row r="117" spans="2:9" x14ac:dyDescent="0.2">
      <c r="B117" s="85" t="s">
        <v>304</v>
      </c>
      <c r="C117" s="79">
        <v>74.989999999999995</v>
      </c>
      <c r="D117" s="87" t="s">
        <v>58</v>
      </c>
      <c r="E117" s="88">
        <v>25</v>
      </c>
      <c r="F117" s="89">
        <v>0.04</v>
      </c>
      <c r="G117" s="90">
        <v>1</v>
      </c>
      <c r="H117" s="91" t="s">
        <v>173</v>
      </c>
      <c r="I117" s="53">
        <v>2.9996</v>
      </c>
    </row>
    <row r="118" spans="2:9" x14ac:dyDescent="0.2">
      <c r="B118" s="85" t="s">
        <v>39</v>
      </c>
      <c r="C118" s="79">
        <v>91.99</v>
      </c>
      <c r="D118" s="87" t="s">
        <v>178</v>
      </c>
      <c r="E118" s="88">
        <v>6</v>
      </c>
      <c r="F118" s="89">
        <v>0</v>
      </c>
      <c r="G118" s="90">
        <v>0</v>
      </c>
      <c r="H118" s="91" t="s">
        <v>171</v>
      </c>
      <c r="I118" s="53">
        <v>0</v>
      </c>
    </row>
    <row r="119" spans="2:9" x14ac:dyDescent="0.2">
      <c r="B119" s="85" t="s">
        <v>150</v>
      </c>
      <c r="C119" s="79">
        <v>500</v>
      </c>
      <c r="D119" s="87" t="s">
        <v>57</v>
      </c>
      <c r="E119" s="88">
        <v>1000</v>
      </c>
      <c r="F119" s="89">
        <v>0</v>
      </c>
      <c r="G119" s="90">
        <v>0</v>
      </c>
      <c r="H119" s="91" t="s">
        <v>169</v>
      </c>
      <c r="I119" s="53">
        <v>0</v>
      </c>
    </row>
    <row r="120" spans="2:9" x14ac:dyDescent="0.2">
      <c r="B120" s="85" t="s">
        <v>40</v>
      </c>
      <c r="C120" s="79">
        <v>29.99</v>
      </c>
      <c r="D120" s="87" t="s">
        <v>305</v>
      </c>
      <c r="E120" s="88">
        <v>3</v>
      </c>
      <c r="F120" s="89">
        <v>0</v>
      </c>
      <c r="G120" s="90">
        <v>0</v>
      </c>
      <c r="H120" s="91" t="s">
        <v>58</v>
      </c>
      <c r="I120" s="53">
        <v>0</v>
      </c>
    </row>
    <row r="121" spans="2:9" x14ac:dyDescent="0.2">
      <c r="B121" s="85" t="s">
        <v>45</v>
      </c>
      <c r="C121" s="79">
        <v>26.99</v>
      </c>
      <c r="D121" s="87" t="s">
        <v>176</v>
      </c>
      <c r="E121" s="88">
        <v>83</v>
      </c>
      <c r="F121" s="89">
        <v>0</v>
      </c>
      <c r="G121" s="90">
        <v>0</v>
      </c>
      <c r="H121" s="91" t="s">
        <v>306</v>
      </c>
      <c r="I121" s="53">
        <v>0</v>
      </c>
    </row>
    <row r="122" spans="2:9" x14ac:dyDescent="0.2">
      <c r="B122" s="85" t="s">
        <v>214</v>
      </c>
      <c r="C122" s="79">
        <v>0</v>
      </c>
      <c r="D122" s="87"/>
      <c r="E122" s="88"/>
      <c r="F122" s="93">
        <v>6</v>
      </c>
      <c r="G122" s="90">
        <v>1.5</v>
      </c>
      <c r="H122" s="91" t="s">
        <v>171</v>
      </c>
      <c r="I122" s="3"/>
    </row>
    <row r="123" spans="2:9" ht="16" thickBot="1" x14ac:dyDescent="0.25">
      <c r="B123" s="94" t="s">
        <v>247</v>
      </c>
      <c r="C123" s="79">
        <v>109.99</v>
      </c>
      <c r="D123" s="96" t="s">
        <v>142</v>
      </c>
      <c r="E123" s="97">
        <v>30</v>
      </c>
      <c r="F123" s="98">
        <v>6.6666666666666666E-2</v>
      </c>
      <c r="G123" s="99">
        <v>0</v>
      </c>
      <c r="H123" s="100" t="s">
        <v>173</v>
      </c>
      <c r="I123" s="67">
        <v>0</v>
      </c>
    </row>
    <row r="124" spans="2:9" ht="16" thickBot="1" x14ac:dyDescent="0.25">
      <c r="B124" s="861" t="s">
        <v>179</v>
      </c>
      <c r="C124" s="862"/>
      <c r="D124" s="862"/>
      <c r="E124" s="862"/>
      <c r="F124" s="862"/>
      <c r="G124" s="862"/>
      <c r="H124" s="862"/>
      <c r="I124" s="227"/>
    </row>
    <row r="125" spans="2:9" x14ac:dyDescent="0.2">
      <c r="B125" s="78" t="s">
        <v>172</v>
      </c>
      <c r="C125" s="79">
        <v>239</v>
      </c>
      <c r="D125" s="80">
        <v>100</v>
      </c>
      <c r="E125" s="81">
        <v>100</v>
      </c>
      <c r="F125" s="82">
        <v>7.0000000000000007E-2</v>
      </c>
      <c r="G125" s="83">
        <v>7</v>
      </c>
      <c r="H125" s="84">
        <v>1</v>
      </c>
      <c r="I125" s="73"/>
    </row>
    <row r="126" spans="2:9" x14ac:dyDescent="0.2">
      <c r="B126" s="209" t="s">
        <v>160</v>
      </c>
      <c r="C126" s="79">
        <v>90</v>
      </c>
      <c r="D126" s="211">
        <v>75</v>
      </c>
      <c r="E126" s="212">
        <v>75</v>
      </c>
      <c r="F126" s="213">
        <v>9.3333333333333338E-2</v>
      </c>
      <c r="G126" s="214">
        <v>7</v>
      </c>
      <c r="H126" s="215">
        <v>1</v>
      </c>
      <c r="I126" s="216"/>
    </row>
    <row r="127" spans="2:9" x14ac:dyDescent="0.2">
      <c r="B127" s="94" t="s">
        <v>250</v>
      </c>
      <c r="C127" s="79">
        <v>239</v>
      </c>
      <c r="D127" s="96">
        <v>100</v>
      </c>
      <c r="E127" s="97">
        <v>100</v>
      </c>
      <c r="F127" s="98">
        <v>7.0000000000000007E-2</v>
      </c>
      <c r="G127" s="99">
        <v>7</v>
      </c>
      <c r="H127" s="100">
        <v>1</v>
      </c>
      <c r="I127" s="67"/>
    </row>
    <row r="128" spans="2:9" x14ac:dyDescent="0.2">
      <c r="B128" s="217" t="s">
        <v>325</v>
      </c>
      <c r="C128" s="79">
        <f>(C27)</f>
        <v>550</v>
      </c>
      <c r="D128" s="87"/>
      <c r="E128" s="218"/>
      <c r="F128" s="219"/>
      <c r="G128" s="218"/>
      <c r="H128" s="220"/>
      <c r="I128" s="53"/>
    </row>
    <row r="129" spans="1:20" x14ac:dyDescent="0.2">
      <c r="B129" s="217" t="s">
        <v>323</v>
      </c>
      <c r="C129" s="79">
        <f>(C28)</f>
        <v>0</v>
      </c>
      <c r="D129" s="87"/>
      <c r="E129" s="218"/>
      <c r="F129" s="219"/>
      <c r="G129" s="218"/>
      <c r="H129" s="220"/>
      <c r="I129" s="53"/>
    </row>
    <row r="130" spans="1:20" ht="16" thickBot="1" x14ac:dyDescent="0.25">
      <c r="B130" s="222" t="s">
        <v>180</v>
      </c>
      <c r="C130" s="223" t="s">
        <v>181</v>
      </c>
      <c r="D130" s="224" t="s">
        <v>182</v>
      </c>
      <c r="E130" s="223" t="s">
        <v>183</v>
      </c>
      <c r="F130" s="224" t="s">
        <v>60</v>
      </c>
      <c r="G130" s="223" t="s">
        <v>184</v>
      </c>
      <c r="H130" s="225" t="s">
        <v>185</v>
      </c>
      <c r="I130" s="226">
        <f>SUM(I107:I129)</f>
        <v>317.12856457212865</v>
      </c>
    </row>
    <row r="132" spans="1:20" x14ac:dyDescent="0.2">
      <c r="B132" s="101" t="s">
        <v>201</v>
      </c>
      <c r="C132" s="101"/>
      <c r="D132" s="101"/>
      <c r="E132" s="101"/>
      <c r="F132" s="101"/>
      <c r="G132" s="101"/>
      <c r="H132" s="102">
        <f>I130</f>
        <v>317.12856457212865</v>
      </c>
    </row>
    <row r="133" spans="1:20" x14ac:dyDescent="0.2">
      <c r="B133" s="101"/>
      <c r="C133" s="101"/>
      <c r="D133" s="101"/>
      <c r="E133" s="101"/>
      <c r="F133" s="101"/>
      <c r="G133" s="101"/>
      <c r="H133" s="101"/>
    </row>
    <row r="134" spans="1:20" x14ac:dyDescent="0.2">
      <c r="B134" s="101" t="s">
        <v>375</v>
      </c>
      <c r="C134" s="101"/>
      <c r="D134" s="101"/>
      <c r="E134" s="101"/>
      <c r="F134" s="101"/>
      <c r="G134" s="101"/>
      <c r="H134" s="102">
        <f>H132/7</f>
        <v>45.304080653161236</v>
      </c>
    </row>
    <row r="136" spans="1:20" ht="15" customHeight="1" x14ac:dyDescent="0.2">
      <c r="B136" s="860" t="s">
        <v>229</v>
      </c>
      <c r="C136" s="860"/>
      <c r="D136" s="860"/>
      <c r="E136" s="860"/>
      <c r="F136" s="860"/>
      <c r="G136" s="860"/>
      <c r="H136" s="860"/>
      <c r="I136" s="860"/>
      <c r="M136" s="860" t="s">
        <v>229</v>
      </c>
      <c r="N136" s="860"/>
      <c r="O136" s="860"/>
      <c r="P136" s="860"/>
      <c r="Q136" s="860"/>
      <c r="R136" s="860"/>
      <c r="S136" s="860"/>
      <c r="T136" s="860"/>
    </row>
    <row r="137" spans="1:20" ht="15" customHeight="1" x14ac:dyDescent="0.2">
      <c r="B137" s="860"/>
      <c r="C137" s="860"/>
      <c r="D137" s="860"/>
      <c r="E137" s="860"/>
      <c r="F137" s="860"/>
      <c r="G137" s="860"/>
      <c r="H137" s="860"/>
      <c r="I137" s="860"/>
      <c r="M137" s="860"/>
      <c r="N137" s="860"/>
      <c r="O137" s="860"/>
      <c r="P137" s="860"/>
      <c r="Q137" s="860"/>
      <c r="R137" s="860"/>
      <c r="S137" s="860"/>
      <c r="T137" s="860"/>
    </row>
    <row r="138" spans="1:20" ht="16" thickBot="1" x14ac:dyDescent="0.25"/>
    <row r="139" spans="1:20" ht="16" thickBot="1" x14ac:dyDescent="0.25">
      <c r="A139" s="177" t="s">
        <v>241</v>
      </c>
      <c r="B139" s="861" t="s">
        <v>174</v>
      </c>
      <c r="C139" s="862"/>
      <c r="D139" s="862"/>
      <c r="E139" s="862"/>
      <c r="F139" s="862"/>
      <c r="G139" s="862"/>
      <c r="H139" s="862"/>
      <c r="I139" s="863"/>
      <c r="L139" s="177" t="s">
        <v>241</v>
      </c>
      <c r="M139" s="861" t="s">
        <v>174</v>
      </c>
      <c r="N139" s="862"/>
      <c r="O139" s="862"/>
      <c r="P139" s="862"/>
      <c r="Q139" s="862"/>
      <c r="R139" s="862"/>
      <c r="S139" s="862"/>
      <c r="T139" s="863"/>
    </row>
    <row r="140" spans="1:20" ht="16" thickBot="1" x14ac:dyDescent="0.25">
      <c r="A140" s="177" t="s">
        <v>243</v>
      </c>
      <c r="B140" s="78" t="s">
        <v>29</v>
      </c>
      <c r="C140" s="79">
        <f>(C39)</f>
        <v>0</v>
      </c>
      <c r="D140" s="80" t="s">
        <v>175</v>
      </c>
      <c r="E140" s="81">
        <v>86</v>
      </c>
      <c r="F140" s="82">
        <v>0.20547945205479451</v>
      </c>
      <c r="G140" s="83">
        <v>15</v>
      </c>
      <c r="H140" s="84" t="s">
        <v>168</v>
      </c>
      <c r="I140" s="73">
        <v>28.354109589041098</v>
      </c>
      <c r="L140" s="177" t="s">
        <v>243</v>
      </c>
      <c r="M140" s="78" t="s">
        <v>29</v>
      </c>
      <c r="N140" s="79">
        <f>(C6)</f>
        <v>145.99</v>
      </c>
      <c r="O140" s="80" t="s">
        <v>175</v>
      </c>
      <c r="P140" s="81">
        <v>73</v>
      </c>
      <c r="Q140" s="82">
        <v>0.20547945205479451</v>
      </c>
      <c r="R140" s="83">
        <v>15</v>
      </c>
      <c r="S140" s="84" t="s">
        <v>168</v>
      </c>
      <c r="T140" s="73">
        <v>31.027397260273972</v>
      </c>
    </row>
    <row r="141" spans="1:20" x14ac:dyDescent="0.2">
      <c r="B141" s="85" t="s">
        <v>251</v>
      </c>
      <c r="C141" s="79">
        <f t="shared" ref="C141:C156" si="0">(C40)</f>
        <v>142.99</v>
      </c>
      <c r="D141" s="87" t="s">
        <v>55</v>
      </c>
      <c r="E141" s="88">
        <v>1111</v>
      </c>
      <c r="F141" s="89">
        <v>4.5004500450045006E-3</v>
      </c>
      <c r="G141" s="90">
        <v>5</v>
      </c>
      <c r="H141" s="91" t="s">
        <v>169</v>
      </c>
      <c r="I141" s="53">
        <v>5.2790279027902791</v>
      </c>
      <c r="M141" s="85" t="s">
        <v>251</v>
      </c>
      <c r="N141" s="79">
        <f t="shared" ref="N141:N156" si="1">(C7)</f>
        <v>1000</v>
      </c>
      <c r="O141" s="87" t="s">
        <v>55</v>
      </c>
      <c r="P141" s="88">
        <v>1111</v>
      </c>
      <c r="Q141" s="89">
        <v>4.5004500450045006E-3</v>
      </c>
      <c r="R141" s="90">
        <v>5</v>
      </c>
      <c r="S141" s="91" t="s">
        <v>169</v>
      </c>
      <c r="T141" s="53">
        <v>5.1755175517551759</v>
      </c>
    </row>
    <row r="142" spans="1:20" x14ac:dyDescent="0.2">
      <c r="B142" s="85" t="s">
        <v>42</v>
      </c>
      <c r="C142" s="79">
        <f t="shared" si="0"/>
        <v>1173</v>
      </c>
      <c r="D142" s="87" t="s">
        <v>58</v>
      </c>
      <c r="E142" s="88">
        <v>142</v>
      </c>
      <c r="F142" s="89">
        <v>7.0422535211267607E-3</v>
      </c>
      <c r="G142" s="90">
        <v>1</v>
      </c>
      <c r="H142" s="91" t="s">
        <v>170</v>
      </c>
      <c r="I142" s="53">
        <v>3.5211267605633804E-2</v>
      </c>
      <c r="M142" s="85" t="s">
        <v>42</v>
      </c>
      <c r="N142" s="79">
        <f t="shared" si="1"/>
        <v>5</v>
      </c>
      <c r="O142" s="87" t="s">
        <v>58</v>
      </c>
      <c r="P142" s="88">
        <v>142</v>
      </c>
      <c r="Q142" s="89">
        <v>7.0422535211267607E-3</v>
      </c>
      <c r="R142" s="90">
        <v>1</v>
      </c>
      <c r="S142" s="91" t="s">
        <v>170</v>
      </c>
      <c r="T142" s="53">
        <v>3.5211267605633804E-2</v>
      </c>
    </row>
    <row r="143" spans="1:20" x14ac:dyDescent="0.2">
      <c r="B143" s="85" t="s">
        <v>154</v>
      </c>
      <c r="C143" s="79">
        <f t="shared" si="0"/>
        <v>5</v>
      </c>
      <c r="D143" s="87" t="s">
        <v>54</v>
      </c>
      <c r="E143" s="88">
        <v>312</v>
      </c>
      <c r="F143" s="89">
        <v>3.205128205128205E-3</v>
      </c>
      <c r="G143" s="90">
        <v>1</v>
      </c>
      <c r="H143" s="91" t="s">
        <v>168</v>
      </c>
      <c r="I143" s="53">
        <v>11.057692307692307</v>
      </c>
      <c r="M143" s="85" t="s">
        <v>154</v>
      </c>
      <c r="N143" s="79">
        <f t="shared" si="1"/>
        <v>4358.8</v>
      </c>
      <c r="O143" s="87" t="s">
        <v>54</v>
      </c>
      <c r="P143" s="88">
        <v>312</v>
      </c>
      <c r="Q143" s="89">
        <v>3.205128205128205E-3</v>
      </c>
      <c r="R143" s="90">
        <v>1</v>
      </c>
      <c r="S143" s="91" t="s">
        <v>168</v>
      </c>
      <c r="T143" s="53">
        <v>11.057692307692307</v>
      </c>
    </row>
    <row r="144" spans="1:20" x14ac:dyDescent="0.2">
      <c r="B144" s="85" t="s">
        <v>153</v>
      </c>
      <c r="C144" s="79">
        <f t="shared" si="0"/>
        <v>3450</v>
      </c>
      <c r="D144" s="87" t="s">
        <v>54</v>
      </c>
      <c r="E144" s="88">
        <v>1000</v>
      </c>
      <c r="F144" s="89">
        <v>2E-3</v>
      </c>
      <c r="G144" s="90">
        <v>2</v>
      </c>
      <c r="H144" s="91" t="s">
        <v>169</v>
      </c>
      <c r="I144" s="53">
        <v>1.5455999999999999</v>
      </c>
      <c r="M144" s="85" t="s">
        <v>153</v>
      </c>
      <c r="N144" s="79">
        <f t="shared" si="1"/>
        <v>772.8</v>
      </c>
      <c r="O144" s="87" t="s">
        <v>54</v>
      </c>
      <c r="P144" s="88">
        <v>1000</v>
      </c>
      <c r="Q144" s="89">
        <v>2E-3</v>
      </c>
      <c r="R144" s="90">
        <v>2</v>
      </c>
      <c r="S144" s="91" t="s">
        <v>169</v>
      </c>
      <c r="T144" s="53">
        <v>1.5455999999999999</v>
      </c>
    </row>
    <row r="145" spans="2:20" x14ac:dyDescent="0.2">
      <c r="B145" s="85" t="s">
        <v>33</v>
      </c>
      <c r="C145" s="79">
        <f t="shared" si="0"/>
        <v>772.8</v>
      </c>
      <c r="D145" s="87">
        <v>180</v>
      </c>
      <c r="E145" s="88">
        <v>60</v>
      </c>
      <c r="F145" s="89">
        <v>0.46666666666666667</v>
      </c>
      <c r="G145" s="90">
        <v>28</v>
      </c>
      <c r="H145" s="91">
        <v>1</v>
      </c>
      <c r="I145" s="53">
        <v>163.32866666666666</v>
      </c>
      <c r="M145" s="85" t="s">
        <v>33</v>
      </c>
      <c r="N145" s="79">
        <f t="shared" si="1"/>
        <v>449.99</v>
      </c>
      <c r="O145" s="87">
        <v>180</v>
      </c>
      <c r="P145" s="88">
        <v>60</v>
      </c>
      <c r="Q145" s="89">
        <v>0.15555555555555556</v>
      </c>
      <c r="R145" s="90">
        <v>28</v>
      </c>
      <c r="S145" s="91">
        <v>1</v>
      </c>
      <c r="T145" s="53">
        <v>140</v>
      </c>
    </row>
    <row r="146" spans="2:20" x14ac:dyDescent="0.2">
      <c r="B146" s="85" t="s">
        <v>31</v>
      </c>
      <c r="C146" s="79">
        <v>174.99</v>
      </c>
      <c r="D146" s="87" t="s">
        <v>51</v>
      </c>
      <c r="E146" s="88">
        <v>46</v>
      </c>
      <c r="F146" s="89">
        <v>0.25</v>
      </c>
      <c r="G146" s="90">
        <v>10</v>
      </c>
      <c r="H146" s="91" t="s">
        <v>168</v>
      </c>
      <c r="I146" s="53">
        <v>41.247500000000002</v>
      </c>
      <c r="M146" s="85" t="s">
        <v>31</v>
      </c>
      <c r="N146" s="79">
        <f t="shared" si="1"/>
        <v>172.99</v>
      </c>
      <c r="O146" s="87" t="s">
        <v>51</v>
      </c>
      <c r="P146" s="88">
        <v>46</v>
      </c>
      <c r="Q146" s="89">
        <v>0.25</v>
      </c>
      <c r="R146" s="90">
        <v>10</v>
      </c>
      <c r="S146" s="91" t="s">
        <v>168</v>
      </c>
      <c r="T146" s="53">
        <v>40.997500000000002</v>
      </c>
    </row>
    <row r="147" spans="2:20" x14ac:dyDescent="0.2">
      <c r="B147" s="85" t="s">
        <v>30</v>
      </c>
      <c r="C147" s="79">
        <v>199.99</v>
      </c>
      <c r="D147" s="87" t="s">
        <v>51</v>
      </c>
      <c r="E147" s="88">
        <v>46</v>
      </c>
      <c r="F147" s="89">
        <v>0</v>
      </c>
      <c r="G147" s="90">
        <v>0</v>
      </c>
      <c r="H147" s="91" t="s">
        <v>168</v>
      </c>
      <c r="I147" s="53">
        <v>0</v>
      </c>
      <c r="M147" s="85" t="s">
        <v>30</v>
      </c>
      <c r="N147" s="79">
        <f t="shared" si="1"/>
        <v>200</v>
      </c>
      <c r="O147" s="87" t="s">
        <v>51</v>
      </c>
      <c r="P147" s="88">
        <v>46</v>
      </c>
      <c r="Q147" s="89">
        <v>0</v>
      </c>
      <c r="R147" s="90">
        <v>0</v>
      </c>
      <c r="S147" s="91" t="s">
        <v>168</v>
      </c>
      <c r="T147" s="53">
        <v>0</v>
      </c>
    </row>
    <row r="148" spans="2:20" x14ac:dyDescent="0.2">
      <c r="B148" s="85" t="s">
        <v>32</v>
      </c>
      <c r="C148" s="79">
        <f t="shared" si="0"/>
        <v>199.99</v>
      </c>
      <c r="D148" s="87" t="s">
        <v>176</v>
      </c>
      <c r="E148" s="88">
        <v>20</v>
      </c>
      <c r="F148" s="89">
        <v>0.2</v>
      </c>
      <c r="G148" s="90">
        <v>4</v>
      </c>
      <c r="H148" s="91" t="s">
        <v>168</v>
      </c>
      <c r="I148" s="53">
        <v>25.998000000000005</v>
      </c>
      <c r="M148" s="85" t="s">
        <v>32</v>
      </c>
      <c r="N148" s="79">
        <f t="shared" si="1"/>
        <v>118</v>
      </c>
      <c r="O148" s="87" t="s">
        <v>176</v>
      </c>
      <c r="P148" s="88">
        <v>20</v>
      </c>
      <c r="Q148" s="89">
        <v>0.2</v>
      </c>
      <c r="R148" s="90">
        <v>4</v>
      </c>
      <c r="S148" s="91" t="s">
        <v>168</v>
      </c>
      <c r="T148" s="53">
        <v>33.998000000000005</v>
      </c>
    </row>
    <row r="149" spans="2:20" x14ac:dyDescent="0.2">
      <c r="B149" s="85" t="s">
        <v>43</v>
      </c>
      <c r="C149" s="79">
        <f t="shared" si="0"/>
        <v>129.99</v>
      </c>
      <c r="D149" s="87" t="s">
        <v>177</v>
      </c>
      <c r="E149" s="88">
        <v>37.5</v>
      </c>
      <c r="F149" s="89">
        <v>0</v>
      </c>
      <c r="G149" s="90">
        <v>0</v>
      </c>
      <c r="H149" s="91" t="s">
        <v>173</v>
      </c>
      <c r="I149" s="3">
        <v>0</v>
      </c>
      <c r="M149" s="85" t="s">
        <v>43</v>
      </c>
      <c r="N149" s="79">
        <f t="shared" si="1"/>
        <v>142.94999999999999</v>
      </c>
      <c r="O149" s="87" t="s">
        <v>177</v>
      </c>
      <c r="P149" s="88">
        <v>37.5</v>
      </c>
      <c r="Q149" s="89">
        <v>0</v>
      </c>
      <c r="R149" s="90">
        <v>0</v>
      </c>
      <c r="S149" s="91" t="s">
        <v>173</v>
      </c>
      <c r="T149" s="3">
        <v>0</v>
      </c>
    </row>
    <row r="150" spans="2:20" x14ac:dyDescent="0.2">
      <c r="B150" s="85" t="s">
        <v>304</v>
      </c>
      <c r="C150" s="79">
        <f t="shared" si="0"/>
        <v>142.94999999999999</v>
      </c>
      <c r="D150" s="87" t="s">
        <v>58</v>
      </c>
      <c r="E150" s="88">
        <v>25</v>
      </c>
      <c r="F150" s="89">
        <v>0</v>
      </c>
      <c r="G150" s="90">
        <v>0</v>
      </c>
      <c r="H150" s="91" t="s">
        <v>173</v>
      </c>
      <c r="I150" s="53">
        <v>0</v>
      </c>
      <c r="M150" s="85" t="s">
        <v>304</v>
      </c>
      <c r="N150" s="79">
        <f t="shared" si="1"/>
        <v>74.989999999999995</v>
      </c>
      <c r="O150" s="87" t="s">
        <v>58</v>
      </c>
      <c r="P150" s="88">
        <v>25</v>
      </c>
      <c r="Q150" s="89">
        <v>0</v>
      </c>
      <c r="R150" s="90">
        <v>0</v>
      </c>
      <c r="S150" s="91" t="s">
        <v>173</v>
      </c>
      <c r="T150" s="53">
        <v>0</v>
      </c>
    </row>
    <row r="151" spans="2:20" x14ac:dyDescent="0.2">
      <c r="B151" s="85" t="s">
        <v>39</v>
      </c>
      <c r="C151" s="79">
        <f t="shared" si="0"/>
        <v>69.989999999999995</v>
      </c>
      <c r="D151" s="87" t="s">
        <v>178</v>
      </c>
      <c r="E151" s="88">
        <v>6</v>
      </c>
      <c r="F151" s="89">
        <v>0</v>
      </c>
      <c r="G151" s="90">
        <v>0</v>
      </c>
      <c r="H151" s="91" t="s">
        <v>171</v>
      </c>
      <c r="I151" s="53">
        <v>0</v>
      </c>
      <c r="M151" s="85" t="s">
        <v>39</v>
      </c>
      <c r="N151" s="79">
        <f t="shared" si="1"/>
        <v>91.99</v>
      </c>
      <c r="O151" s="87" t="s">
        <v>178</v>
      </c>
      <c r="P151" s="88">
        <v>6</v>
      </c>
      <c r="Q151" s="89">
        <v>0</v>
      </c>
      <c r="R151" s="90">
        <v>0</v>
      </c>
      <c r="S151" s="91" t="s">
        <v>171</v>
      </c>
      <c r="T151" s="53">
        <v>0</v>
      </c>
    </row>
    <row r="152" spans="2:20" x14ac:dyDescent="0.2">
      <c r="B152" s="85" t="s">
        <v>150</v>
      </c>
      <c r="C152" s="79">
        <f t="shared" si="0"/>
        <v>99.99</v>
      </c>
      <c r="D152" s="87" t="s">
        <v>57</v>
      </c>
      <c r="E152" s="88">
        <v>1000</v>
      </c>
      <c r="F152" s="89">
        <v>0</v>
      </c>
      <c r="G152" s="90">
        <v>0</v>
      </c>
      <c r="H152" s="91" t="s">
        <v>169</v>
      </c>
      <c r="I152" s="53">
        <v>0</v>
      </c>
      <c r="M152" s="85" t="s">
        <v>150</v>
      </c>
      <c r="N152" s="79">
        <f t="shared" si="1"/>
        <v>500</v>
      </c>
      <c r="O152" s="87" t="s">
        <v>57</v>
      </c>
      <c r="P152" s="88">
        <v>1000</v>
      </c>
      <c r="Q152" s="89">
        <v>0</v>
      </c>
      <c r="R152" s="90">
        <v>0</v>
      </c>
      <c r="S152" s="91" t="s">
        <v>169</v>
      </c>
      <c r="T152" s="53">
        <v>0</v>
      </c>
    </row>
    <row r="153" spans="2:20" x14ac:dyDescent="0.2">
      <c r="B153" s="85" t="s">
        <v>40</v>
      </c>
      <c r="C153" s="79">
        <f t="shared" si="0"/>
        <v>500</v>
      </c>
      <c r="D153" s="87" t="s">
        <v>305</v>
      </c>
      <c r="E153" s="88">
        <v>3</v>
      </c>
      <c r="F153" s="89">
        <v>0</v>
      </c>
      <c r="G153" s="90">
        <v>0</v>
      </c>
      <c r="H153" s="91" t="s">
        <v>58</v>
      </c>
      <c r="I153" s="53">
        <v>0</v>
      </c>
      <c r="M153" s="85" t="s">
        <v>40</v>
      </c>
      <c r="N153" s="79">
        <f t="shared" si="1"/>
        <v>29.99</v>
      </c>
      <c r="O153" s="87" t="s">
        <v>305</v>
      </c>
      <c r="P153" s="88">
        <v>3</v>
      </c>
      <c r="Q153" s="89">
        <v>0</v>
      </c>
      <c r="R153" s="90">
        <v>0</v>
      </c>
      <c r="S153" s="91" t="s">
        <v>58</v>
      </c>
      <c r="T153" s="53">
        <v>0</v>
      </c>
    </row>
    <row r="154" spans="2:20" x14ac:dyDescent="0.2">
      <c r="B154" s="85" t="s">
        <v>45</v>
      </c>
      <c r="C154" s="79">
        <f t="shared" si="0"/>
        <v>29.99</v>
      </c>
      <c r="D154" s="87" t="s">
        <v>176</v>
      </c>
      <c r="E154" s="88">
        <v>83</v>
      </c>
      <c r="F154" s="89">
        <v>1.2048192771084338E-2</v>
      </c>
      <c r="G154" s="90">
        <v>1</v>
      </c>
      <c r="H154" s="91" t="s">
        <v>306</v>
      </c>
      <c r="I154" s="53">
        <v>0.32518072289156624</v>
      </c>
      <c r="M154" s="85" t="s">
        <v>45</v>
      </c>
      <c r="N154" s="79">
        <f t="shared" si="1"/>
        <v>26.99</v>
      </c>
      <c r="O154" s="87" t="s">
        <v>176</v>
      </c>
      <c r="P154" s="88">
        <v>83</v>
      </c>
      <c r="Q154" s="89">
        <v>1.2048192771084338E-2</v>
      </c>
      <c r="R154" s="90">
        <v>1</v>
      </c>
      <c r="S154" s="91" t="s">
        <v>306</v>
      </c>
      <c r="T154" s="53">
        <v>0.3010843373493976</v>
      </c>
    </row>
    <row r="155" spans="2:20" x14ac:dyDescent="0.2">
      <c r="B155" s="85" t="s">
        <v>214</v>
      </c>
      <c r="C155" s="79">
        <f t="shared" si="0"/>
        <v>26.99</v>
      </c>
      <c r="D155" s="87"/>
      <c r="E155" s="88"/>
      <c r="F155" s="93">
        <v>6</v>
      </c>
      <c r="G155" s="90">
        <v>1.5</v>
      </c>
      <c r="H155" s="91" t="s">
        <v>171</v>
      </c>
      <c r="I155" s="3"/>
      <c r="M155" s="85" t="s">
        <v>214</v>
      </c>
      <c r="N155" s="79">
        <f t="shared" si="1"/>
        <v>0</v>
      </c>
      <c r="O155" s="87"/>
      <c r="P155" s="88"/>
      <c r="Q155" s="93">
        <v>6</v>
      </c>
      <c r="R155" s="90">
        <v>1.5</v>
      </c>
      <c r="S155" s="91" t="s">
        <v>171</v>
      </c>
      <c r="T155" s="3"/>
    </row>
    <row r="156" spans="2:20" ht="16" thickBot="1" x14ac:dyDescent="0.25">
      <c r="B156" s="94" t="s">
        <v>247</v>
      </c>
      <c r="C156" s="79">
        <f t="shared" si="0"/>
        <v>0</v>
      </c>
      <c r="D156" s="96" t="s">
        <v>142</v>
      </c>
      <c r="E156" s="97">
        <v>30</v>
      </c>
      <c r="F156" s="98">
        <v>0</v>
      </c>
      <c r="G156" s="99">
        <v>0</v>
      </c>
      <c r="H156" s="100" t="s">
        <v>173</v>
      </c>
      <c r="I156" s="67">
        <v>0</v>
      </c>
      <c r="M156" s="94" t="s">
        <v>247</v>
      </c>
      <c r="N156" s="79">
        <f t="shared" si="1"/>
        <v>109.99</v>
      </c>
      <c r="O156" s="96" t="s">
        <v>142</v>
      </c>
      <c r="P156" s="97">
        <v>30</v>
      </c>
      <c r="Q156" s="98">
        <v>0</v>
      </c>
      <c r="R156" s="99">
        <v>0</v>
      </c>
      <c r="S156" s="100" t="s">
        <v>173</v>
      </c>
      <c r="T156" s="67">
        <v>0</v>
      </c>
    </row>
    <row r="157" spans="2:20" ht="16" thickBot="1" x14ac:dyDescent="0.25">
      <c r="B157" s="861" t="s">
        <v>179</v>
      </c>
      <c r="C157" s="862"/>
      <c r="D157" s="862"/>
      <c r="E157" s="862"/>
      <c r="F157" s="862"/>
      <c r="G157" s="862"/>
      <c r="H157" s="862"/>
      <c r="I157" s="227"/>
      <c r="M157" s="861" t="s">
        <v>179</v>
      </c>
      <c r="N157" s="862"/>
      <c r="O157" s="862"/>
      <c r="P157" s="862"/>
      <c r="Q157" s="862"/>
      <c r="R157" s="862"/>
      <c r="S157" s="862"/>
      <c r="T157" s="228"/>
    </row>
    <row r="158" spans="2:20" x14ac:dyDescent="0.2">
      <c r="B158" s="78" t="s">
        <v>172</v>
      </c>
      <c r="C158" s="79">
        <f>(C24)</f>
        <v>239</v>
      </c>
      <c r="D158" s="80">
        <v>100</v>
      </c>
      <c r="E158" s="81">
        <v>100</v>
      </c>
      <c r="F158" s="82">
        <v>7.0000000000000007E-2</v>
      </c>
      <c r="G158" s="83">
        <v>7</v>
      </c>
      <c r="H158" s="84">
        <v>1</v>
      </c>
      <c r="I158" s="73">
        <v>17.9389</v>
      </c>
      <c r="M158" s="78" t="s">
        <v>172</v>
      </c>
      <c r="N158" s="79">
        <f>(C24)</f>
        <v>239</v>
      </c>
      <c r="O158" s="80">
        <v>100</v>
      </c>
      <c r="P158" s="81">
        <v>100</v>
      </c>
      <c r="Q158" s="82">
        <v>7.0000000000000007E-2</v>
      </c>
      <c r="R158" s="83">
        <v>7</v>
      </c>
      <c r="S158" s="84">
        <v>1</v>
      </c>
      <c r="T158" s="73">
        <v>34.086500000000001</v>
      </c>
    </row>
    <row r="159" spans="2:20" x14ac:dyDescent="0.2">
      <c r="B159" s="209" t="s">
        <v>160</v>
      </c>
      <c r="C159" s="79">
        <f>(C25)</f>
        <v>90</v>
      </c>
      <c r="D159" s="211">
        <v>75</v>
      </c>
      <c r="E159" s="212">
        <v>75</v>
      </c>
      <c r="F159" s="213">
        <v>9.3333333333333338E-2</v>
      </c>
      <c r="G159" s="214">
        <v>7</v>
      </c>
      <c r="H159" s="215">
        <v>1</v>
      </c>
      <c r="I159" s="216">
        <v>8.4</v>
      </c>
      <c r="M159" s="209"/>
      <c r="N159" s="79">
        <f>(C25)</f>
        <v>90</v>
      </c>
      <c r="O159" s="211"/>
      <c r="P159" s="212"/>
      <c r="Q159" s="213"/>
      <c r="R159" s="214"/>
      <c r="S159" s="215"/>
      <c r="T159" s="216"/>
    </row>
    <row r="160" spans="2:20" x14ac:dyDescent="0.2">
      <c r="B160" s="94" t="s">
        <v>250</v>
      </c>
      <c r="C160" s="79">
        <f>(C26)</f>
        <v>239</v>
      </c>
      <c r="D160" s="96">
        <v>100</v>
      </c>
      <c r="E160" s="97">
        <v>100</v>
      </c>
      <c r="F160" s="98">
        <v>7.0000000000000007E-2</v>
      </c>
      <c r="G160" s="99">
        <v>7</v>
      </c>
      <c r="H160" s="100">
        <v>1</v>
      </c>
      <c r="I160" s="67">
        <v>17.9389</v>
      </c>
      <c r="M160" s="94" t="s">
        <v>250</v>
      </c>
      <c r="N160" s="79">
        <f>(C26)</f>
        <v>239</v>
      </c>
      <c r="O160" s="96">
        <v>100</v>
      </c>
      <c r="P160" s="97">
        <v>100</v>
      </c>
      <c r="Q160" s="98">
        <v>7.0000000000000007E-2</v>
      </c>
      <c r="R160" s="99">
        <v>7</v>
      </c>
      <c r="S160" s="100">
        <v>1</v>
      </c>
      <c r="T160" s="67">
        <v>16.4878</v>
      </c>
    </row>
    <row r="161" spans="2:20" x14ac:dyDescent="0.2">
      <c r="B161" s="217" t="s">
        <v>325</v>
      </c>
      <c r="C161" s="79">
        <f>(C27)</f>
        <v>550</v>
      </c>
      <c r="D161" s="87"/>
      <c r="E161" s="218"/>
      <c r="F161" s="219"/>
      <c r="G161" s="218"/>
      <c r="H161" s="220"/>
      <c r="I161" s="53">
        <v>70</v>
      </c>
      <c r="M161" s="217" t="s">
        <v>325</v>
      </c>
      <c r="N161" s="79">
        <f>(C27)</f>
        <v>550</v>
      </c>
      <c r="O161" s="87"/>
      <c r="P161" s="218"/>
      <c r="Q161" s="219"/>
      <c r="R161" s="218"/>
      <c r="S161" s="220"/>
      <c r="T161" s="53">
        <v>70</v>
      </c>
    </row>
    <row r="162" spans="2:20" x14ac:dyDescent="0.2">
      <c r="B162" s="217" t="s">
        <v>323</v>
      </c>
      <c r="C162" s="79">
        <f>(C28)</f>
        <v>0</v>
      </c>
      <c r="D162" s="87"/>
      <c r="E162" s="218"/>
      <c r="F162" s="219"/>
      <c r="G162" s="218"/>
      <c r="H162" s="220"/>
      <c r="I162" s="53">
        <v>35</v>
      </c>
      <c r="M162" s="217" t="s">
        <v>323</v>
      </c>
      <c r="N162" s="79">
        <f>(C28)</f>
        <v>0</v>
      </c>
      <c r="O162" s="87"/>
      <c r="P162" s="218"/>
      <c r="Q162" s="219"/>
      <c r="R162" s="218"/>
      <c r="S162" s="220"/>
      <c r="T162" s="53">
        <v>35</v>
      </c>
    </row>
    <row r="163" spans="2:20" ht="16" thickBot="1" x14ac:dyDescent="0.25">
      <c r="B163" s="222" t="s">
        <v>180</v>
      </c>
      <c r="C163" s="223" t="s">
        <v>181</v>
      </c>
      <c r="D163" s="224" t="s">
        <v>182</v>
      </c>
      <c r="E163" s="223" t="s">
        <v>183</v>
      </c>
      <c r="F163" s="224" t="s">
        <v>60</v>
      </c>
      <c r="G163" s="223" t="s">
        <v>184</v>
      </c>
      <c r="H163" s="225" t="s">
        <v>185</v>
      </c>
      <c r="I163" s="226">
        <f>SUM(I140:I162)</f>
        <v>426.44878845668751</v>
      </c>
      <c r="M163" s="222" t="s">
        <v>180</v>
      </c>
      <c r="N163" s="223" t="s">
        <v>181</v>
      </c>
      <c r="O163" s="224" t="s">
        <v>182</v>
      </c>
      <c r="P163" s="223" t="s">
        <v>183</v>
      </c>
      <c r="Q163" s="224" t="s">
        <v>60</v>
      </c>
      <c r="R163" s="223" t="s">
        <v>184</v>
      </c>
      <c r="S163" s="225" t="s">
        <v>185</v>
      </c>
      <c r="T163" s="226">
        <f>SUM(T140:T162)</f>
        <v>419.71230272467648</v>
      </c>
    </row>
    <row r="165" spans="2:20" x14ac:dyDescent="0.2">
      <c r="B165" s="101" t="s">
        <v>201</v>
      </c>
      <c r="C165" s="101"/>
      <c r="D165" s="101"/>
      <c r="E165" s="101"/>
      <c r="F165" s="101"/>
      <c r="G165" s="101"/>
      <c r="H165" s="102">
        <f>I163</f>
        <v>426.44878845668751</v>
      </c>
      <c r="M165" s="101" t="s">
        <v>201</v>
      </c>
      <c r="N165" s="101"/>
      <c r="O165" s="101"/>
      <c r="P165" s="101"/>
      <c r="Q165" s="101"/>
      <c r="R165" s="101"/>
      <c r="S165" s="102">
        <f>T163</f>
        <v>419.71230272467648</v>
      </c>
    </row>
    <row r="166" spans="2:20" x14ac:dyDescent="0.2">
      <c r="B166" s="101"/>
      <c r="C166" s="101"/>
      <c r="D166" s="101"/>
      <c r="E166" s="101"/>
      <c r="F166" s="101"/>
      <c r="G166" s="101"/>
      <c r="H166" s="101"/>
      <c r="M166" s="101"/>
      <c r="N166" s="101"/>
      <c r="O166" s="101"/>
      <c r="P166" s="101"/>
      <c r="Q166" s="101"/>
      <c r="R166" s="101"/>
      <c r="S166" s="101"/>
    </row>
    <row r="167" spans="2:20" x14ac:dyDescent="0.2">
      <c r="B167" s="101" t="s">
        <v>375</v>
      </c>
      <c r="C167" s="101"/>
      <c r="D167" s="101"/>
      <c r="E167" s="101"/>
      <c r="F167" s="101"/>
      <c r="G167" s="101"/>
      <c r="H167" s="102">
        <f>H165/9</f>
        <v>47.383198717409726</v>
      </c>
      <c r="M167" s="101" t="s">
        <v>202</v>
      </c>
      <c r="N167" s="101"/>
      <c r="O167" s="101"/>
      <c r="P167" s="101"/>
      <c r="Q167" s="101"/>
      <c r="R167" s="101"/>
      <c r="S167" s="102">
        <f>S165/9</f>
        <v>46.634700302741834</v>
      </c>
    </row>
  </sheetData>
  <mergeCells count="18">
    <mergeCell ref="B157:H157"/>
    <mergeCell ref="M157:S157"/>
    <mergeCell ref="M136:T137"/>
    <mergeCell ref="M139:T139"/>
    <mergeCell ref="B5:I5"/>
    <mergeCell ref="B73:I73"/>
    <mergeCell ref="B103:I104"/>
    <mergeCell ref="B106:I106"/>
    <mergeCell ref="B136:I137"/>
    <mergeCell ref="B139:I139"/>
    <mergeCell ref="B124:H124"/>
    <mergeCell ref="B91:H91"/>
    <mergeCell ref="B2:I3"/>
    <mergeCell ref="B36:I37"/>
    <mergeCell ref="B39:I39"/>
    <mergeCell ref="B58:I58"/>
    <mergeCell ref="B70:I71"/>
    <mergeCell ref="B23:H23"/>
  </mergeCells>
  <pageMargins left="0.7" right="0.7" top="0.75" bottom="0.75" header="0.3" footer="0.3"/>
  <pageSetup paperSize="9" scale="9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L57"/>
  <sheetViews>
    <sheetView workbookViewId="0">
      <selection activeCell="B2" sqref="B2:I57"/>
    </sheetView>
  </sheetViews>
  <sheetFormatPr baseColWidth="10" defaultColWidth="8.83203125" defaultRowHeight="15" x14ac:dyDescent="0.2"/>
  <cols>
    <col min="2" max="2" width="18.5" customWidth="1"/>
  </cols>
  <sheetData>
    <row r="1" spans="2:9" ht="16" thickBot="1" x14ac:dyDescent="0.25"/>
    <row r="2" spans="2:9" ht="19" thickBot="1" x14ac:dyDescent="0.25">
      <c r="B2" s="881" t="s">
        <v>128</v>
      </c>
      <c r="C2" s="882"/>
      <c r="D2" s="882"/>
      <c r="E2" s="882"/>
      <c r="F2" s="882"/>
      <c r="G2" s="882"/>
      <c r="H2" s="882"/>
      <c r="I2" s="883"/>
    </row>
    <row r="3" spans="2:9" ht="16" thickBot="1" x14ac:dyDescent="0.25">
      <c r="B3" s="884" t="s">
        <v>129</v>
      </c>
      <c r="C3" s="885"/>
      <c r="D3" s="885"/>
      <c r="E3" s="885"/>
      <c r="F3" s="886" t="s">
        <v>130</v>
      </c>
      <c r="G3" s="887"/>
      <c r="H3" s="887"/>
      <c r="I3" s="888"/>
    </row>
    <row r="4" spans="2:9" ht="43" thickBot="1" x14ac:dyDescent="0.25">
      <c r="B4" s="42" t="s">
        <v>131</v>
      </c>
      <c r="C4" s="43" t="s">
        <v>132</v>
      </c>
      <c r="D4" s="43" t="s">
        <v>133</v>
      </c>
      <c r="E4" s="43" t="s">
        <v>271</v>
      </c>
      <c r="F4" s="43" t="s">
        <v>137</v>
      </c>
      <c r="G4" s="43" t="s">
        <v>272</v>
      </c>
      <c r="H4" s="44" t="s">
        <v>136</v>
      </c>
      <c r="I4" s="45" t="s">
        <v>134</v>
      </c>
    </row>
    <row r="5" spans="2:9" ht="16" thickBot="1" x14ac:dyDescent="0.25">
      <c r="B5" s="874" t="s">
        <v>139</v>
      </c>
      <c r="C5" s="875"/>
      <c r="D5" s="875"/>
      <c r="E5" s="875"/>
      <c r="F5" s="875"/>
      <c r="G5" s="875"/>
      <c r="H5" s="875"/>
      <c r="I5" s="876"/>
    </row>
    <row r="6" spans="2:9" x14ac:dyDescent="0.2">
      <c r="B6" s="46" t="s">
        <v>29</v>
      </c>
      <c r="C6" s="47">
        <v>140</v>
      </c>
      <c r="D6" s="48" t="s">
        <v>50</v>
      </c>
      <c r="E6" s="49"/>
      <c r="F6" s="49"/>
      <c r="G6" s="49"/>
      <c r="H6" s="50"/>
      <c r="I6" s="51"/>
    </row>
    <row r="7" spans="2:9" x14ac:dyDescent="0.2">
      <c r="B7" s="52" t="s">
        <v>30</v>
      </c>
      <c r="C7" s="53">
        <v>205</v>
      </c>
      <c r="D7" s="16" t="s">
        <v>51</v>
      </c>
      <c r="E7" s="3"/>
      <c r="F7" s="3"/>
      <c r="G7" s="3"/>
      <c r="H7" s="54"/>
      <c r="I7" s="55"/>
    </row>
    <row r="8" spans="2:9" x14ac:dyDescent="0.2">
      <c r="B8" s="52" t="s">
        <v>31</v>
      </c>
      <c r="C8" s="53">
        <v>182</v>
      </c>
      <c r="D8" s="16" t="s">
        <v>51</v>
      </c>
      <c r="E8" s="3"/>
      <c r="F8" s="3"/>
      <c r="G8" s="3"/>
      <c r="H8" s="54"/>
      <c r="I8" s="55"/>
    </row>
    <row r="9" spans="2:9" x14ac:dyDescent="0.2">
      <c r="B9" s="52" t="s">
        <v>32</v>
      </c>
      <c r="C9" s="53">
        <v>167</v>
      </c>
      <c r="D9" s="16" t="s">
        <v>140</v>
      </c>
      <c r="E9" s="3"/>
      <c r="F9" s="3"/>
      <c r="G9" s="3"/>
      <c r="H9" s="54"/>
      <c r="I9" s="55"/>
    </row>
    <row r="10" spans="2:9" x14ac:dyDescent="0.2">
      <c r="B10" s="52" t="s">
        <v>33</v>
      </c>
      <c r="C10" s="53">
        <v>360</v>
      </c>
      <c r="D10" s="16">
        <v>180</v>
      </c>
      <c r="E10" s="3"/>
      <c r="F10" s="3"/>
      <c r="G10" s="3"/>
      <c r="H10" s="54"/>
      <c r="I10" s="55"/>
    </row>
    <row r="11" spans="2:9" x14ac:dyDescent="0.2">
      <c r="B11" s="52" t="s">
        <v>247</v>
      </c>
      <c r="C11" s="53">
        <v>145</v>
      </c>
      <c r="D11" s="56" t="s">
        <v>142</v>
      </c>
      <c r="E11" s="3"/>
      <c r="F11" s="3"/>
      <c r="G11" s="3"/>
      <c r="H11" s="54"/>
      <c r="I11" s="55"/>
    </row>
    <row r="12" spans="2:9" x14ac:dyDescent="0.2">
      <c r="B12" s="52" t="s">
        <v>34</v>
      </c>
      <c r="C12" s="53">
        <f>690+103.5</f>
        <v>793.5</v>
      </c>
      <c r="D12" s="16" t="s">
        <v>54</v>
      </c>
      <c r="E12" s="3"/>
      <c r="F12" s="3"/>
      <c r="G12" s="3"/>
      <c r="H12" s="54"/>
      <c r="I12" s="55"/>
    </row>
    <row r="13" spans="2:9" ht="16" thickBot="1" x14ac:dyDescent="0.25">
      <c r="B13" s="57" t="s">
        <v>35</v>
      </c>
      <c r="C13" s="58">
        <f>460+69</f>
        <v>529</v>
      </c>
      <c r="D13" s="59" t="s">
        <v>54</v>
      </c>
      <c r="E13" s="60"/>
      <c r="F13" s="60"/>
      <c r="G13" s="60"/>
      <c r="H13" s="61"/>
      <c r="I13" s="62"/>
    </row>
    <row r="14" spans="2:9" ht="16" thickBot="1" x14ac:dyDescent="0.25">
      <c r="B14" s="874" t="s">
        <v>143</v>
      </c>
      <c r="C14" s="875"/>
      <c r="D14" s="875"/>
      <c r="E14" s="875"/>
      <c r="F14" s="875"/>
      <c r="G14" s="875"/>
      <c r="H14" s="875"/>
      <c r="I14" s="876"/>
    </row>
    <row r="15" spans="2:9" x14ac:dyDescent="0.2">
      <c r="B15" s="46" t="s">
        <v>144</v>
      </c>
      <c r="C15" s="63">
        <v>130</v>
      </c>
      <c r="D15" s="48" t="s">
        <v>140</v>
      </c>
      <c r="E15" s="49"/>
      <c r="F15" s="49"/>
      <c r="G15" s="49"/>
      <c r="H15" s="50"/>
      <c r="I15" s="51"/>
    </row>
    <row r="16" spans="2:9" x14ac:dyDescent="0.2">
      <c r="B16" s="52" t="s">
        <v>145</v>
      </c>
      <c r="C16" s="64">
        <v>85</v>
      </c>
      <c r="D16" s="16">
        <v>100</v>
      </c>
      <c r="E16" s="3"/>
      <c r="F16" s="3"/>
      <c r="G16" s="3"/>
      <c r="H16" s="54"/>
      <c r="I16" s="55"/>
    </row>
    <row r="17" spans="2:9" x14ac:dyDescent="0.2">
      <c r="B17" s="52" t="s">
        <v>874</v>
      </c>
      <c r="C17" s="64">
        <v>110</v>
      </c>
      <c r="D17" s="16" t="s">
        <v>140</v>
      </c>
      <c r="E17" s="3"/>
      <c r="F17" s="3"/>
      <c r="G17" s="3"/>
      <c r="H17" s="54"/>
      <c r="I17" s="55"/>
    </row>
    <row r="18" spans="2:9" x14ac:dyDescent="0.2">
      <c r="B18" s="52" t="s">
        <v>267</v>
      </c>
      <c r="C18" s="64"/>
      <c r="D18" s="16"/>
      <c r="E18" s="3"/>
      <c r="F18" s="3"/>
      <c r="G18" s="3"/>
      <c r="H18" s="54"/>
      <c r="I18" s="55"/>
    </row>
    <row r="19" spans="2:9" x14ac:dyDescent="0.2">
      <c r="B19" s="52" t="s">
        <v>146</v>
      </c>
      <c r="C19" s="64">
        <v>180</v>
      </c>
      <c r="D19" s="16" t="s">
        <v>875</v>
      </c>
      <c r="E19" s="3"/>
      <c r="F19" s="3"/>
      <c r="G19" s="3"/>
      <c r="H19" s="54"/>
      <c r="I19" s="55"/>
    </row>
    <row r="20" spans="2:9" x14ac:dyDescent="0.2">
      <c r="B20" s="52" t="s">
        <v>147</v>
      </c>
      <c r="C20" s="64"/>
      <c r="D20" s="3"/>
      <c r="E20" s="3"/>
      <c r="F20" s="3"/>
      <c r="G20" s="3"/>
      <c r="H20" s="54"/>
      <c r="I20" s="55"/>
    </row>
    <row r="21" spans="2:9" x14ac:dyDescent="0.2">
      <c r="B21" s="66" t="s">
        <v>263</v>
      </c>
      <c r="C21" s="180">
        <f>135/3</f>
        <v>45</v>
      </c>
      <c r="D21" s="599">
        <v>20</v>
      </c>
      <c r="E21" s="69"/>
      <c r="F21" s="69"/>
      <c r="G21" s="69"/>
      <c r="H21" s="70"/>
      <c r="I21" s="71"/>
    </row>
    <row r="22" spans="2:9" ht="16" thickBot="1" x14ac:dyDescent="0.25">
      <c r="B22" s="57" t="s">
        <v>148</v>
      </c>
      <c r="C22" s="65"/>
      <c r="D22" s="59" t="s">
        <v>140</v>
      </c>
      <c r="E22" s="60"/>
      <c r="F22" s="60"/>
      <c r="G22" s="60"/>
      <c r="H22" s="61"/>
      <c r="I22" s="62"/>
    </row>
    <row r="23" spans="2:9" ht="16" thickBot="1" x14ac:dyDescent="0.25">
      <c r="B23" s="874" t="s">
        <v>149</v>
      </c>
      <c r="C23" s="875"/>
      <c r="D23" s="875"/>
      <c r="E23" s="875"/>
      <c r="F23" s="875"/>
      <c r="G23" s="875"/>
      <c r="H23" s="875"/>
      <c r="I23" s="876"/>
    </row>
    <row r="24" spans="2:9" x14ac:dyDescent="0.2">
      <c r="B24" s="52" t="s">
        <v>46</v>
      </c>
      <c r="C24" s="53">
        <v>2250</v>
      </c>
      <c r="D24" s="16" t="s">
        <v>318</v>
      </c>
      <c r="E24" s="3"/>
      <c r="F24" s="3"/>
      <c r="G24" s="3"/>
      <c r="H24" s="54"/>
      <c r="I24" s="55"/>
    </row>
    <row r="25" spans="2:9" x14ac:dyDescent="0.2">
      <c r="B25" s="52" t="s">
        <v>248</v>
      </c>
      <c r="C25" s="53">
        <v>600</v>
      </c>
      <c r="D25" s="16">
        <v>20</v>
      </c>
      <c r="E25" s="3"/>
      <c r="F25" s="3"/>
      <c r="G25" s="3"/>
      <c r="H25" s="54"/>
      <c r="I25" s="55"/>
    </row>
    <row r="26" spans="2:9" x14ac:dyDescent="0.2">
      <c r="B26" s="52" t="s">
        <v>249</v>
      </c>
      <c r="C26" s="53">
        <v>600</v>
      </c>
      <c r="D26" s="16">
        <v>20</v>
      </c>
      <c r="E26" s="3"/>
      <c r="F26" s="3"/>
      <c r="G26" s="3"/>
      <c r="H26" s="54"/>
      <c r="I26" s="55"/>
    </row>
    <row r="27" spans="2:9" x14ac:dyDescent="0.2">
      <c r="B27" s="52" t="s">
        <v>150</v>
      </c>
      <c r="C27" s="53">
        <v>500</v>
      </c>
      <c r="D27" s="16" t="s">
        <v>57</v>
      </c>
      <c r="E27" s="3"/>
      <c r="F27" s="3"/>
      <c r="G27" s="3"/>
      <c r="H27" s="54"/>
      <c r="I27" s="55"/>
    </row>
    <row r="28" spans="2:9" x14ac:dyDescent="0.2">
      <c r="B28" s="52" t="s">
        <v>876</v>
      </c>
      <c r="C28" s="53">
        <v>416.19</v>
      </c>
      <c r="D28" s="16" t="s">
        <v>877</v>
      </c>
      <c r="E28" s="3"/>
      <c r="F28" s="3"/>
      <c r="G28" s="3"/>
      <c r="H28" s="54"/>
      <c r="I28" s="55"/>
    </row>
    <row r="29" spans="2:9" ht="16" thickBot="1" x14ac:dyDescent="0.25">
      <c r="B29" s="52" t="s">
        <v>151</v>
      </c>
      <c r="C29" s="53">
        <f>816.27/2</f>
        <v>408.13499999999999</v>
      </c>
      <c r="D29" s="16" t="s">
        <v>319</v>
      </c>
      <c r="E29" s="3"/>
      <c r="F29" s="3"/>
      <c r="G29" s="3"/>
      <c r="H29" s="54"/>
      <c r="I29" s="55"/>
    </row>
    <row r="30" spans="2:9" ht="16" thickBot="1" x14ac:dyDescent="0.25">
      <c r="B30" s="874" t="s">
        <v>152</v>
      </c>
      <c r="C30" s="875"/>
      <c r="D30" s="875"/>
      <c r="E30" s="875"/>
      <c r="F30" s="875"/>
      <c r="G30" s="875"/>
      <c r="H30" s="875"/>
      <c r="I30" s="876"/>
    </row>
    <row r="31" spans="2:9" x14ac:dyDescent="0.2">
      <c r="B31" s="72" t="s">
        <v>251</v>
      </c>
      <c r="C31" s="73">
        <f>43*20</f>
        <v>860</v>
      </c>
      <c r="D31" s="74" t="s">
        <v>55</v>
      </c>
      <c r="E31" s="14"/>
      <c r="F31" s="14"/>
      <c r="G31" s="14"/>
      <c r="H31" s="75"/>
      <c r="I31" s="76"/>
    </row>
    <row r="32" spans="2:9" x14ac:dyDescent="0.2">
      <c r="B32" s="52" t="s">
        <v>153</v>
      </c>
      <c r="C32" s="53">
        <v>772.8</v>
      </c>
      <c r="D32" s="16" t="s">
        <v>54</v>
      </c>
      <c r="E32" s="3"/>
      <c r="F32" s="3"/>
      <c r="G32" s="3"/>
      <c r="H32" s="54"/>
      <c r="I32" s="55"/>
    </row>
    <row r="33" spans="2:9" x14ac:dyDescent="0.2">
      <c r="B33" s="52" t="s">
        <v>154</v>
      </c>
      <c r="C33" s="53">
        <v>4358.5</v>
      </c>
      <c r="D33" s="16" t="s">
        <v>54</v>
      </c>
      <c r="E33" s="3"/>
      <c r="F33" s="3"/>
      <c r="G33" s="3"/>
      <c r="H33" s="54"/>
      <c r="I33" s="55"/>
    </row>
    <row r="34" spans="2:9" x14ac:dyDescent="0.2">
      <c r="B34" s="52" t="s">
        <v>39</v>
      </c>
      <c r="C34" s="53">
        <v>99</v>
      </c>
      <c r="D34" s="16" t="s">
        <v>155</v>
      </c>
      <c r="E34" s="3"/>
      <c r="F34" s="3"/>
      <c r="G34" s="3"/>
      <c r="H34" s="54"/>
      <c r="I34" s="55"/>
    </row>
    <row r="35" spans="2:9" x14ac:dyDescent="0.2">
      <c r="B35" s="52" t="s">
        <v>40</v>
      </c>
      <c r="C35" s="53">
        <v>45</v>
      </c>
      <c r="D35" s="16" t="s">
        <v>317</v>
      </c>
      <c r="E35" s="3"/>
      <c r="F35" s="3"/>
      <c r="G35" s="3"/>
      <c r="H35" s="54"/>
      <c r="I35" s="55"/>
    </row>
    <row r="36" spans="2:9" x14ac:dyDescent="0.2">
      <c r="B36" s="52" t="s">
        <v>41</v>
      </c>
      <c r="C36" s="53">
        <v>575</v>
      </c>
      <c r="D36" s="16" t="s">
        <v>57</v>
      </c>
      <c r="E36" s="3"/>
      <c r="F36" s="3"/>
      <c r="G36" s="3"/>
      <c r="H36" s="54"/>
      <c r="I36" s="55"/>
    </row>
    <row r="37" spans="2:9" x14ac:dyDescent="0.2">
      <c r="B37" s="52" t="s">
        <v>42</v>
      </c>
      <c r="C37" s="53">
        <v>5</v>
      </c>
      <c r="D37" s="16" t="s">
        <v>58</v>
      </c>
      <c r="E37" s="3"/>
      <c r="F37" s="3"/>
      <c r="G37" s="3"/>
      <c r="H37" s="54"/>
      <c r="I37" s="55"/>
    </row>
    <row r="38" spans="2:9" x14ac:dyDescent="0.2">
      <c r="B38" s="52" t="s">
        <v>43</v>
      </c>
      <c r="C38" s="53">
        <f>428.85/3</f>
        <v>142.95000000000002</v>
      </c>
      <c r="D38" s="16" t="s">
        <v>156</v>
      </c>
      <c r="E38" s="3"/>
      <c r="F38" s="3"/>
      <c r="G38" s="3"/>
      <c r="H38" s="54"/>
      <c r="I38" s="55"/>
    </row>
    <row r="39" spans="2:9" x14ac:dyDescent="0.2">
      <c r="B39" s="66" t="s">
        <v>45</v>
      </c>
      <c r="C39" s="67">
        <v>27</v>
      </c>
      <c r="D39" s="68" t="s">
        <v>140</v>
      </c>
      <c r="E39" s="69"/>
      <c r="F39" s="69"/>
      <c r="G39" s="69"/>
      <c r="H39" s="70"/>
      <c r="I39" s="71"/>
    </row>
    <row r="40" spans="2:9" x14ac:dyDescent="0.2">
      <c r="B40" s="66" t="s">
        <v>92</v>
      </c>
      <c r="C40" s="67">
        <v>76</v>
      </c>
      <c r="D40" s="68" t="s">
        <v>58</v>
      </c>
      <c r="E40" s="69"/>
      <c r="F40" s="69"/>
      <c r="G40" s="69"/>
      <c r="H40" s="70"/>
      <c r="I40" s="71"/>
    </row>
    <row r="41" spans="2:9" ht="16" thickBot="1" x14ac:dyDescent="0.25">
      <c r="B41" s="66" t="s">
        <v>157</v>
      </c>
      <c r="C41" s="67">
        <v>50</v>
      </c>
      <c r="D41" s="68" t="s">
        <v>158</v>
      </c>
      <c r="E41" s="69"/>
      <c r="F41" s="69"/>
      <c r="G41" s="69"/>
      <c r="H41" s="70"/>
      <c r="I41" s="71"/>
    </row>
    <row r="42" spans="2:9" ht="16" thickBot="1" x14ac:dyDescent="0.25">
      <c r="B42" s="874" t="s">
        <v>159</v>
      </c>
      <c r="C42" s="875"/>
      <c r="D42" s="875"/>
      <c r="E42" s="875"/>
      <c r="F42" s="875"/>
      <c r="G42" s="875"/>
      <c r="H42" s="875"/>
      <c r="I42" s="876"/>
    </row>
    <row r="43" spans="2:9" x14ac:dyDescent="0.2">
      <c r="B43" s="72" t="s">
        <v>160</v>
      </c>
      <c r="C43" s="73">
        <v>90</v>
      </c>
      <c r="D43" s="74">
        <v>75</v>
      </c>
      <c r="E43" s="14"/>
      <c r="F43" s="14"/>
      <c r="G43" s="14"/>
      <c r="H43" s="75"/>
      <c r="I43" s="76"/>
    </row>
    <row r="44" spans="2:9" x14ac:dyDescent="0.2">
      <c r="B44" s="52" t="s">
        <v>44</v>
      </c>
      <c r="C44" s="53">
        <f>207.47+31.12</f>
        <v>238.59</v>
      </c>
      <c r="D44" s="16">
        <v>100</v>
      </c>
      <c r="E44" s="3"/>
      <c r="F44" s="3"/>
      <c r="G44" s="3"/>
      <c r="H44" s="54"/>
      <c r="I44" s="55"/>
    </row>
    <row r="45" spans="2:9" x14ac:dyDescent="0.2">
      <c r="B45" s="52" t="s">
        <v>250</v>
      </c>
      <c r="C45" s="53">
        <v>238.59</v>
      </c>
      <c r="D45" s="16">
        <v>100</v>
      </c>
      <c r="E45" s="3"/>
      <c r="F45" s="3"/>
      <c r="G45" s="3"/>
      <c r="H45" s="54"/>
      <c r="I45" s="55"/>
    </row>
    <row r="46" spans="2:9" x14ac:dyDescent="0.2">
      <c r="B46" s="66" t="s">
        <v>265</v>
      </c>
      <c r="C46" s="67">
        <v>133</v>
      </c>
      <c r="D46" s="68">
        <v>1000</v>
      </c>
      <c r="E46" s="69"/>
      <c r="F46" s="69"/>
      <c r="G46" s="69"/>
      <c r="H46" s="70"/>
      <c r="I46" s="71"/>
    </row>
    <row r="47" spans="2:9" x14ac:dyDescent="0.2">
      <c r="B47" s="66" t="s">
        <v>264</v>
      </c>
      <c r="C47" s="77">
        <f>778/2</f>
        <v>389</v>
      </c>
      <c r="D47" s="68">
        <v>100</v>
      </c>
      <c r="E47" s="69"/>
      <c r="F47" s="69"/>
      <c r="G47" s="69"/>
      <c r="H47" s="70"/>
      <c r="I47" s="71"/>
    </row>
    <row r="48" spans="2:9" x14ac:dyDescent="0.2">
      <c r="B48" s="66" t="s">
        <v>266</v>
      </c>
      <c r="C48" s="77">
        <v>835</v>
      </c>
      <c r="D48" s="68">
        <v>50</v>
      </c>
      <c r="E48" s="69"/>
      <c r="F48" s="69"/>
      <c r="G48" s="69"/>
      <c r="H48" s="70"/>
      <c r="I48" s="71"/>
    </row>
    <row r="49" spans="2:12" x14ac:dyDescent="0.2">
      <c r="B49" s="52" t="s">
        <v>161</v>
      </c>
      <c r="C49" s="53">
        <v>42</v>
      </c>
      <c r="D49" s="16">
        <v>6</v>
      </c>
      <c r="E49" s="3"/>
      <c r="F49" s="3"/>
      <c r="G49" s="3"/>
      <c r="H49" s="54"/>
      <c r="I49" s="55"/>
    </row>
    <row r="50" spans="2:12" ht="16" thickBot="1" x14ac:dyDescent="0.25">
      <c r="B50" s="877" t="s">
        <v>162</v>
      </c>
      <c r="C50" s="878"/>
      <c r="D50" s="878"/>
      <c r="E50" s="878"/>
      <c r="F50" s="878"/>
      <c r="G50" s="878"/>
      <c r="H50" s="878"/>
      <c r="I50" s="879"/>
    </row>
    <row r="51" spans="2:12" x14ac:dyDescent="0.2">
      <c r="B51" s="880" t="s">
        <v>163</v>
      </c>
      <c r="C51" s="749"/>
      <c r="D51" s="880"/>
      <c r="E51" s="748"/>
      <c r="F51" s="749"/>
      <c r="G51" s="880"/>
      <c r="H51" s="748"/>
      <c r="I51" s="749"/>
      <c r="L51" t="s">
        <v>320</v>
      </c>
    </row>
    <row r="52" spans="2:12" x14ac:dyDescent="0.2">
      <c r="B52" s="867" t="s">
        <v>43</v>
      </c>
      <c r="C52" s="734"/>
      <c r="D52" s="867"/>
      <c r="E52" s="733"/>
      <c r="F52" s="734"/>
      <c r="G52" s="867"/>
      <c r="H52" s="733"/>
      <c r="I52" s="734"/>
    </row>
    <row r="53" spans="2:12" x14ac:dyDescent="0.2">
      <c r="B53" s="867" t="s">
        <v>141</v>
      </c>
      <c r="C53" s="734"/>
      <c r="D53" s="867"/>
      <c r="E53" s="733"/>
      <c r="F53" s="734"/>
      <c r="G53" s="867"/>
      <c r="H53" s="733"/>
      <c r="I53" s="734"/>
    </row>
    <row r="54" spans="2:12" x14ac:dyDescent="0.2">
      <c r="B54" s="867" t="s">
        <v>164</v>
      </c>
      <c r="C54" s="734"/>
      <c r="D54" s="867"/>
      <c r="E54" s="733"/>
      <c r="F54" s="734"/>
      <c r="G54" s="867"/>
      <c r="H54" s="733"/>
      <c r="I54" s="734"/>
    </row>
    <row r="55" spans="2:12" x14ac:dyDescent="0.2">
      <c r="B55" s="867" t="s">
        <v>165</v>
      </c>
      <c r="C55" s="734"/>
      <c r="D55" s="867"/>
      <c r="E55" s="733"/>
      <c r="F55" s="734"/>
      <c r="G55" s="867"/>
      <c r="H55" s="733"/>
      <c r="I55" s="734"/>
    </row>
    <row r="56" spans="2:12" ht="16" thickBot="1" x14ac:dyDescent="0.25">
      <c r="B56" s="867" t="s">
        <v>166</v>
      </c>
      <c r="C56" s="734"/>
      <c r="D56" s="868"/>
      <c r="E56" s="740"/>
      <c r="F56" s="741"/>
      <c r="G56" s="868"/>
      <c r="H56" s="740"/>
      <c r="I56" s="741"/>
    </row>
    <row r="57" spans="2:12" ht="16" thickBot="1" x14ac:dyDescent="0.25">
      <c r="D57" s="869" t="s">
        <v>135</v>
      </c>
      <c r="E57" s="870"/>
      <c r="F57" s="871"/>
      <c r="G57" s="872" t="s">
        <v>138</v>
      </c>
      <c r="H57" s="870"/>
      <c r="I57" s="873"/>
    </row>
  </sheetData>
  <mergeCells count="29">
    <mergeCell ref="B23:I23"/>
    <mergeCell ref="B2:I2"/>
    <mergeCell ref="B3:E3"/>
    <mergeCell ref="F3:I3"/>
    <mergeCell ref="B5:I5"/>
    <mergeCell ref="B14:I14"/>
    <mergeCell ref="B30:I30"/>
    <mergeCell ref="B42:I42"/>
    <mergeCell ref="B50:I50"/>
    <mergeCell ref="B51:C51"/>
    <mergeCell ref="D51:F51"/>
    <mergeCell ref="G51:I51"/>
    <mergeCell ref="B52:C52"/>
    <mergeCell ref="D52:F52"/>
    <mergeCell ref="G52:I52"/>
    <mergeCell ref="B53:C53"/>
    <mergeCell ref="D53:F53"/>
    <mergeCell ref="G53:I53"/>
    <mergeCell ref="B54:C54"/>
    <mergeCell ref="D54:F54"/>
    <mergeCell ref="G54:I54"/>
    <mergeCell ref="B55:C55"/>
    <mergeCell ref="D55:F55"/>
    <mergeCell ref="G55:I55"/>
    <mergeCell ref="B56:C56"/>
    <mergeCell ref="D56:F56"/>
    <mergeCell ref="G56:I56"/>
    <mergeCell ref="D57:F57"/>
    <mergeCell ref="G57:I57"/>
  </mergeCells>
  <pageMargins left="0.7" right="0.7" top="0.75" bottom="0.75" header="0.3" footer="0.3"/>
  <pageSetup paperSize="9" scale="8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13</vt:i4>
      </vt:variant>
    </vt:vector>
  </HeadingPairs>
  <TitlesOfParts>
    <vt:vector size="30" baseType="lpstr">
      <vt:lpstr>DAILY WEEKLY EXPENSES</vt:lpstr>
      <vt:lpstr>MONTHLY EXPENSES</vt:lpstr>
      <vt:lpstr>DAILY WEEKLY EXPENSES STOCK</vt:lpstr>
      <vt:lpstr>MONTHLY STOCK</vt:lpstr>
      <vt:lpstr>EXPENSE DAILY</vt:lpstr>
      <vt:lpstr>DAILY INCOME EXPENSE</vt:lpstr>
      <vt:lpstr>WEEKLY DELIVEIES &amp; RETURN</vt:lpstr>
      <vt:lpstr>DAILY PLANNING</vt:lpstr>
      <vt:lpstr>WEEKLY AMOUNTS</vt:lpstr>
      <vt:lpstr>PRODUCTION BATCHES</vt:lpstr>
      <vt:lpstr>PETTYCASH</vt:lpstr>
      <vt:lpstr>WAGES PAID</vt:lpstr>
      <vt:lpstr>Template deliveries</vt:lpstr>
      <vt:lpstr>PLANNING</vt:lpstr>
      <vt:lpstr>banking details</vt:lpstr>
      <vt:lpstr>CAKE COSTING</vt:lpstr>
      <vt:lpstr>STOCK CONTROL LIST</vt:lpstr>
      <vt:lpstr>'banking details'!Print_Area</vt:lpstr>
      <vt:lpstr>'CAKE COSTING'!Print_Area</vt:lpstr>
      <vt:lpstr>'DAILY INCOME EXPENSE'!Print_Area</vt:lpstr>
      <vt:lpstr>'DAILY PLANNING'!Print_Area</vt:lpstr>
      <vt:lpstr>'EXPENSE DAILY'!Print_Area</vt:lpstr>
      <vt:lpstr>PETTYCASH!Print_Area</vt:lpstr>
      <vt:lpstr>PLANNING!Print_Area</vt:lpstr>
      <vt:lpstr>'PRODUCTION BATCHES'!Print_Area</vt:lpstr>
      <vt:lpstr>'STOCK CONTROL LIST'!Print_Area</vt:lpstr>
      <vt:lpstr>'Template deliveries'!Print_Area</vt:lpstr>
      <vt:lpstr>'WAGES PAID'!Print_Area</vt:lpstr>
      <vt:lpstr>'WEEKLY AMOUNTS'!Print_Area</vt:lpstr>
      <vt:lpstr>'WEEKLY DELIVEIES &amp; RETURN'!Print_Area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Tiaan Van Wyk</cp:lastModifiedBy>
  <cp:lastPrinted>2025-05-09T14:13:40Z</cp:lastPrinted>
  <dcterms:created xsi:type="dcterms:W3CDTF">2022-04-18T10:18:13Z</dcterms:created>
  <dcterms:modified xsi:type="dcterms:W3CDTF">2025-06-21T11:24:52Z</dcterms:modified>
</cp:coreProperties>
</file>